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codeName="DieseArbeitsmappe"/>
  <mc:AlternateContent xmlns:mc="http://schemas.openxmlformats.org/markup-compatibility/2006">
    <mc:Choice Requires="x15">
      <x15ac:absPath xmlns:x15ac="http://schemas.microsoft.com/office/spreadsheetml/2010/11/ac" url="S:\IAB\IAB2\IAB2a\EDV_Anwendungen\31_Lagerraum_DüV_Biogas\2021\Internet\eingestellt20211108\"/>
    </mc:Choice>
  </mc:AlternateContent>
  <xr:revisionPtr revIDLastSave="0" documentId="13_ncr:1_{A655C043-B2D8-433E-BD9A-FBEA45799F96}" xr6:coauthVersionLast="46" xr6:coauthVersionMax="46" xr10:uidLastSave="{00000000-0000-0000-0000-000000000000}"/>
  <workbookProtection workbookAlgorithmName="SHA-512" workbookHashValue="f8NBpvAG+ZqAo/Qlaoe0M3B6CmcaHlrvCIjjbWSWv0LSfOM4CgtNa5l38GjxNff+9Mp32PiA855r8K7JYrIaGQ==" workbookSaltValue="6xmiEGLEvoePGl/W8uFeQA==" workbookSpinCount="100000" lockStructure="1"/>
  <bookViews>
    <workbookView xWindow="-120" yWindow="-120" windowWidth="29040" windowHeight="17640" xr2:uid="{AB7F9B05-F98A-48AD-A046-64DB39686FBE}"/>
  </bookViews>
  <sheets>
    <sheet name="Berechnung Nährstoffe und Lager" sheetId="7" r:id="rId1"/>
    <sheet name="Lagerhaltung (freiwillig)" sheetId="39" state="hidden" r:id="rId2"/>
    <sheet name="Abweichende Werte" sheetId="14" r:id="rId3"/>
    <sheet name="Notizen" sheetId="38" r:id="rId4"/>
    <sheet name="Gemarkungsniederschläge" sheetId="43" r:id="rId5"/>
    <sheet name="Protokoll" sheetId="45" state="hidden" r:id="rId6"/>
    <sheet name="Tiere" sheetId="12" state="hidden" r:id="rId7"/>
    <sheet name="Datentabellen Diagramme" sheetId="42" state="hidden" r:id="rId8"/>
    <sheet name="Tiere orginal" sheetId="13" state="hidden" r:id="rId9"/>
    <sheet name="Tierprodukte" sheetId="37" state="hidden" r:id="rId10"/>
    <sheet name="Stroh" sheetId="8" state="hidden" r:id="rId11"/>
    <sheet name="Erläuterungen" sheetId="10" state="hidden" r:id="rId12"/>
    <sheet name="Hinweise zum Programm" sheetId="19" state="hidden" r:id="rId13"/>
    <sheet name="Niederschläge" sheetId="31" state="hidden" r:id="rId14"/>
    <sheet name="Pflanzen" sheetId="32" state="hidden" r:id="rId15"/>
    <sheet name="Erläuterung AnrechnungNachgärer" sheetId="33" r:id="rId16"/>
    <sheet name="Ablaufchema" sheetId="34" state="hidden" r:id="rId17"/>
    <sheet name="Basisdaten" sheetId="35" r:id="rId18"/>
  </sheets>
  <definedNames>
    <definedName name="_xlnm._FilterDatabase" localSheetId="4" hidden="1">Gemarkungsniederschläge!$B$5:$C$7864</definedName>
    <definedName name="_xlnm._FilterDatabase" localSheetId="1" hidden="1">'Lagerhaltung (freiwillig)'!$AC$40:$AP$132</definedName>
    <definedName name="_xlnm.Print_Area" localSheetId="1">'Lagerhaltung (freiwillig)'!$A$1:$V$105,'Lagerhaltung (freiwillig)'!$Y$1:$AW$37,'Lagerhaltung (freiwillig)'!$BE$1:$BO$69</definedName>
    <definedName name="_xlnm.Print_Titles" localSheetId="2">'Abweichende Werte'!$A:$B,'Abweichende Werte'!$1:$2</definedName>
    <definedName name="Z_DDA6E6AA_9473_49A0_A3A2_76E4959B79AF_.wvu.Cols" localSheetId="2" hidden="1">'Abweichende Werte'!$AB:$AF</definedName>
    <definedName name="Z_DDA6E6AA_9473_49A0_A3A2_76E4959B79AF_.wvu.Cols" localSheetId="0" hidden="1">'Berechnung Nährstoffe und Lager'!$P:$CJ</definedName>
    <definedName name="Z_DDA6E6AA_9473_49A0_A3A2_76E4959B79AF_.wvu.PrintArea" localSheetId="0" hidden="1">'Berechnung Nährstoffe und Lager'!$A$1:$N$300</definedName>
  </definedNames>
  <calcPr calcId="191029"/>
  <customWorkbookViews>
    <customWorkbookView name="msbo - Persönliche Ansicht" guid="{BBF2F1EA-E8F4-4EE9-83EA-DB847D7BDAAF}" mergeInterval="0" personalView="1" xWindow="5" yWindow="30" windowWidth="1266" windowHeight="787" activeSheetId="1"/>
    <customWorkbookView name="Hierlmeier, Michael (LfL) - Persönliche Ansicht" guid="{DDA6E6AA-9473-49A0-A3A2-76E4959B79AF}" mergeInterval="0" personalView="1" maximized="1" windowWidth="1680" windowHeight="825"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5" i="39" l="1"/>
  <c r="V46" i="39"/>
  <c r="V47" i="39"/>
  <c r="V48" i="39"/>
  <c r="V49" i="39"/>
  <c r="V50" i="39"/>
  <c r="V51" i="39"/>
  <c r="V52" i="39"/>
  <c r="V53" i="39"/>
  <c r="V54" i="39"/>
  <c r="V55" i="39"/>
  <c r="V56" i="39"/>
  <c r="V57" i="39"/>
  <c r="V58" i="39"/>
  <c r="V59" i="39"/>
  <c r="V60" i="39"/>
  <c r="V61" i="39"/>
  <c r="V62" i="39"/>
  <c r="V63" i="39"/>
  <c r="V64" i="39"/>
  <c r="V65" i="39"/>
  <c r="V66" i="39"/>
  <c r="V67" i="39"/>
  <c r="V68" i="39"/>
  <c r="V44" i="39"/>
  <c r="V19" i="39"/>
  <c r="V20" i="39"/>
  <c r="V21" i="39"/>
  <c r="V22" i="39"/>
  <c r="V23" i="39"/>
  <c r="V24" i="39"/>
  <c r="V25" i="39"/>
  <c r="V26" i="39"/>
  <c r="V27" i="39"/>
  <c r="V28" i="39"/>
  <c r="V29" i="39"/>
  <c r="V30" i="39"/>
  <c r="V31" i="39"/>
  <c r="V32" i="39"/>
  <c r="V33" i="39"/>
  <c r="V34" i="39"/>
  <c r="V35" i="39"/>
  <c r="V36" i="39"/>
  <c r="M338" i="7" l="1" a="1"/>
  <c r="M338" i="7" s="1"/>
  <c r="K338" i="7" a="1"/>
  <c r="K338" i="7" s="1"/>
  <c r="J338" i="7" a="1"/>
  <c r="J338" i="7" s="1"/>
  <c r="H338" i="7"/>
  <c r="V80" i="39"/>
  <c r="V81" i="39"/>
  <c r="V82" i="39"/>
  <c r="V83" i="39"/>
  <c r="V84" i="39"/>
  <c r="V85" i="39"/>
  <c r="V86" i="39"/>
  <c r="V87" i="39"/>
  <c r="V88" i="39"/>
  <c r="V89" i="39"/>
  <c r="Q81" i="39"/>
  <c r="Q82" i="39"/>
  <c r="Q83" i="39"/>
  <c r="Q84" i="39"/>
  <c r="Q85" i="39"/>
  <c r="Q86" i="39"/>
  <c r="Q87" i="39"/>
  <c r="Q88" i="39"/>
  <c r="Q89" i="39"/>
  <c r="Q80" i="39"/>
  <c r="I81" i="39"/>
  <c r="I82" i="39"/>
  <c r="I83" i="39"/>
  <c r="I84" i="39"/>
  <c r="I85" i="39"/>
  <c r="I86" i="39"/>
  <c r="I87" i="39"/>
  <c r="I88" i="39"/>
  <c r="I89" i="39"/>
  <c r="I80" i="39"/>
  <c r="H115" i="7" l="1"/>
  <c r="H116" i="7"/>
  <c r="H117" i="7"/>
  <c r="H118" i="7"/>
  <c r="H119" i="7"/>
  <c r="H120" i="7"/>
  <c r="H121" i="7"/>
  <c r="H122" i="7"/>
  <c r="H123" i="7"/>
  <c r="H124" i="7"/>
  <c r="H125" i="7"/>
  <c r="H126" i="7"/>
  <c r="H127" i="7"/>
  <c r="H128" i="7"/>
  <c r="H129" i="7"/>
  <c r="H130" i="7"/>
  <c r="CG15" i="39" a="1"/>
  <c r="CG15" i="39" s="1"/>
  <c r="CG16" i="39" a="1"/>
  <c r="CG16" i="39" s="1"/>
  <c r="CG17" i="39" a="1"/>
  <c r="CG17" i="39" s="1"/>
  <c r="CG18" i="39" a="1"/>
  <c r="CG18" i="39" s="1"/>
  <c r="CG19" i="39" a="1"/>
  <c r="CG19" i="39" s="1"/>
  <c r="CG20" i="39" a="1"/>
  <c r="CG20" i="39" s="1"/>
  <c r="CG21" i="39" a="1"/>
  <c r="CG21" i="39" s="1"/>
  <c r="CG22" i="39" a="1"/>
  <c r="CG22" i="39" s="1"/>
  <c r="CG23" i="39" a="1"/>
  <c r="CG23" i="39" s="1"/>
  <c r="CG24" i="39" a="1"/>
  <c r="CG24" i="39" s="1"/>
  <c r="CG25" i="39" a="1"/>
  <c r="CG25" i="39" s="1"/>
  <c r="CG26" i="39" a="1"/>
  <c r="CG26" i="39" s="1"/>
  <c r="CG27" i="39" a="1"/>
  <c r="CG27" i="39" s="1"/>
  <c r="CG28" i="39" a="1"/>
  <c r="CG28" i="39" s="1"/>
  <c r="CG29" i="39" a="1"/>
  <c r="CG29" i="39" s="1"/>
  <c r="CG30" i="39" a="1"/>
  <c r="CG30" i="39" s="1"/>
  <c r="CG31" i="39" a="1"/>
  <c r="CG31" i="39" s="1"/>
  <c r="CG32" i="39" a="1"/>
  <c r="CG32" i="39" s="1"/>
  <c r="CG33" i="39" a="1"/>
  <c r="CG33" i="39" s="1"/>
  <c r="CG34" i="39" a="1"/>
  <c r="CG34" i="39" s="1"/>
  <c r="CG35" i="39" a="1"/>
  <c r="CG35" i="39" s="1"/>
  <c r="CG36" i="39" a="1"/>
  <c r="CG36" i="39" s="1"/>
  <c r="CG14" i="39" a="1"/>
  <c r="CG14" i="39" s="1"/>
  <c r="CF14" i="39" a="1"/>
  <c r="CF14" i="39" s="1"/>
  <c r="GU15" i="39" l="1"/>
  <c r="GV15" i="39"/>
  <c r="GU16" i="39"/>
  <c r="GV16" i="39"/>
  <c r="AL24" i="32"/>
  <c r="AJ18" i="32"/>
  <c r="AK18" i="32"/>
  <c r="AJ19" i="32"/>
  <c r="AK19" i="32"/>
  <c r="AJ20" i="32"/>
  <c r="AK20" i="32"/>
  <c r="AJ21" i="32"/>
  <c r="AK21" i="32"/>
  <c r="AJ22" i="32"/>
  <c r="AK22" i="32"/>
  <c r="AJ23" i="32"/>
  <c r="AK23" i="32"/>
  <c r="AJ24" i="32"/>
  <c r="AK24" i="32"/>
  <c r="AJ25" i="32"/>
  <c r="AK25" i="32"/>
  <c r="AJ26" i="32"/>
  <c r="AK26" i="32"/>
  <c r="AJ27" i="32"/>
  <c r="AK27" i="32"/>
  <c r="AJ28" i="32"/>
  <c r="AK28" i="32"/>
  <c r="AJ29" i="32"/>
  <c r="AK29" i="32"/>
  <c r="AJ30" i="32"/>
  <c r="AK30" i="32"/>
  <c r="AJ31" i="32"/>
  <c r="AK31" i="32"/>
  <c r="AI50" i="32"/>
  <c r="AJ50" i="32"/>
  <c r="AK50" i="32"/>
  <c r="AL50" i="32"/>
  <c r="AM5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L11" i="32"/>
  <c r="AL12" i="32"/>
  <c r="AL13" i="32"/>
  <c r="AL14" i="32"/>
  <c r="AL15" i="32"/>
  <c r="AL16" i="32"/>
  <c r="AL17" i="32"/>
  <c r="AL18" i="32"/>
  <c r="AL19" i="32"/>
  <c r="AL20" i="32"/>
  <c r="AL21" i="32"/>
  <c r="AL22" i="32"/>
  <c r="AL25" i="32"/>
  <c r="AL26" i="32"/>
  <c r="AL27" i="32"/>
  <c r="AL28" i="32"/>
  <c r="AL29" i="32"/>
  <c r="AL30" i="32"/>
  <c r="AL31" i="32"/>
  <c r="AL33" i="32"/>
  <c r="AI20" i="32"/>
  <c r="AI21" i="32"/>
  <c r="AI22" i="32"/>
  <c r="AI23" i="32"/>
  <c r="AI24" i="32"/>
  <c r="AI25" i="32"/>
  <c r="AI26" i="32"/>
  <c r="AI27" i="32"/>
  <c r="AI28" i="32"/>
  <c r="AI29" i="32"/>
  <c r="AI30" i="32"/>
  <c r="AI31" i="32"/>
  <c r="AI32" i="32"/>
  <c r="AI18" i="32"/>
  <c r="AI19" i="32"/>
  <c r="AK11" i="32"/>
  <c r="AK12" i="32"/>
  <c r="AK13" i="32"/>
  <c r="AD11" i="32"/>
  <c r="AE11" i="32"/>
  <c r="AF11" i="32"/>
  <c r="AG11" i="32"/>
  <c r="AD12" i="32"/>
  <c r="AE12" i="32"/>
  <c r="AF12" i="32"/>
  <c r="AG12" i="32"/>
  <c r="AI12" i="32"/>
  <c r="AJ12" i="32"/>
  <c r="AI11" i="32"/>
  <c r="AJ11" i="32"/>
  <c r="A9" i="32"/>
  <c r="A10" i="32"/>
  <c r="A11" i="32"/>
  <c r="CW15" i="39" s="1"/>
  <c r="CX15" i="39" s="1"/>
  <c r="CY15" i="39" s="1" a="1"/>
  <c r="CY15" i="39" s="1"/>
  <c r="A12" i="32"/>
  <c r="CW16" i="39" s="1"/>
  <c r="CX16" i="39" s="1"/>
  <c r="CY16" i="39" s="1" a="1"/>
  <c r="CY16" i="39" s="1"/>
  <c r="BF32" i="12"/>
  <c r="BF36" i="12"/>
  <c r="BF37" i="12"/>
  <c r="BF38" i="12"/>
  <c r="BF39" i="12"/>
  <c r="BF40" i="12"/>
  <c r="BF41" i="12"/>
  <c r="BF42" i="12"/>
  <c r="BF43" i="12"/>
  <c r="BF44" i="12"/>
  <c r="BF45" i="12"/>
  <c r="BF46" i="12"/>
  <c r="BF47" i="12"/>
  <c r="BF48" i="12"/>
  <c r="BF49" i="12"/>
  <c r="BF50" i="12"/>
  <c r="BF51" i="12"/>
  <c r="BF52" i="12"/>
  <c r="BF53" i="12"/>
  <c r="BF54" i="12"/>
  <c r="BF55" i="12"/>
  <c r="BF56" i="12"/>
  <c r="BF57" i="12"/>
  <c r="BF58" i="12"/>
  <c r="BF59" i="12"/>
  <c r="BF60" i="12"/>
  <c r="BF61" i="12"/>
  <c r="BF62" i="12"/>
  <c r="BF63" i="12"/>
  <c r="BF64" i="12"/>
  <c r="BF65" i="12"/>
  <c r="BF66" i="12"/>
  <c r="BF67" i="12"/>
  <c r="BF68" i="12"/>
  <c r="BF69" i="12"/>
  <c r="BF70" i="12"/>
  <c r="BF71" i="12"/>
  <c r="BF72" i="12"/>
  <c r="BF73" i="12"/>
  <c r="BF74" i="12"/>
  <c r="BF75" i="12"/>
  <c r="BF76" i="12"/>
  <c r="BF77" i="12"/>
  <c r="BF78" i="12"/>
  <c r="BF79" i="12"/>
  <c r="BF80" i="12"/>
  <c r="BF81" i="12"/>
  <c r="BF82" i="12"/>
  <c r="BF83" i="12"/>
  <c r="BF84" i="12"/>
  <c r="BF85" i="12"/>
  <c r="BE76" i="12"/>
  <c r="BE77" i="12"/>
  <c r="BE78" i="12"/>
  <c r="BE79" i="12"/>
  <c r="BE80" i="12"/>
  <c r="BE81" i="12"/>
  <c r="BE82" i="12"/>
  <c r="BE83" i="12"/>
  <c r="BE84" i="12"/>
  <c r="BE85" i="12"/>
  <c r="BE32" i="12"/>
  <c r="BE36" i="12"/>
  <c r="BE37" i="12"/>
  <c r="BE38" i="12"/>
  <c r="BE39" i="12"/>
  <c r="BE40" i="12"/>
  <c r="BE41" i="12"/>
  <c r="BE42" i="12"/>
  <c r="BE43" i="12"/>
  <c r="BE44" i="12"/>
  <c r="BE45" i="12"/>
  <c r="BE46" i="12"/>
  <c r="BE47" i="12"/>
  <c r="BE48" i="12"/>
  <c r="BE49" i="12"/>
  <c r="BE50" i="12"/>
  <c r="BE51" i="12"/>
  <c r="BE52" i="12"/>
  <c r="BE53" i="12"/>
  <c r="BE54" i="12"/>
  <c r="BE55" i="12"/>
  <c r="BE56" i="12"/>
  <c r="BE57" i="12"/>
  <c r="BE58" i="12"/>
  <c r="BE59" i="12"/>
  <c r="BE60" i="12"/>
  <c r="BE61" i="12"/>
  <c r="BE62" i="12"/>
  <c r="BE63" i="12"/>
  <c r="BE64" i="12"/>
  <c r="BE65" i="12"/>
  <c r="BE66" i="12"/>
  <c r="BE67" i="12"/>
  <c r="BE68" i="12"/>
  <c r="BE69" i="12"/>
  <c r="BE70" i="12"/>
  <c r="BE71" i="12"/>
  <c r="BE72" i="12"/>
  <c r="BE73" i="12"/>
  <c r="BE74" i="12"/>
  <c r="BE75" i="12"/>
  <c r="EV82" i="7"/>
  <c r="GT8" i="39"/>
  <c r="GT7" i="39"/>
  <c r="GT6" i="39"/>
  <c r="GT5" i="39"/>
  <c r="GT4" i="39"/>
  <c r="BS69" i="7"/>
  <c r="EV69" i="7" s="1"/>
  <c r="M103" i="39" a="1"/>
  <c r="M103" i="39" s="1"/>
  <c r="P103" i="39" s="1"/>
  <c r="L103" i="39" a="1"/>
  <c r="L103" i="39" s="1"/>
  <c r="M102" i="39" a="1"/>
  <c r="M102" i="39" s="1"/>
  <c r="P102" i="39" s="1"/>
  <c r="L102" i="39" a="1"/>
  <c r="L102" i="39" s="1"/>
  <c r="M100" i="39" a="1"/>
  <c r="M100" i="39" s="1"/>
  <c r="P100" i="39" s="1"/>
  <c r="M101" i="39" a="1"/>
  <c r="M101" i="39" s="1"/>
  <c r="P101" i="39" s="1"/>
  <c r="M99" i="39" a="1"/>
  <c r="M99" i="39" s="1"/>
  <c r="L99" i="39" a="1"/>
  <c r="L99" i="39" s="1"/>
  <c r="M98" i="39" a="1"/>
  <c r="M98" i="39" s="1"/>
  <c r="L98" i="39" a="1"/>
  <c r="L98" i="39" s="1"/>
  <c r="HW6" i="39" a="1"/>
  <c r="HW6" i="39" s="1"/>
  <c r="HW10" i="39" a="1"/>
  <c r="HW10" i="39" s="1"/>
  <c r="HW11" i="39" a="1"/>
  <c r="HW11" i="39" s="1"/>
  <c r="HW12" i="39" a="1"/>
  <c r="HW12" i="39" s="1"/>
  <c r="HW13" i="39" a="1"/>
  <c r="HW13" i="39" s="1"/>
  <c r="HW14" i="39" a="1"/>
  <c r="HW14" i="39" s="1"/>
  <c r="HW15" i="39" a="1"/>
  <c r="HW15" i="39" s="1"/>
  <c r="HW16" i="39" a="1"/>
  <c r="HW16" i="39" s="1"/>
  <c r="HW17" i="39" a="1"/>
  <c r="HW17" i="39" s="1"/>
  <c r="HW18" i="39" a="1"/>
  <c r="HW18" i="39" s="1"/>
  <c r="HW19" i="39" a="1"/>
  <c r="HW19" i="39" s="1"/>
  <c r="HW20" i="39" a="1"/>
  <c r="HW20" i="39" s="1"/>
  <c r="HW21" i="39" a="1"/>
  <c r="HW21" i="39" s="1"/>
  <c r="HW22" i="39" a="1"/>
  <c r="HW22" i="39" s="1"/>
  <c r="HW23" i="39" a="1"/>
  <c r="HW23" i="39" s="1"/>
  <c r="HW24" i="39" a="1"/>
  <c r="HW24" i="39" s="1"/>
  <c r="HW25" i="39" a="1"/>
  <c r="HW25" i="39" s="1"/>
  <c r="HW26" i="39" a="1"/>
  <c r="HW26" i="39" s="1"/>
  <c r="HW27" i="39" a="1"/>
  <c r="HW27" i="39" s="1"/>
  <c r="HW28" i="39" a="1"/>
  <c r="HW28" i="39" s="1"/>
  <c r="HW29" i="39" a="1"/>
  <c r="HW29" i="39" s="1"/>
  <c r="HW30" i="39" a="1"/>
  <c r="HW30" i="39" s="1"/>
  <c r="HW31" i="39" a="1"/>
  <c r="HW31" i="39" s="1"/>
  <c r="HW32" i="39" a="1"/>
  <c r="HW32" i="39" s="1"/>
  <c r="HW33" i="39" a="1"/>
  <c r="HW33" i="39" s="1"/>
  <c r="HW34" i="39" a="1"/>
  <c r="HW34" i="39" s="1"/>
  <c r="HW35" i="39" a="1"/>
  <c r="HW35" i="39" s="1"/>
  <c r="HW36" i="39" a="1"/>
  <c r="HW36" i="39" s="1"/>
  <c r="HW37" i="39" a="1"/>
  <c r="HW37" i="39" s="1"/>
  <c r="HW38" i="39" a="1"/>
  <c r="HW38" i="39" s="1"/>
  <c r="HW39" i="39" a="1"/>
  <c r="HW39" i="39" s="1"/>
  <c r="HW40" i="39" a="1"/>
  <c r="HW40" i="39" s="1"/>
  <c r="HW41" i="39" a="1"/>
  <c r="HW41" i="39" s="1"/>
  <c r="HW42" i="39" a="1"/>
  <c r="HW42" i="39" s="1"/>
  <c r="HW43" i="39" a="1"/>
  <c r="HW43" i="39" s="1"/>
  <c r="HW44" i="39" a="1"/>
  <c r="HW44" i="39" s="1"/>
  <c r="HW45" i="39" a="1"/>
  <c r="HW45" i="39" s="1"/>
  <c r="HW46" i="39" a="1"/>
  <c r="HW46" i="39" s="1"/>
  <c r="HW47" i="39" a="1"/>
  <c r="HW47" i="39" s="1"/>
  <c r="HW48" i="39" a="1"/>
  <c r="HW48" i="39" s="1"/>
  <c r="HW49" i="39" a="1"/>
  <c r="HW49" i="39" s="1"/>
  <c r="HW50" i="39" a="1"/>
  <c r="HW50" i="39" s="1"/>
  <c r="HW51" i="39" a="1"/>
  <c r="HW51" i="39" s="1"/>
  <c r="HW52" i="39" a="1"/>
  <c r="HW52" i="39" s="1"/>
  <c r="HW53" i="39" a="1"/>
  <c r="HW53" i="39" s="1"/>
  <c r="HW54" i="39" a="1"/>
  <c r="HW54" i="39" s="1"/>
  <c r="HW55" i="39" a="1"/>
  <c r="HW55" i="39" s="1"/>
  <c r="HW56" i="39" a="1"/>
  <c r="HW56" i="39" s="1"/>
  <c r="HW57" i="39" a="1"/>
  <c r="HW57" i="39" s="1"/>
  <c r="HW58" i="39" a="1"/>
  <c r="HW58" i="39" s="1"/>
  <c r="HW59" i="39" a="1"/>
  <c r="HW59" i="39" s="1"/>
  <c r="HW4" i="39" a="1"/>
  <c r="HW4" i="39" s="1"/>
  <c r="HU4" i="39" a="1"/>
  <c r="HU4" i="39" s="1"/>
  <c r="BD32" i="12"/>
  <c r="BD36" i="12"/>
  <c r="BD37" i="12"/>
  <c r="BD38" i="12"/>
  <c r="BD39" i="12"/>
  <c r="BD40" i="12"/>
  <c r="BD41" i="12"/>
  <c r="BD42" i="12"/>
  <c r="BD43" i="12"/>
  <c r="BD44" i="12"/>
  <c r="BD45" i="12"/>
  <c r="BD46" i="12"/>
  <c r="BD47" i="12"/>
  <c r="BD48" i="12"/>
  <c r="BD49" i="12"/>
  <c r="BD50" i="12"/>
  <c r="BD51" i="12"/>
  <c r="BD52" i="12"/>
  <c r="BD53" i="12"/>
  <c r="BD54" i="12"/>
  <c r="BD55" i="12"/>
  <c r="BD56" i="12"/>
  <c r="BD57" i="12"/>
  <c r="BD58" i="12"/>
  <c r="BD59" i="12"/>
  <c r="BD60" i="12"/>
  <c r="BD61" i="12"/>
  <c r="BD62" i="12"/>
  <c r="BD63" i="12"/>
  <c r="BD64" i="12"/>
  <c r="BD65" i="12"/>
  <c r="BD66" i="12"/>
  <c r="BD67" i="12"/>
  <c r="BD68" i="12"/>
  <c r="BD69" i="12"/>
  <c r="BD70" i="12"/>
  <c r="BD71" i="12"/>
  <c r="BD72" i="12"/>
  <c r="BD73" i="12"/>
  <c r="BD74" i="12"/>
  <c r="BD75" i="12"/>
  <c r="BD76" i="12"/>
  <c r="BD77" i="12"/>
  <c r="BD78" i="12"/>
  <c r="BD79" i="12"/>
  <c r="BD80" i="12"/>
  <c r="BD81" i="12"/>
  <c r="BD82" i="12"/>
  <c r="BD83" i="12"/>
  <c r="BD84" i="12"/>
  <c r="BD85" i="12"/>
  <c r="HS6" i="39" a="1"/>
  <c r="HS6" i="39" s="1"/>
  <c r="HS10" i="39" a="1"/>
  <c r="HS10" i="39" s="1"/>
  <c r="HS11" i="39" a="1"/>
  <c r="HS11" i="39" s="1"/>
  <c r="HS12" i="39" a="1"/>
  <c r="HS12" i="39" s="1"/>
  <c r="HS13" i="39" a="1"/>
  <c r="HS13" i="39" s="1"/>
  <c r="HS14" i="39" a="1"/>
  <c r="HS14" i="39" s="1"/>
  <c r="HS15" i="39" a="1"/>
  <c r="HS15" i="39" s="1"/>
  <c r="HS16" i="39" a="1"/>
  <c r="HS16" i="39" s="1"/>
  <c r="HS17" i="39" a="1"/>
  <c r="HS17" i="39" s="1"/>
  <c r="HS18" i="39" a="1"/>
  <c r="HS18" i="39" s="1"/>
  <c r="HS19" i="39" a="1"/>
  <c r="HS19" i="39" s="1"/>
  <c r="HS20" i="39" a="1"/>
  <c r="HS20" i="39" s="1"/>
  <c r="HS21" i="39" a="1"/>
  <c r="HS21" i="39" s="1"/>
  <c r="HS22" i="39" a="1"/>
  <c r="HS22" i="39" s="1"/>
  <c r="HS23" i="39" a="1"/>
  <c r="HS23" i="39" s="1"/>
  <c r="HS24" i="39" a="1"/>
  <c r="HS24" i="39" s="1"/>
  <c r="HS25" i="39" a="1"/>
  <c r="HS25" i="39" s="1"/>
  <c r="HS26" i="39" a="1"/>
  <c r="HS26" i="39" s="1"/>
  <c r="HS27" i="39" a="1"/>
  <c r="HS27" i="39" s="1"/>
  <c r="HS28" i="39" a="1"/>
  <c r="HS28" i="39" s="1"/>
  <c r="HS29" i="39" a="1"/>
  <c r="HS29" i="39" s="1"/>
  <c r="HS30" i="39" a="1"/>
  <c r="HS30" i="39" s="1"/>
  <c r="HS31" i="39" a="1"/>
  <c r="HS31" i="39" s="1"/>
  <c r="HS32" i="39" a="1"/>
  <c r="HS32" i="39" s="1"/>
  <c r="HS33" i="39" a="1"/>
  <c r="HS33" i="39" s="1"/>
  <c r="HS34" i="39" a="1"/>
  <c r="HS34" i="39" s="1"/>
  <c r="HS35" i="39" a="1"/>
  <c r="HS35" i="39" s="1"/>
  <c r="HS36" i="39" a="1"/>
  <c r="HS36" i="39" s="1"/>
  <c r="HS37" i="39" a="1"/>
  <c r="HS37" i="39" s="1"/>
  <c r="HS38" i="39" a="1"/>
  <c r="HS38" i="39" s="1"/>
  <c r="HS39" i="39" a="1"/>
  <c r="HS39" i="39" s="1"/>
  <c r="HS40" i="39" a="1"/>
  <c r="HS40" i="39" s="1"/>
  <c r="HS41" i="39" a="1"/>
  <c r="HS41" i="39" s="1"/>
  <c r="HS42" i="39" a="1"/>
  <c r="HS42" i="39" s="1"/>
  <c r="HS43" i="39" a="1"/>
  <c r="HS43" i="39" s="1"/>
  <c r="HS44" i="39" a="1"/>
  <c r="HS44" i="39" s="1"/>
  <c r="HS45" i="39" a="1"/>
  <c r="HS45" i="39" s="1"/>
  <c r="HS46" i="39" a="1"/>
  <c r="HS46" i="39" s="1"/>
  <c r="HS47" i="39" a="1"/>
  <c r="HS47" i="39" s="1"/>
  <c r="HS48" i="39" a="1"/>
  <c r="HS48" i="39" s="1"/>
  <c r="HS49" i="39" a="1"/>
  <c r="HS49" i="39" s="1"/>
  <c r="HS50" i="39" a="1"/>
  <c r="HS50" i="39" s="1"/>
  <c r="HS51" i="39" a="1"/>
  <c r="HS51" i="39" s="1"/>
  <c r="HS52" i="39" a="1"/>
  <c r="HS52" i="39" s="1"/>
  <c r="HS53" i="39" a="1"/>
  <c r="HS53" i="39" s="1"/>
  <c r="HS54" i="39" a="1"/>
  <c r="HS54" i="39" s="1"/>
  <c r="HS55" i="39" a="1"/>
  <c r="HS55" i="39" s="1"/>
  <c r="HS56" i="39" a="1"/>
  <c r="HS56" i="39" s="1"/>
  <c r="HS57" i="39" a="1"/>
  <c r="HS57" i="39" s="1"/>
  <c r="HS58" i="39" a="1"/>
  <c r="HS58" i="39" s="1"/>
  <c r="HS59" i="39" a="1"/>
  <c r="HS59" i="39" s="1"/>
  <c r="HS4" i="39" a="1"/>
  <c r="HS4" i="39" s="1"/>
  <c r="HQ4" i="39" a="1"/>
  <c r="HQ4" i="39" s="1"/>
  <c r="HE5" i="39"/>
  <c r="HE6" i="39"/>
  <c r="HE7" i="39"/>
  <c r="HF5" i="39"/>
  <c r="HF6" i="39"/>
  <c r="HF7" i="39"/>
  <c r="GS5" i="39"/>
  <c r="GS6" i="39"/>
  <c r="GS7" i="39"/>
  <c r="GP5" i="39"/>
  <c r="GP6" i="39"/>
  <c r="GP7" i="39"/>
  <c r="GO5" i="39"/>
  <c r="GO6" i="39"/>
  <c r="GO7" i="39"/>
  <c r="GL5" i="39"/>
  <c r="GL6" i="39"/>
  <c r="GL7" i="39"/>
  <c r="GM5" i="39"/>
  <c r="GM6" i="39"/>
  <c r="GM7" i="39"/>
  <c r="GJ5" i="39"/>
  <c r="GJ7" i="39"/>
  <c r="GK6" i="39"/>
  <c r="GK4" i="39"/>
  <c r="GH7" i="39"/>
  <c r="GH5" i="39"/>
  <c r="GI6" i="39"/>
  <c r="GI4" i="39"/>
  <c r="GF7" i="39"/>
  <c r="GF5" i="39"/>
  <c r="GG6" i="39"/>
  <c r="GG4" i="39"/>
  <c r="GB7" i="39"/>
  <c r="GB5" i="39"/>
  <c r="GC6" i="39"/>
  <c r="GC4" i="39"/>
  <c r="B12" i="32" l="1"/>
  <c r="B11" i="32"/>
  <c r="CU15" i="39"/>
  <c r="CU14" i="39"/>
  <c r="CW123" i="39" l="1"/>
  <c r="CW124" i="39"/>
  <c r="CW125" i="39"/>
  <c r="CX125" i="39" s="1"/>
  <c r="CW126" i="39"/>
  <c r="CX126" i="39" s="1"/>
  <c r="FN126" i="39" s="1"/>
  <c r="CW127" i="39"/>
  <c r="CX127" i="39" s="1"/>
  <c r="FN127" i="39" s="1"/>
  <c r="CW128" i="39"/>
  <c r="CX128" i="39" s="1"/>
  <c r="CW129" i="39"/>
  <c r="CX129" i="39" s="1"/>
  <c r="CW130" i="39"/>
  <c r="CX130" i="39" s="1"/>
  <c r="FN130" i="39" s="1"/>
  <c r="CW131" i="39"/>
  <c r="CX131" i="39" s="1"/>
  <c r="GC131" i="39" s="1"/>
  <c r="GI131" i="39" s="1"/>
  <c r="CW132" i="39"/>
  <c r="CX132" i="39" s="1"/>
  <c r="GC132" i="39" s="1"/>
  <c r="GI132" i="39" s="1"/>
  <c r="CW133" i="39"/>
  <c r="CX133" i="39" s="1"/>
  <c r="CW134" i="39"/>
  <c r="CX134" i="39" s="1"/>
  <c r="GC134" i="39" s="1"/>
  <c r="GI134" i="39" s="1"/>
  <c r="CW135" i="39"/>
  <c r="CX135" i="39" s="1"/>
  <c r="FN135" i="39" s="1"/>
  <c r="CW136" i="39"/>
  <c r="CX136" i="39" s="1"/>
  <c r="FN136" i="39" s="1"/>
  <c r="CW137" i="39"/>
  <c r="CX137" i="39" s="1"/>
  <c r="GC137" i="39" s="1"/>
  <c r="GI137" i="39" s="1"/>
  <c r="CW138" i="39"/>
  <c r="CX138" i="39" s="1"/>
  <c r="GC138" i="39" s="1"/>
  <c r="GI138" i="39" s="1"/>
  <c r="CW139" i="39"/>
  <c r="CX139" i="39" s="1"/>
  <c r="FN139" i="39" s="1"/>
  <c r="CW140" i="39"/>
  <c r="CX140" i="39" s="1"/>
  <c r="CW141" i="39"/>
  <c r="CX141" i="39" s="1"/>
  <c r="FN141" i="39" s="1"/>
  <c r="CW142" i="39"/>
  <c r="CX142" i="39" s="1"/>
  <c r="CW143" i="39"/>
  <c r="CX143" i="39" s="1"/>
  <c r="FN143" i="39" s="1"/>
  <c r="CW144" i="39"/>
  <c r="CX144" i="39" s="1"/>
  <c r="CW145" i="39"/>
  <c r="CX145" i="39" s="1"/>
  <c r="CW146" i="39"/>
  <c r="CX146" i="39" s="1"/>
  <c r="CW147" i="39"/>
  <c r="CW148" i="39"/>
  <c r="CX148" i="39" s="1"/>
  <c r="CW149" i="39"/>
  <c r="CX149" i="39" s="1"/>
  <c r="CW150" i="39"/>
  <c r="CX150" i="39" s="1"/>
  <c r="FN150" i="39" s="1"/>
  <c r="CW151" i="39"/>
  <c r="CX151" i="39" s="1"/>
  <c r="CW152" i="39"/>
  <c r="CX152" i="39" s="1"/>
  <c r="FN152" i="39" s="1"/>
  <c r="CW153" i="39"/>
  <c r="CX153" i="39" s="1"/>
  <c r="CW154" i="39"/>
  <c r="CX154" i="39" s="1"/>
  <c r="CW155" i="39"/>
  <c r="CX155" i="39" s="1"/>
  <c r="CW156" i="39"/>
  <c r="CX156" i="39" s="1"/>
  <c r="FN156" i="39" s="1"/>
  <c r="CW157" i="39"/>
  <c r="CX157" i="39" s="1"/>
  <c r="CW158" i="39"/>
  <c r="CX158" i="39" s="1"/>
  <c r="FN158" i="39" s="1"/>
  <c r="CW159" i="39"/>
  <c r="CX159" i="39" s="1"/>
  <c r="FN159" i="39" s="1"/>
  <c r="CW122" i="39"/>
  <c r="CX122" i="39" s="1"/>
  <c r="CU76" i="39"/>
  <c r="CU77" i="39"/>
  <c r="CU78" i="39"/>
  <c r="CU79" i="39"/>
  <c r="CU80" i="39"/>
  <c r="CU81" i="39"/>
  <c r="CU82" i="39"/>
  <c r="CU83" i="39"/>
  <c r="CU84" i="39"/>
  <c r="CU85" i="39"/>
  <c r="CU86" i="39"/>
  <c r="CU87" i="39"/>
  <c r="CU88" i="39"/>
  <c r="CU89" i="39"/>
  <c r="CU75" i="39"/>
  <c r="CU45" i="39"/>
  <c r="CU46" i="39"/>
  <c r="CU47" i="39"/>
  <c r="CU48" i="39"/>
  <c r="CU49" i="39"/>
  <c r="CU50" i="39"/>
  <c r="CU51" i="39"/>
  <c r="CU52" i="39"/>
  <c r="CU53" i="39"/>
  <c r="CU54" i="39"/>
  <c r="CU55" i="39"/>
  <c r="CU56" i="39"/>
  <c r="CU57" i="39"/>
  <c r="CU58" i="39"/>
  <c r="CU59" i="39"/>
  <c r="CU60" i="39"/>
  <c r="CU61" i="39"/>
  <c r="CU62" i="39"/>
  <c r="CU63" i="39"/>
  <c r="CU64" i="39"/>
  <c r="CU65" i="39"/>
  <c r="CU66" i="39"/>
  <c r="CU67" i="39"/>
  <c r="CU68" i="39"/>
  <c r="CU44" i="39"/>
  <c r="CU16" i="39"/>
  <c r="CU17" i="39"/>
  <c r="CU18" i="39"/>
  <c r="CU19" i="39"/>
  <c r="CU20" i="39"/>
  <c r="CU21" i="39"/>
  <c r="CU22" i="39"/>
  <c r="CU23" i="39"/>
  <c r="CU24" i="39"/>
  <c r="CU25" i="39"/>
  <c r="CU26" i="39"/>
  <c r="CU27" i="39"/>
  <c r="CU28" i="39"/>
  <c r="CU29" i="39"/>
  <c r="CU30" i="39"/>
  <c r="CU31" i="39"/>
  <c r="CU32" i="39"/>
  <c r="CU33" i="39"/>
  <c r="CU34" i="39"/>
  <c r="CU35" i="39"/>
  <c r="CU36" i="39"/>
  <c r="GU109" i="39"/>
  <c r="GV109" i="39"/>
  <c r="GU110" i="39"/>
  <c r="GV110" i="39"/>
  <c r="GU111" i="39"/>
  <c r="GV111" i="39"/>
  <c r="GU112" i="39"/>
  <c r="GV112" i="39"/>
  <c r="GU113" i="39"/>
  <c r="GV113" i="39"/>
  <c r="GU114" i="39"/>
  <c r="GV114" i="39"/>
  <c r="GU115" i="39"/>
  <c r="GV115" i="39"/>
  <c r="GU116" i="39"/>
  <c r="GV116" i="39"/>
  <c r="GU117" i="39"/>
  <c r="GV117" i="39"/>
  <c r="GU118" i="39"/>
  <c r="GV118" i="39"/>
  <c r="GU119" i="39"/>
  <c r="GV119" i="39"/>
  <c r="GU120" i="39"/>
  <c r="GV120" i="39"/>
  <c r="GU121" i="39"/>
  <c r="GV121" i="39"/>
  <c r="BW75" i="39"/>
  <c r="CY123" i="39"/>
  <c r="CY124" i="39"/>
  <c r="CY125" i="39"/>
  <c r="CY126" i="39"/>
  <c r="CY127" i="39"/>
  <c r="CY128" i="39"/>
  <c r="CY129" i="39"/>
  <c r="CY130" i="39"/>
  <c r="CY131" i="39"/>
  <c r="CY132" i="39"/>
  <c r="CY133" i="39"/>
  <c r="CY134" i="39"/>
  <c r="CY135" i="39"/>
  <c r="CY136" i="39"/>
  <c r="CY137" i="39"/>
  <c r="CY138" i="39"/>
  <c r="CY139" i="39"/>
  <c r="CY140" i="39"/>
  <c r="CY141" i="39"/>
  <c r="CY142" i="39"/>
  <c r="CY143" i="39"/>
  <c r="CY144" i="39"/>
  <c r="CY145" i="39"/>
  <c r="CY146" i="39"/>
  <c r="CY147" i="39"/>
  <c r="CY148" i="39"/>
  <c r="CY149" i="39"/>
  <c r="CY150" i="39"/>
  <c r="CY151" i="39"/>
  <c r="CY152" i="39"/>
  <c r="CY153" i="39"/>
  <c r="CY154" i="39"/>
  <c r="CY155" i="39"/>
  <c r="CY156" i="39"/>
  <c r="CY157" i="39"/>
  <c r="CY158" i="39"/>
  <c r="CY159" i="39"/>
  <c r="CY122" i="39"/>
  <c r="CT81" i="39"/>
  <c r="CT82" i="39"/>
  <c r="CT83" i="39"/>
  <c r="CT84" i="39"/>
  <c r="CT85" i="39"/>
  <c r="CT86" i="39"/>
  <c r="CT87" i="39"/>
  <c r="CT88" i="39"/>
  <c r="CT89" i="39"/>
  <c r="CT80" i="39"/>
  <c r="CR80" i="39"/>
  <c r="CR81" i="39"/>
  <c r="CR82" i="39"/>
  <c r="CR83" i="39"/>
  <c r="CR84" i="39"/>
  <c r="CR85" i="39"/>
  <c r="CR86" i="39"/>
  <c r="CR87" i="39"/>
  <c r="CR88" i="39"/>
  <c r="CR89" i="39"/>
  <c r="CT45" i="39"/>
  <c r="CT46" i="39"/>
  <c r="CT47" i="39"/>
  <c r="CT48" i="39"/>
  <c r="CT49" i="39"/>
  <c r="CT50" i="39"/>
  <c r="CT51" i="39"/>
  <c r="CT52" i="39"/>
  <c r="CT53" i="39"/>
  <c r="CT54" i="39"/>
  <c r="CT55" i="39"/>
  <c r="CT56" i="39"/>
  <c r="CT57" i="39"/>
  <c r="CT58" i="39"/>
  <c r="CT59" i="39"/>
  <c r="CT60" i="39"/>
  <c r="CT61" i="39"/>
  <c r="CT62" i="39"/>
  <c r="CT63" i="39"/>
  <c r="CT64" i="39"/>
  <c r="CT65" i="39"/>
  <c r="CT66" i="39"/>
  <c r="CT67" i="39"/>
  <c r="CT68" i="39"/>
  <c r="CT44" i="39"/>
  <c r="CR44" i="39"/>
  <c r="CR45" i="39"/>
  <c r="CR46" i="39"/>
  <c r="CR47" i="39"/>
  <c r="CR48" i="39"/>
  <c r="CR49" i="39"/>
  <c r="CR50" i="39"/>
  <c r="CR51" i="39"/>
  <c r="CR52" i="39"/>
  <c r="CR53" i="39"/>
  <c r="CR54" i="39"/>
  <c r="CR55" i="39"/>
  <c r="CR56" i="39"/>
  <c r="CR57" i="39"/>
  <c r="CR58" i="39"/>
  <c r="CR59" i="39"/>
  <c r="CR60" i="39"/>
  <c r="CR61" i="39"/>
  <c r="CR62" i="39"/>
  <c r="CR63" i="39"/>
  <c r="CR64" i="39"/>
  <c r="CR65" i="39"/>
  <c r="CR66" i="39"/>
  <c r="CR67" i="39"/>
  <c r="CR68" i="39"/>
  <c r="CO45" i="39"/>
  <c r="CO46" i="39"/>
  <c r="CO47" i="39"/>
  <c r="CO48" i="39"/>
  <c r="CO49" i="39"/>
  <c r="CO50" i="39"/>
  <c r="CO51" i="39"/>
  <c r="CO52" i="39"/>
  <c r="CO53" i="39"/>
  <c r="CO54" i="39"/>
  <c r="CO55" i="39"/>
  <c r="CO56" i="39"/>
  <c r="CO57" i="39"/>
  <c r="CO58" i="39"/>
  <c r="CO59" i="39"/>
  <c r="CO60" i="39"/>
  <c r="CO61" i="39"/>
  <c r="CO62" i="39"/>
  <c r="CO63" i="39"/>
  <c r="CO64" i="39"/>
  <c r="CO65" i="39"/>
  <c r="CO66" i="39"/>
  <c r="CO67" i="39"/>
  <c r="CO68" i="39"/>
  <c r="CM45" i="39"/>
  <c r="CM46" i="39"/>
  <c r="CM47" i="39"/>
  <c r="CM48" i="39"/>
  <c r="CM49" i="39"/>
  <c r="CM50" i="39"/>
  <c r="CM51" i="39"/>
  <c r="CM52" i="39"/>
  <c r="CM53" i="39"/>
  <c r="CM54" i="39"/>
  <c r="CM55" i="39"/>
  <c r="CM56" i="39"/>
  <c r="CM57" i="39"/>
  <c r="CM58" i="39"/>
  <c r="CM59" i="39"/>
  <c r="CM60" i="39"/>
  <c r="CM61" i="39"/>
  <c r="CM62" i="39"/>
  <c r="CM63" i="39"/>
  <c r="CM64" i="39"/>
  <c r="CM65" i="39"/>
  <c r="CM66" i="39"/>
  <c r="CM67" i="39"/>
  <c r="CM68" i="39"/>
  <c r="CM44" i="39"/>
  <c r="CO44" i="39"/>
  <c r="CJ81" i="39"/>
  <c r="GC161" i="39" s="1"/>
  <c r="GI161" i="39" s="1"/>
  <c r="CJ82" i="39"/>
  <c r="FN162" i="39" s="1"/>
  <c r="CJ83" i="39"/>
  <c r="FN163" i="39" s="1"/>
  <c r="CJ84" i="39"/>
  <c r="CJ85" i="39"/>
  <c r="GC165" i="39" s="1"/>
  <c r="GI165" i="39" s="1"/>
  <c r="CJ86" i="39"/>
  <c r="FN166" i="39" s="1"/>
  <c r="CJ87" i="39"/>
  <c r="FN167" i="39" s="1"/>
  <c r="CJ88" i="39"/>
  <c r="CJ89" i="39"/>
  <c r="GC169" i="39" s="1"/>
  <c r="GI169" i="39" s="1"/>
  <c r="CJ80" i="39"/>
  <c r="FN160" i="39" s="1"/>
  <c r="CI80" i="39"/>
  <c r="EZ160" i="39" s="1"/>
  <c r="CI81" i="39"/>
  <c r="CI82" i="39"/>
  <c r="CI83" i="39"/>
  <c r="CI84" i="39"/>
  <c r="CI85" i="39"/>
  <c r="CI86" i="39"/>
  <c r="CI87" i="39"/>
  <c r="CI88" i="39"/>
  <c r="CI89" i="39"/>
  <c r="CI45" i="39"/>
  <c r="CI46" i="39"/>
  <c r="CI47" i="39"/>
  <c r="CI48" i="39"/>
  <c r="CI49" i="39"/>
  <c r="CI50" i="39"/>
  <c r="CI51" i="39"/>
  <c r="CI52" i="39"/>
  <c r="CI53" i="39"/>
  <c r="CI54" i="39"/>
  <c r="CI55" i="39"/>
  <c r="CI56" i="39"/>
  <c r="CI57" i="39"/>
  <c r="CI58" i="39"/>
  <c r="CI59" i="39"/>
  <c r="CI60" i="39"/>
  <c r="CI61" i="39"/>
  <c r="CI62" i="39"/>
  <c r="CI63" i="39"/>
  <c r="CI64" i="39"/>
  <c r="CI65" i="39"/>
  <c r="CI66" i="39"/>
  <c r="CI67" i="39"/>
  <c r="CI68" i="39"/>
  <c r="CI44" i="39"/>
  <c r="G76" i="39" a="1"/>
  <c r="G76" i="39" s="1"/>
  <c r="H76" i="39" a="1"/>
  <c r="H76" i="39" s="1"/>
  <c r="CJ76" i="39" s="1"/>
  <c r="G77" i="39" a="1"/>
  <c r="G77" i="39" s="1"/>
  <c r="H77" i="39" a="1"/>
  <c r="H77" i="39" s="1"/>
  <c r="CJ77" i="39" s="1"/>
  <c r="H78" i="39" a="1"/>
  <c r="H78" i="39" s="1"/>
  <c r="CJ78" i="39" s="1"/>
  <c r="H79" i="39" a="1"/>
  <c r="H79" i="39" s="1"/>
  <c r="CJ79" i="39" s="1"/>
  <c r="F76" i="39" a="1"/>
  <c r="F76" i="39" s="1"/>
  <c r="F77" i="39" a="1"/>
  <c r="F77" i="39" s="1"/>
  <c r="F78" i="39" a="1"/>
  <c r="F78" i="39" s="1"/>
  <c r="G78" i="39" a="1"/>
  <c r="G78" i="39" s="1"/>
  <c r="F79" i="39" a="1"/>
  <c r="F79" i="39" s="1"/>
  <c r="G79" i="39" a="1"/>
  <c r="G79" i="39" s="1"/>
  <c r="H75" i="39" a="1"/>
  <c r="H75" i="39" s="1"/>
  <c r="G75" i="39" a="1"/>
  <c r="G75" i="39" s="1"/>
  <c r="F75" i="39" a="1"/>
  <c r="F75" i="39" s="1"/>
  <c r="CJ45" i="39"/>
  <c r="CJ46" i="39"/>
  <c r="CJ47" i="39"/>
  <c r="CJ48" i="39"/>
  <c r="CJ49" i="39"/>
  <c r="CJ50" i="39"/>
  <c r="CJ51" i="39"/>
  <c r="CJ52" i="39"/>
  <c r="CJ53" i="39"/>
  <c r="CJ54" i="39"/>
  <c r="CJ55" i="39"/>
  <c r="CJ56" i="39"/>
  <c r="CJ57" i="39"/>
  <c r="CJ58" i="39"/>
  <c r="CJ59" i="39"/>
  <c r="CJ60" i="39"/>
  <c r="CJ61" i="39"/>
  <c r="CJ62" i="39"/>
  <c r="CJ63" i="39"/>
  <c r="CJ64" i="39"/>
  <c r="CJ65" i="39"/>
  <c r="CJ66" i="39"/>
  <c r="CJ67" i="39"/>
  <c r="CJ68" i="39"/>
  <c r="CJ44" i="39"/>
  <c r="CP45" i="39"/>
  <c r="CP46" i="39"/>
  <c r="CP47" i="39"/>
  <c r="CP48" i="39"/>
  <c r="CP49" i="39"/>
  <c r="CP50" i="39"/>
  <c r="CP51" i="39"/>
  <c r="CP52" i="39"/>
  <c r="CP53" i="39"/>
  <c r="CP54" i="39"/>
  <c r="CP55" i="39"/>
  <c r="CP56" i="39"/>
  <c r="CP57" i="39"/>
  <c r="CP58" i="39"/>
  <c r="CP59" i="39"/>
  <c r="CP60" i="39"/>
  <c r="CP61" i="39"/>
  <c r="CP62" i="39"/>
  <c r="CP63" i="39"/>
  <c r="CP64" i="39"/>
  <c r="CP65" i="39"/>
  <c r="CP66" i="39"/>
  <c r="CP67" i="39"/>
  <c r="CP68" i="39"/>
  <c r="CP44" i="39"/>
  <c r="CK45" i="39"/>
  <c r="CK46" i="39"/>
  <c r="CK47" i="39"/>
  <c r="CK48" i="39"/>
  <c r="CK49" i="39"/>
  <c r="CK50" i="39"/>
  <c r="CK51" i="39"/>
  <c r="CK52" i="39"/>
  <c r="CK53" i="39"/>
  <c r="CK54" i="39"/>
  <c r="CK55" i="39"/>
  <c r="CK56" i="39"/>
  <c r="CK57" i="39"/>
  <c r="CK58" i="39"/>
  <c r="CK59" i="39"/>
  <c r="CK60" i="39"/>
  <c r="CK61" i="39"/>
  <c r="CK62" i="39"/>
  <c r="CK63" i="39"/>
  <c r="CK64" i="39"/>
  <c r="CK65" i="39"/>
  <c r="CK66" i="39"/>
  <c r="CK67" i="39"/>
  <c r="CK68" i="39"/>
  <c r="CK44" i="39"/>
  <c r="CH45" i="39"/>
  <c r="CH46" i="39"/>
  <c r="CH47" i="39"/>
  <c r="CH48" i="39"/>
  <c r="CH49" i="39"/>
  <c r="CH50" i="39"/>
  <c r="CH51" i="39"/>
  <c r="CH52" i="39"/>
  <c r="CH53" i="39"/>
  <c r="CH54" i="39"/>
  <c r="CH55" i="39"/>
  <c r="CH56" i="39"/>
  <c r="CH57" i="39"/>
  <c r="CH58" i="39"/>
  <c r="CH59" i="39"/>
  <c r="CH60" i="39"/>
  <c r="CH61" i="39"/>
  <c r="CH62" i="39"/>
  <c r="CH63" i="39"/>
  <c r="CH64" i="39"/>
  <c r="CH65" i="39"/>
  <c r="CH66" i="39"/>
  <c r="CH67" i="39"/>
  <c r="CH68" i="39"/>
  <c r="CH44" i="39"/>
  <c r="CF15" i="39" a="1"/>
  <c r="CF15" i="39" s="1"/>
  <c r="CF16" i="39" a="1"/>
  <c r="CF16" i="39" s="1"/>
  <c r="CF17" i="39" a="1"/>
  <c r="CF17" i="39" s="1"/>
  <c r="CF18" i="39" a="1"/>
  <c r="CF18" i="39" s="1"/>
  <c r="CF19" i="39" a="1"/>
  <c r="CF19" i="39" s="1"/>
  <c r="CF20" i="39" a="1"/>
  <c r="CF20" i="39" s="1"/>
  <c r="CF21" i="39" a="1"/>
  <c r="CF21" i="39" s="1"/>
  <c r="CF22" i="39" a="1"/>
  <c r="CF22" i="39" s="1"/>
  <c r="CF23" i="39" a="1"/>
  <c r="CF23" i="39" s="1"/>
  <c r="CF24" i="39" a="1"/>
  <c r="CF24" i="39" s="1"/>
  <c r="CF25" i="39" a="1"/>
  <c r="CF25" i="39" s="1"/>
  <c r="CF26" i="39" a="1"/>
  <c r="CF26" i="39" s="1"/>
  <c r="CF27" i="39" a="1"/>
  <c r="CF27" i="39" s="1"/>
  <c r="CF28" i="39" a="1"/>
  <c r="CF28" i="39" s="1"/>
  <c r="CF29" i="39" a="1"/>
  <c r="CF29" i="39" s="1"/>
  <c r="CF30" i="39" a="1"/>
  <c r="CF30" i="39" s="1"/>
  <c r="CF31" i="39" a="1"/>
  <c r="CF31" i="39" s="1"/>
  <c r="CF32" i="39" a="1"/>
  <c r="CF32" i="39" s="1"/>
  <c r="CF33" i="39" a="1"/>
  <c r="CF33" i="39" s="1"/>
  <c r="CF34" i="39" a="1"/>
  <c r="CF34" i="39" s="1"/>
  <c r="CF35" i="39" a="1"/>
  <c r="CF35" i="39" s="1"/>
  <c r="CF36" i="39" a="1"/>
  <c r="CF36" i="39" s="1"/>
  <c r="BZ14" i="39" a="1"/>
  <c r="BZ14" i="39" s="1"/>
  <c r="BZ15" i="39" a="1"/>
  <c r="BZ15" i="39" s="1"/>
  <c r="BZ16" i="39" a="1"/>
  <c r="BZ16" i="39" s="1"/>
  <c r="BZ17" i="39" a="1"/>
  <c r="BZ17" i="39" s="1"/>
  <c r="BZ18" i="39" a="1"/>
  <c r="BZ18" i="39" s="1"/>
  <c r="BZ19" i="39" a="1"/>
  <c r="BZ19" i="39" s="1"/>
  <c r="BZ20" i="39" a="1"/>
  <c r="BZ20" i="39" s="1"/>
  <c r="BZ21" i="39" a="1"/>
  <c r="BZ21" i="39" s="1"/>
  <c r="BZ22" i="39" a="1"/>
  <c r="BZ22" i="39" s="1"/>
  <c r="BZ23" i="39" a="1"/>
  <c r="BZ23" i="39" s="1"/>
  <c r="BZ24" i="39" a="1"/>
  <c r="BZ24" i="39" s="1"/>
  <c r="BZ25" i="39" a="1"/>
  <c r="BZ25" i="39" s="1"/>
  <c r="BZ26" i="39" a="1"/>
  <c r="BZ26" i="39" s="1"/>
  <c r="BZ27" i="39" a="1"/>
  <c r="BZ27" i="39" s="1"/>
  <c r="BZ28" i="39" a="1"/>
  <c r="BZ28" i="39" s="1"/>
  <c r="BZ29" i="39" a="1"/>
  <c r="BZ29" i="39" s="1"/>
  <c r="BZ30" i="39" a="1"/>
  <c r="BZ30" i="39" s="1"/>
  <c r="BZ31" i="39" a="1"/>
  <c r="BZ31" i="39" s="1"/>
  <c r="BZ32" i="39" a="1"/>
  <c r="BZ32" i="39" s="1"/>
  <c r="BZ33" i="39" a="1"/>
  <c r="BZ33" i="39" s="1"/>
  <c r="BZ34" i="39" a="1"/>
  <c r="BZ34" i="39" s="1"/>
  <c r="BZ35" i="39" a="1"/>
  <c r="BZ35" i="39" s="1"/>
  <c r="BZ36" i="39" a="1"/>
  <c r="BZ36" i="39" s="1"/>
  <c r="CW85" i="39"/>
  <c r="CX85" i="39" s="1"/>
  <c r="CY85" i="39" s="1" a="1"/>
  <c r="CY85" i="39" s="1"/>
  <c r="CW86" i="39"/>
  <c r="CX86" i="39" s="1"/>
  <c r="CY86" i="39" s="1" a="1"/>
  <c r="CY86" i="39" s="1"/>
  <c r="CW87" i="39"/>
  <c r="CX87" i="39" s="1"/>
  <c r="CY87" i="39" s="1" a="1"/>
  <c r="CY87" i="39" s="1"/>
  <c r="CW88" i="39"/>
  <c r="CX88" i="39" s="1"/>
  <c r="CY88" i="39" s="1" a="1"/>
  <c r="CY88" i="39" s="1"/>
  <c r="CW89" i="39"/>
  <c r="CX89" i="39" s="1"/>
  <c r="CY89" i="39" s="1" a="1"/>
  <c r="CY89" i="39" s="1"/>
  <c r="CW102" i="39"/>
  <c r="CX102" i="39" s="1"/>
  <c r="CY102" i="39" s="1" a="1"/>
  <c r="CY102" i="39" s="1"/>
  <c r="CX123" i="39"/>
  <c r="GC123" i="39" s="1"/>
  <c r="GI123" i="39" s="1"/>
  <c r="CX124" i="39"/>
  <c r="GC124" i="39" s="1"/>
  <c r="GI124" i="39" s="1"/>
  <c r="CX147" i="39"/>
  <c r="GC147" i="39" s="1"/>
  <c r="GI147" i="39" s="1"/>
  <c r="CW160" i="39"/>
  <c r="CW161" i="39"/>
  <c r="CW162" i="39"/>
  <c r="CW163" i="39"/>
  <c r="CW164" i="39"/>
  <c r="CW165" i="39"/>
  <c r="CW166" i="39"/>
  <c r="CW167" i="39"/>
  <c r="CW168" i="39"/>
  <c r="CW169" i="39"/>
  <c r="CW9" i="39"/>
  <c r="CX9" i="39" s="1"/>
  <c r="CY9" i="39" s="1" a="1"/>
  <c r="CY9" i="39" s="1"/>
  <c r="AG160" i="32"/>
  <c r="AF160" i="32"/>
  <c r="AE160" i="32"/>
  <c r="AD160" i="32"/>
  <c r="AG159" i="32"/>
  <c r="AF159" i="32"/>
  <c r="AE159" i="32"/>
  <c r="AD159" i="32"/>
  <c r="AG158" i="32"/>
  <c r="AF158" i="32"/>
  <c r="AE158" i="32"/>
  <c r="AD158" i="32"/>
  <c r="AG157" i="32"/>
  <c r="AF157" i="32"/>
  <c r="AE157" i="32"/>
  <c r="AD157" i="32"/>
  <c r="AG156" i="32"/>
  <c r="AF156" i="32"/>
  <c r="AE156" i="32"/>
  <c r="AD156" i="32"/>
  <c r="AG155" i="32"/>
  <c r="AF155" i="32"/>
  <c r="AE155" i="32"/>
  <c r="AD155" i="32"/>
  <c r="AG154" i="32"/>
  <c r="AF154" i="32"/>
  <c r="AE154" i="32"/>
  <c r="AD154" i="32"/>
  <c r="AG153" i="32"/>
  <c r="AF153" i="32"/>
  <c r="AE153" i="32"/>
  <c r="AD153" i="32"/>
  <c r="AG152" i="32"/>
  <c r="AF152" i="32"/>
  <c r="AE152" i="32"/>
  <c r="AD152" i="32"/>
  <c r="AG151" i="32"/>
  <c r="AF151" i="32"/>
  <c r="AE151" i="32"/>
  <c r="AD151" i="32"/>
  <c r="AG150" i="32"/>
  <c r="AF150" i="32"/>
  <c r="AE150" i="32"/>
  <c r="AD150" i="32"/>
  <c r="AG149" i="32"/>
  <c r="AF149" i="32"/>
  <c r="AE149" i="32"/>
  <c r="AD149" i="32"/>
  <c r="AG148" i="32"/>
  <c r="AF148" i="32"/>
  <c r="AE148" i="32"/>
  <c r="AD148" i="32"/>
  <c r="AG147" i="32"/>
  <c r="AF147" i="32"/>
  <c r="AE147" i="32"/>
  <c r="AD147" i="32"/>
  <c r="AG146" i="32"/>
  <c r="AF146" i="32"/>
  <c r="AE146" i="32"/>
  <c r="AD146" i="32"/>
  <c r="AG145" i="32"/>
  <c r="AF145" i="32"/>
  <c r="AE145" i="32"/>
  <c r="AD145" i="32"/>
  <c r="AG144" i="32"/>
  <c r="AF144" i="32"/>
  <c r="AE144" i="32"/>
  <c r="AD144" i="32"/>
  <c r="AG143" i="32"/>
  <c r="AF143" i="32"/>
  <c r="AE143" i="32"/>
  <c r="AD143" i="32"/>
  <c r="AG142" i="32"/>
  <c r="AF142" i="32"/>
  <c r="AE142" i="32"/>
  <c r="AD142" i="32"/>
  <c r="AG141" i="32"/>
  <c r="AF141" i="32"/>
  <c r="AE141" i="32"/>
  <c r="AD141" i="32"/>
  <c r="AG140" i="32"/>
  <c r="AF140" i="32"/>
  <c r="AE140" i="32"/>
  <c r="AD140" i="32"/>
  <c r="AG139" i="32"/>
  <c r="AF139" i="32"/>
  <c r="AE139" i="32"/>
  <c r="AD139" i="32"/>
  <c r="AG138" i="32"/>
  <c r="AF138" i="32"/>
  <c r="AE138" i="32"/>
  <c r="AD138" i="32"/>
  <c r="AG137" i="32"/>
  <c r="AF137" i="32"/>
  <c r="AE137" i="32"/>
  <c r="AD137" i="32"/>
  <c r="AG136" i="32"/>
  <c r="AF136" i="32"/>
  <c r="AE136" i="32"/>
  <c r="AD136" i="32"/>
  <c r="AG135" i="32"/>
  <c r="AF135" i="32"/>
  <c r="AE135" i="32"/>
  <c r="AD135" i="32"/>
  <c r="AG134" i="32"/>
  <c r="AF134" i="32"/>
  <c r="AE134" i="32"/>
  <c r="AD134" i="32"/>
  <c r="AG133" i="32"/>
  <c r="AF133" i="32"/>
  <c r="AE133" i="32"/>
  <c r="AD133" i="32"/>
  <c r="AG132" i="32"/>
  <c r="AF132" i="32"/>
  <c r="AE132" i="32"/>
  <c r="AD132" i="32"/>
  <c r="AG131" i="32"/>
  <c r="AF131" i="32"/>
  <c r="AE131" i="32"/>
  <c r="AD131" i="32"/>
  <c r="AG130" i="32"/>
  <c r="AF130" i="32"/>
  <c r="AE130" i="32"/>
  <c r="AD130" i="32"/>
  <c r="AG129" i="32"/>
  <c r="AF129" i="32"/>
  <c r="AE129" i="32"/>
  <c r="AD129" i="32"/>
  <c r="AG128" i="32"/>
  <c r="AF128" i="32"/>
  <c r="AE128" i="32"/>
  <c r="AD128" i="32"/>
  <c r="AG127" i="32"/>
  <c r="AF127" i="32"/>
  <c r="AE127" i="32"/>
  <c r="AD127" i="32"/>
  <c r="AG126" i="32"/>
  <c r="AF126" i="32"/>
  <c r="AE126" i="32"/>
  <c r="AD126" i="32"/>
  <c r="AG125" i="32"/>
  <c r="AF125" i="32"/>
  <c r="AE125" i="32"/>
  <c r="AD125" i="32"/>
  <c r="AG124" i="32"/>
  <c r="AF124" i="32"/>
  <c r="AE124" i="32"/>
  <c r="AD124" i="32"/>
  <c r="AG123" i="32"/>
  <c r="AF123" i="32"/>
  <c r="AE123" i="32"/>
  <c r="AD123" i="32"/>
  <c r="B5" i="32"/>
  <c r="BR48" i="39" s="1" a="1"/>
  <c r="BR48" i="39" s="1"/>
  <c r="B81" i="32"/>
  <c r="B82" i="32"/>
  <c r="B83" i="32"/>
  <c r="B84" i="32"/>
  <c r="B115" i="32"/>
  <c r="B117" i="32"/>
  <c r="B85" i="32"/>
  <c r="A94" i="32"/>
  <c r="B94" i="32" s="1"/>
  <c r="A105" i="32"/>
  <c r="CW109" i="39" s="1"/>
  <c r="CX109" i="39" s="1"/>
  <c r="CY109" i="39" s="1" a="1"/>
  <c r="CY109" i="39" s="1"/>
  <c r="A113" i="32"/>
  <c r="CW117" i="39" s="1"/>
  <c r="CX117" i="39" s="1"/>
  <c r="CY117" i="39" s="1" a="1"/>
  <c r="CY117" i="39" s="1"/>
  <c r="A117" i="32"/>
  <c r="CW121" i="39" s="1"/>
  <c r="CX121" i="39" s="1"/>
  <c r="CY121" i="39" s="1" a="1"/>
  <c r="CY121" i="39" s="1"/>
  <c r="A7" i="32"/>
  <c r="B7" i="32" s="1"/>
  <c r="A8" i="32"/>
  <c r="CW12" i="39" s="1"/>
  <c r="CX12" i="39" s="1"/>
  <c r="CY12" i="39" s="1" a="1"/>
  <c r="CY12" i="39" s="1"/>
  <c r="CW13" i="39"/>
  <c r="CX13" i="39" s="1"/>
  <c r="CY13" i="39" s="1" a="1"/>
  <c r="CY13" i="39" s="1"/>
  <c r="CW14" i="39"/>
  <c r="CX14" i="39" s="1"/>
  <c r="CY14" i="39" s="1" a="1"/>
  <c r="CY14" i="39" s="1"/>
  <c r="A13" i="32"/>
  <c r="CW17" i="39" s="1"/>
  <c r="CX17" i="39" s="1"/>
  <c r="CY17" i="39" s="1" a="1"/>
  <c r="CY17" i="39" s="1"/>
  <c r="A14" i="32"/>
  <c r="B14" i="32" s="1"/>
  <c r="A15" i="32"/>
  <c r="CW19" i="39" s="1"/>
  <c r="CX19" i="39" s="1"/>
  <c r="CY19" i="39" s="1" a="1"/>
  <c r="CY19" i="39" s="1"/>
  <c r="A16" i="32"/>
  <c r="CW20" i="39" s="1"/>
  <c r="CX20" i="39" s="1"/>
  <c r="CY20" i="39" s="1" a="1"/>
  <c r="CY20" i="39" s="1"/>
  <c r="A17" i="32"/>
  <c r="CW21" i="39" s="1"/>
  <c r="CX21" i="39" s="1"/>
  <c r="CY21" i="39" s="1" a="1"/>
  <c r="CY21" i="39" s="1"/>
  <c r="A18" i="32"/>
  <c r="B18" i="32" s="1"/>
  <c r="A19" i="32"/>
  <c r="CW23" i="39" s="1"/>
  <c r="CX23" i="39" s="1"/>
  <c r="CY23" i="39" s="1" a="1"/>
  <c r="CY23" i="39" s="1"/>
  <c r="A20" i="32"/>
  <c r="CW24" i="39" s="1"/>
  <c r="CX24" i="39" s="1"/>
  <c r="CY24" i="39" s="1" a="1"/>
  <c r="CY24" i="39" s="1"/>
  <c r="A21" i="32"/>
  <c r="CW25" i="39" s="1"/>
  <c r="CX25" i="39" s="1"/>
  <c r="CY25" i="39" s="1" a="1"/>
  <c r="CY25" i="39" s="1"/>
  <c r="A22" i="32"/>
  <c r="CW26" i="39" s="1"/>
  <c r="CX26" i="39" s="1"/>
  <c r="CY26" i="39" s="1" a="1"/>
  <c r="CY26" i="39" s="1"/>
  <c r="A23" i="32"/>
  <c r="CW27" i="39" s="1"/>
  <c r="CX27" i="39" s="1"/>
  <c r="CY27" i="39" s="1" a="1"/>
  <c r="CY27" i="39" s="1"/>
  <c r="A24" i="32"/>
  <c r="CW28" i="39" s="1"/>
  <c r="CX28" i="39" s="1"/>
  <c r="CY28" i="39" s="1" a="1"/>
  <c r="CY28" i="39" s="1"/>
  <c r="A25" i="32"/>
  <c r="CW29" i="39" s="1"/>
  <c r="CX29" i="39" s="1"/>
  <c r="CY29" i="39" s="1" a="1"/>
  <c r="CY29" i="39" s="1"/>
  <c r="A26" i="32"/>
  <c r="B26" i="32" s="1"/>
  <c r="A27" i="32"/>
  <c r="CW31" i="39" s="1"/>
  <c r="CX31" i="39" s="1"/>
  <c r="CY31" i="39" s="1" a="1"/>
  <c r="CY31" i="39" s="1"/>
  <c r="A28" i="32"/>
  <c r="CW32" i="39" s="1"/>
  <c r="CX32" i="39" s="1"/>
  <c r="CY32" i="39" s="1" a="1"/>
  <c r="CY32" i="39" s="1"/>
  <c r="A29" i="32"/>
  <c r="CW33" i="39" s="1"/>
  <c r="CX33" i="39" s="1"/>
  <c r="CY33" i="39" s="1" a="1"/>
  <c r="CY33" i="39" s="1"/>
  <c r="A30" i="32"/>
  <c r="B30" i="32" s="1"/>
  <c r="A31" i="32"/>
  <c r="CW35" i="39" s="1"/>
  <c r="CX35" i="39" s="1"/>
  <c r="CY35" i="39" s="1" a="1"/>
  <c r="CY35" i="39" s="1"/>
  <c r="A32" i="32"/>
  <c r="CW36" i="39" s="1"/>
  <c r="CX36" i="39" s="1"/>
  <c r="CY36" i="39" s="1" a="1"/>
  <c r="CY36" i="39" s="1"/>
  <c r="A33" i="32"/>
  <c r="CW37" i="39" s="1"/>
  <c r="CX37" i="39" s="1"/>
  <c r="CY37" i="39" s="1" a="1"/>
  <c r="CY37" i="39" s="1"/>
  <c r="A34" i="32"/>
  <c r="B34" i="32" s="1"/>
  <c r="A35" i="32"/>
  <c r="CW39" i="39" s="1"/>
  <c r="CX39" i="39" s="1"/>
  <c r="CY39" i="39" s="1" a="1"/>
  <c r="CY39" i="39" s="1"/>
  <c r="A36" i="32"/>
  <c r="CW40" i="39" s="1"/>
  <c r="CX40" i="39" s="1"/>
  <c r="CY40" i="39" s="1" a="1"/>
  <c r="CY40" i="39" s="1"/>
  <c r="A37" i="32"/>
  <c r="CW41" i="39" s="1"/>
  <c r="CX41" i="39" s="1"/>
  <c r="CY41" i="39" s="1" a="1"/>
  <c r="CY41" i="39" s="1"/>
  <c r="A38" i="32"/>
  <c r="CW42" i="39" s="1"/>
  <c r="CX42" i="39" s="1"/>
  <c r="CY42" i="39" s="1" a="1"/>
  <c r="CY42" i="39" s="1"/>
  <c r="A39" i="32"/>
  <c r="CW43" i="39" s="1"/>
  <c r="CX43" i="39" s="1"/>
  <c r="CY43" i="39" s="1" a="1"/>
  <c r="CY43" i="39" s="1"/>
  <c r="A40" i="32"/>
  <c r="CW44" i="39" s="1"/>
  <c r="CX44" i="39" s="1"/>
  <c r="CY44" i="39" s="1" a="1"/>
  <c r="CY44" i="39" s="1"/>
  <c r="A41" i="32"/>
  <c r="CW45" i="39" s="1"/>
  <c r="CX45" i="39" s="1"/>
  <c r="CY45" i="39" s="1" a="1"/>
  <c r="CY45" i="39" s="1"/>
  <c r="A42" i="32"/>
  <c r="B42" i="32" s="1"/>
  <c r="A43" i="32"/>
  <c r="CW47" i="39" s="1"/>
  <c r="CX47" i="39" s="1"/>
  <c r="CY47" i="39" s="1" a="1"/>
  <c r="CY47" i="39" s="1"/>
  <c r="A44" i="32"/>
  <c r="CW48" i="39" s="1"/>
  <c r="CX48" i="39" s="1"/>
  <c r="CY48" i="39" s="1" a="1"/>
  <c r="CY48" i="39" s="1"/>
  <c r="A45" i="32"/>
  <c r="CW49" i="39" s="1"/>
  <c r="CX49" i="39" s="1"/>
  <c r="CY49" i="39" s="1" a="1"/>
  <c r="CY49" i="39" s="1"/>
  <c r="A46" i="32"/>
  <c r="B46" i="32" s="1"/>
  <c r="A47" i="32"/>
  <c r="CW51" i="39" s="1"/>
  <c r="CX51" i="39" s="1"/>
  <c r="CY51" i="39" s="1" a="1"/>
  <c r="CY51" i="39" s="1"/>
  <c r="A48" i="32"/>
  <c r="CW52" i="39" s="1"/>
  <c r="CX52" i="39" s="1"/>
  <c r="CY52" i="39" s="1" a="1"/>
  <c r="CY52" i="39" s="1"/>
  <c r="A49" i="32"/>
  <c r="CW53" i="39" s="1"/>
  <c r="CX53" i="39" s="1"/>
  <c r="CY53" i="39" s="1" a="1"/>
  <c r="CY53" i="39" s="1"/>
  <c r="A50" i="32"/>
  <c r="B50" i="32" s="1"/>
  <c r="A51" i="32"/>
  <c r="CW55" i="39" s="1"/>
  <c r="CX55" i="39" s="1"/>
  <c r="CY55" i="39" s="1" a="1"/>
  <c r="CY55" i="39" s="1"/>
  <c r="A52" i="32"/>
  <c r="CW56" i="39" s="1"/>
  <c r="CX56" i="39" s="1"/>
  <c r="CY56" i="39" s="1" a="1"/>
  <c r="CY56" i="39" s="1"/>
  <c r="A53" i="32"/>
  <c r="CW57" i="39" s="1"/>
  <c r="CX57" i="39" s="1"/>
  <c r="CY57" i="39" s="1" a="1"/>
  <c r="CY57" i="39" s="1"/>
  <c r="A54" i="32"/>
  <c r="CW58" i="39" s="1"/>
  <c r="CX58" i="39" s="1"/>
  <c r="CY58" i="39" s="1" a="1"/>
  <c r="CY58" i="39" s="1"/>
  <c r="A55" i="32"/>
  <c r="CW59" i="39" s="1"/>
  <c r="CX59" i="39" s="1"/>
  <c r="CY59" i="39" s="1" a="1"/>
  <c r="CY59" i="39" s="1"/>
  <c r="A56" i="32"/>
  <c r="CW60" i="39" s="1"/>
  <c r="CX60" i="39" s="1"/>
  <c r="CY60" i="39" s="1" a="1"/>
  <c r="CY60" i="39" s="1"/>
  <c r="A57" i="32"/>
  <c r="CW61" i="39" s="1"/>
  <c r="CX61" i="39" s="1"/>
  <c r="CY61" i="39" s="1" a="1"/>
  <c r="CY61" i="39" s="1"/>
  <c r="A58" i="32"/>
  <c r="B58" i="32" s="1"/>
  <c r="A59" i="32"/>
  <c r="CW63" i="39" s="1"/>
  <c r="CX63" i="39" s="1"/>
  <c r="CY63" i="39" s="1" a="1"/>
  <c r="CY63" i="39" s="1"/>
  <c r="A60" i="32"/>
  <c r="CW64" i="39" s="1"/>
  <c r="CX64" i="39" s="1"/>
  <c r="CY64" i="39" s="1" a="1"/>
  <c r="CY64" i="39" s="1"/>
  <c r="A61" i="32"/>
  <c r="CW65" i="39" s="1"/>
  <c r="CX65" i="39" s="1"/>
  <c r="CY65" i="39" s="1" a="1"/>
  <c r="CY65" i="39" s="1"/>
  <c r="A62" i="32"/>
  <c r="B62" i="32" s="1"/>
  <c r="A63" i="32"/>
  <c r="CW67" i="39" s="1"/>
  <c r="CX67" i="39" s="1"/>
  <c r="CY67" i="39" s="1" a="1"/>
  <c r="CY67" i="39" s="1"/>
  <c r="A64" i="32"/>
  <c r="CW68" i="39" s="1"/>
  <c r="CX68" i="39" s="1"/>
  <c r="CY68" i="39" s="1" a="1"/>
  <c r="CY68" i="39" s="1"/>
  <c r="A65" i="32"/>
  <c r="CW69" i="39" s="1"/>
  <c r="CX69" i="39" s="1"/>
  <c r="CY69" i="39" s="1" a="1"/>
  <c r="CY69" i="39" s="1"/>
  <c r="A66" i="32"/>
  <c r="B66" i="32" s="1"/>
  <c r="A67" i="32"/>
  <c r="CW71" i="39" s="1"/>
  <c r="CX71" i="39" s="1"/>
  <c r="CY71" i="39" s="1" a="1"/>
  <c r="CY71" i="39" s="1"/>
  <c r="A68" i="32"/>
  <c r="CW72" i="39" s="1"/>
  <c r="CX72" i="39" s="1"/>
  <c r="CY72" i="39" s="1" a="1"/>
  <c r="CY72" i="39" s="1"/>
  <c r="A69" i="32"/>
  <c r="CW73" i="39" s="1"/>
  <c r="CX73" i="39" s="1"/>
  <c r="CY73" i="39" s="1" a="1"/>
  <c r="CY73" i="39" s="1"/>
  <c r="A70" i="32"/>
  <c r="CW74" i="39" s="1"/>
  <c r="CX74" i="39" s="1"/>
  <c r="CY74" i="39" s="1" a="1"/>
  <c r="CY74" i="39" s="1"/>
  <c r="A71" i="32"/>
  <c r="CW75" i="39" s="1"/>
  <c r="CX75" i="39" s="1"/>
  <c r="CY75" i="39" s="1" a="1"/>
  <c r="CY75" i="39" s="1"/>
  <c r="A72" i="32"/>
  <c r="CW76" i="39" s="1"/>
  <c r="CX76" i="39" s="1"/>
  <c r="CY76" i="39" s="1" a="1"/>
  <c r="CY76" i="39" s="1"/>
  <c r="A73" i="32"/>
  <c r="CW77" i="39" s="1"/>
  <c r="CX77" i="39" s="1"/>
  <c r="CY77" i="39" s="1" a="1"/>
  <c r="CY77" i="39" s="1"/>
  <c r="A74" i="32"/>
  <c r="CW78" i="39" s="1"/>
  <c r="CX78" i="39" s="1"/>
  <c r="CY78" i="39" s="1" a="1"/>
  <c r="CY78" i="39" s="1"/>
  <c r="A75" i="32"/>
  <c r="CW79" i="39" s="1"/>
  <c r="CX79" i="39" s="1"/>
  <c r="CY79" i="39" s="1" a="1"/>
  <c r="CY79" i="39" s="1"/>
  <c r="A76" i="32"/>
  <c r="CW80" i="39" s="1"/>
  <c r="CX80" i="39" s="1"/>
  <c r="CY80" i="39" s="1" a="1"/>
  <c r="CY80" i="39" s="1"/>
  <c r="A77" i="32"/>
  <c r="CW81" i="39" s="1"/>
  <c r="CX81" i="39" s="1"/>
  <c r="CY81" i="39" s="1" a="1"/>
  <c r="CY81" i="39" s="1"/>
  <c r="A78" i="32"/>
  <c r="CW82" i="39" s="1"/>
  <c r="CX82" i="39" s="1"/>
  <c r="CY82" i="39" s="1" a="1"/>
  <c r="CY82" i="39" s="1"/>
  <c r="A79" i="32"/>
  <c r="CW83" i="39" s="1"/>
  <c r="CX83" i="39" s="1"/>
  <c r="CY83" i="39" s="1" a="1"/>
  <c r="CY83" i="39" s="1"/>
  <c r="A80" i="32"/>
  <c r="CW84" i="39" s="1"/>
  <c r="CX84" i="39" s="1"/>
  <c r="CY84" i="39" s="1" a="1"/>
  <c r="CY84" i="39" s="1"/>
  <c r="A86" i="32"/>
  <c r="B86" i="32" s="1"/>
  <c r="A87" i="32"/>
  <c r="CW91" i="39" s="1"/>
  <c r="CX91" i="39" s="1"/>
  <c r="CY91" i="39" s="1" a="1"/>
  <c r="CY91" i="39" s="1"/>
  <c r="A88" i="32"/>
  <c r="B88" i="32" s="1"/>
  <c r="A89" i="32"/>
  <c r="CW93" i="39" s="1"/>
  <c r="CX93" i="39" s="1"/>
  <c r="CY93" i="39" s="1" a="1"/>
  <c r="CY93" i="39" s="1"/>
  <c r="A90" i="32"/>
  <c r="B90" i="32" s="1"/>
  <c r="A91" i="32"/>
  <c r="CW95" i="39" s="1"/>
  <c r="CX95" i="39" s="1"/>
  <c r="CY95" i="39" s="1" a="1"/>
  <c r="CY95" i="39" s="1"/>
  <c r="A92" i="32"/>
  <c r="B92" i="32" s="1"/>
  <c r="A93" i="32"/>
  <c r="CW97" i="39" s="1"/>
  <c r="CX97" i="39" s="1"/>
  <c r="CY97" i="39" s="1" a="1"/>
  <c r="CY97" i="39" s="1"/>
  <c r="A95" i="32"/>
  <c r="B95" i="32" s="1"/>
  <c r="A96" i="32"/>
  <c r="B96" i="32" s="1"/>
  <c r="A97" i="32"/>
  <c r="CW101" i="39" s="1"/>
  <c r="CX101" i="39" s="1"/>
  <c r="CY101" i="39" s="1" a="1"/>
  <c r="CY101" i="39" s="1"/>
  <c r="A98" i="32"/>
  <c r="B98" i="32" s="1"/>
  <c r="A99" i="32"/>
  <c r="B99" i="32" s="1"/>
  <c r="A100" i="32"/>
  <c r="B100" i="32" s="1"/>
  <c r="A101" i="32"/>
  <c r="CW105" i="39" s="1"/>
  <c r="CX105" i="39" s="1"/>
  <c r="CY105" i="39" s="1" a="1"/>
  <c r="CY105" i="39" s="1"/>
  <c r="A102" i="32"/>
  <c r="B102" i="32" s="1"/>
  <c r="A103" i="32"/>
  <c r="B103" i="32" s="1"/>
  <c r="A104" i="32"/>
  <c r="B104" i="32" s="1"/>
  <c r="A106" i="32"/>
  <c r="B106" i="32" s="1"/>
  <c r="A107" i="32"/>
  <c r="CW111" i="39" s="1"/>
  <c r="CX111" i="39" s="1"/>
  <c r="CY111" i="39" s="1" a="1"/>
  <c r="CY111" i="39" s="1"/>
  <c r="A108" i="32"/>
  <c r="CW112" i="39" s="1"/>
  <c r="CX112" i="39" s="1"/>
  <c r="CY112" i="39" s="1" a="1"/>
  <c r="CY112" i="39" s="1"/>
  <c r="A109" i="32"/>
  <c r="CW113" i="39" s="1"/>
  <c r="CX113" i="39" s="1"/>
  <c r="CY113" i="39" s="1" a="1"/>
  <c r="CY113" i="39" s="1"/>
  <c r="A110" i="32"/>
  <c r="B110" i="32" s="1"/>
  <c r="A111" i="32"/>
  <c r="CW115" i="39" s="1"/>
  <c r="CX115" i="39" s="1"/>
  <c r="CY115" i="39" s="1" a="1"/>
  <c r="CY115" i="39" s="1"/>
  <c r="A112" i="32"/>
  <c r="CW116" i="39" s="1"/>
  <c r="CX116" i="39" s="1"/>
  <c r="CY116" i="39" s="1" a="1"/>
  <c r="CY116" i="39" s="1"/>
  <c r="A114" i="32"/>
  <c r="B114" i="32" s="1"/>
  <c r="A115" i="32"/>
  <c r="CW119" i="39" s="1"/>
  <c r="CX119" i="39" s="1"/>
  <c r="CY119" i="39" s="1" a="1"/>
  <c r="CY119" i="39" s="1"/>
  <c r="A116" i="32"/>
  <c r="B116" i="32" s="1"/>
  <c r="A6" i="32"/>
  <c r="CW10" i="39" s="1"/>
  <c r="CX10" i="39" s="1"/>
  <c r="CY10" i="39" s="1" a="1"/>
  <c r="CY10" i="39" s="1"/>
  <c r="AK115" i="32"/>
  <c r="AJ115" i="32"/>
  <c r="AI115" i="32"/>
  <c r="AK114" i="32"/>
  <c r="AJ114" i="32"/>
  <c r="AI114" i="32"/>
  <c r="AK113" i="32"/>
  <c r="AJ113" i="32"/>
  <c r="AI113" i="32"/>
  <c r="AK112" i="32"/>
  <c r="AJ112" i="32"/>
  <c r="AI112" i="32"/>
  <c r="AD69" i="32"/>
  <c r="AE69" i="32"/>
  <c r="AF69" i="32"/>
  <c r="AG69" i="32"/>
  <c r="AD70" i="32"/>
  <c r="AE70" i="32"/>
  <c r="AF70" i="32"/>
  <c r="AG70" i="32"/>
  <c r="AD50" i="32"/>
  <c r="AE50" i="32"/>
  <c r="AF50" i="32"/>
  <c r="AG50" i="32"/>
  <c r="AD18" i="32"/>
  <c r="AE18" i="32"/>
  <c r="AF18" i="32"/>
  <c r="AG18" i="32"/>
  <c r="AD19" i="32"/>
  <c r="AE19" i="32"/>
  <c r="AF19" i="32"/>
  <c r="AG19" i="32"/>
  <c r="AD20" i="32"/>
  <c r="AE20" i="32"/>
  <c r="AF20" i="32"/>
  <c r="AG20" i="32"/>
  <c r="AD21" i="32"/>
  <c r="AE21" i="32"/>
  <c r="AF21" i="32"/>
  <c r="AG21" i="32"/>
  <c r="AD22" i="32"/>
  <c r="AE22" i="32"/>
  <c r="AF22" i="32"/>
  <c r="AG22" i="32"/>
  <c r="AD23" i="32"/>
  <c r="AE23" i="32"/>
  <c r="AF23" i="32"/>
  <c r="AD24" i="32"/>
  <c r="AE24" i="32"/>
  <c r="AF24" i="32"/>
  <c r="AG24" i="32"/>
  <c r="AD25" i="32"/>
  <c r="AE25" i="32"/>
  <c r="AF25" i="32"/>
  <c r="AG25" i="32"/>
  <c r="AD26" i="32"/>
  <c r="AE26" i="32"/>
  <c r="AF26" i="32"/>
  <c r="AG26" i="32"/>
  <c r="AD27" i="32"/>
  <c r="AE27" i="32"/>
  <c r="AF27" i="32"/>
  <c r="AG27" i="32"/>
  <c r="AD28" i="32"/>
  <c r="AE28" i="32"/>
  <c r="AF28" i="32"/>
  <c r="AG28" i="32"/>
  <c r="AD29" i="32"/>
  <c r="AE29" i="32"/>
  <c r="AF29" i="32"/>
  <c r="AG29" i="32"/>
  <c r="AD30" i="32"/>
  <c r="AE30" i="32"/>
  <c r="AF30" i="32"/>
  <c r="AG30" i="32"/>
  <c r="AD31" i="32"/>
  <c r="AE31" i="32"/>
  <c r="AF31" i="32"/>
  <c r="AG31" i="32"/>
  <c r="AK80" i="32"/>
  <c r="AJ80" i="32"/>
  <c r="AI80" i="32"/>
  <c r="AK79" i="32"/>
  <c r="AJ79" i="32"/>
  <c r="AI79" i="32"/>
  <c r="AK78" i="32"/>
  <c r="AJ78" i="32"/>
  <c r="AI78" i="32"/>
  <c r="AK77" i="32"/>
  <c r="AJ77" i="32"/>
  <c r="AI77" i="32"/>
  <c r="AK76" i="32"/>
  <c r="AJ76" i="32"/>
  <c r="AI76" i="32"/>
  <c r="AK75" i="32"/>
  <c r="AJ75" i="32"/>
  <c r="AI75" i="32"/>
  <c r="AK74" i="32"/>
  <c r="AJ74" i="32"/>
  <c r="AI74" i="32"/>
  <c r="AK73" i="32"/>
  <c r="AJ73" i="32"/>
  <c r="AI73" i="32"/>
  <c r="AK72" i="32"/>
  <c r="AJ72" i="32"/>
  <c r="AI72" i="32"/>
  <c r="AK71" i="32"/>
  <c r="AJ71" i="32"/>
  <c r="AI71" i="32"/>
  <c r="AK70" i="32"/>
  <c r="AJ70" i="32"/>
  <c r="AI70" i="32"/>
  <c r="AK69" i="32"/>
  <c r="AJ69" i="32"/>
  <c r="AI69" i="32"/>
  <c r="AK68" i="32"/>
  <c r="AJ68" i="32"/>
  <c r="AI68" i="32"/>
  <c r="AK67" i="32"/>
  <c r="AJ67" i="32"/>
  <c r="AI67" i="32"/>
  <c r="AK66" i="32"/>
  <c r="AJ66" i="32"/>
  <c r="AI66" i="32"/>
  <c r="AK65" i="32"/>
  <c r="AJ65" i="32"/>
  <c r="AI65" i="32"/>
  <c r="AK64" i="32"/>
  <c r="AJ64" i="32"/>
  <c r="AI64" i="32"/>
  <c r="AK63" i="32"/>
  <c r="AJ63" i="32"/>
  <c r="AI63" i="32"/>
  <c r="AK62" i="32"/>
  <c r="AJ62" i="32"/>
  <c r="AI62" i="32"/>
  <c r="AK61" i="32"/>
  <c r="AJ61" i="32"/>
  <c r="AI61" i="32"/>
  <c r="AK60" i="32"/>
  <c r="AJ60" i="32"/>
  <c r="AI60" i="32"/>
  <c r="AK59" i="32"/>
  <c r="AJ59" i="32"/>
  <c r="AI59" i="32"/>
  <c r="AK58" i="32"/>
  <c r="AJ58" i="32"/>
  <c r="AI58" i="32"/>
  <c r="AK57" i="32"/>
  <c r="AJ57" i="32"/>
  <c r="AI57" i="32"/>
  <c r="AK56" i="32"/>
  <c r="AJ56" i="32"/>
  <c r="AI56" i="32"/>
  <c r="AK55" i="32"/>
  <c r="AJ55" i="32"/>
  <c r="AI55" i="32"/>
  <c r="AK54" i="32"/>
  <c r="AJ54" i="32"/>
  <c r="AI54" i="32"/>
  <c r="AK53" i="32"/>
  <c r="AJ53" i="32"/>
  <c r="AI53" i="32"/>
  <c r="AK52" i="32"/>
  <c r="AJ52" i="32"/>
  <c r="AI52" i="32"/>
  <c r="AK51" i="32"/>
  <c r="AJ51" i="32"/>
  <c r="AI51" i="32"/>
  <c r="AK49" i="32"/>
  <c r="AJ49" i="32"/>
  <c r="AI49" i="32"/>
  <c r="AK48" i="32"/>
  <c r="AJ48" i="32"/>
  <c r="AI48" i="32"/>
  <c r="AK47" i="32"/>
  <c r="AJ47" i="32"/>
  <c r="AI47" i="32"/>
  <c r="AK46" i="32"/>
  <c r="AJ46" i="32"/>
  <c r="AI46" i="32"/>
  <c r="AK45" i="32"/>
  <c r="AJ45" i="32"/>
  <c r="AI45" i="32"/>
  <c r="AK44" i="32"/>
  <c r="AJ44" i="32"/>
  <c r="AI44" i="32"/>
  <c r="AK43" i="32"/>
  <c r="AJ43" i="32"/>
  <c r="AI43" i="32"/>
  <c r="AK42" i="32"/>
  <c r="AJ42" i="32"/>
  <c r="AI42" i="32"/>
  <c r="AK41" i="32"/>
  <c r="AJ41" i="32"/>
  <c r="AI41" i="32"/>
  <c r="AK40" i="32"/>
  <c r="AJ40" i="32"/>
  <c r="AI40" i="32"/>
  <c r="AK39" i="32"/>
  <c r="AJ39" i="32"/>
  <c r="AI39" i="32"/>
  <c r="AK38" i="32"/>
  <c r="AJ38" i="32"/>
  <c r="AI38" i="32"/>
  <c r="AK37" i="32"/>
  <c r="AJ37" i="32"/>
  <c r="AI37" i="32"/>
  <c r="AK36" i="32"/>
  <c r="AJ36" i="32"/>
  <c r="AI36" i="32"/>
  <c r="AK35" i="32"/>
  <c r="AJ35" i="32"/>
  <c r="AI35" i="32"/>
  <c r="AK34" i="32"/>
  <c r="AJ34" i="32"/>
  <c r="AI34" i="32"/>
  <c r="AK33" i="32"/>
  <c r="AJ33" i="32"/>
  <c r="AI33" i="32"/>
  <c r="AK32" i="32"/>
  <c r="AJ32" i="32"/>
  <c r="AK17" i="32"/>
  <c r="AJ17" i="32"/>
  <c r="AI17" i="32"/>
  <c r="AK16" i="32"/>
  <c r="AJ16" i="32"/>
  <c r="AI16" i="32"/>
  <c r="AK15" i="32"/>
  <c r="AJ15" i="32"/>
  <c r="AI15" i="32"/>
  <c r="AK14" i="32"/>
  <c r="AJ14" i="32"/>
  <c r="AI14" i="32"/>
  <c r="AJ13" i="32"/>
  <c r="AI13" i="32"/>
  <c r="AK10" i="32"/>
  <c r="AJ10" i="32"/>
  <c r="AI10" i="32"/>
  <c r="AK9" i="32"/>
  <c r="AJ9" i="32"/>
  <c r="AI9" i="32"/>
  <c r="AK8" i="32"/>
  <c r="AJ8" i="32"/>
  <c r="AI8" i="32"/>
  <c r="AK7" i="32"/>
  <c r="AJ7" i="32"/>
  <c r="AI7" i="32"/>
  <c r="BW14" i="39"/>
  <c r="BX14" i="39"/>
  <c r="BY14" i="39"/>
  <c r="BW15" i="39"/>
  <c r="BX15" i="39"/>
  <c r="BY15" i="39"/>
  <c r="BW16" i="39"/>
  <c r="BX16" i="39"/>
  <c r="BY16" i="39"/>
  <c r="BW17" i="39"/>
  <c r="BX17" i="39"/>
  <c r="BY17" i="39"/>
  <c r="BW18" i="39"/>
  <c r="BX18" i="39"/>
  <c r="BY18" i="39"/>
  <c r="BW19" i="39"/>
  <c r="BX19" i="39"/>
  <c r="BY19" i="39"/>
  <c r="BW20" i="39"/>
  <c r="BX20" i="39"/>
  <c r="BY20" i="39"/>
  <c r="BW21" i="39"/>
  <c r="BX21" i="39"/>
  <c r="BY21" i="39"/>
  <c r="BW22" i="39"/>
  <c r="BX22" i="39"/>
  <c r="BY22" i="39"/>
  <c r="BW23" i="39"/>
  <c r="BX23" i="39"/>
  <c r="BY23" i="39"/>
  <c r="BW24" i="39"/>
  <c r="BX24" i="39"/>
  <c r="BY24" i="39"/>
  <c r="BW25" i="39"/>
  <c r="BX25" i="39"/>
  <c r="BY25" i="39"/>
  <c r="BW26" i="39"/>
  <c r="BX26" i="39"/>
  <c r="BY26" i="39"/>
  <c r="BW27" i="39"/>
  <c r="BX27" i="39"/>
  <c r="BY27" i="39"/>
  <c r="BW28" i="39"/>
  <c r="BX28" i="39"/>
  <c r="BY28" i="39"/>
  <c r="BW29" i="39"/>
  <c r="BX29" i="39"/>
  <c r="BY29" i="39"/>
  <c r="BW30" i="39"/>
  <c r="BX30" i="39"/>
  <c r="BY30" i="39"/>
  <c r="BW31" i="39"/>
  <c r="BX31" i="39"/>
  <c r="BY31" i="39"/>
  <c r="BW32" i="39"/>
  <c r="BX32" i="39"/>
  <c r="BY32" i="39"/>
  <c r="BW33" i="39"/>
  <c r="BX33" i="39"/>
  <c r="BY33" i="39"/>
  <c r="BW34" i="39"/>
  <c r="BX34" i="39"/>
  <c r="BY34" i="39"/>
  <c r="BW35" i="39"/>
  <c r="BX35" i="39"/>
  <c r="BY35" i="39"/>
  <c r="BW36" i="39"/>
  <c r="BX36" i="39"/>
  <c r="BY36" i="39"/>
  <c r="BW44" i="39"/>
  <c r="CS44" i="39" s="1"/>
  <c r="BX44" i="39"/>
  <c r="BY44" i="39"/>
  <c r="BW45" i="39"/>
  <c r="CQ45" i="39" s="1"/>
  <c r="BX45" i="39"/>
  <c r="BY45" i="39"/>
  <c r="BW46" i="39"/>
  <c r="CS46" i="39" s="1"/>
  <c r="BX46" i="39"/>
  <c r="BY46" i="39"/>
  <c r="BW47" i="39"/>
  <c r="CS47" i="39" s="1"/>
  <c r="BX47" i="39"/>
  <c r="BY47" i="39"/>
  <c r="BW48" i="39"/>
  <c r="CQ48" i="39" s="1"/>
  <c r="BX48" i="39"/>
  <c r="BY48" i="39"/>
  <c r="BW49" i="39"/>
  <c r="CS49" i="39" s="1"/>
  <c r="BX49" i="39"/>
  <c r="BY49" i="39"/>
  <c r="BW50" i="39"/>
  <c r="CS50" i="39" s="1"/>
  <c r="BX50" i="39"/>
  <c r="BY50" i="39"/>
  <c r="BW51" i="39"/>
  <c r="CS51" i="39" s="1"/>
  <c r="BX51" i="39"/>
  <c r="BY51" i="39"/>
  <c r="BW52" i="39"/>
  <c r="CQ52" i="39" s="1"/>
  <c r="BX52" i="39"/>
  <c r="BY52" i="39"/>
  <c r="BW53" i="39"/>
  <c r="CQ53" i="39" s="1"/>
  <c r="BX53" i="39"/>
  <c r="BY53" i="39"/>
  <c r="BW54" i="39"/>
  <c r="CS54" i="39" s="1"/>
  <c r="BX54" i="39"/>
  <c r="BY54" i="39"/>
  <c r="BW55" i="39"/>
  <c r="CS55" i="39" s="1"/>
  <c r="BX55" i="39"/>
  <c r="BY55" i="39"/>
  <c r="BW56" i="39"/>
  <c r="CQ56" i="39" s="1"/>
  <c r="BX56" i="39"/>
  <c r="BY56" i="39"/>
  <c r="BW57" i="39"/>
  <c r="CQ57" i="39" s="1"/>
  <c r="BX57" i="39"/>
  <c r="BY57" i="39"/>
  <c r="BW58" i="39"/>
  <c r="CS58" i="39" s="1"/>
  <c r="BX58" i="39"/>
  <c r="BY58" i="39"/>
  <c r="BW59" i="39"/>
  <c r="CS59" i="39" s="1"/>
  <c r="BX59" i="39"/>
  <c r="BY59" i="39"/>
  <c r="BW60" i="39"/>
  <c r="CQ60" i="39" s="1"/>
  <c r="BX60" i="39"/>
  <c r="BY60" i="39"/>
  <c r="BW61" i="39"/>
  <c r="CQ61" i="39" s="1"/>
  <c r="BX61" i="39"/>
  <c r="BY61" i="39"/>
  <c r="BW62" i="39"/>
  <c r="CS62" i="39" s="1"/>
  <c r="BX62" i="39"/>
  <c r="BY62" i="39"/>
  <c r="BW63" i="39"/>
  <c r="CS63" i="39" s="1"/>
  <c r="BX63" i="39"/>
  <c r="BY63" i="39"/>
  <c r="BW64" i="39"/>
  <c r="CQ64" i="39" s="1"/>
  <c r="BX64" i="39"/>
  <c r="BY64" i="39"/>
  <c r="BW65" i="39"/>
  <c r="CQ65" i="39" s="1"/>
  <c r="BX65" i="39"/>
  <c r="BY65" i="39"/>
  <c r="BW66" i="39"/>
  <c r="CS66" i="39" s="1"/>
  <c r="BX66" i="39"/>
  <c r="BY66" i="39"/>
  <c r="BW67" i="39"/>
  <c r="CS67" i="39" s="1"/>
  <c r="BX67" i="39"/>
  <c r="BY67" i="39"/>
  <c r="BW68" i="39"/>
  <c r="CQ68" i="39" s="1"/>
  <c r="BX68" i="39"/>
  <c r="BY68" i="39"/>
  <c r="BX75" i="39"/>
  <c r="BY75" i="39"/>
  <c r="BW76" i="39"/>
  <c r="BX76" i="39"/>
  <c r="BY76" i="39"/>
  <c r="BW77" i="39"/>
  <c r="BX77" i="39"/>
  <c r="BY77" i="39"/>
  <c r="BW78" i="39"/>
  <c r="BX78" i="39"/>
  <c r="BY78" i="39"/>
  <c r="BW79" i="39"/>
  <c r="BX79" i="39"/>
  <c r="BY79" i="39"/>
  <c r="BW80" i="39"/>
  <c r="CS80" i="39" s="1"/>
  <c r="BX80" i="39"/>
  <c r="BY80" i="39"/>
  <c r="BW81" i="39"/>
  <c r="CQ81" i="39" s="1"/>
  <c r="BX81" i="39"/>
  <c r="BY81" i="39"/>
  <c r="BW82" i="39"/>
  <c r="CS82" i="39" s="1"/>
  <c r="BX82" i="39"/>
  <c r="BY82" i="39"/>
  <c r="BW83" i="39"/>
  <c r="CQ83" i="39" s="1"/>
  <c r="BX83" i="39"/>
  <c r="BY83" i="39"/>
  <c r="BW84" i="39"/>
  <c r="CQ84" i="39" s="1"/>
  <c r="BX84" i="39"/>
  <c r="BY84" i="39"/>
  <c r="BW85" i="39"/>
  <c r="CQ85" i="39" s="1"/>
  <c r="BX85" i="39"/>
  <c r="BY85" i="39"/>
  <c r="BW86" i="39"/>
  <c r="CS86" i="39" s="1"/>
  <c r="BX86" i="39"/>
  <c r="BY86" i="39"/>
  <c r="BW87" i="39"/>
  <c r="CQ87" i="39" s="1"/>
  <c r="BX87" i="39"/>
  <c r="BY87" i="39"/>
  <c r="BW88" i="39"/>
  <c r="CQ88" i="39" s="1"/>
  <c r="BX88" i="39"/>
  <c r="BY88" i="39"/>
  <c r="BW89" i="39"/>
  <c r="CQ89" i="39" s="1"/>
  <c r="BX89" i="39"/>
  <c r="BY89" i="39"/>
  <c r="BR98" i="39" a="1"/>
  <c r="BR98" i="39" s="1"/>
  <c r="BR99" i="39" a="1"/>
  <c r="BR99" i="39" s="1"/>
  <c r="BU99" i="39" a="1"/>
  <c r="BU99" i="39" s="1"/>
  <c r="N99" i="39" s="1"/>
  <c r="BR100" i="39" a="1"/>
  <c r="BR100" i="39" s="1"/>
  <c r="BU100" i="39" a="1"/>
  <c r="BU100" i="39" s="1"/>
  <c r="R100" i="39" s="1"/>
  <c r="BR101" i="39" a="1"/>
  <c r="BR101" i="39" s="1"/>
  <c r="BU101" i="39" a="1"/>
  <c r="BU101" i="39" s="1"/>
  <c r="R101" i="39" s="1"/>
  <c r="BW101" i="39"/>
  <c r="BX101" i="39"/>
  <c r="BR102" i="39" a="1"/>
  <c r="BR102" i="39" s="1"/>
  <c r="BR103" i="39" a="1"/>
  <c r="BR103" i="39" s="1"/>
  <c r="BC32" i="12"/>
  <c r="BC36" i="12"/>
  <c r="BC37" i="12"/>
  <c r="BC38" i="12"/>
  <c r="BC39" i="12"/>
  <c r="BC40" i="12"/>
  <c r="BC41" i="12"/>
  <c r="BC42" i="12"/>
  <c r="BC43" i="12"/>
  <c r="BC44" i="12"/>
  <c r="BC45" i="12"/>
  <c r="BC46" i="12"/>
  <c r="BC47" i="12"/>
  <c r="BC48" i="12"/>
  <c r="BC49" i="12"/>
  <c r="BC50" i="12"/>
  <c r="BC51" i="12"/>
  <c r="BC52" i="12"/>
  <c r="BC53" i="12"/>
  <c r="BC54" i="12"/>
  <c r="BC55" i="12"/>
  <c r="BC56" i="12"/>
  <c r="BC57" i="12"/>
  <c r="BC58" i="12"/>
  <c r="BC59" i="12"/>
  <c r="BC60" i="12"/>
  <c r="BC61" i="12"/>
  <c r="BC62" i="12"/>
  <c r="BC63" i="12"/>
  <c r="BC64" i="12"/>
  <c r="BC65" i="12"/>
  <c r="BC66" i="12"/>
  <c r="BC67" i="12"/>
  <c r="BC68" i="12"/>
  <c r="BC69" i="12"/>
  <c r="BC70" i="12"/>
  <c r="BC71" i="12"/>
  <c r="BC72" i="12"/>
  <c r="BC73" i="12"/>
  <c r="BC74" i="12"/>
  <c r="BC75" i="12"/>
  <c r="BC76" i="12"/>
  <c r="BC77" i="12"/>
  <c r="BC78" i="12"/>
  <c r="BC79" i="12"/>
  <c r="BC80" i="12"/>
  <c r="BC81" i="12"/>
  <c r="BC82" i="12"/>
  <c r="BC83" i="12"/>
  <c r="BC84" i="12"/>
  <c r="BC85" i="12"/>
  <c r="FN155" i="39" l="1"/>
  <c r="FN151" i="39"/>
  <c r="CB19" i="39" a="1"/>
  <c r="CB19" i="39" s="1"/>
  <c r="CA34" i="39" a="1"/>
  <c r="CA34" i="39" s="1"/>
  <c r="CB26" i="39" a="1"/>
  <c r="CB26" i="39" s="1"/>
  <c r="CI75" i="39"/>
  <c r="V75" i="39"/>
  <c r="BZ48" i="39" a="1"/>
  <c r="BZ48" i="39" s="1"/>
  <c r="CG48" i="39" a="1"/>
  <c r="CG48" i="39" s="1"/>
  <c r="CB33" i="39" a="1"/>
  <c r="CB33" i="39" s="1"/>
  <c r="CA25" i="39" a="1"/>
  <c r="CA25" i="39" s="1"/>
  <c r="CB17" i="39" a="1"/>
  <c r="CB17" i="39" s="1"/>
  <c r="CA32" i="39" a="1"/>
  <c r="CA32" i="39" s="1"/>
  <c r="CB24" i="39" a="1"/>
  <c r="CB24" i="39" s="1"/>
  <c r="CB16" i="39" a="1"/>
  <c r="CB16" i="39" s="1"/>
  <c r="CI79" i="39"/>
  <c r="EZ125" i="39" s="1"/>
  <c r="V79" i="39"/>
  <c r="CB31" i="39" a="1"/>
  <c r="CB31" i="39" s="1"/>
  <c r="CB23" i="39" a="1"/>
  <c r="CB23" i="39" s="1"/>
  <c r="CB15" i="39" a="1"/>
  <c r="CB15" i="39" s="1"/>
  <c r="CI77" i="39"/>
  <c r="V77" i="39"/>
  <c r="CA35" i="39" a="1"/>
  <c r="CA35" i="39" s="1"/>
  <c r="CI78" i="39"/>
  <c r="EZ155" i="39" s="1"/>
  <c r="V78" i="39"/>
  <c r="CB27" i="39" a="1"/>
  <c r="CB27" i="39" s="1"/>
  <c r="CB29" i="39" a="1"/>
  <c r="CB29" i="39" s="1"/>
  <c r="CB21" i="39" a="1"/>
  <c r="CB21" i="39" s="1"/>
  <c r="CI76" i="39"/>
  <c r="V76" i="39"/>
  <c r="CA36" i="39" a="1"/>
  <c r="CA36" i="39" s="1"/>
  <c r="CB28" i="39" a="1"/>
  <c r="CB28" i="39" s="1"/>
  <c r="CA20" i="39" a="1"/>
  <c r="CA20" i="39" s="1"/>
  <c r="R99" i="39"/>
  <c r="P99" i="39"/>
  <c r="CA107" i="39" s="1"/>
  <c r="B111" i="32"/>
  <c r="B93" i="32"/>
  <c r="B80" i="32"/>
  <c r="B72" i="32"/>
  <c r="CW108" i="39"/>
  <c r="CX108" i="39" s="1"/>
  <c r="CY108" i="39" s="1" a="1"/>
  <c r="CY108" i="39" s="1"/>
  <c r="CW100" i="39"/>
  <c r="CX100" i="39" s="1"/>
  <c r="CY100" i="39" s="1" a="1"/>
  <c r="CY100" i="39" s="1"/>
  <c r="CW30" i="39"/>
  <c r="CX30" i="39" s="1"/>
  <c r="CY30" i="39" s="1" a="1"/>
  <c r="CY30" i="39" s="1"/>
  <c r="B105" i="32"/>
  <c r="B109" i="32"/>
  <c r="B91" i="32"/>
  <c r="B78" i="32"/>
  <c r="B40" i="32"/>
  <c r="CW106" i="39"/>
  <c r="CX106" i="39" s="1"/>
  <c r="CY106" i="39" s="1" a="1"/>
  <c r="CY106" i="39" s="1"/>
  <c r="CW120" i="39"/>
  <c r="CX120" i="39" s="1"/>
  <c r="CY120" i="39" s="1" a="1"/>
  <c r="CY120" i="39" s="1"/>
  <c r="B87" i="32"/>
  <c r="B74" i="32"/>
  <c r="B107" i="32"/>
  <c r="B89" i="32"/>
  <c r="B76" i="32"/>
  <c r="CW104" i="39"/>
  <c r="CX104" i="39" s="1"/>
  <c r="CY104" i="39" s="1" a="1"/>
  <c r="CY104" i="39" s="1"/>
  <c r="B64" i="32"/>
  <c r="B32" i="32"/>
  <c r="B56" i="32"/>
  <c r="B24" i="32"/>
  <c r="CW62" i="39"/>
  <c r="CX62" i="39" s="1"/>
  <c r="CY62" i="39" s="1" a="1"/>
  <c r="CY62" i="39" s="1"/>
  <c r="B48" i="32"/>
  <c r="B16" i="32"/>
  <c r="CW46" i="39"/>
  <c r="CX46" i="39" s="1"/>
  <c r="CY46" i="39" s="1" a="1"/>
  <c r="CY46" i="39" s="1"/>
  <c r="AX151" i="7" a="1"/>
  <c r="AX151" i="7" s="1"/>
  <c r="AY151" i="7" s="1" a="1"/>
  <c r="AY151" i="7" s="1"/>
  <c r="AX142" i="7" a="1"/>
  <c r="AX142" i="7" s="1"/>
  <c r="AY142" i="7" s="1" a="1"/>
  <c r="AY142" i="7" s="1"/>
  <c r="B68" i="32"/>
  <c r="B60" i="32"/>
  <c r="B52" i="32"/>
  <c r="B44" i="32"/>
  <c r="B36" i="32"/>
  <c r="B28" i="32"/>
  <c r="B20" i="32"/>
  <c r="B10" i="32"/>
  <c r="AX154" i="7" a="1"/>
  <c r="AX154" i="7" s="1"/>
  <c r="AY154" i="7" s="1" a="1"/>
  <c r="AY154" i="7" s="1"/>
  <c r="AX147" i="7" a="1"/>
  <c r="AX147" i="7" s="1"/>
  <c r="AY147" i="7" s="1" a="1"/>
  <c r="AY147" i="7" s="1"/>
  <c r="AX138" i="7" a="1"/>
  <c r="AX138" i="7" s="1"/>
  <c r="AY138" i="7" s="1" a="1"/>
  <c r="AY138" i="7" s="1"/>
  <c r="CW70" i="39"/>
  <c r="CX70" i="39" s="1"/>
  <c r="CY70" i="39" s="1" a="1"/>
  <c r="CY70" i="39" s="1"/>
  <c r="CW54" i="39"/>
  <c r="CX54" i="39" s="1"/>
  <c r="CY54" i="39" s="1" a="1"/>
  <c r="CY54" i="39" s="1"/>
  <c r="CW38" i="39"/>
  <c r="CX38" i="39" s="1"/>
  <c r="CY38" i="39" s="1" a="1"/>
  <c r="CY38" i="39" s="1"/>
  <c r="CW22" i="39"/>
  <c r="CX22" i="39" s="1"/>
  <c r="CY22" i="39" s="1" a="1"/>
  <c r="CY22" i="39" s="1"/>
  <c r="BR67" i="39" a="1"/>
  <c r="BR67" i="39" s="1"/>
  <c r="BR59" i="39" a="1"/>
  <c r="BR59" i="39" s="1"/>
  <c r="BR51" i="39" a="1"/>
  <c r="BR51" i="39" s="1"/>
  <c r="CG51" i="39" s="1" a="1"/>
  <c r="CG51" i="39" s="1"/>
  <c r="B8" i="32"/>
  <c r="AX153" i="7" a="1"/>
  <c r="AX153" i="7" s="1"/>
  <c r="AY153" i="7" s="1" a="1"/>
  <c r="AY153" i="7" s="1"/>
  <c r="AX144" i="7" a="1"/>
  <c r="AX144" i="7" s="1"/>
  <c r="AY144" i="7" s="1" a="1"/>
  <c r="AY144" i="7" s="1"/>
  <c r="CW66" i="39"/>
  <c r="CX66" i="39" s="1"/>
  <c r="CY66" i="39" s="1" a="1"/>
  <c r="CY66" i="39" s="1"/>
  <c r="CW50" i="39"/>
  <c r="CX50" i="39" s="1"/>
  <c r="CY50" i="39" s="1" a="1"/>
  <c r="CY50" i="39" s="1"/>
  <c r="CW34" i="39"/>
  <c r="CX34" i="39" s="1"/>
  <c r="CY34" i="39" s="1" a="1"/>
  <c r="CY34" i="39" s="1"/>
  <c r="CW18" i="39"/>
  <c r="CX18" i="39" s="1"/>
  <c r="CY18" i="39" s="1" a="1"/>
  <c r="CY18" i="39" s="1"/>
  <c r="BR65" i="39" a="1"/>
  <c r="BR65" i="39" s="1"/>
  <c r="BR57" i="39" a="1"/>
  <c r="BR57" i="39" s="1"/>
  <c r="BR49" i="39" a="1"/>
  <c r="BR49" i="39" s="1"/>
  <c r="BR63" i="39" a="1"/>
  <c r="BR63" i="39" s="1"/>
  <c r="BR55" i="39" a="1"/>
  <c r="BR55" i="39" s="1"/>
  <c r="BR45" i="39" a="1"/>
  <c r="BR45" i="39" s="1"/>
  <c r="B70" i="32"/>
  <c r="B54" i="32"/>
  <c r="B38" i="32"/>
  <c r="B22" i="32"/>
  <c r="BR44" i="39" a="1"/>
  <c r="BR44" i="39" s="1"/>
  <c r="CG44" i="39" s="1" a="1"/>
  <c r="CG44" i="39" s="1"/>
  <c r="AX149" i="7" a="1"/>
  <c r="AX149" i="7" s="1"/>
  <c r="AY149" i="7" s="1" a="1"/>
  <c r="AY149" i="7" s="1"/>
  <c r="AX140" i="7" a="1"/>
  <c r="AX140" i="7" s="1"/>
  <c r="AY140" i="7" s="1" a="1"/>
  <c r="AY140" i="7" s="1"/>
  <c r="BR61" i="39" a="1"/>
  <c r="BR61" i="39" s="1"/>
  <c r="CF61" i="39" s="1" a="1"/>
  <c r="CF61" i="39" s="1"/>
  <c r="BR53" i="39" a="1"/>
  <c r="BR53" i="39" s="1"/>
  <c r="B101" i="32"/>
  <c r="B97" i="32"/>
  <c r="CW96" i="39"/>
  <c r="CX96" i="39" s="1"/>
  <c r="CY96" i="39" s="1" a="1"/>
  <c r="CY96" i="39" s="1"/>
  <c r="CW92" i="39"/>
  <c r="CX92" i="39" s="1"/>
  <c r="CY92" i="39" s="1" a="1"/>
  <c r="CY92" i="39" s="1"/>
  <c r="CW118" i="39"/>
  <c r="CX118" i="39" s="1"/>
  <c r="CY118" i="39" s="1" a="1"/>
  <c r="CY118" i="39" s="1"/>
  <c r="CW114" i="39"/>
  <c r="CX114" i="39" s="1"/>
  <c r="CY114" i="39" s="1" a="1"/>
  <c r="CY114" i="39" s="1"/>
  <c r="CW110" i="39"/>
  <c r="CX110" i="39" s="1"/>
  <c r="CY110" i="39" s="1" a="1"/>
  <c r="CY110" i="39" s="1"/>
  <c r="BR47" i="39" a="1"/>
  <c r="BR47" i="39" s="1"/>
  <c r="B113" i="32"/>
  <c r="B6" i="32"/>
  <c r="B112" i="32"/>
  <c r="B108" i="32"/>
  <c r="B79" i="32"/>
  <c r="B75" i="32"/>
  <c r="B71" i="32"/>
  <c r="B67" i="32"/>
  <c r="B63" i="32"/>
  <c r="B59" i="32"/>
  <c r="B55" i="32"/>
  <c r="B51" i="32"/>
  <c r="B47" i="32"/>
  <c r="B43" i="32"/>
  <c r="B39" i="32"/>
  <c r="B35" i="32"/>
  <c r="B31" i="32"/>
  <c r="B27" i="32"/>
  <c r="B23" i="32"/>
  <c r="B19" i="32"/>
  <c r="B15" i="32"/>
  <c r="B9" i="32"/>
  <c r="AX150" i="7" a="1"/>
  <c r="AX150" i="7" s="1"/>
  <c r="AY150" i="7" s="1" a="1"/>
  <c r="AY150" i="7" s="1"/>
  <c r="AX146" i="7" a="1"/>
  <c r="AX146" i="7" s="1"/>
  <c r="AY146" i="7" s="1" a="1"/>
  <c r="AY146" i="7" s="1"/>
  <c r="AX143" i="7" a="1"/>
  <c r="AX143" i="7" s="1"/>
  <c r="AY143" i="7" s="1" a="1"/>
  <c r="AY143" i="7" s="1"/>
  <c r="AX139" i="7" a="1"/>
  <c r="AX139" i="7" s="1"/>
  <c r="AY139" i="7" s="1" a="1"/>
  <c r="AY139" i="7" s="1"/>
  <c r="CW11" i="39"/>
  <c r="CX11" i="39" s="1"/>
  <c r="CY11" i="39" s="1" a="1"/>
  <c r="CY11" i="39" s="1"/>
  <c r="CW107" i="39"/>
  <c r="CX107" i="39" s="1"/>
  <c r="CY107" i="39" s="1" a="1"/>
  <c r="CY107" i="39" s="1"/>
  <c r="CW103" i="39"/>
  <c r="CX103" i="39" s="1"/>
  <c r="CY103" i="39" s="1" a="1"/>
  <c r="CY103" i="39" s="1"/>
  <c r="CW99" i="39"/>
  <c r="CX99" i="39" s="1"/>
  <c r="CY99" i="39" s="1" a="1"/>
  <c r="CY99" i="39" s="1"/>
  <c r="BR66" i="39" a="1"/>
  <c r="BR66" i="39" s="1"/>
  <c r="CF66" i="39" s="1" a="1"/>
  <c r="CF66" i="39" s="1"/>
  <c r="BR62" i="39" a="1"/>
  <c r="BR62" i="39" s="1"/>
  <c r="BR58" i="39" a="1"/>
  <c r="BR58" i="39" s="1"/>
  <c r="BR54" i="39" a="1"/>
  <c r="BR54" i="39" s="1"/>
  <c r="BR50" i="39" a="1"/>
  <c r="BR50" i="39" s="1"/>
  <c r="BR46" i="39" a="1"/>
  <c r="BR46" i="39" s="1"/>
  <c r="CW98" i="39"/>
  <c r="CX98" i="39" s="1"/>
  <c r="CY98" i="39" s="1" a="1"/>
  <c r="CY98" i="39" s="1"/>
  <c r="CW94" i="39"/>
  <c r="CX94" i="39" s="1"/>
  <c r="CY94" i="39" s="1" a="1"/>
  <c r="CY94" i="39" s="1"/>
  <c r="CW90" i="39"/>
  <c r="CX90" i="39" s="1"/>
  <c r="CY90" i="39" s="1" a="1"/>
  <c r="CY90" i="39" s="1"/>
  <c r="B77" i="32"/>
  <c r="B73" i="32"/>
  <c r="B69" i="32"/>
  <c r="B65" i="32"/>
  <c r="B61" i="32"/>
  <c r="B57" i="32"/>
  <c r="B53" i="32"/>
  <c r="B49" i="32"/>
  <c r="B45" i="32"/>
  <c r="B41" i="32"/>
  <c r="B37" i="32"/>
  <c r="B33" i="32"/>
  <c r="B29" i="32"/>
  <c r="B25" i="32"/>
  <c r="B21" i="32"/>
  <c r="B17" i="32"/>
  <c r="B13" i="32"/>
  <c r="AX155" i="7" a="1"/>
  <c r="AX155" i="7" s="1"/>
  <c r="AY155" i="7" s="1" a="1"/>
  <c r="AY155" i="7" s="1"/>
  <c r="AX152" i="7" a="1"/>
  <c r="AX152" i="7" s="1"/>
  <c r="AY152" i="7" s="1" a="1"/>
  <c r="AY152" i="7" s="1"/>
  <c r="AX148" i="7" a="1"/>
  <c r="AX148" i="7" s="1"/>
  <c r="AY148" i="7" s="1" a="1"/>
  <c r="AY148" i="7" s="1"/>
  <c r="AX145" i="7" a="1"/>
  <c r="AX145" i="7" s="1"/>
  <c r="AY145" i="7" s="1" a="1"/>
  <c r="AY145" i="7" s="1"/>
  <c r="AX141" i="7" a="1"/>
  <c r="AX141" i="7" s="1"/>
  <c r="AY141" i="7" s="1" a="1"/>
  <c r="AY141" i="7" s="1"/>
  <c r="BR68" i="39" a="1"/>
  <c r="BR68" i="39" s="1"/>
  <c r="BR64" i="39" a="1"/>
  <c r="BR64" i="39" s="1"/>
  <c r="CF64" i="39" s="1" a="1"/>
  <c r="CF64" i="39" s="1"/>
  <c r="BR60" i="39" a="1"/>
  <c r="BR60" i="39" s="1"/>
  <c r="BR56" i="39" a="1"/>
  <c r="BR56" i="39" s="1"/>
  <c r="BR52" i="39" a="1"/>
  <c r="BR52" i="39" s="1"/>
  <c r="FN128" i="39"/>
  <c r="DK164" i="39"/>
  <c r="DK168" i="39"/>
  <c r="CD101" i="39"/>
  <c r="CB107" i="39"/>
  <c r="CH104" i="39" s="1"/>
  <c r="IG6" i="39" s="1"/>
  <c r="CC107" i="39"/>
  <c r="CI104" i="39" s="1"/>
  <c r="IG7" i="39" s="1"/>
  <c r="CD107" i="39"/>
  <c r="CJ104" i="39" s="1"/>
  <c r="IG8" i="39" s="1"/>
  <c r="DV166" i="39"/>
  <c r="DD169" i="39"/>
  <c r="DH169" i="39"/>
  <c r="DB163" i="39"/>
  <c r="DD161" i="39"/>
  <c r="DD165" i="39"/>
  <c r="DG168" i="39"/>
  <c r="DJ167" i="39"/>
  <c r="DG164" i="39"/>
  <c r="DF163" i="39"/>
  <c r="DT160" i="39"/>
  <c r="GC163" i="39"/>
  <c r="GI163" i="39" s="1"/>
  <c r="DQ160" i="39"/>
  <c r="CZ169" i="39"/>
  <c r="DC168" i="39"/>
  <c r="DC164" i="39"/>
  <c r="DP160" i="39"/>
  <c r="FN169" i="39"/>
  <c r="GB160" i="39"/>
  <c r="FN165" i="39"/>
  <c r="DX160" i="39"/>
  <c r="GC167" i="39"/>
  <c r="GI167" i="39" s="1"/>
  <c r="FN161" i="39"/>
  <c r="GC168" i="39"/>
  <c r="GI168" i="39" s="1"/>
  <c r="FN168" i="39"/>
  <c r="GC164" i="39"/>
  <c r="GI164" i="39" s="1"/>
  <c r="FN164" i="39"/>
  <c r="DT129" i="39"/>
  <c r="CZ165" i="39"/>
  <c r="DF167" i="39"/>
  <c r="DH161" i="39"/>
  <c r="DO166" i="39"/>
  <c r="DS166" i="39"/>
  <c r="DW166" i="39"/>
  <c r="DM166" i="39"/>
  <c r="DP166" i="39"/>
  <c r="DT166" i="39"/>
  <c r="DX166" i="39"/>
  <c r="DQ166" i="39"/>
  <c r="DU166" i="39"/>
  <c r="DO162" i="39"/>
  <c r="DS162" i="39"/>
  <c r="DW162" i="39"/>
  <c r="DM162" i="39"/>
  <c r="DP162" i="39"/>
  <c r="DT162" i="39"/>
  <c r="DX162" i="39"/>
  <c r="DN162" i="39"/>
  <c r="DR162" i="39"/>
  <c r="DV162" i="39"/>
  <c r="DQ162" i="39"/>
  <c r="DU162" i="39"/>
  <c r="CZ161" i="39"/>
  <c r="DB167" i="39"/>
  <c r="DH165" i="39"/>
  <c r="DR166" i="39"/>
  <c r="DJ163" i="39"/>
  <c r="DN166" i="39"/>
  <c r="CZ168" i="39"/>
  <c r="CZ164" i="39"/>
  <c r="DK169" i="39"/>
  <c r="DG169" i="39"/>
  <c r="DC169" i="39"/>
  <c r="DJ168" i="39"/>
  <c r="DF168" i="39"/>
  <c r="DB168" i="39"/>
  <c r="DI167" i="39"/>
  <c r="DE167" i="39"/>
  <c r="DA167" i="39"/>
  <c r="DK165" i="39"/>
  <c r="DG165" i="39"/>
  <c r="DC165" i="39"/>
  <c r="DJ164" i="39"/>
  <c r="DF164" i="39"/>
  <c r="DB164" i="39"/>
  <c r="DI163" i="39"/>
  <c r="DE163" i="39"/>
  <c r="DA163" i="39"/>
  <c r="DK161" i="39"/>
  <c r="DG161" i="39"/>
  <c r="DC161" i="39"/>
  <c r="DW160" i="39"/>
  <c r="DS160" i="39"/>
  <c r="DO160" i="39"/>
  <c r="GC160" i="39"/>
  <c r="GI160" i="39" s="1"/>
  <c r="GC166" i="39"/>
  <c r="GI166" i="39" s="1"/>
  <c r="GC162" i="39"/>
  <c r="GI162" i="39" s="1"/>
  <c r="CZ167" i="39"/>
  <c r="CZ163" i="39"/>
  <c r="DJ169" i="39"/>
  <c r="DF169" i="39"/>
  <c r="DB169" i="39"/>
  <c r="DI168" i="39"/>
  <c r="DE168" i="39"/>
  <c r="DA168" i="39"/>
  <c r="DH167" i="39"/>
  <c r="DD167" i="39"/>
  <c r="DJ165" i="39"/>
  <c r="DF165" i="39"/>
  <c r="DB165" i="39"/>
  <c r="DI164" i="39"/>
  <c r="DE164" i="39"/>
  <c r="DA164" i="39"/>
  <c r="DH163" i="39"/>
  <c r="DD163" i="39"/>
  <c r="DJ161" i="39"/>
  <c r="DF161" i="39"/>
  <c r="DB161" i="39"/>
  <c r="DV160" i="39"/>
  <c r="DR160" i="39"/>
  <c r="DN160" i="39"/>
  <c r="DI169" i="39"/>
  <c r="DE169" i="39"/>
  <c r="DA169" i="39"/>
  <c r="DH168" i="39"/>
  <c r="DD168" i="39"/>
  <c r="DK167" i="39"/>
  <c r="DG167" i="39"/>
  <c r="DC167" i="39"/>
  <c r="DI165" i="39"/>
  <c r="DE165" i="39"/>
  <c r="DA165" i="39"/>
  <c r="DH164" i="39"/>
  <c r="DD164" i="39"/>
  <c r="DK163" i="39"/>
  <c r="DG163" i="39"/>
  <c r="DC163" i="39"/>
  <c r="DI161" i="39"/>
  <c r="DE161" i="39"/>
  <c r="DA161" i="39"/>
  <c r="DM160" i="39"/>
  <c r="DU160" i="39"/>
  <c r="GC152" i="39"/>
  <c r="GI152" i="39" s="1"/>
  <c r="GC136" i="39"/>
  <c r="GI136" i="39" s="1"/>
  <c r="DT157" i="39"/>
  <c r="FN157" i="39"/>
  <c r="GC157" i="39"/>
  <c r="GI157" i="39" s="1"/>
  <c r="GC149" i="39"/>
  <c r="GI149" i="39" s="1"/>
  <c r="FN149" i="39"/>
  <c r="GC133" i="39"/>
  <c r="GI133" i="39" s="1"/>
  <c r="FN133" i="39"/>
  <c r="FN125" i="39"/>
  <c r="FN124" i="39"/>
  <c r="GC159" i="39"/>
  <c r="GI159" i="39" s="1"/>
  <c r="GC143" i="39"/>
  <c r="GI143" i="39" s="1"/>
  <c r="GC135" i="39"/>
  <c r="GI135" i="39" s="1"/>
  <c r="GC127" i="39"/>
  <c r="GI127" i="39" s="1"/>
  <c r="FN148" i="39"/>
  <c r="FN134" i="39"/>
  <c r="FN129" i="39"/>
  <c r="FN123" i="39"/>
  <c r="GC158" i="39"/>
  <c r="GI158" i="39" s="1"/>
  <c r="GC150" i="39"/>
  <c r="GI150" i="39" s="1"/>
  <c r="GC126" i="39"/>
  <c r="GI126" i="39" s="1"/>
  <c r="FN153" i="39"/>
  <c r="FN147" i="39"/>
  <c r="FN138" i="39"/>
  <c r="GC141" i="39"/>
  <c r="GI141" i="39" s="1"/>
  <c r="FN132" i="39"/>
  <c r="GC156" i="39"/>
  <c r="GI156" i="39" s="1"/>
  <c r="FN137" i="39"/>
  <c r="FN131" i="39"/>
  <c r="GC139" i="39"/>
  <c r="GI139" i="39" s="1"/>
  <c r="FN146" i="39"/>
  <c r="GC130" i="39"/>
  <c r="GI130" i="39" s="1"/>
  <c r="GC129" i="39"/>
  <c r="GI129" i="39" s="1"/>
  <c r="DM155" i="39"/>
  <c r="DQ155" i="39"/>
  <c r="EZ154" i="39"/>
  <c r="EZ145" i="39"/>
  <c r="EZ135" i="39"/>
  <c r="DM135" i="39"/>
  <c r="DU135" i="39"/>
  <c r="DN135" i="39"/>
  <c r="DV135" i="39"/>
  <c r="DO135" i="39"/>
  <c r="DW135" i="39"/>
  <c r="DP135" i="39"/>
  <c r="DX135" i="39"/>
  <c r="DQ135" i="39"/>
  <c r="DR135" i="39"/>
  <c r="DS135" i="39"/>
  <c r="DT135" i="39"/>
  <c r="EZ126" i="39"/>
  <c r="DQ126" i="39"/>
  <c r="DR126" i="39"/>
  <c r="DS126" i="39"/>
  <c r="DT126" i="39"/>
  <c r="DM126" i="39"/>
  <c r="DU126" i="39"/>
  <c r="DN126" i="39"/>
  <c r="DV126" i="39"/>
  <c r="DO126" i="39"/>
  <c r="DW126" i="39"/>
  <c r="DP126" i="39"/>
  <c r="DX126" i="39"/>
  <c r="EZ127" i="39"/>
  <c r="DM127" i="39"/>
  <c r="DU127" i="39"/>
  <c r="DN127" i="39"/>
  <c r="DV127" i="39"/>
  <c r="DO127" i="39"/>
  <c r="DW127" i="39"/>
  <c r="DP127" i="39"/>
  <c r="DX127" i="39"/>
  <c r="DQ127" i="39"/>
  <c r="DR127" i="39"/>
  <c r="DS127" i="39"/>
  <c r="DT127" i="39"/>
  <c r="EZ153" i="39"/>
  <c r="DW153" i="39"/>
  <c r="EZ143" i="39"/>
  <c r="DM143" i="39"/>
  <c r="DU143" i="39"/>
  <c r="DN143" i="39"/>
  <c r="DV143" i="39"/>
  <c r="DO143" i="39"/>
  <c r="DW143" i="39"/>
  <c r="DP143" i="39"/>
  <c r="DX143" i="39"/>
  <c r="DQ143" i="39"/>
  <c r="DR143" i="39"/>
  <c r="DS143" i="39"/>
  <c r="DT143" i="39"/>
  <c r="EZ134" i="39"/>
  <c r="DQ134" i="39"/>
  <c r="DR134" i="39"/>
  <c r="DS134" i="39"/>
  <c r="DT134" i="39"/>
  <c r="DM134" i="39"/>
  <c r="DU134" i="39"/>
  <c r="DN134" i="39"/>
  <c r="DV134" i="39"/>
  <c r="DO134" i="39"/>
  <c r="DW134" i="39"/>
  <c r="DP134" i="39"/>
  <c r="DX134" i="39"/>
  <c r="DW125" i="39"/>
  <c r="EZ137" i="39"/>
  <c r="DM137" i="39"/>
  <c r="DU137" i="39"/>
  <c r="DN137" i="39"/>
  <c r="DV137" i="39"/>
  <c r="DO137" i="39"/>
  <c r="DW137" i="39"/>
  <c r="DP137" i="39"/>
  <c r="DX137" i="39"/>
  <c r="DQ137" i="39"/>
  <c r="DR137" i="39"/>
  <c r="DS137" i="39"/>
  <c r="DT137" i="39"/>
  <c r="EZ151" i="39"/>
  <c r="DU151" i="39"/>
  <c r="DR151" i="39"/>
  <c r="EZ142" i="39"/>
  <c r="DM133" i="39"/>
  <c r="DU133" i="39"/>
  <c r="DN133" i="39"/>
  <c r="DV133" i="39"/>
  <c r="DO133" i="39"/>
  <c r="DW133" i="39"/>
  <c r="DP133" i="39"/>
  <c r="DX133" i="39"/>
  <c r="DQ133" i="39"/>
  <c r="DR133" i="39"/>
  <c r="DS133" i="39"/>
  <c r="DT133" i="39"/>
  <c r="EZ124" i="39"/>
  <c r="DQ124" i="39"/>
  <c r="DR124" i="39"/>
  <c r="DS124" i="39"/>
  <c r="DT124" i="39"/>
  <c r="DM124" i="39"/>
  <c r="DU124" i="39"/>
  <c r="DN124" i="39"/>
  <c r="DV124" i="39"/>
  <c r="DO124" i="39"/>
  <c r="DW124" i="39"/>
  <c r="DX124" i="39"/>
  <c r="DP124" i="39"/>
  <c r="EZ146" i="39"/>
  <c r="DT146" i="39"/>
  <c r="DX146" i="39"/>
  <c r="EZ159" i="39"/>
  <c r="DM159" i="39"/>
  <c r="DU159" i="39"/>
  <c r="DN159" i="39"/>
  <c r="DV159" i="39"/>
  <c r="DO159" i="39"/>
  <c r="DW159" i="39"/>
  <c r="DP159" i="39"/>
  <c r="DX159" i="39"/>
  <c r="DQ159" i="39"/>
  <c r="DR159" i="39"/>
  <c r="DS159" i="39"/>
  <c r="DT159" i="39"/>
  <c r="EZ150" i="39"/>
  <c r="DQ150" i="39"/>
  <c r="DR150" i="39"/>
  <c r="DS150" i="39"/>
  <c r="DT150" i="39"/>
  <c r="DM150" i="39"/>
  <c r="DU150" i="39"/>
  <c r="DN150" i="39"/>
  <c r="DV150" i="39"/>
  <c r="DO150" i="39"/>
  <c r="DW150" i="39"/>
  <c r="DP150" i="39"/>
  <c r="DX150" i="39"/>
  <c r="EZ141" i="39"/>
  <c r="DM141" i="39"/>
  <c r="DU141" i="39"/>
  <c r="DN141" i="39"/>
  <c r="DV141" i="39"/>
  <c r="DO141" i="39"/>
  <c r="DW141" i="39"/>
  <c r="DP141" i="39"/>
  <c r="DX141" i="39"/>
  <c r="DQ141" i="39"/>
  <c r="DR141" i="39"/>
  <c r="DS141" i="39"/>
  <c r="DT141" i="39"/>
  <c r="EZ132" i="39"/>
  <c r="DQ132" i="39"/>
  <c r="DR132" i="39"/>
  <c r="DS132" i="39"/>
  <c r="DT132" i="39"/>
  <c r="DM132" i="39"/>
  <c r="DU132" i="39"/>
  <c r="DN132" i="39"/>
  <c r="DV132" i="39"/>
  <c r="DO132" i="39"/>
  <c r="DW132" i="39"/>
  <c r="DP132" i="39"/>
  <c r="DX132" i="39"/>
  <c r="EZ123" i="39"/>
  <c r="DM123" i="39"/>
  <c r="DU123" i="39"/>
  <c r="DN123" i="39"/>
  <c r="DV123" i="39"/>
  <c r="DO123" i="39"/>
  <c r="DW123" i="39"/>
  <c r="DP123" i="39"/>
  <c r="DX123" i="39"/>
  <c r="DQ123" i="39"/>
  <c r="DR123" i="39"/>
  <c r="DS123" i="39"/>
  <c r="DT123" i="39"/>
  <c r="EZ158" i="39"/>
  <c r="DQ158" i="39"/>
  <c r="DR158" i="39"/>
  <c r="DS158" i="39"/>
  <c r="DT158" i="39"/>
  <c r="DM158" i="39"/>
  <c r="DU158" i="39"/>
  <c r="DN158" i="39"/>
  <c r="DV158" i="39"/>
  <c r="DO158" i="39"/>
  <c r="DW158" i="39"/>
  <c r="DP158" i="39"/>
  <c r="DX158" i="39"/>
  <c r="DM149" i="39"/>
  <c r="DU149" i="39"/>
  <c r="DN149" i="39"/>
  <c r="DV149" i="39"/>
  <c r="DO149" i="39"/>
  <c r="DW149" i="39"/>
  <c r="DP149" i="39"/>
  <c r="DX149" i="39"/>
  <c r="DQ149" i="39"/>
  <c r="DR149" i="39"/>
  <c r="DS149" i="39"/>
  <c r="DT149" i="39"/>
  <c r="EZ140" i="39"/>
  <c r="DM131" i="39"/>
  <c r="DU131" i="39"/>
  <c r="DN131" i="39"/>
  <c r="DV131" i="39"/>
  <c r="DO131" i="39"/>
  <c r="DW131" i="39"/>
  <c r="DP131" i="39"/>
  <c r="DX131" i="39"/>
  <c r="DQ131" i="39"/>
  <c r="DR131" i="39"/>
  <c r="DS131" i="39"/>
  <c r="DT131" i="39"/>
  <c r="EZ122" i="39"/>
  <c r="EZ152" i="39"/>
  <c r="DQ152" i="39"/>
  <c r="DR152" i="39"/>
  <c r="DS152" i="39"/>
  <c r="DT152" i="39"/>
  <c r="DM152" i="39"/>
  <c r="DU152" i="39"/>
  <c r="DN152" i="39"/>
  <c r="DV152" i="39"/>
  <c r="DO152" i="39"/>
  <c r="DW152" i="39"/>
  <c r="DX152" i="39"/>
  <c r="DP152" i="39"/>
  <c r="EZ144" i="39"/>
  <c r="EZ136" i="39"/>
  <c r="DQ136" i="39"/>
  <c r="DR136" i="39"/>
  <c r="DS136" i="39"/>
  <c r="DT136" i="39"/>
  <c r="DM136" i="39"/>
  <c r="DU136" i="39"/>
  <c r="DN136" i="39"/>
  <c r="DV136" i="39"/>
  <c r="DO136" i="39"/>
  <c r="DW136" i="39"/>
  <c r="DX136" i="39"/>
  <c r="DP136" i="39"/>
  <c r="EZ128" i="39"/>
  <c r="DR128" i="39"/>
  <c r="DU128" i="39"/>
  <c r="DW128" i="39"/>
  <c r="EZ139" i="39"/>
  <c r="DM139" i="39"/>
  <c r="DU139" i="39"/>
  <c r="DN139" i="39"/>
  <c r="DV139" i="39"/>
  <c r="DO139" i="39"/>
  <c r="DW139" i="39"/>
  <c r="DP139" i="39"/>
  <c r="DX139" i="39"/>
  <c r="DQ139" i="39"/>
  <c r="DR139" i="39"/>
  <c r="DS139" i="39"/>
  <c r="DT139" i="39"/>
  <c r="EZ130" i="39"/>
  <c r="DQ130" i="39"/>
  <c r="DR130" i="39"/>
  <c r="DS130" i="39"/>
  <c r="DT130" i="39"/>
  <c r="DM130" i="39"/>
  <c r="DU130" i="39"/>
  <c r="DN130" i="39"/>
  <c r="DV130" i="39"/>
  <c r="DO130" i="39"/>
  <c r="DW130" i="39"/>
  <c r="DP130" i="39"/>
  <c r="DX130" i="39"/>
  <c r="EZ157" i="39"/>
  <c r="DM157" i="39"/>
  <c r="DU157" i="39"/>
  <c r="DN157" i="39"/>
  <c r="DV157" i="39"/>
  <c r="DO157" i="39"/>
  <c r="DW157" i="39"/>
  <c r="DP157" i="39"/>
  <c r="DX157" i="39"/>
  <c r="DQ157" i="39"/>
  <c r="DR157" i="39"/>
  <c r="DS157" i="39"/>
  <c r="EZ156" i="39"/>
  <c r="DQ156" i="39"/>
  <c r="DR156" i="39"/>
  <c r="DS156" i="39"/>
  <c r="DT156" i="39"/>
  <c r="DM156" i="39"/>
  <c r="DU156" i="39"/>
  <c r="DN156" i="39"/>
  <c r="DV156" i="39"/>
  <c r="DO156" i="39"/>
  <c r="DW156" i="39"/>
  <c r="DX156" i="39"/>
  <c r="DP156" i="39"/>
  <c r="DM147" i="39"/>
  <c r="DU147" i="39"/>
  <c r="DN147" i="39"/>
  <c r="DV147" i="39"/>
  <c r="DO147" i="39"/>
  <c r="DW147" i="39"/>
  <c r="DP147" i="39"/>
  <c r="DX147" i="39"/>
  <c r="DQ147" i="39"/>
  <c r="DR147" i="39"/>
  <c r="DS147" i="39"/>
  <c r="DT147" i="39"/>
  <c r="EZ138" i="39"/>
  <c r="DQ138" i="39"/>
  <c r="DR138" i="39"/>
  <c r="DS138" i="39"/>
  <c r="DT138" i="39"/>
  <c r="DM138" i="39"/>
  <c r="DU138" i="39"/>
  <c r="DN138" i="39"/>
  <c r="DV138" i="39"/>
  <c r="DO138" i="39"/>
  <c r="DW138" i="39"/>
  <c r="DP138" i="39"/>
  <c r="DX138" i="39"/>
  <c r="GL129" i="39"/>
  <c r="GM129" i="39" s="1" a="1"/>
  <c r="GM129" i="39" s="1"/>
  <c r="DM129" i="39"/>
  <c r="DU129" i="39"/>
  <c r="DN129" i="39"/>
  <c r="DV129" i="39"/>
  <c r="DO129" i="39"/>
  <c r="DW129" i="39"/>
  <c r="DP129" i="39"/>
  <c r="DX129" i="39"/>
  <c r="DQ129" i="39"/>
  <c r="DR129" i="39"/>
  <c r="DS129" i="39"/>
  <c r="EZ129" i="39"/>
  <c r="DA149" i="39"/>
  <c r="DD133" i="39"/>
  <c r="DI147" i="39"/>
  <c r="DF131" i="39"/>
  <c r="DE154" i="39"/>
  <c r="DH138" i="39"/>
  <c r="DF122" i="39"/>
  <c r="EZ149" i="39"/>
  <c r="EZ133" i="39"/>
  <c r="EZ148" i="39"/>
  <c r="DE152" i="39"/>
  <c r="DJ136" i="39"/>
  <c r="CS81" i="39"/>
  <c r="DN161" i="39" s="1"/>
  <c r="EZ147" i="39"/>
  <c r="EZ131" i="39"/>
  <c r="CQ75" i="39"/>
  <c r="DG154" i="39" s="1"/>
  <c r="DH129" i="39"/>
  <c r="GB150" i="39"/>
  <c r="GL150" i="39"/>
  <c r="GM150" i="39" s="1" a="1"/>
  <c r="GM150" i="39" s="1"/>
  <c r="DF150" i="39"/>
  <c r="DG150" i="39"/>
  <c r="CZ150" i="39"/>
  <c r="DH150" i="39"/>
  <c r="DA150" i="39"/>
  <c r="DI150" i="39"/>
  <c r="DB150" i="39"/>
  <c r="DJ150" i="39"/>
  <c r="DC150" i="39"/>
  <c r="DK150" i="39"/>
  <c r="DD150" i="39"/>
  <c r="DE150" i="39"/>
  <c r="GB134" i="39"/>
  <c r="GL134" i="39"/>
  <c r="GM134" i="39" s="1" a="1"/>
  <c r="GM134" i="39" s="1"/>
  <c r="DA134" i="39"/>
  <c r="DI134" i="39"/>
  <c r="DC134" i="39"/>
  <c r="DK134" i="39"/>
  <c r="DE134" i="39"/>
  <c r="DF134" i="39"/>
  <c r="DG134" i="39"/>
  <c r="CZ134" i="39"/>
  <c r="DB134" i="39"/>
  <c r="DD134" i="39"/>
  <c r="DH134" i="39"/>
  <c r="DJ134" i="39"/>
  <c r="GL142" i="39"/>
  <c r="GM142" i="39" s="1" a="1"/>
  <c r="GM142" i="39" s="1"/>
  <c r="DK142" i="39"/>
  <c r="DD142" i="39"/>
  <c r="DH142" i="39"/>
  <c r="GB158" i="39"/>
  <c r="GL158" i="39"/>
  <c r="GM158" i="39" s="1" a="1"/>
  <c r="GM158" i="39" s="1"/>
  <c r="DF158" i="39"/>
  <c r="DG158" i="39"/>
  <c r="CZ158" i="39"/>
  <c r="DH158" i="39"/>
  <c r="DA158" i="39"/>
  <c r="DI158" i="39"/>
  <c r="DB158" i="39"/>
  <c r="DJ158" i="39"/>
  <c r="DC158" i="39"/>
  <c r="DK158" i="39"/>
  <c r="DD158" i="39"/>
  <c r="DE158" i="39"/>
  <c r="GB159" i="39"/>
  <c r="GL159" i="39"/>
  <c r="GM159" i="39" s="1" a="1"/>
  <c r="GM159" i="39" s="1"/>
  <c r="DB159" i="39"/>
  <c r="DJ159" i="39"/>
  <c r="DC159" i="39"/>
  <c r="DK159" i="39"/>
  <c r="DD159" i="39"/>
  <c r="DE159" i="39"/>
  <c r="DF159" i="39"/>
  <c r="DG159" i="39"/>
  <c r="CZ159" i="39"/>
  <c r="DH159" i="39"/>
  <c r="GL151" i="39"/>
  <c r="GM151" i="39" s="1" a="1"/>
  <c r="GM151" i="39" s="1"/>
  <c r="DC151" i="39"/>
  <c r="GB143" i="39"/>
  <c r="GL143" i="39"/>
  <c r="GM143" i="39" s="1" a="1"/>
  <c r="GM143" i="39" s="1"/>
  <c r="DE143" i="39"/>
  <c r="DG143" i="39"/>
  <c r="DI143" i="39"/>
  <c r="CZ143" i="39"/>
  <c r="DJ143" i="39"/>
  <c r="DA143" i="39"/>
  <c r="DK143" i="39"/>
  <c r="DB143" i="39"/>
  <c r="DC143" i="39"/>
  <c r="DD143" i="39"/>
  <c r="DF143" i="39"/>
  <c r="GB135" i="39"/>
  <c r="GL135" i="39"/>
  <c r="GM135" i="39" s="1" a="1"/>
  <c r="GM135" i="39" s="1"/>
  <c r="DE135" i="39"/>
  <c r="DG135" i="39"/>
  <c r="DA135" i="39"/>
  <c r="DI135" i="39"/>
  <c r="DB135" i="39"/>
  <c r="DJ135" i="39"/>
  <c r="DC135" i="39"/>
  <c r="DK135" i="39"/>
  <c r="DD135" i="39"/>
  <c r="DF135" i="39"/>
  <c r="DH135" i="39"/>
  <c r="GB127" i="39"/>
  <c r="GL127" i="39"/>
  <c r="GM127" i="39" s="1" a="1"/>
  <c r="GM127" i="39" s="1"/>
  <c r="DE127" i="39"/>
  <c r="DG127" i="39"/>
  <c r="DA127" i="39"/>
  <c r="DI127" i="39"/>
  <c r="DB127" i="39"/>
  <c r="DJ127" i="39"/>
  <c r="DC127" i="39"/>
  <c r="DK127" i="39"/>
  <c r="CZ127" i="39"/>
  <c r="DD127" i="39"/>
  <c r="DF127" i="39"/>
  <c r="DH127" i="39"/>
  <c r="DI149" i="39"/>
  <c r="GB126" i="39"/>
  <c r="GL126" i="39"/>
  <c r="GM126" i="39" s="1" a="1"/>
  <c r="GM126" i="39" s="1"/>
  <c r="DA126" i="39"/>
  <c r="DI126" i="39"/>
  <c r="DC126" i="39"/>
  <c r="DK126" i="39"/>
  <c r="DE126" i="39"/>
  <c r="DF126" i="39"/>
  <c r="DG126" i="39"/>
  <c r="DD126" i="39"/>
  <c r="DH126" i="39"/>
  <c r="DJ126" i="39"/>
  <c r="CZ126" i="39"/>
  <c r="DI159" i="39"/>
  <c r="DH143" i="39"/>
  <c r="GB157" i="39"/>
  <c r="GL157" i="39"/>
  <c r="GM157" i="39" s="1" a="1"/>
  <c r="GM157" i="39" s="1"/>
  <c r="DB157" i="39"/>
  <c r="DJ157" i="39"/>
  <c r="DC157" i="39"/>
  <c r="DK157" i="39"/>
  <c r="DD157" i="39"/>
  <c r="DE157" i="39"/>
  <c r="DF157" i="39"/>
  <c r="DG157" i="39"/>
  <c r="CZ157" i="39"/>
  <c r="DH157" i="39"/>
  <c r="GB141" i="39"/>
  <c r="GL141" i="39"/>
  <c r="GM141" i="39" s="1" a="1"/>
  <c r="GM141" i="39" s="1"/>
  <c r="DE141" i="39"/>
  <c r="DG141" i="39"/>
  <c r="DA141" i="39"/>
  <c r="DB141" i="39"/>
  <c r="DC141" i="39"/>
  <c r="DK141" i="39"/>
  <c r="CZ141" i="39"/>
  <c r="DD141" i="39"/>
  <c r="DF141" i="39"/>
  <c r="DH141" i="39"/>
  <c r="DI141" i="39"/>
  <c r="GB133" i="39"/>
  <c r="GL133" i="39"/>
  <c r="GM133" i="39" s="1" a="1"/>
  <c r="GM133" i="39" s="1"/>
  <c r="DE133" i="39"/>
  <c r="DG133" i="39"/>
  <c r="DA133" i="39"/>
  <c r="DI133" i="39"/>
  <c r="DB133" i="39"/>
  <c r="DJ133" i="39"/>
  <c r="DC133" i="39"/>
  <c r="DK133" i="39"/>
  <c r="DF133" i="39"/>
  <c r="DH133" i="39"/>
  <c r="CZ133" i="39"/>
  <c r="GL125" i="39"/>
  <c r="GM125" i="39" s="1" a="1"/>
  <c r="GM125" i="39" s="1"/>
  <c r="DI125" i="39"/>
  <c r="DH125" i="39"/>
  <c r="DA159" i="39"/>
  <c r="GB149" i="39"/>
  <c r="GL149" i="39"/>
  <c r="GM149" i="39" s="1" a="1"/>
  <c r="GM149" i="39" s="1"/>
  <c r="DB149" i="39"/>
  <c r="DJ149" i="39"/>
  <c r="DC149" i="39"/>
  <c r="DK149" i="39"/>
  <c r="DD149" i="39"/>
  <c r="DE149" i="39"/>
  <c r="DF149" i="39"/>
  <c r="DG149" i="39"/>
  <c r="CZ149" i="39"/>
  <c r="DH149" i="39"/>
  <c r="GB156" i="39"/>
  <c r="GL156" i="39"/>
  <c r="GM156" i="39" s="1" a="1"/>
  <c r="GM156" i="39" s="1"/>
  <c r="DF156" i="39"/>
  <c r="DG156" i="39"/>
  <c r="CZ156" i="39"/>
  <c r="DH156" i="39"/>
  <c r="DA156" i="39"/>
  <c r="DI156" i="39"/>
  <c r="DB156" i="39"/>
  <c r="DJ156" i="39"/>
  <c r="DC156" i="39"/>
  <c r="DK156" i="39"/>
  <c r="DD156" i="39"/>
  <c r="GL148" i="39"/>
  <c r="GM148" i="39" s="1" a="1"/>
  <c r="GM148" i="39" s="1"/>
  <c r="GB132" i="39"/>
  <c r="GL132" i="39"/>
  <c r="GM132" i="39" s="1" a="1"/>
  <c r="GM132" i="39" s="1"/>
  <c r="DA132" i="39"/>
  <c r="DI132" i="39"/>
  <c r="DC132" i="39"/>
  <c r="DK132" i="39"/>
  <c r="DE132" i="39"/>
  <c r="DF132" i="39"/>
  <c r="DG132" i="39"/>
  <c r="CZ132" i="39"/>
  <c r="DB132" i="39"/>
  <c r="DD132" i="39"/>
  <c r="DH132" i="39"/>
  <c r="DJ132" i="39"/>
  <c r="GB124" i="39"/>
  <c r="GL124" i="39"/>
  <c r="GM124" i="39" s="1" a="1"/>
  <c r="GM124" i="39" s="1"/>
  <c r="DA124" i="39"/>
  <c r="DI124" i="39"/>
  <c r="DC124" i="39"/>
  <c r="DK124" i="39"/>
  <c r="DE124" i="39"/>
  <c r="DF124" i="39"/>
  <c r="DG124" i="39"/>
  <c r="DH124" i="39"/>
  <c r="DJ124" i="39"/>
  <c r="CZ124" i="39"/>
  <c r="DB124" i="39"/>
  <c r="DJ141" i="39"/>
  <c r="GL155" i="39"/>
  <c r="GM155" i="39" s="1" a="1"/>
  <c r="GM155" i="39" s="1"/>
  <c r="DB155" i="39"/>
  <c r="DJ155" i="39"/>
  <c r="CZ155" i="39"/>
  <c r="DH155" i="39"/>
  <c r="GB147" i="39"/>
  <c r="GL147" i="39"/>
  <c r="GM147" i="39" s="1" a="1"/>
  <c r="GM147" i="39" s="1"/>
  <c r="DB147" i="39"/>
  <c r="DJ147" i="39"/>
  <c r="DC147" i="39"/>
  <c r="DK147" i="39"/>
  <c r="DD147" i="39"/>
  <c r="DE147" i="39"/>
  <c r="DF147" i="39"/>
  <c r="DG147" i="39"/>
  <c r="CZ147" i="39"/>
  <c r="DH147" i="39"/>
  <c r="GB139" i="39"/>
  <c r="GL139" i="39"/>
  <c r="GM139" i="39" s="1" a="1"/>
  <c r="GM139" i="39" s="1"/>
  <c r="DE139" i="39"/>
  <c r="DG139" i="39"/>
  <c r="DA139" i="39"/>
  <c r="DI139" i="39"/>
  <c r="DB139" i="39"/>
  <c r="DJ139" i="39"/>
  <c r="DC139" i="39"/>
  <c r="DK139" i="39"/>
  <c r="CZ139" i="39"/>
  <c r="DD139" i="39"/>
  <c r="DF139" i="39"/>
  <c r="DH139" i="39"/>
  <c r="GB131" i="39"/>
  <c r="GL131" i="39"/>
  <c r="GM131" i="39" s="1" a="1"/>
  <c r="GM131" i="39" s="1"/>
  <c r="DE131" i="39"/>
  <c r="DG131" i="39"/>
  <c r="DA131" i="39"/>
  <c r="DI131" i="39"/>
  <c r="DB131" i="39"/>
  <c r="DJ131" i="39"/>
  <c r="DC131" i="39"/>
  <c r="DK131" i="39"/>
  <c r="DH131" i="39"/>
  <c r="CZ131" i="39"/>
  <c r="DD131" i="39"/>
  <c r="GB123" i="39"/>
  <c r="GL123" i="39"/>
  <c r="GM123" i="39" s="1" a="1"/>
  <c r="GM123" i="39" s="1"/>
  <c r="DE123" i="39"/>
  <c r="DG123" i="39"/>
  <c r="DA123" i="39"/>
  <c r="DI123" i="39"/>
  <c r="DB123" i="39"/>
  <c r="DJ123" i="39"/>
  <c r="DC123" i="39"/>
  <c r="DK123" i="39"/>
  <c r="CZ123" i="39"/>
  <c r="DD123" i="39"/>
  <c r="DF123" i="39"/>
  <c r="DH123" i="39"/>
  <c r="DI157" i="39"/>
  <c r="DA147" i="39"/>
  <c r="DB126" i="39"/>
  <c r="GL146" i="39"/>
  <c r="DH146" i="39"/>
  <c r="DA146" i="39"/>
  <c r="DA157" i="39"/>
  <c r="DD124" i="39"/>
  <c r="GL154" i="39"/>
  <c r="GM154" i="39" s="1" a="1"/>
  <c r="GM154" i="39" s="1"/>
  <c r="DF154" i="39"/>
  <c r="CZ154" i="39"/>
  <c r="DH154" i="39"/>
  <c r="DB154" i="39"/>
  <c r="DJ154" i="39"/>
  <c r="DD154" i="39"/>
  <c r="GL130" i="39"/>
  <c r="GM130" i="39" s="1" a="1"/>
  <c r="GM130" i="39" s="1"/>
  <c r="DA130" i="39"/>
  <c r="DI130" i="39"/>
  <c r="DC130" i="39"/>
  <c r="DK130" i="39"/>
  <c r="GB130" i="39"/>
  <c r="DE130" i="39"/>
  <c r="DF130" i="39"/>
  <c r="DG130" i="39"/>
  <c r="CZ130" i="39"/>
  <c r="DB130" i="39"/>
  <c r="DD130" i="39"/>
  <c r="DH130" i="39"/>
  <c r="DJ130" i="39"/>
  <c r="GL153" i="39"/>
  <c r="GM153" i="39" s="1" a="1"/>
  <c r="GM153" i="39" s="1"/>
  <c r="DC153" i="39"/>
  <c r="GL145" i="39"/>
  <c r="GM145" i="39" s="1" a="1"/>
  <c r="GM145" i="39" s="1"/>
  <c r="DB145" i="39"/>
  <c r="GB137" i="39"/>
  <c r="GL137" i="39"/>
  <c r="GM137" i="39" s="1" a="1"/>
  <c r="GM137" i="39" s="1"/>
  <c r="DE137" i="39"/>
  <c r="DG137" i="39"/>
  <c r="DA137" i="39"/>
  <c r="DI137" i="39"/>
  <c r="DB137" i="39"/>
  <c r="DJ137" i="39"/>
  <c r="DC137" i="39"/>
  <c r="DK137" i="39"/>
  <c r="CZ137" i="39"/>
  <c r="DD137" i="39"/>
  <c r="DF137" i="39"/>
  <c r="DH137" i="39"/>
  <c r="GB129" i="39"/>
  <c r="DE129" i="39"/>
  <c r="DG129" i="39"/>
  <c r="DA129" i="39"/>
  <c r="DI129" i="39"/>
  <c r="DB129" i="39"/>
  <c r="DJ129" i="39"/>
  <c r="DC129" i="39"/>
  <c r="DK129" i="39"/>
  <c r="CZ129" i="39"/>
  <c r="DD129" i="39"/>
  <c r="DF129" i="39"/>
  <c r="DE156" i="39"/>
  <c r="GL138" i="39"/>
  <c r="GM138" i="39" s="1" a="1"/>
  <c r="GM138" i="39" s="1"/>
  <c r="DA138" i="39"/>
  <c r="DI138" i="39"/>
  <c r="DC138" i="39"/>
  <c r="DK138" i="39"/>
  <c r="DE138" i="39"/>
  <c r="GB138" i="39"/>
  <c r="DF138" i="39"/>
  <c r="DG138" i="39"/>
  <c r="DJ138" i="39"/>
  <c r="CZ138" i="39"/>
  <c r="DB138" i="39"/>
  <c r="DD138" i="39"/>
  <c r="GL122" i="39"/>
  <c r="GM122" i="39" s="1" a="1"/>
  <c r="GM122" i="39" s="1"/>
  <c r="DG122" i="39"/>
  <c r="DH122" i="39"/>
  <c r="DA122" i="39"/>
  <c r="DI122" i="39"/>
  <c r="DB122" i="39"/>
  <c r="DJ122" i="39"/>
  <c r="DC122" i="39"/>
  <c r="DK122" i="39"/>
  <c r="DD122" i="39"/>
  <c r="CZ122" i="39"/>
  <c r="DE122" i="39"/>
  <c r="GB152" i="39"/>
  <c r="GL152" i="39"/>
  <c r="GM152" i="39" s="1" a="1"/>
  <c r="GM152" i="39" s="1"/>
  <c r="DF152" i="39"/>
  <c r="DG152" i="39"/>
  <c r="CZ152" i="39"/>
  <c r="DH152" i="39"/>
  <c r="DA152" i="39"/>
  <c r="DI152" i="39"/>
  <c r="DB152" i="39"/>
  <c r="DJ152" i="39"/>
  <c r="DC152" i="39"/>
  <c r="DK152" i="39"/>
  <c r="DD152" i="39"/>
  <c r="GL144" i="39"/>
  <c r="DA144" i="39"/>
  <c r="DF144" i="39"/>
  <c r="DG144" i="39"/>
  <c r="DH144" i="39"/>
  <c r="CZ144" i="39"/>
  <c r="DI144" i="39"/>
  <c r="DB144" i="39"/>
  <c r="DJ144" i="39"/>
  <c r="DC144" i="39"/>
  <c r="DK144" i="39"/>
  <c r="DD144" i="39"/>
  <c r="GB136" i="39"/>
  <c r="GL136" i="39"/>
  <c r="GM136" i="39" s="1" a="1"/>
  <c r="GM136" i="39" s="1"/>
  <c r="DA136" i="39"/>
  <c r="DI136" i="39"/>
  <c r="DC136" i="39"/>
  <c r="DK136" i="39"/>
  <c r="DE136" i="39"/>
  <c r="DF136" i="39"/>
  <c r="DG136" i="39"/>
  <c r="CZ136" i="39"/>
  <c r="DB136" i="39"/>
  <c r="DD136" i="39"/>
  <c r="DH136" i="39"/>
  <c r="GL128" i="39"/>
  <c r="GM128" i="39" s="1" a="1"/>
  <c r="GM128" i="39" s="1"/>
  <c r="DI155" i="39"/>
  <c r="CZ135" i="39"/>
  <c r="CS53" i="39"/>
  <c r="CQ55" i="39"/>
  <c r="CQ67" i="39"/>
  <c r="CS45" i="39"/>
  <c r="CQ47" i="39"/>
  <c r="CQ59" i="39"/>
  <c r="CS85" i="39"/>
  <c r="DX165" i="39" s="1"/>
  <c r="CQ51" i="39"/>
  <c r="CQ63" i="39"/>
  <c r="CS89" i="39"/>
  <c r="DX169" i="39" s="1"/>
  <c r="CS61" i="39"/>
  <c r="CA21" i="39" a="1"/>
  <c r="CA21" i="39" s="1"/>
  <c r="CA15" i="39" a="1"/>
  <c r="CA15" i="39" s="1"/>
  <c r="CS65" i="39"/>
  <c r="CA16" i="39" a="1"/>
  <c r="CA16" i="39" s="1"/>
  <c r="CS75" i="39"/>
  <c r="DT154" i="39" s="1"/>
  <c r="CQ80" i="39"/>
  <c r="DJ160" i="39" s="1"/>
  <c r="CQ86" i="39"/>
  <c r="DE166" i="39" s="1"/>
  <c r="CQ82" i="39"/>
  <c r="DA162" i="39" s="1"/>
  <c r="CQ66" i="39"/>
  <c r="CQ62" i="39"/>
  <c r="CQ58" i="39"/>
  <c r="CQ54" i="39"/>
  <c r="CQ50" i="39"/>
  <c r="CQ46" i="39"/>
  <c r="CS68" i="39"/>
  <c r="CS64" i="39"/>
  <c r="CS60" i="39"/>
  <c r="CS56" i="39"/>
  <c r="CS52" i="39"/>
  <c r="CS48" i="39"/>
  <c r="CS88" i="39"/>
  <c r="CS84" i="39"/>
  <c r="DQ164" i="39" s="1"/>
  <c r="CS57" i="39"/>
  <c r="CQ49" i="39"/>
  <c r="CS87" i="39"/>
  <c r="DO167" i="39" s="1"/>
  <c r="CS83" i="39"/>
  <c r="DW163" i="39" s="1"/>
  <c r="CQ44" i="39"/>
  <c r="CA24" i="39" a="1"/>
  <c r="CA24" i="39" s="1"/>
  <c r="CB32" i="39" a="1"/>
  <c r="CB32" i="39" s="1"/>
  <c r="CR76" i="39"/>
  <c r="GB128" i="39" s="1"/>
  <c r="CT75" i="39"/>
  <c r="CS76" i="39"/>
  <c r="DS128" i="39" s="1"/>
  <c r="CQ76" i="39"/>
  <c r="DC128" i="39" s="1"/>
  <c r="CT79" i="39"/>
  <c r="GC125" i="39" s="1"/>
  <c r="GI125" i="39" s="1"/>
  <c r="CA29" i="39" a="1"/>
  <c r="CA29" i="39" s="1"/>
  <c r="CR79" i="39"/>
  <c r="CS79" i="39"/>
  <c r="DP125" i="39" s="1"/>
  <c r="CQ79" i="39"/>
  <c r="DB125" i="39" s="1"/>
  <c r="CT78" i="39"/>
  <c r="GC155" i="39" s="1"/>
  <c r="GI155" i="39" s="1"/>
  <c r="CJ75" i="39"/>
  <c r="FN140" i="39" s="1"/>
  <c r="CR78" i="39"/>
  <c r="CS78" i="39"/>
  <c r="DU155" i="39" s="1"/>
  <c r="CQ78" i="39"/>
  <c r="DC155" i="39" s="1"/>
  <c r="CT77" i="39"/>
  <c r="CR77" i="39"/>
  <c r="CS77" i="39"/>
  <c r="DQ142" i="39" s="1"/>
  <c r="CB36" i="39" a="1"/>
  <c r="CB36" i="39" s="1"/>
  <c r="CQ77" i="39"/>
  <c r="DA142" i="39" s="1"/>
  <c r="CR75" i="39"/>
  <c r="GB154" i="39" s="1"/>
  <c r="CT76" i="39"/>
  <c r="GC128" i="39" s="1"/>
  <c r="GI128" i="39" s="1"/>
  <c r="CA30" i="39" a="1"/>
  <c r="CA30" i="39" s="1"/>
  <c r="CB30" i="39" a="1"/>
  <c r="CB30" i="39" s="1"/>
  <c r="CB22" i="39" a="1"/>
  <c r="CB22" i="39" s="1"/>
  <c r="CA22" i="39" a="1"/>
  <c r="CA22" i="39" s="1"/>
  <c r="CB14" i="39" a="1"/>
  <c r="CB14" i="39" s="1"/>
  <c r="CA14" i="39" a="1"/>
  <c r="CA14" i="39" s="1"/>
  <c r="CB18" i="39" a="1"/>
  <c r="CB18" i="39" s="1"/>
  <c r="CA18" i="39" a="1"/>
  <c r="CA18" i="39" s="1"/>
  <c r="CB20" i="39" a="1"/>
  <c r="CB20" i="39" s="1"/>
  <c r="CA33" i="39" a="1"/>
  <c r="CA33" i="39" s="1"/>
  <c r="CA28" i="39" a="1"/>
  <c r="CA28" i="39" s="1"/>
  <c r="CA19" i="39" a="1"/>
  <c r="CA19" i="39" s="1"/>
  <c r="CB35" i="39" a="1"/>
  <c r="CB35" i="39" s="1"/>
  <c r="CB25" i="39" a="1"/>
  <c r="CB25" i="39" s="1"/>
  <c r="CF60" i="39" a="1"/>
  <c r="CF60" i="39" s="1"/>
  <c r="CF49" i="39" a="1"/>
  <c r="CF49" i="39" s="1"/>
  <c r="CA23" i="39" a="1"/>
  <c r="CA23" i="39" s="1"/>
  <c r="CF44" i="39" a="1"/>
  <c r="CF44" i="39" s="1"/>
  <c r="CA27" i="39" a="1"/>
  <c r="CA27" i="39" s="1"/>
  <c r="CB34" i="39" a="1"/>
  <c r="CB34" i="39" s="1"/>
  <c r="CF59" i="39" a="1"/>
  <c r="CF59" i="39" s="1"/>
  <c r="CF53" i="39" a="1"/>
  <c r="CF53" i="39" s="1"/>
  <c r="CF48" i="39" a="1"/>
  <c r="CF48" i="39" s="1"/>
  <c r="CA31" i="39" a="1"/>
  <c r="CA31" i="39" s="1"/>
  <c r="CA26" i="39" a="1"/>
  <c r="CA26" i="39" s="1"/>
  <c r="CA17" i="39" a="1"/>
  <c r="CA17" i="39" s="1"/>
  <c r="CF57" i="39" a="1"/>
  <c r="CF57" i="39" s="1"/>
  <c r="CF47" i="39" a="1"/>
  <c r="CF47" i="39" s="1"/>
  <c r="CF62" i="39" a="1"/>
  <c r="CF62" i="39" s="1"/>
  <c r="CF46" i="39" a="1"/>
  <c r="CF46" i="39" s="1"/>
  <c r="CF67" i="39" a="1"/>
  <c r="CF67" i="39" s="1"/>
  <c r="DE144" i="39" l="1"/>
  <c r="DO144" i="39"/>
  <c r="DQ144" i="39"/>
  <c r="GB144" i="39"/>
  <c r="DV144" i="39"/>
  <c r="DN144" i="39"/>
  <c r="DP144" i="39"/>
  <c r="DU144" i="39"/>
  <c r="DM144" i="39"/>
  <c r="DT144" i="39"/>
  <c r="DX144" i="39"/>
  <c r="DS144" i="39"/>
  <c r="FN144" i="39"/>
  <c r="GC144" i="39"/>
  <c r="GI144" i="39" s="1"/>
  <c r="DW144" i="39"/>
  <c r="DR144" i="39"/>
  <c r="CZ145" i="39"/>
  <c r="DK145" i="39"/>
  <c r="DA145" i="39"/>
  <c r="DC145" i="39"/>
  <c r="DH145" i="39"/>
  <c r="DJ145" i="39"/>
  <c r="DG145" i="39"/>
  <c r="DF145" i="39"/>
  <c r="DI145" i="39"/>
  <c r="DE145" i="39"/>
  <c r="DD145" i="39"/>
  <c r="DW145" i="39"/>
  <c r="DO145" i="39"/>
  <c r="DT145" i="39"/>
  <c r="DV145" i="39"/>
  <c r="DS145" i="39"/>
  <c r="DN145" i="39"/>
  <c r="GC145" i="39"/>
  <c r="GI145" i="39" s="1"/>
  <c r="DR145" i="39"/>
  <c r="DU145" i="39"/>
  <c r="DQ145" i="39"/>
  <c r="DM145" i="39"/>
  <c r="GB145" i="39"/>
  <c r="DX145" i="39"/>
  <c r="DP145" i="39"/>
  <c r="FN145" i="39"/>
  <c r="DF125" i="39"/>
  <c r="DA125" i="39"/>
  <c r="DO125" i="39"/>
  <c r="DD125" i="39"/>
  <c r="DG125" i="39"/>
  <c r="DV125" i="39"/>
  <c r="CZ125" i="39"/>
  <c r="DE125" i="39"/>
  <c r="DT125" i="39"/>
  <c r="DS125" i="39"/>
  <c r="DN125" i="39"/>
  <c r="DK125" i="39"/>
  <c r="DR125" i="39"/>
  <c r="DU125" i="39"/>
  <c r="DC125" i="39"/>
  <c r="GB125" i="39"/>
  <c r="DQ125" i="39"/>
  <c r="DM125" i="39"/>
  <c r="DJ125" i="39"/>
  <c r="DX125" i="39"/>
  <c r="DX155" i="39"/>
  <c r="DG155" i="39"/>
  <c r="DP155" i="39"/>
  <c r="DF155" i="39"/>
  <c r="GB155" i="39"/>
  <c r="DW155" i="39"/>
  <c r="DE155" i="39"/>
  <c r="DA155" i="39"/>
  <c r="DO155" i="39"/>
  <c r="DD155" i="39"/>
  <c r="DT155" i="39"/>
  <c r="DV155" i="39"/>
  <c r="DK155" i="39"/>
  <c r="DS155" i="39"/>
  <c r="DN155" i="39"/>
  <c r="DR155" i="39"/>
  <c r="DU148" i="39"/>
  <c r="DE148" i="39"/>
  <c r="DI148" i="39"/>
  <c r="DH151" i="39"/>
  <c r="DJ151" i="39"/>
  <c r="DQ151" i="39"/>
  <c r="DM151" i="39"/>
  <c r="CZ151" i="39"/>
  <c r="DB151" i="39"/>
  <c r="DX151" i="39"/>
  <c r="GC151" i="39"/>
  <c r="GI151" i="39" s="1"/>
  <c r="DG151" i="39"/>
  <c r="DP151" i="39"/>
  <c r="DA151" i="39"/>
  <c r="DI151" i="39"/>
  <c r="DF151" i="39"/>
  <c r="GB151" i="39"/>
  <c r="DW151" i="39"/>
  <c r="DE151" i="39"/>
  <c r="DO151" i="39"/>
  <c r="DD151" i="39"/>
  <c r="DT151" i="39"/>
  <c r="DV151" i="39"/>
  <c r="DK151" i="39"/>
  <c r="DS151" i="39"/>
  <c r="DN151" i="39"/>
  <c r="DX142" i="39"/>
  <c r="DV142" i="39"/>
  <c r="GB142" i="39"/>
  <c r="DT142" i="39"/>
  <c r="FN142" i="39"/>
  <c r="GC142" i="39"/>
  <c r="GI142" i="39" s="1"/>
  <c r="DH153" i="39"/>
  <c r="DJ153" i="39"/>
  <c r="DA153" i="39"/>
  <c r="DO153" i="39"/>
  <c r="CZ153" i="39"/>
  <c r="DB153" i="39"/>
  <c r="DT153" i="39"/>
  <c r="DV153" i="39"/>
  <c r="DG153" i="39"/>
  <c r="DS153" i="39"/>
  <c r="DN153" i="39"/>
  <c r="DF153" i="39"/>
  <c r="GB153" i="39"/>
  <c r="DR153" i="39"/>
  <c r="DU153" i="39"/>
  <c r="DE153" i="39"/>
  <c r="DQ153" i="39"/>
  <c r="DM153" i="39"/>
  <c r="DD153" i="39"/>
  <c r="DX153" i="39"/>
  <c r="DK153" i="39"/>
  <c r="DI153" i="39"/>
  <c r="DP153" i="39"/>
  <c r="GC153" i="39"/>
  <c r="GI153" i="39" s="1"/>
  <c r="DD146" i="39"/>
  <c r="CZ146" i="39"/>
  <c r="DP146" i="39"/>
  <c r="DS146" i="39"/>
  <c r="DK146" i="39"/>
  <c r="DG146" i="39"/>
  <c r="DW146" i="39"/>
  <c r="DR146" i="39"/>
  <c r="DC146" i="39"/>
  <c r="DF146" i="39"/>
  <c r="DO146" i="39"/>
  <c r="DQ146" i="39"/>
  <c r="DJ146" i="39"/>
  <c r="GB146" i="39"/>
  <c r="DV146" i="39"/>
  <c r="DB146" i="39"/>
  <c r="DN146" i="39"/>
  <c r="DE146" i="39"/>
  <c r="DI146" i="39"/>
  <c r="DU146" i="39"/>
  <c r="DM146" i="39"/>
  <c r="GC146" i="39"/>
  <c r="GI146" i="39" s="1"/>
  <c r="DG105" i="39"/>
  <c r="CF45" i="39" a="1"/>
  <c r="CF45" i="39" s="1"/>
  <c r="CA48" i="39" a="1"/>
  <c r="CA48" i="39" s="1"/>
  <c r="CB48" i="39" a="1"/>
  <c r="CB48" i="39" s="1"/>
  <c r="DE27" i="39"/>
  <c r="BZ57" i="39" a="1"/>
  <c r="BZ57" i="39" s="1"/>
  <c r="CG57" i="39" a="1"/>
  <c r="CG57" i="39" s="1"/>
  <c r="BZ52" i="39" a="1"/>
  <c r="BZ52" i="39" s="1"/>
  <c r="CB52" i="39" s="1" a="1"/>
  <c r="CB52" i="39" s="1"/>
  <c r="CG52" i="39" a="1"/>
  <c r="CG52" i="39" s="1"/>
  <c r="BZ54" i="39" a="1"/>
  <c r="BZ54" i="39" s="1"/>
  <c r="CG54" i="39" a="1"/>
  <c r="CG54" i="39" s="1"/>
  <c r="BZ65" i="39" a="1"/>
  <c r="BZ65" i="39" s="1"/>
  <c r="CG65" i="39" a="1"/>
  <c r="CG65" i="39" s="1"/>
  <c r="BZ50" i="39" a="1"/>
  <c r="BZ50" i="39" s="1"/>
  <c r="CG50" i="39" a="1"/>
  <c r="CG50" i="39" s="1"/>
  <c r="CF50" i="39" a="1"/>
  <c r="CF50" i="39" s="1"/>
  <c r="BZ56" i="39" a="1"/>
  <c r="BZ56" i="39" s="1"/>
  <c r="CB56" i="39" s="1" a="1"/>
  <c r="CB56" i="39" s="1"/>
  <c r="CG56" i="39" a="1"/>
  <c r="CG56" i="39" s="1"/>
  <c r="BZ58" i="39" a="1"/>
  <c r="BZ58" i="39" s="1"/>
  <c r="CG58" i="39" a="1"/>
  <c r="CG58" i="39" s="1"/>
  <c r="BZ59" i="39" a="1"/>
  <c r="BZ59" i="39" s="1"/>
  <c r="CA59" i="39" s="1" a="1"/>
  <c r="CA59" i="39" s="1"/>
  <c r="CG59" i="39" a="1"/>
  <c r="CG59" i="39" s="1"/>
  <c r="BZ60" i="39" a="1"/>
  <c r="BZ60" i="39" s="1"/>
  <c r="CG60" i="39" a="1"/>
  <c r="CG60" i="39" s="1"/>
  <c r="BZ62" i="39" a="1"/>
  <c r="BZ62" i="39" s="1"/>
  <c r="CG62" i="39" a="1"/>
  <c r="CG62" i="39" s="1"/>
  <c r="BZ47" i="39" a="1"/>
  <c r="BZ47" i="39" s="1"/>
  <c r="CG47" i="39" a="1"/>
  <c r="CG47" i="39" s="1"/>
  <c r="BZ53" i="39" a="1"/>
  <c r="BZ53" i="39" s="1"/>
  <c r="CG53" i="39" a="1"/>
  <c r="CG53" i="39" s="1"/>
  <c r="BZ67" i="39" a="1"/>
  <c r="BZ67" i="39" s="1"/>
  <c r="CG67" i="39" a="1"/>
  <c r="CG67" i="39" s="1"/>
  <c r="BZ64" i="39" a="1"/>
  <c r="BZ64" i="39" s="1"/>
  <c r="CG64" i="39" a="1"/>
  <c r="CG64" i="39" s="1"/>
  <c r="BZ66" i="39" a="1"/>
  <c r="BZ66" i="39" s="1"/>
  <c r="CG66" i="39" a="1"/>
  <c r="CG66" i="39" s="1"/>
  <c r="BZ61" i="39" a="1"/>
  <c r="BZ61" i="39" s="1"/>
  <c r="CG61" i="39" a="1"/>
  <c r="CG61" i="39" s="1"/>
  <c r="BZ68" i="39" a="1"/>
  <c r="BZ68" i="39" s="1"/>
  <c r="CG68" i="39" a="1"/>
  <c r="CG68" i="39" s="1"/>
  <c r="BZ55" i="39" a="1"/>
  <c r="BZ55" i="39" s="1"/>
  <c r="CB55" i="39" s="1" a="1"/>
  <c r="CB55" i="39" s="1"/>
  <c r="CG55" i="39" a="1"/>
  <c r="CG55" i="39" s="1"/>
  <c r="BZ63" i="39" a="1"/>
  <c r="BZ63" i="39" s="1"/>
  <c r="CG63" i="39" a="1"/>
  <c r="CG63" i="39" s="1"/>
  <c r="BZ46" i="39" a="1"/>
  <c r="BZ46" i="39" s="1"/>
  <c r="CG46" i="39" a="1"/>
  <c r="CG46" i="39" s="1"/>
  <c r="BZ49" i="39" a="1"/>
  <c r="BZ49" i="39" s="1"/>
  <c r="CG49" i="39" a="1"/>
  <c r="CG49" i="39" s="1"/>
  <c r="DC53" i="39"/>
  <c r="DG76" i="39"/>
  <c r="DD86" i="39"/>
  <c r="DD98" i="39"/>
  <c r="DA118" i="39"/>
  <c r="DG49" i="39"/>
  <c r="DA148" i="39"/>
  <c r="DM148" i="39"/>
  <c r="DH148" i="39"/>
  <c r="DX148" i="39"/>
  <c r="DT148" i="39"/>
  <c r="DD148" i="39"/>
  <c r="CZ148" i="39"/>
  <c r="DP148" i="39"/>
  <c r="DS148" i="39"/>
  <c r="DK148" i="39"/>
  <c r="DG148" i="39"/>
  <c r="DW148" i="39"/>
  <c r="DR148" i="39"/>
  <c r="DC148" i="39"/>
  <c r="DF148" i="39"/>
  <c r="DO148" i="39"/>
  <c r="DQ148" i="39"/>
  <c r="DJ148" i="39"/>
  <c r="DV148" i="39"/>
  <c r="DB148" i="39"/>
  <c r="GB148" i="39"/>
  <c r="DN148" i="39"/>
  <c r="GC148" i="39"/>
  <c r="GI148" i="39" s="1"/>
  <c r="BZ45" i="39" a="1"/>
  <c r="BZ45" i="39" s="1"/>
  <c r="CG45" i="39" a="1"/>
  <c r="CG45" i="39" s="1"/>
  <c r="DB20" i="39"/>
  <c r="DK50" i="39"/>
  <c r="DH39" i="39"/>
  <c r="CF63" i="39" a="1"/>
  <c r="CF63" i="39" s="1"/>
  <c r="DK120" i="39"/>
  <c r="CZ109" i="39"/>
  <c r="CZ28" i="39"/>
  <c r="DE37" i="39"/>
  <c r="DH65" i="39"/>
  <c r="DK79" i="39"/>
  <c r="GL50" i="39"/>
  <c r="GM50" i="39" s="1" a="1"/>
  <c r="GM50" i="39" s="1"/>
  <c r="GN50" i="39" s="1"/>
  <c r="CF58" i="39" a="1"/>
  <c r="CF58" i="39" s="1"/>
  <c r="CB58" i="39" a="1"/>
  <c r="CB58" i="39" s="1"/>
  <c r="DJ35" i="39"/>
  <c r="DE111" i="39"/>
  <c r="CF56" i="39" a="1"/>
  <c r="CF56" i="39" s="1"/>
  <c r="DJ120" i="39"/>
  <c r="DC34" i="39"/>
  <c r="DK109" i="39"/>
  <c r="DE45" i="39"/>
  <c r="DE74" i="39"/>
  <c r="DF107" i="39"/>
  <c r="DI46" i="39"/>
  <c r="DF99" i="39"/>
  <c r="DC66" i="39"/>
  <c r="DD38" i="39"/>
  <c r="DH109" i="39"/>
  <c r="DJ26" i="39"/>
  <c r="DI34" i="39"/>
  <c r="DE120" i="39"/>
  <c r="DJ27" i="39"/>
  <c r="DK35" i="39"/>
  <c r="CZ20" i="39"/>
  <c r="DD28" i="39"/>
  <c r="DJ37" i="39"/>
  <c r="DC45" i="39"/>
  <c r="CZ49" i="39"/>
  <c r="DI73" i="39"/>
  <c r="DA105" i="39"/>
  <c r="DH50" i="39"/>
  <c r="CZ66" i="39"/>
  <c r="CZ74" i="39"/>
  <c r="DJ106" i="39"/>
  <c r="DK61" i="39"/>
  <c r="DJ101" i="39"/>
  <c r="DB54" i="39"/>
  <c r="DK10" i="39"/>
  <c r="CZ47" i="39"/>
  <c r="DF95" i="39"/>
  <c r="DN107" i="39"/>
  <c r="DB46" i="39"/>
  <c r="CF68" i="39" a="1"/>
  <c r="CF68" i="39" s="1"/>
  <c r="DE110" i="39"/>
  <c r="DH117" i="39"/>
  <c r="DH26" i="39"/>
  <c r="CZ34" i="39"/>
  <c r="DH27" i="39"/>
  <c r="DD20" i="39"/>
  <c r="DC37" i="39"/>
  <c r="DH53" i="39"/>
  <c r="DD117" i="39"/>
  <c r="DF49" i="39"/>
  <c r="DB65" i="39"/>
  <c r="DB73" i="39"/>
  <c r="DF66" i="39"/>
  <c r="DC74" i="39"/>
  <c r="DJ90" i="39"/>
  <c r="DI43" i="39"/>
  <c r="DB83" i="39"/>
  <c r="DB44" i="39"/>
  <c r="DK69" i="39"/>
  <c r="DG22" i="39"/>
  <c r="DF70" i="39"/>
  <c r="DG113" i="39"/>
  <c r="DF55" i="39"/>
  <c r="DI64" i="39"/>
  <c r="BZ44" i="39" a="1"/>
  <c r="BZ44" i="39" s="1"/>
  <c r="GL15" i="39"/>
  <c r="GL16" i="39"/>
  <c r="DF117" i="39"/>
  <c r="DG117" i="39"/>
  <c r="DE26" i="39"/>
  <c r="DK110" i="39"/>
  <c r="DE35" i="39"/>
  <c r="DJ117" i="39"/>
  <c r="DG110" i="39"/>
  <c r="DB28" i="39"/>
  <c r="DC117" i="39"/>
  <c r="DA45" i="39"/>
  <c r="DJ53" i="39"/>
  <c r="DH120" i="39"/>
  <c r="DI65" i="39"/>
  <c r="DH73" i="39"/>
  <c r="DJ105" i="39"/>
  <c r="DF50" i="39"/>
  <c r="DH90" i="39"/>
  <c r="DJ51" i="39"/>
  <c r="CZ91" i="39"/>
  <c r="DB108" i="39"/>
  <c r="DH77" i="39"/>
  <c r="DK38" i="39"/>
  <c r="DH78" i="39"/>
  <c r="DI23" i="39"/>
  <c r="DE71" i="39"/>
  <c r="EZ74" i="39"/>
  <c r="GL117" i="39"/>
  <c r="GM117" i="39" s="1" a="1"/>
  <c r="GM117" i="39" s="1"/>
  <c r="HF117" i="39" s="1"/>
  <c r="GL94" i="39"/>
  <c r="GM94" i="39" s="1" a="1"/>
  <c r="GM94" i="39" s="1"/>
  <c r="DG94" i="39"/>
  <c r="DF94" i="39"/>
  <c r="DK94" i="39"/>
  <c r="CZ94" i="39"/>
  <c r="DI94" i="39"/>
  <c r="DB94" i="39"/>
  <c r="EZ94" i="39"/>
  <c r="DH94" i="39"/>
  <c r="DJ94" i="39"/>
  <c r="DC94" i="39"/>
  <c r="CB54" i="39" a="1"/>
  <c r="CB54" i="39" s="1"/>
  <c r="CA54" i="39" a="1"/>
  <c r="CA54" i="39" s="1"/>
  <c r="DS66" i="39"/>
  <c r="EZ66" i="39"/>
  <c r="GL66" i="39"/>
  <c r="GM66" i="39" s="1" a="1"/>
  <c r="GM66" i="39" s="1"/>
  <c r="DT45" i="39"/>
  <c r="DX98" i="39"/>
  <c r="DV92" i="39"/>
  <c r="DR76" i="39"/>
  <c r="DU76" i="39"/>
  <c r="DR60" i="39"/>
  <c r="DN60" i="39"/>
  <c r="DS60" i="39"/>
  <c r="DR44" i="39"/>
  <c r="DN44" i="39"/>
  <c r="DS44" i="39"/>
  <c r="DM28" i="39"/>
  <c r="DO28" i="39"/>
  <c r="DQ28" i="39"/>
  <c r="DM20" i="39"/>
  <c r="DO20" i="39"/>
  <c r="DQ20" i="39"/>
  <c r="DR110" i="39"/>
  <c r="DR120" i="39"/>
  <c r="DV117" i="39"/>
  <c r="DP113" i="39"/>
  <c r="DR37" i="39"/>
  <c r="DW121" i="39"/>
  <c r="DX12" i="39"/>
  <c r="DW92" i="39"/>
  <c r="DN76" i="39"/>
  <c r="DV76" i="39"/>
  <c r="DT60" i="39"/>
  <c r="DV60" i="39"/>
  <c r="DW60" i="39"/>
  <c r="DT44" i="39"/>
  <c r="DV44" i="39"/>
  <c r="DW44" i="39"/>
  <c r="DU28" i="39"/>
  <c r="DW28" i="39"/>
  <c r="DR28" i="39"/>
  <c r="DU20" i="39"/>
  <c r="DW20" i="39"/>
  <c r="DR20" i="39"/>
  <c r="DT110" i="39"/>
  <c r="DV119" i="39"/>
  <c r="DN117" i="39"/>
  <c r="DT111" i="39"/>
  <c r="DM90" i="39"/>
  <c r="DU45" i="39"/>
  <c r="DT106" i="39"/>
  <c r="DP107" i="39"/>
  <c r="DX91" i="39"/>
  <c r="DN83" i="39"/>
  <c r="DR83" i="39"/>
  <c r="DV67" i="39"/>
  <c r="DR67" i="39"/>
  <c r="DW67" i="39"/>
  <c r="DN51" i="39"/>
  <c r="DQ51" i="39"/>
  <c r="DU51" i="39"/>
  <c r="DV43" i="39"/>
  <c r="DR43" i="39"/>
  <c r="DT35" i="39"/>
  <c r="DX35" i="39"/>
  <c r="DS35" i="39"/>
  <c r="DR27" i="39"/>
  <c r="DU27" i="39"/>
  <c r="DW27" i="39"/>
  <c r="DP109" i="39"/>
  <c r="DU117" i="39"/>
  <c r="DS111" i="39"/>
  <c r="DM108" i="39"/>
  <c r="DU91" i="39"/>
  <c r="DM31" i="39"/>
  <c r="EZ96" i="39"/>
  <c r="EZ112" i="39"/>
  <c r="EZ53" i="39"/>
  <c r="EZ88" i="39"/>
  <c r="GL102" i="39"/>
  <c r="EZ86" i="39"/>
  <c r="EZ62" i="39"/>
  <c r="DV69" i="39"/>
  <c r="DW110" i="39"/>
  <c r="DR12" i="39"/>
  <c r="DT108" i="39"/>
  <c r="DX92" i="39"/>
  <c r="DP76" i="39"/>
  <c r="DQ76" i="39"/>
  <c r="DM76" i="39"/>
  <c r="DP60" i="39"/>
  <c r="DM60" i="39"/>
  <c r="DO60" i="39"/>
  <c r="DP44" i="39"/>
  <c r="DM44" i="39"/>
  <c r="DO44" i="39"/>
  <c r="DN28" i="39"/>
  <c r="DP28" i="39"/>
  <c r="DS28" i="39"/>
  <c r="DN20" i="39"/>
  <c r="DP20" i="39"/>
  <c r="DS20" i="39"/>
  <c r="DV121" i="39"/>
  <c r="DN119" i="39"/>
  <c r="DR116" i="39"/>
  <c r="DV113" i="39"/>
  <c r="DV110" i="39"/>
  <c r="DQ88" i="39"/>
  <c r="DM80" i="39"/>
  <c r="DN106" i="39"/>
  <c r="DX107" i="39"/>
  <c r="DN91" i="39"/>
  <c r="DR91" i="39"/>
  <c r="DV83" i="39"/>
  <c r="DS83" i="39"/>
  <c r="DP67" i="39"/>
  <c r="DO67" i="39"/>
  <c r="DV51" i="39"/>
  <c r="DR51" i="39"/>
  <c r="DW51" i="39"/>
  <c r="DP43" i="39"/>
  <c r="DO43" i="39"/>
  <c r="DN35" i="39"/>
  <c r="DQ35" i="39"/>
  <c r="DU35" i="39"/>
  <c r="DS27" i="39"/>
  <c r="DN27" i="39"/>
  <c r="DX27" i="39"/>
  <c r="DX109" i="39"/>
  <c r="DM117" i="39"/>
  <c r="DU110" i="39"/>
  <c r="DM107" i="39"/>
  <c r="DU98" i="39"/>
  <c r="DR61" i="39"/>
  <c r="DT12" i="39"/>
  <c r="DT92" i="39"/>
  <c r="DT76" i="39"/>
  <c r="DX60" i="39"/>
  <c r="DU44" i="39"/>
  <c r="DV20" i="39"/>
  <c r="DR118" i="39"/>
  <c r="DR112" i="39"/>
  <c r="DW72" i="39"/>
  <c r="DW106" i="39"/>
  <c r="DV107" i="39"/>
  <c r="DT91" i="39"/>
  <c r="DM83" i="39"/>
  <c r="DQ67" i="39"/>
  <c r="DT51" i="39"/>
  <c r="DS51" i="39"/>
  <c r="DQ43" i="39"/>
  <c r="DP35" i="39"/>
  <c r="DQ27" i="39"/>
  <c r="DO27" i="39"/>
  <c r="DV109" i="39"/>
  <c r="DU113" i="39"/>
  <c r="DQ86" i="39"/>
  <c r="DU72" i="39"/>
  <c r="EZ12" i="39"/>
  <c r="GL69" i="39"/>
  <c r="GM69" i="39" s="1" a="1"/>
  <c r="GM69" i="39" s="1"/>
  <c r="GN69" i="39" s="1"/>
  <c r="GL53" i="39"/>
  <c r="GM53" i="39" s="1" a="1"/>
  <c r="GM53" i="39" s="1"/>
  <c r="EZ80" i="39"/>
  <c r="EZ23" i="39"/>
  <c r="EZ78" i="39"/>
  <c r="GL61" i="39"/>
  <c r="GM61" i="39" s="1" a="1"/>
  <c r="GM61" i="39" s="1"/>
  <c r="GL37" i="39"/>
  <c r="GM37" i="39" s="1" a="1"/>
  <c r="GM37" i="39" s="1"/>
  <c r="GN37" i="39" s="1"/>
  <c r="EZ73" i="39"/>
  <c r="GL77" i="39"/>
  <c r="GM77" i="39" s="1" a="1"/>
  <c r="GM77" i="39" s="1"/>
  <c r="EZ85" i="39"/>
  <c r="EZ119" i="39"/>
  <c r="GL84" i="39"/>
  <c r="GL52" i="39"/>
  <c r="GL20" i="39"/>
  <c r="GM20" i="39" s="1" a="1"/>
  <c r="GM20" i="39" s="1"/>
  <c r="GL75" i="39"/>
  <c r="GM75" i="39" s="1" a="1"/>
  <c r="GM75" i="39" s="1"/>
  <c r="GL43" i="39"/>
  <c r="GM43" i="39" s="1" a="1"/>
  <c r="GM43" i="39" s="1"/>
  <c r="GL109" i="39"/>
  <c r="GM109" i="39" s="1" a="1"/>
  <c r="GM109" i="39" s="1"/>
  <c r="HF109" i="39" s="1"/>
  <c r="EZ79" i="39"/>
  <c r="EZ39" i="39"/>
  <c r="GL90" i="39"/>
  <c r="GM90" i="39" s="1" a="1"/>
  <c r="GM90" i="39" s="1"/>
  <c r="GL58" i="39"/>
  <c r="GM58" i="39" s="1" a="1"/>
  <c r="GM58" i="39" s="1"/>
  <c r="GL26" i="39"/>
  <c r="GM26" i="39" s="1" a="1"/>
  <c r="GM26" i="39" s="1"/>
  <c r="GN26" i="39" s="1"/>
  <c r="EZ110" i="39"/>
  <c r="GL73" i="39"/>
  <c r="GM73" i="39" s="1" a="1"/>
  <c r="GM73" i="39" s="1"/>
  <c r="GL41" i="39"/>
  <c r="GM41" i="39" s="1" a="1"/>
  <c r="GM41" i="39" s="1"/>
  <c r="GL115" i="39"/>
  <c r="GL96" i="39"/>
  <c r="GM96" i="39" s="1" a="1"/>
  <c r="GM96" i="39" s="1"/>
  <c r="GL64" i="39"/>
  <c r="GM64" i="39" s="1" a="1"/>
  <c r="GM64" i="39" s="1"/>
  <c r="GL32" i="39"/>
  <c r="GM32" i="39" s="1" a="1"/>
  <c r="GM32" i="39" s="1"/>
  <c r="EZ121" i="39"/>
  <c r="EZ92" i="39"/>
  <c r="EZ60" i="39"/>
  <c r="EZ20" i="39"/>
  <c r="GL79" i="39"/>
  <c r="GM79" i="39" s="1" a="1"/>
  <c r="GM79" i="39" s="1"/>
  <c r="GL47" i="39"/>
  <c r="GM47" i="39" s="1" a="1"/>
  <c r="GM47" i="39" s="1"/>
  <c r="GL13" i="39"/>
  <c r="EZ83" i="39"/>
  <c r="EZ51" i="39"/>
  <c r="GL112" i="39"/>
  <c r="GM112" i="39" s="1" a="1"/>
  <c r="GM112" i="39" s="1"/>
  <c r="HF112" i="39" s="1"/>
  <c r="EZ90" i="39"/>
  <c r="DG12" i="39"/>
  <c r="DI12" i="39"/>
  <c r="DK12" i="39"/>
  <c r="DW76" i="39"/>
  <c r="DU60" i="39"/>
  <c r="DQ44" i="39"/>
  <c r="DV28" i="39"/>
  <c r="DX20" i="39"/>
  <c r="DX108" i="39"/>
  <c r="DS86" i="39"/>
  <c r="DS31" i="39"/>
  <c r="DV91" i="39"/>
  <c r="DP83" i="39"/>
  <c r="DT67" i="39"/>
  <c r="DS67" i="39"/>
  <c r="DP51" i="39"/>
  <c r="DT43" i="39"/>
  <c r="DU43" i="39"/>
  <c r="DR35" i="39"/>
  <c r="DT27" i="39"/>
  <c r="DP27" i="39"/>
  <c r="DU121" i="39"/>
  <c r="DU109" i="39"/>
  <c r="DO95" i="39"/>
  <c r="EZ69" i="39"/>
  <c r="EZ72" i="39"/>
  <c r="DN121" i="39"/>
  <c r="DQ95" i="39"/>
  <c r="DO106" i="39"/>
  <c r="DX83" i="39"/>
  <c r="DN67" i="39"/>
  <c r="DN43" i="39"/>
  <c r="DO35" i="39"/>
  <c r="DU119" i="39"/>
  <c r="DO45" i="39"/>
  <c r="EZ49" i="39"/>
  <c r="EZ64" i="39"/>
  <c r="GL86" i="39"/>
  <c r="EZ45" i="39"/>
  <c r="GL111" i="39"/>
  <c r="GM111" i="39" s="1" a="1"/>
  <c r="GM111" i="39" s="1"/>
  <c r="HF111" i="39" s="1"/>
  <c r="EZ77" i="39"/>
  <c r="GL107" i="39"/>
  <c r="GL92" i="39"/>
  <c r="GM92" i="39" s="1" a="1"/>
  <c r="GM92" i="39" s="1"/>
  <c r="GN92" i="39" s="1"/>
  <c r="GL44" i="39"/>
  <c r="GM44" i="39" s="1" a="1"/>
  <c r="GM44" i="39" s="1"/>
  <c r="GL110" i="39"/>
  <c r="GM110" i="39" s="1" a="1"/>
  <c r="GM110" i="39" s="1"/>
  <c r="HF110" i="39" s="1"/>
  <c r="GL83" i="39"/>
  <c r="GM83" i="39" s="1" a="1"/>
  <c r="GM83" i="39" s="1"/>
  <c r="GL35" i="39"/>
  <c r="GM35" i="39" s="1" a="1"/>
  <c r="GM35" i="39" s="1"/>
  <c r="EZ103" i="39"/>
  <c r="EZ55" i="39"/>
  <c r="GL82" i="39"/>
  <c r="GL42" i="39"/>
  <c r="EZ116" i="39"/>
  <c r="GL65" i="39"/>
  <c r="GM65" i="39" s="1" a="1"/>
  <c r="GM65" i="39" s="1"/>
  <c r="GN65" i="39" s="1"/>
  <c r="GL25" i="39"/>
  <c r="GL12" i="39"/>
  <c r="GM12" i="39" s="1" a="1"/>
  <c r="GM12" i="39" s="1"/>
  <c r="GL56" i="39"/>
  <c r="GM56" i="39" s="1" a="1"/>
  <c r="GM56" i="39" s="1"/>
  <c r="GL14" i="39"/>
  <c r="GM14" i="39" s="1" a="1"/>
  <c r="GM14" i="39" s="1"/>
  <c r="EZ44" i="39"/>
  <c r="GL95" i="39"/>
  <c r="GM95" i="39" s="1" a="1"/>
  <c r="GM95" i="39" s="1"/>
  <c r="GL55" i="39"/>
  <c r="GM55" i="39" s="1" a="1"/>
  <c r="GM55" i="39" s="1"/>
  <c r="GL113" i="39"/>
  <c r="GM113" i="39" s="1" a="1"/>
  <c r="GM113" i="39" s="1"/>
  <c r="HF113" i="39" s="1"/>
  <c r="EZ67" i="39"/>
  <c r="EZ27" i="39"/>
  <c r="EZ106" i="39"/>
  <c r="GL120" i="39"/>
  <c r="GM120" i="39" s="1" a="1"/>
  <c r="GM120" i="39" s="1"/>
  <c r="HF120" i="39" s="1"/>
  <c r="DD12" i="39"/>
  <c r="DH12" i="39"/>
  <c r="DC12" i="39"/>
  <c r="DC96" i="39"/>
  <c r="DI96" i="39"/>
  <c r="DB96" i="39"/>
  <c r="CZ88" i="39"/>
  <c r="DE88" i="39"/>
  <c r="DI88" i="39"/>
  <c r="DK80" i="39"/>
  <c r="DA80" i="39"/>
  <c r="DH80" i="39"/>
  <c r="DK72" i="39"/>
  <c r="CZ72" i="39"/>
  <c r="DG72" i="39"/>
  <c r="DK64" i="39"/>
  <c r="DF64" i="39"/>
  <c r="CZ64" i="39"/>
  <c r="DB48" i="39"/>
  <c r="DK48" i="39"/>
  <c r="DC48" i="39"/>
  <c r="DD103" i="39"/>
  <c r="DH103" i="39"/>
  <c r="DA103" i="39"/>
  <c r="DD95" i="39"/>
  <c r="DH95" i="39"/>
  <c r="DA95" i="39"/>
  <c r="DH87" i="39"/>
  <c r="DK87" i="39"/>
  <c r="DF87" i="39"/>
  <c r="CZ79" i="39"/>
  <c r="DJ79" i="39"/>
  <c r="DQ60" i="39"/>
  <c r="DX28" i="39"/>
  <c r="DT83" i="39"/>
  <c r="DX67" i="39"/>
  <c r="DX43" i="39"/>
  <c r="DW35" i="39"/>
  <c r="DM88" i="39"/>
  <c r="EZ48" i="39"/>
  <c r="EZ10" i="39"/>
  <c r="GL78" i="39"/>
  <c r="GM78" i="39" s="1" a="1"/>
  <c r="GM78" i="39" s="1"/>
  <c r="EZ30" i="39"/>
  <c r="GL93" i="39"/>
  <c r="GM93" i="39" s="1" a="1"/>
  <c r="GM93" i="39" s="1"/>
  <c r="EZ37" i="39"/>
  <c r="EZ65" i="39"/>
  <c r="EZ107" i="39"/>
  <c r="GL76" i="39"/>
  <c r="GM76" i="39" s="1" a="1"/>
  <c r="GM76" i="39" s="1"/>
  <c r="GL36" i="39"/>
  <c r="GM36" i="39" s="1" a="1"/>
  <c r="GM36" i="39" s="1"/>
  <c r="EZ118" i="39"/>
  <c r="GL67" i="39"/>
  <c r="GM67" i="39" s="1" a="1"/>
  <c r="GM67" i="39" s="1"/>
  <c r="GN67" i="39" s="1"/>
  <c r="GL27" i="39"/>
  <c r="GM27" i="39" s="1" a="1"/>
  <c r="GM27" i="39" s="1"/>
  <c r="EZ95" i="39"/>
  <c r="EZ31" i="39"/>
  <c r="GL74" i="39"/>
  <c r="GM74" i="39" s="1" a="1"/>
  <c r="GM74" i="39" s="1"/>
  <c r="GL34" i="39"/>
  <c r="GM34" i="39" s="1" a="1"/>
  <c r="GM34" i="39" s="1"/>
  <c r="GL105" i="39"/>
  <c r="GM105" i="39" s="1" a="1"/>
  <c r="GM105" i="39" s="1"/>
  <c r="GL57" i="39"/>
  <c r="GM57" i="39" s="1" a="1"/>
  <c r="GM57" i="39" s="1"/>
  <c r="GL17" i="39"/>
  <c r="GL88" i="39"/>
  <c r="GM88" i="39" s="1" a="1"/>
  <c r="GM88" i="39" s="1"/>
  <c r="GL48" i="39"/>
  <c r="GL87" i="39"/>
  <c r="GL39" i="39"/>
  <c r="GM39" i="39" s="1" a="1"/>
  <c r="GM39" i="39" s="1"/>
  <c r="GL70" i="39"/>
  <c r="GM70" i="39" s="1" a="1"/>
  <c r="GM70" i="39" s="1"/>
  <c r="GN70" i="39" s="1"/>
  <c r="GL30" i="39"/>
  <c r="GM30" i="39" s="1" a="1"/>
  <c r="GM30" i="39" s="1"/>
  <c r="EZ98" i="39"/>
  <c r="EZ50" i="39"/>
  <c r="DE12" i="39"/>
  <c r="DA12" i="39"/>
  <c r="DG96" i="39"/>
  <c r="DD96" i="39"/>
  <c r="DJ96" i="39"/>
  <c r="DC88" i="39"/>
  <c r="DJ88" i="39"/>
  <c r="DF88" i="39"/>
  <c r="DB80" i="39"/>
  <c r="DD80" i="39"/>
  <c r="DE80" i="39"/>
  <c r="DB72" i="39"/>
  <c r="DD72" i="39"/>
  <c r="DE72" i="39"/>
  <c r="DB64" i="39"/>
  <c r="DD64" i="39"/>
  <c r="DG64" i="39"/>
  <c r="DG48" i="39"/>
  <c r="DJ48" i="39"/>
  <c r="DD48" i="39"/>
  <c r="DE103" i="39"/>
  <c r="DI103" i="39"/>
  <c r="DB103" i="39"/>
  <c r="DE95" i="39"/>
  <c r="DI95" i="39"/>
  <c r="DB95" i="39"/>
  <c r="DB87" i="39"/>
  <c r="DA87" i="39"/>
  <c r="DO61" i="39"/>
  <c r="DX76" i="39"/>
  <c r="DX44" i="39"/>
  <c r="DT28" i="39"/>
  <c r="DN113" i="39"/>
  <c r="DS76" i="39"/>
  <c r="DP91" i="39"/>
  <c r="DU67" i="39"/>
  <c r="DX51" i="39"/>
  <c r="DM43" i="39"/>
  <c r="DM27" i="39"/>
  <c r="DW108" i="39"/>
  <c r="DW79" i="39"/>
  <c r="GL104" i="39"/>
  <c r="GM104" i="39" s="1" a="1"/>
  <c r="GM104" i="39" s="1"/>
  <c r="EZ105" i="39"/>
  <c r="EZ87" i="39"/>
  <c r="EZ70" i="39"/>
  <c r="EZ22" i="39"/>
  <c r="GL119" i="39"/>
  <c r="GM119" i="39" s="1" a="1"/>
  <c r="GM119" i="39" s="1"/>
  <c r="HF119" i="39" s="1"/>
  <c r="EZ101" i="39"/>
  <c r="GL21" i="39"/>
  <c r="GM21" i="39" s="1" a="1"/>
  <c r="GM21" i="39" s="1"/>
  <c r="GN21" i="39" s="1"/>
  <c r="GL85" i="39"/>
  <c r="GM85" i="39" s="1" a="1"/>
  <c r="GM85" i="39" s="1"/>
  <c r="GL108" i="39"/>
  <c r="GM108" i="39" s="1" a="1"/>
  <c r="GM108" i="39" s="1"/>
  <c r="GL68" i="39"/>
  <c r="GM68" i="39" s="1" a="1"/>
  <c r="GM68" i="39" s="1"/>
  <c r="GL28" i="39"/>
  <c r="GM28" i="39" s="1" a="1"/>
  <c r="GM28" i="39" s="1"/>
  <c r="GL59" i="39"/>
  <c r="GM59" i="39" s="1" a="1"/>
  <c r="GM59" i="39" s="1"/>
  <c r="GL19" i="39"/>
  <c r="GM19" i="39" s="1" a="1"/>
  <c r="GM19" i="39" s="1"/>
  <c r="EZ71" i="39"/>
  <c r="GL106" i="39"/>
  <c r="GM106" i="39" s="1" a="1"/>
  <c r="GM106" i="39" s="1"/>
  <c r="GL18" i="39"/>
  <c r="GL97" i="39"/>
  <c r="GM97" i="39" s="1" a="1"/>
  <c r="GM97" i="39" s="1"/>
  <c r="GL49" i="39"/>
  <c r="GM49" i="39" s="1" a="1"/>
  <c r="GM49" i="39" s="1"/>
  <c r="GL80" i="39"/>
  <c r="GM80" i="39" s="1" a="1"/>
  <c r="GM80" i="39" s="1"/>
  <c r="GL40" i="39"/>
  <c r="GM40" i="39" s="1" a="1"/>
  <c r="GM40" i="39" s="1"/>
  <c r="EZ76" i="39"/>
  <c r="EZ28" i="39"/>
  <c r="GL71" i="39"/>
  <c r="GM71" i="39" s="1" a="1"/>
  <c r="GM71" i="39" s="1"/>
  <c r="GL31" i="39"/>
  <c r="GM31" i="39" s="1" a="1"/>
  <c r="GM31" i="39" s="1"/>
  <c r="EZ91" i="39"/>
  <c r="EZ43" i="39"/>
  <c r="GL62" i="39"/>
  <c r="GM62" i="39" s="1" a="1"/>
  <c r="GM62" i="39" s="1"/>
  <c r="GL22" i="39"/>
  <c r="GM22" i="39" s="1" a="1"/>
  <c r="GM22" i="39" s="1"/>
  <c r="EZ34" i="39"/>
  <c r="DF12" i="39"/>
  <c r="DB12" i="39"/>
  <c r="CZ96" i="39"/>
  <c r="DE96" i="39"/>
  <c r="DA96" i="39"/>
  <c r="DK88" i="39"/>
  <c r="DA88" i="39"/>
  <c r="DG88" i="39"/>
  <c r="DJ80" i="39"/>
  <c r="DI80" i="39"/>
  <c r="DF80" i="39"/>
  <c r="DJ72" i="39"/>
  <c r="DH72" i="39"/>
  <c r="DF72" i="39"/>
  <c r="DJ64" i="39"/>
  <c r="DA64" i="39"/>
  <c r="DH64" i="39"/>
  <c r="CZ48" i="39"/>
  <c r="DF48" i="39"/>
  <c r="DE48" i="39"/>
  <c r="DC103" i="39"/>
  <c r="DF103" i="39"/>
  <c r="DR106" i="39"/>
  <c r="DS91" i="39"/>
  <c r="DV35" i="39"/>
  <c r="DO76" i="39"/>
  <c r="EZ120" i="39"/>
  <c r="GL101" i="39"/>
  <c r="GM101" i="39" s="1" a="1"/>
  <c r="GM101" i="39" s="1"/>
  <c r="GL60" i="39"/>
  <c r="GM60" i="39" s="1" a="1"/>
  <c r="GM60" i="39" s="1"/>
  <c r="EZ117" i="39"/>
  <c r="GL116" i="39"/>
  <c r="GM116" i="39" s="1" a="1"/>
  <c r="GM116" i="39" s="1"/>
  <c r="HF116" i="39" s="1"/>
  <c r="GL72" i="39"/>
  <c r="GM72" i="39" s="1" a="1"/>
  <c r="GM72" i="39" s="1"/>
  <c r="GL103" i="39"/>
  <c r="GM103" i="39" s="1" a="1"/>
  <c r="GM103" i="39" s="1"/>
  <c r="EZ35" i="39"/>
  <c r="EZ26" i="39"/>
  <c r="CZ12" i="39"/>
  <c r="DD88" i="39"/>
  <c r="CZ80" i="39"/>
  <c r="DA72" i="39"/>
  <c r="DI48" i="39"/>
  <c r="DJ103" i="39"/>
  <c r="DG95" i="39"/>
  <c r="CZ87" i="39"/>
  <c r="DE87" i="39"/>
  <c r="DH79" i="39"/>
  <c r="DE79" i="39"/>
  <c r="DF71" i="39"/>
  <c r="DI71" i="39"/>
  <c r="DC71" i="39"/>
  <c r="DF63" i="39"/>
  <c r="DB63" i="39"/>
  <c r="DI63" i="39"/>
  <c r="DC55" i="39"/>
  <c r="CZ55" i="39"/>
  <c r="DG55" i="39"/>
  <c r="DC47" i="39"/>
  <c r="DG47" i="39"/>
  <c r="DA47" i="39"/>
  <c r="DC39" i="39"/>
  <c r="CZ39" i="39"/>
  <c r="DJ39" i="39"/>
  <c r="DB31" i="39"/>
  <c r="DF31" i="39"/>
  <c r="DA31" i="39"/>
  <c r="CZ23" i="39"/>
  <c r="DB23" i="39"/>
  <c r="DD23" i="39"/>
  <c r="DC113" i="39"/>
  <c r="DB113" i="39"/>
  <c r="DH113" i="39"/>
  <c r="DD10" i="39"/>
  <c r="CZ10" i="39"/>
  <c r="DB10" i="39"/>
  <c r="DB86" i="39"/>
  <c r="DA86" i="39"/>
  <c r="DJ86" i="39"/>
  <c r="DB78" i="39"/>
  <c r="DD78" i="39"/>
  <c r="DI78" i="39"/>
  <c r="DB70" i="39"/>
  <c r="DD70" i="39"/>
  <c r="DA70" i="39"/>
  <c r="DB62" i="39"/>
  <c r="DD62" i="39"/>
  <c r="DF62" i="39"/>
  <c r="DG54" i="39"/>
  <c r="DJ54" i="39"/>
  <c r="DE54" i="39"/>
  <c r="DE30" i="39"/>
  <c r="DH30" i="39"/>
  <c r="DC30" i="39"/>
  <c r="DD22" i="39"/>
  <c r="CZ22" i="39"/>
  <c r="DB22" i="39"/>
  <c r="DC101" i="39"/>
  <c r="DH101" i="39"/>
  <c r="DA101" i="39"/>
  <c r="DF85" i="39"/>
  <c r="DB85" i="39"/>
  <c r="DI85" i="39"/>
  <c r="DF77" i="39"/>
  <c r="DA77" i="39"/>
  <c r="DD77" i="39"/>
  <c r="DF69" i="39"/>
  <c r="DE69" i="39"/>
  <c r="DA69" i="39"/>
  <c r="DF61" i="39"/>
  <c r="DA61" i="39"/>
  <c r="DE61" i="39"/>
  <c r="DE119" i="39"/>
  <c r="DH119" i="39"/>
  <c r="DJ119" i="39"/>
  <c r="DC111" i="39"/>
  <c r="DF111" i="39"/>
  <c r="CZ111" i="39"/>
  <c r="DG108" i="39"/>
  <c r="DJ108" i="39"/>
  <c r="DC108" i="39"/>
  <c r="DC92" i="39"/>
  <c r="DG92" i="39"/>
  <c r="CZ92" i="39"/>
  <c r="DB76" i="39"/>
  <c r="DD76" i="39"/>
  <c r="DH76" i="39"/>
  <c r="DB60" i="39"/>
  <c r="DD60" i="39"/>
  <c r="DF60" i="39"/>
  <c r="DG44" i="39"/>
  <c r="DJ44" i="39"/>
  <c r="DA44" i="39"/>
  <c r="DG118" i="39"/>
  <c r="DD107" i="39"/>
  <c r="DA107" i="39"/>
  <c r="DG107" i="39"/>
  <c r="DH91" i="39"/>
  <c r="DE91" i="39"/>
  <c r="DB91" i="39"/>
  <c r="CZ83" i="39"/>
  <c r="DJ83" i="39"/>
  <c r="DE83" i="39"/>
  <c r="CZ67" i="39"/>
  <c r="DI67" i="39"/>
  <c r="DB67" i="39"/>
  <c r="DD51" i="39"/>
  <c r="CZ51" i="39"/>
  <c r="DE51" i="39"/>
  <c r="DD43" i="39"/>
  <c r="DG43" i="39"/>
  <c r="DJ43" i="39"/>
  <c r="DG106" i="39"/>
  <c r="DK106" i="39"/>
  <c r="DE106" i="39"/>
  <c r="DV27" i="39"/>
  <c r="GL45" i="39"/>
  <c r="GM45" i="39" s="1" a="1"/>
  <c r="GM45" i="39" s="1"/>
  <c r="EZ61" i="39"/>
  <c r="GL118" i="39"/>
  <c r="GM118" i="39" s="1" a="1"/>
  <c r="GM118" i="39" s="1"/>
  <c r="HF118" i="39" s="1"/>
  <c r="EZ63" i="39"/>
  <c r="GL81" i="39"/>
  <c r="GM81" i="39" s="1" a="1"/>
  <c r="GM81" i="39" s="1"/>
  <c r="GL24" i="39"/>
  <c r="GM24" i="39" s="1" a="1"/>
  <c r="GM24" i="39" s="1"/>
  <c r="GL63" i="39"/>
  <c r="GM63" i="39" s="1" a="1"/>
  <c r="GM63" i="39" s="1"/>
  <c r="GL54" i="39"/>
  <c r="GM54" i="39" s="1" a="1"/>
  <c r="GM54" i="39" s="1"/>
  <c r="DJ12" i="39"/>
  <c r="DH96" i="39"/>
  <c r="DB88" i="39"/>
  <c r="DG80" i="39"/>
  <c r="DC64" i="39"/>
  <c r="DA48" i="39"/>
  <c r="DK103" i="39"/>
  <c r="DC95" i="39"/>
  <c r="CZ95" i="39"/>
  <c r="DC87" i="39"/>
  <c r="DI87" i="39"/>
  <c r="DB79" i="39"/>
  <c r="DI79" i="39"/>
  <c r="DG71" i="39"/>
  <c r="DJ71" i="39"/>
  <c r="DD71" i="39"/>
  <c r="DG63" i="39"/>
  <c r="DC63" i="39"/>
  <c r="DJ63" i="39"/>
  <c r="DK55" i="39"/>
  <c r="DA55" i="39"/>
  <c r="DH55" i="39"/>
  <c r="DK47" i="39"/>
  <c r="DH47" i="39"/>
  <c r="DB47" i="39"/>
  <c r="DK39" i="39"/>
  <c r="DA39" i="39"/>
  <c r="DE39" i="39"/>
  <c r="DC31" i="39"/>
  <c r="DG31" i="39"/>
  <c r="DE31" i="39"/>
  <c r="DH23" i="39"/>
  <c r="DJ23" i="39"/>
  <c r="DE23" i="39"/>
  <c r="DK113" i="39"/>
  <c r="DE113" i="39"/>
  <c r="DI113" i="39"/>
  <c r="DE10" i="39"/>
  <c r="DH10" i="39"/>
  <c r="DJ10" i="39"/>
  <c r="DC86" i="39"/>
  <c r="DE86" i="39"/>
  <c r="CZ86" i="39"/>
  <c r="DJ78" i="39"/>
  <c r="CZ78" i="39"/>
  <c r="DA78" i="39"/>
  <c r="DJ70" i="39"/>
  <c r="DG70" i="39"/>
  <c r="DE70" i="39"/>
  <c r="DJ62" i="39"/>
  <c r="CZ62" i="39"/>
  <c r="DG62" i="39"/>
  <c r="CZ54" i="39"/>
  <c r="DA54" i="39"/>
  <c r="DF54" i="39"/>
  <c r="DF30" i="39"/>
  <c r="DA30" i="39"/>
  <c r="DD30" i="39"/>
  <c r="DE22" i="39"/>
  <c r="DH22" i="39"/>
  <c r="DJ22" i="39"/>
  <c r="DK101" i="39"/>
  <c r="DI101" i="39"/>
  <c r="DB101" i="39"/>
  <c r="DG85" i="39"/>
  <c r="DC85" i="39"/>
  <c r="DJ85" i="39"/>
  <c r="DG77" i="39"/>
  <c r="DC77" i="39"/>
  <c r="DE77" i="39"/>
  <c r="DG69" i="39"/>
  <c r="DI69" i="39"/>
  <c r="DB69" i="39"/>
  <c r="DG61" i="39"/>
  <c r="DB61" i="39"/>
  <c r="DI61" i="39"/>
  <c r="DF119" i="39"/>
  <c r="DA119" i="39"/>
  <c r="DC119" i="39"/>
  <c r="DK111" i="39"/>
  <c r="DG111" i="39"/>
  <c r="DJ111" i="39"/>
  <c r="CZ108" i="39"/>
  <c r="DA108" i="39"/>
  <c r="DD108" i="39"/>
  <c r="DK92" i="39"/>
  <c r="DH92" i="39"/>
  <c r="DA92" i="39"/>
  <c r="DJ76" i="39"/>
  <c r="DA76" i="39"/>
  <c r="CZ76" i="39"/>
  <c r="DJ60" i="39"/>
  <c r="CZ60" i="39"/>
  <c r="DG60" i="39"/>
  <c r="CZ44" i="39"/>
  <c r="DD44" i="39"/>
  <c r="DC44" i="39"/>
  <c r="DC110" i="39"/>
  <c r="DI107" i="39"/>
  <c r="DB107" i="39"/>
  <c r="DH107" i="39"/>
  <c r="DF91" i="39"/>
  <c r="DJ91" i="39"/>
  <c r="DC91" i="39"/>
  <c r="DH83" i="39"/>
  <c r="DK83" i="39"/>
  <c r="DI83" i="39"/>
  <c r="DH67" i="39"/>
  <c r="DJ67" i="39"/>
  <c r="DC67" i="39"/>
  <c r="DF51" i="39"/>
  <c r="DH51" i="39"/>
  <c r="DG51" i="39"/>
  <c r="DF43" i="39"/>
  <c r="DA43" i="39"/>
  <c r="CZ43" i="39"/>
  <c r="CZ106" i="39"/>
  <c r="DB106" i="39"/>
  <c r="DF106" i="39"/>
  <c r="CZ98" i="39"/>
  <c r="DB98" i="39"/>
  <c r="DF98" i="39"/>
  <c r="DK90" i="39"/>
  <c r="DB90" i="39"/>
  <c r="DT20" i="39"/>
  <c r="DN109" i="39"/>
  <c r="EZ111" i="39"/>
  <c r="GL91" i="39"/>
  <c r="GM91" i="39" s="1" a="1"/>
  <c r="GM91" i="39" s="1"/>
  <c r="GL98" i="39"/>
  <c r="GM98" i="39" s="1" a="1"/>
  <c r="GM98" i="39" s="1"/>
  <c r="GL33" i="39"/>
  <c r="EZ108" i="39"/>
  <c r="GL23" i="39"/>
  <c r="GM23" i="39" s="1" a="1"/>
  <c r="GM23" i="39" s="1"/>
  <c r="EZ113" i="39"/>
  <c r="DF96" i="39"/>
  <c r="DH88" i="39"/>
  <c r="DC72" i="39"/>
  <c r="DE64" i="39"/>
  <c r="DG103" i="39"/>
  <c r="DK95" i="39"/>
  <c r="DJ95" i="39"/>
  <c r="DJ87" i="39"/>
  <c r="DF79" i="39"/>
  <c r="DD79" i="39"/>
  <c r="DA79" i="39"/>
  <c r="CZ71" i="39"/>
  <c r="DK71" i="39"/>
  <c r="DB71" i="39"/>
  <c r="CZ63" i="39"/>
  <c r="DD63" i="39"/>
  <c r="DK63" i="39"/>
  <c r="DD55" i="39"/>
  <c r="DB55" i="39"/>
  <c r="DI55" i="39"/>
  <c r="DD47" i="39"/>
  <c r="DI47" i="39"/>
  <c r="DE47" i="39"/>
  <c r="DD39" i="39"/>
  <c r="DB39" i="39"/>
  <c r="DG39" i="39"/>
  <c r="DK31" i="39"/>
  <c r="DH31" i="39"/>
  <c r="DJ31" i="39"/>
  <c r="DA23" i="39"/>
  <c r="DC23" i="39"/>
  <c r="DF23" i="39"/>
  <c r="DD113" i="39"/>
  <c r="DF113" i="39"/>
  <c r="CZ113" i="39"/>
  <c r="DF10" i="39"/>
  <c r="DA10" i="39"/>
  <c r="DC10" i="39"/>
  <c r="DK86" i="39"/>
  <c r="DH86" i="39"/>
  <c r="DF86" i="39"/>
  <c r="DC78" i="39"/>
  <c r="DE78" i="39"/>
  <c r="DF78" i="39"/>
  <c r="DC70" i="39"/>
  <c r="DH70" i="39"/>
  <c r="CZ70" i="39"/>
  <c r="DC62" i="39"/>
  <c r="DA62" i="39"/>
  <c r="DH62" i="39"/>
  <c r="DH54" i="39"/>
  <c r="DC54" i="39"/>
  <c r="DI54" i="39"/>
  <c r="DG30" i="39"/>
  <c r="DB30" i="39"/>
  <c r="DI30" i="39"/>
  <c r="DF22" i="39"/>
  <c r="DA22" i="39"/>
  <c r="DC22" i="39"/>
  <c r="DD101" i="39"/>
  <c r="CZ101" i="39"/>
  <c r="DE101" i="39"/>
  <c r="CZ85" i="39"/>
  <c r="DD85" i="39"/>
  <c r="DK85" i="39"/>
  <c r="CZ77" i="39"/>
  <c r="DI77" i="39"/>
  <c r="DK77" i="39"/>
  <c r="CZ69" i="39"/>
  <c r="DJ69" i="39"/>
  <c r="DC69" i="39"/>
  <c r="CZ61" i="39"/>
  <c r="DC61" i="39"/>
  <c r="DJ61" i="39"/>
  <c r="DG119" i="39"/>
  <c r="DI119" i="39"/>
  <c r="DK119" i="39"/>
  <c r="DD111" i="39"/>
  <c r="DH111" i="39"/>
  <c r="DA111" i="39"/>
  <c r="DH108" i="39"/>
  <c r="DK108" i="39"/>
  <c r="DE108" i="39"/>
  <c r="DD92" i="39"/>
  <c r="DI92" i="39"/>
  <c r="DB92" i="39"/>
  <c r="DC76" i="39"/>
  <c r="DE76" i="39"/>
  <c r="DF76" i="39"/>
  <c r="DC60" i="39"/>
  <c r="DA60" i="39"/>
  <c r="DH60" i="39"/>
  <c r="DH44" i="39"/>
  <c r="DE44" i="39"/>
  <c r="DI44" i="39"/>
  <c r="DC107" i="39"/>
  <c r="CZ107" i="39"/>
  <c r="DE107" i="39"/>
  <c r="DG91" i="39"/>
  <c r="DI91" i="39"/>
  <c r="DK91" i="39"/>
  <c r="DF83" i="39"/>
  <c r="DA83" i="39"/>
  <c r="DC83" i="39"/>
  <c r="DF67" i="39"/>
  <c r="DD67" i="39"/>
  <c r="DK67" i="39"/>
  <c r="DC51" i="39"/>
  <c r="DI51" i="39"/>
  <c r="DA51" i="39"/>
  <c r="DC43" i="39"/>
  <c r="DB43" i="39"/>
  <c r="DH43" i="39"/>
  <c r="DB117" i="39"/>
  <c r="DH106" i="39"/>
  <c r="DC106" i="39"/>
  <c r="DI106" i="39"/>
  <c r="DH98" i="39"/>
  <c r="DC98" i="39"/>
  <c r="DI98" i="39"/>
  <c r="DD90" i="39"/>
  <c r="DE90" i="39"/>
  <c r="CZ90" i="39"/>
  <c r="CF52" i="39" a="1"/>
  <c r="CF52" i="39" s="1"/>
  <c r="DC112" i="39"/>
  <c r="DA116" i="39"/>
  <c r="DI118" i="39"/>
  <c r="DF110" i="39"/>
  <c r="DB118" i="39"/>
  <c r="DI109" i="39"/>
  <c r="DC118" i="39"/>
  <c r="DJ109" i="39"/>
  <c r="DD118" i="39"/>
  <c r="DB26" i="39"/>
  <c r="CZ26" i="39"/>
  <c r="DD26" i="39"/>
  <c r="DA34" i="39"/>
  <c r="DJ34" i="39"/>
  <c r="DG34" i="39"/>
  <c r="DI112" i="39"/>
  <c r="DA117" i="39"/>
  <c r="DC109" i="39"/>
  <c r="DD27" i="39"/>
  <c r="DB27" i="39"/>
  <c r="CZ27" i="39"/>
  <c r="DB35" i="39"/>
  <c r="DI35" i="39"/>
  <c r="DC35" i="39"/>
  <c r="DF118" i="39"/>
  <c r="DK20" i="39"/>
  <c r="DI20" i="39"/>
  <c r="DG20" i="39"/>
  <c r="DK28" i="39"/>
  <c r="DI28" i="39"/>
  <c r="DG28" i="39"/>
  <c r="DE109" i="39"/>
  <c r="DK117" i="39"/>
  <c r="DI37" i="39"/>
  <c r="DB37" i="39"/>
  <c r="DF37" i="39"/>
  <c r="DJ45" i="39"/>
  <c r="CZ45" i="39"/>
  <c r="DF45" i="39"/>
  <c r="DE53" i="39"/>
  <c r="DG53" i="39"/>
  <c r="DF53" i="39"/>
  <c r="DF109" i="39"/>
  <c r="CZ118" i="39"/>
  <c r="DH112" i="39"/>
  <c r="DE49" i="39"/>
  <c r="DJ49" i="39"/>
  <c r="DD49" i="39"/>
  <c r="DA65" i="39"/>
  <c r="DE65" i="39"/>
  <c r="CZ65" i="39"/>
  <c r="DC73" i="39"/>
  <c r="DA73" i="39"/>
  <c r="CZ73" i="39"/>
  <c r="CZ105" i="39"/>
  <c r="DF105" i="39"/>
  <c r="DD105" i="39"/>
  <c r="DE121" i="39"/>
  <c r="DE50" i="39"/>
  <c r="DI50" i="39"/>
  <c r="CZ50" i="39"/>
  <c r="DI66" i="39"/>
  <c r="DE66" i="39"/>
  <c r="DJ66" i="39"/>
  <c r="DG74" i="39"/>
  <c r="DI74" i="39"/>
  <c r="DJ74" i="39"/>
  <c r="DG90" i="39"/>
  <c r="DC90" i="39"/>
  <c r="DK98" i="39"/>
  <c r="DD106" i="39"/>
  <c r="DE43" i="39"/>
  <c r="DK51" i="39"/>
  <c r="DA67" i="39"/>
  <c r="DG83" i="39"/>
  <c r="DJ107" i="39"/>
  <c r="DI60" i="39"/>
  <c r="DK76" i="39"/>
  <c r="DE92" i="39"/>
  <c r="DI108" i="39"/>
  <c r="DD119" i="39"/>
  <c r="DD61" i="39"/>
  <c r="DH69" i="39"/>
  <c r="DA85" i="39"/>
  <c r="DG101" i="39"/>
  <c r="DK30" i="39"/>
  <c r="DI62" i="39"/>
  <c r="DI70" i="39"/>
  <c r="DK78" i="39"/>
  <c r="DD94" i="39"/>
  <c r="DI10" i="39"/>
  <c r="DA113" i="39"/>
  <c r="CZ31" i="39"/>
  <c r="DI39" i="39"/>
  <c r="DF47" i="39"/>
  <c r="DA63" i="39"/>
  <c r="DA71" i="39"/>
  <c r="DG79" i="39"/>
  <c r="CZ103" i="39"/>
  <c r="DI72" i="39"/>
  <c r="GL51" i="39"/>
  <c r="GM51" i="39" s="1" a="1"/>
  <c r="GM51" i="39" s="1"/>
  <c r="EZ47" i="39"/>
  <c r="DP99" i="39"/>
  <c r="DT99" i="39"/>
  <c r="DX99" i="39"/>
  <c r="DS99" i="39"/>
  <c r="DN99" i="39"/>
  <c r="DV99" i="39"/>
  <c r="DR99" i="39"/>
  <c r="EZ99" i="39"/>
  <c r="GL99" i="39"/>
  <c r="GM99" i="39" s="1" a="1"/>
  <c r="GM99" i="39" s="1"/>
  <c r="DD99" i="39"/>
  <c r="DA99" i="39"/>
  <c r="DG99" i="39"/>
  <c r="DI99" i="39"/>
  <c r="DB99" i="39"/>
  <c r="DH99" i="39"/>
  <c r="DC99" i="39"/>
  <c r="CZ99" i="39"/>
  <c r="DE99" i="39"/>
  <c r="DS38" i="39"/>
  <c r="EZ38" i="39"/>
  <c r="GL38" i="39"/>
  <c r="GM38" i="39" s="1" a="1"/>
  <c r="GM38" i="39" s="1"/>
  <c r="DO38" i="39"/>
  <c r="DG38" i="39"/>
  <c r="DJ38" i="39"/>
  <c r="DE38" i="39"/>
  <c r="CZ38" i="39"/>
  <c r="DA38" i="39"/>
  <c r="DF38" i="39"/>
  <c r="DH38" i="39"/>
  <c r="DC38" i="39"/>
  <c r="DI38" i="39"/>
  <c r="CF51" i="39" a="1"/>
  <c r="CF51" i="39" s="1"/>
  <c r="CF54" i="39" a="1"/>
  <c r="CF54" i="39" s="1"/>
  <c r="DI116" i="39"/>
  <c r="DA120" i="39"/>
  <c r="DD112" i="39"/>
  <c r="DB116" i="39"/>
  <c r="DJ118" i="39"/>
  <c r="DI110" i="39"/>
  <c r="DC116" i="39"/>
  <c r="DK118" i="39"/>
  <c r="DJ110" i="39"/>
  <c r="DD116" i="39"/>
  <c r="DD120" i="39"/>
  <c r="DK26" i="39"/>
  <c r="DI26" i="39"/>
  <c r="DG26" i="39"/>
  <c r="DE34" i="39"/>
  <c r="DF34" i="39"/>
  <c r="DB34" i="39"/>
  <c r="DA109" i="39"/>
  <c r="DI117" i="39"/>
  <c r="DG27" i="39"/>
  <c r="DK27" i="39"/>
  <c r="DI27" i="39"/>
  <c r="DH35" i="39"/>
  <c r="DA35" i="39"/>
  <c r="DF35" i="39"/>
  <c r="DB110" i="39"/>
  <c r="DF120" i="39"/>
  <c r="DH110" i="39"/>
  <c r="DC20" i="39"/>
  <c r="DA20" i="39"/>
  <c r="DF20" i="39"/>
  <c r="DC28" i="39"/>
  <c r="DA28" i="39"/>
  <c r="DF28" i="39"/>
  <c r="DA112" i="39"/>
  <c r="DG120" i="39"/>
  <c r="DH37" i="39"/>
  <c r="DA37" i="39"/>
  <c r="DD37" i="39"/>
  <c r="DI45" i="39"/>
  <c r="DH45" i="39"/>
  <c r="DD45" i="39"/>
  <c r="DB53" i="39"/>
  <c r="DA53" i="39"/>
  <c r="DD53" i="39"/>
  <c r="DD110" i="39"/>
  <c r="CZ116" i="39"/>
  <c r="DH118" i="39"/>
  <c r="CZ112" i="39"/>
  <c r="DB49" i="39"/>
  <c r="DI49" i="39"/>
  <c r="DK49" i="39"/>
  <c r="DK65" i="39"/>
  <c r="DD65" i="39"/>
  <c r="DG65" i="39"/>
  <c r="DE73" i="39"/>
  <c r="DK73" i="39"/>
  <c r="DG73" i="39"/>
  <c r="DI105" i="39"/>
  <c r="DE105" i="39"/>
  <c r="DK105" i="39"/>
  <c r="DE116" i="39"/>
  <c r="DD50" i="39"/>
  <c r="DJ50" i="39"/>
  <c r="DG50" i="39"/>
  <c r="DH66" i="39"/>
  <c r="DD66" i="39"/>
  <c r="DB66" i="39"/>
  <c r="DF74" i="39"/>
  <c r="DD74" i="39"/>
  <c r="DB74" i="39"/>
  <c r="DF90" i="39"/>
  <c r="DJ98" i="39"/>
  <c r="DA98" i="39"/>
  <c r="DA106" i="39"/>
  <c r="DK43" i="39"/>
  <c r="DE67" i="39"/>
  <c r="DA91" i="39"/>
  <c r="DJ99" i="39"/>
  <c r="DK107" i="39"/>
  <c r="DK44" i="39"/>
  <c r="DE60" i="39"/>
  <c r="DJ92" i="39"/>
  <c r="DB111" i="39"/>
  <c r="DB119" i="39"/>
  <c r="DH61" i="39"/>
  <c r="DB77" i="39"/>
  <c r="DE85" i="39"/>
  <c r="DK22" i="39"/>
  <c r="DJ30" i="39"/>
  <c r="DB38" i="39"/>
  <c r="DK54" i="39"/>
  <c r="DE62" i="39"/>
  <c r="DK70" i="39"/>
  <c r="DG86" i="39"/>
  <c r="DA94" i="39"/>
  <c r="DG10" i="39"/>
  <c r="DG23" i="39"/>
  <c r="DI31" i="39"/>
  <c r="DF39" i="39"/>
  <c r="DJ55" i="39"/>
  <c r="DE63" i="39"/>
  <c r="DH71" i="39"/>
  <c r="DD87" i="39"/>
  <c r="DC80" i="39"/>
  <c r="GL100" i="39"/>
  <c r="GM100" i="39" s="1" a="1"/>
  <c r="GM100" i="39" s="1"/>
  <c r="EZ54" i="39"/>
  <c r="DW105" i="39"/>
  <c r="GL114" i="39"/>
  <c r="GM114" i="39" s="1" a="1"/>
  <c r="GM114" i="39" s="1"/>
  <c r="HF114" i="39" s="1"/>
  <c r="GL46" i="39"/>
  <c r="GM46" i="39" s="1" a="1"/>
  <c r="GM46" i="39" s="1"/>
  <c r="EZ46" i="39"/>
  <c r="DG46" i="39"/>
  <c r="DJ46" i="39"/>
  <c r="DK46" i="39"/>
  <c r="CZ46" i="39"/>
  <c r="DE46" i="39"/>
  <c r="DA46" i="39"/>
  <c r="DH46" i="39"/>
  <c r="DF46" i="39"/>
  <c r="DC46" i="39"/>
  <c r="CF55" i="39" a="1"/>
  <c r="CF55" i="39" s="1"/>
  <c r="CF65" i="39" a="1"/>
  <c r="CF65" i="39" s="1"/>
  <c r="DG109" i="39"/>
  <c r="DE117" i="39"/>
  <c r="DI120" i="39"/>
  <c r="DJ116" i="39"/>
  <c r="DB120" i="39"/>
  <c r="DE112" i="39"/>
  <c r="DK116" i="39"/>
  <c r="DC120" i="39"/>
  <c r="DF112" i="39"/>
  <c r="CZ117" i="39"/>
  <c r="DC26" i="39"/>
  <c r="DA26" i="39"/>
  <c r="DF26" i="39"/>
  <c r="DD34" i="39"/>
  <c r="DK34" i="39"/>
  <c r="DH34" i="39"/>
  <c r="DA110" i="39"/>
  <c r="DE118" i="39"/>
  <c r="DD109" i="39"/>
  <c r="DF27" i="39"/>
  <c r="DC27" i="39"/>
  <c r="DA27" i="39"/>
  <c r="DG35" i="39"/>
  <c r="CZ35" i="39"/>
  <c r="DD35" i="39"/>
  <c r="DJ112" i="39"/>
  <c r="DF116" i="39"/>
  <c r="CZ110" i="39"/>
  <c r="DJ20" i="39"/>
  <c r="DH20" i="39"/>
  <c r="DE20" i="39"/>
  <c r="DJ28" i="39"/>
  <c r="DH28" i="39"/>
  <c r="DE28" i="39"/>
  <c r="DK112" i="39"/>
  <c r="DG116" i="39"/>
  <c r="DG37" i="39"/>
  <c r="CZ37" i="39"/>
  <c r="DK37" i="39"/>
  <c r="DB45" i="39"/>
  <c r="DG45" i="39"/>
  <c r="DK45" i="39"/>
  <c r="DI53" i="39"/>
  <c r="CZ53" i="39"/>
  <c r="DK53" i="39"/>
  <c r="DB112" i="39"/>
  <c r="DH116" i="39"/>
  <c r="CZ120" i="39"/>
  <c r="DG112" i="39"/>
  <c r="DA49" i="39"/>
  <c r="DH49" i="39"/>
  <c r="DC49" i="39"/>
  <c r="DJ65" i="39"/>
  <c r="DC65" i="39"/>
  <c r="DF65" i="39"/>
  <c r="DD73" i="39"/>
  <c r="DJ73" i="39"/>
  <c r="DF73" i="39"/>
  <c r="DH105" i="39"/>
  <c r="DB105" i="39"/>
  <c r="DC105" i="39"/>
  <c r="DA50" i="39"/>
  <c r="DC50" i="39"/>
  <c r="DB50" i="39"/>
  <c r="DA66" i="39"/>
  <c r="DG66" i="39"/>
  <c r="DK66" i="39"/>
  <c r="DH74" i="39"/>
  <c r="DA74" i="39"/>
  <c r="DK74" i="39"/>
  <c r="DA90" i="39"/>
  <c r="DI90" i="39"/>
  <c r="DE98" i="39"/>
  <c r="DG98" i="39"/>
  <c r="DB109" i="39"/>
  <c r="DB51" i="39"/>
  <c r="DG67" i="39"/>
  <c r="DD83" i="39"/>
  <c r="DD91" i="39"/>
  <c r="DK99" i="39"/>
  <c r="DF44" i="39"/>
  <c r="DK60" i="39"/>
  <c r="DI76" i="39"/>
  <c r="DF92" i="39"/>
  <c r="DF108" i="39"/>
  <c r="DI111" i="39"/>
  <c r="CZ119" i="39"/>
  <c r="DD69" i="39"/>
  <c r="DJ77" i="39"/>
  <c r="DH85" i="39"/>
  <c r="DF101" i="39"/>
  <c r="DI22" i="39"/>
  <c r="CZ30" i="39"/>
  <c r="DD46" i="39"/>
  <c r="DD54" i="39"/>
  <c r="DK62" i="39"/>
  <c r="DG78" i="39"/>
  <c r="DI86" i="39"/>
  <c r="DE94" i="39"/>
  <c r="DJ113" i="39"/>
  <c r="DK23" i="39"/>
  <c r="DD31" i="39"/>
  <c r="DJ47" i="39"/>
  <c r="DE55" i="39"/>
  <c r="DH63" i="39"/>
  <c r="DC79" i="39"/>
  <c r="DG87" i="39"/>
  <c r="DH48" i="39"/>
  <c r="DK96" i="39"/>
  <c r="EZ109" i="39"/>
  <c r="DO51" i="39"/>
  <c r="DN108" i="39"/>
  <c r="DF121" i="39"/>
  <c r="CA63" i="39" a="1"/>
  <c r="CA63" i="39" s="1"/>
  <c r="CB68" i="39" a="1"/>
  <c r="CB68" i="39" s="1"/>
  <c r="CB65" i="39" a="1"/>
  <c r="CB65" i="39" s="1"/>
  <c r="DQ39" i="39"/>
  <c r="DW12" i="39"/>
  <c r="DW98" i="39"/>
  <c r="DM85" i="39"/>
  <c r="DW113" i="39"/>
  <c r="DV37" i="39"/>
  <c r="DM53" i="39"/>
  <c r="DV61" i="39"/>
  <c r="DU77" i="39"/>
  <c r="DM38" i="39"/>
  <c r="DV12" i="39"/>
  <c r="DV98" i="39"/>
  <c r="DS116" i="39"/>
  <c r="DS45" i="39"/>
  <c r="DX53" i="39"/>
  <c r="DS69" i="39"/>
  <c r="DX77" i="39"/>
  <c r="DR78" i="39"/>
  <c r="DU12" i="39"/>
  <c r="DO119" i="39"/>
  <c r="DP111" i="39"/>
  <c r="DS37" i="39"/>
  <c r="DX45" i="39"/>
  <c r="DT53" i="39"/>
  <c r="DR69" i="39"/>
  <c r="DT77" i="39"/>
  <c r="DP92" i="39"/>
  <c r="DN92" i="39"/>
  <c r="DR108" i="39"/>
  <c r="DS12" i="39"/>
  <c r="DP12" i="39"/>
  <c r="DN12" i="39"/>
  <c r="DP98" i="39"/>
  <c r="DN98" i="39"/>
  <c r="DW39" i="39"/>
  <c r="DS73" i="39"/>
  <c r="DU86" i="39"/>
  <c r="DU95" i="39"/>
  <c r="DP106" i="39"/>
  <c r="DU111" i="39"/>
  <c r="DO117" i="39"/>
  <c r="DW119" i="39"/>
  <c r="DV111" i="39"/>
  <c r="DO37" i="39"/>
  <c r="DQ37" i="39"/>
  <c r="DN37" i="39"/>
  <c r="DM45" i="39"/>
  <c r="DP45" i="39"/>
  <c r="DU53" i="39"/>
  <c r="DW53" i="39"/>
  <c r="DP53" i="39"/>
  <c r="DW61" i="39"/>
  <c r="DQ61" i="39"/>
  <c r="DN61" i="39"/>
  <c r="DO69" i="39"/>
  <c r="DQ69" i="39"/>
  <c r="DN69" i="39"/>
  <c r="DS77" i="39"/>
  <c r="DM77" i="39"/>
  <c r="DS85" i="39"/>
  <c r="DS101" i="39"/>
  <c r="DT120" i="39"/>
  <c r="DU46" i="39"/>
  <c r="DT98" i="39"/>
  <c r="DM47" i="39"/>
  <c r="DO77" i="39"/>
  <c r="DS88" i="39"/>
  <c r="DO99" i="39"/>
  <c r="DQ107" i="39"/>
  <c r="DS112" i="39"/>
  <c r="DW117" i="39"/>
  <c r="DS120" i="39"/>
  <c r="DN111" i="39"/>
  <c r="DM37" i="39"/>
  <c r="DX37" i="39"/>
  <c r="DT37" i="39"/>
  <c r="DR45" i="39"/>
  <c r="DV45" i="39"/>
  <c r="DS53" i="39"/>
  <c r="DR53" i="39"/>
  <c r="DV53" i="39"/>
  <c r="DS61" i="39"/>
  <c r="DX61" i="39"/>
  <c r="DT61" i="39"/>
  <c r="DM69" i="39"/>
  <c r="DX69" i="39"/>
  <c r="DT69" i="39"/>
  <c r="DR77" i="39"/>
  <c r="DV77" i="39"/>
  <c r="DX85" i="39"/>
  <c r="DV101" i="39"/>
  <c r="DS47" i="39"/>
  <c r="DV22" i="39"/>
  <c r="DU54" i="39"/>
  <c r="DO92" i="39"/>
  <c r="DR92" i="39"/>
  <c r="DQ12" i="39"/>
  <c r="DO12" i="39"/>
  <c r="DM12" i="39"/>
  <c r="DO98" i="39"/>
  <c r="DR98" i="39"/>
  <c r="DO54" i="39"/>
  <c r="DS80" i="39"/>
  <c r="DQ90" i="39"/>
  <c r="DM101" i="39"/>
  <c r="DM109" i="39"/>
  <c r="DO113" i="39"/>
  <c r="DS118" i="39"/>
  <c r="DO121" i="39"/>
  <c r="DX111" i="39"/>
  <c r="DU37" i="39"/>
  <c r="DW37" i="39"/>
  <c r="DP37" i="39"/>
  <c r="DW45" i="39"/>
  <c r="DQ45" i="39"/>
  <c r="DN45" i="39"/>
  <c r="DO53" i="39"/>
  <c r="DQ53" i="39"/>
  <c r="DN53" i="39"/>
  <c r="DM61" i="39"/>
  <c r="DP61" i="39"/>
  <c r="DU69" i="39"/>
  <c r="DW69" i="39"/>
  <c r="DP69" i="39"/>
  <c r="DW77" i="39"/>
  <c r="DP77" i="39"/>
  <c r="DN77" i="39"/>
  <c r="DV85" i="39"/>
  <c r="DQ99" i="39"/>
  <c r="DR30" i="39"/>
  <c r="DN62" i="39"/>
  <c r="DU94" i="39"/>
  <c r="DM66" i="39"/>
  <c r="DW111" i="39"/>
  <c r="DP38" i="39"/>
  <c r="DN90" i="39"/>
  <c r="DP108" i="39"/>
  <c r="DR22" i="39"/>
  <c r="DW38" i="39"/>
  <c r="DP46" i="39"/>
  <c r="DX62" i="39"/>
  <c r="DN86" i="39"/>
  <c r="DM105" i="39"/>
  <c r="DS55" i="39"/>
  <c r="DO96" i="39"/>
  <c r="DR26" i="39"/>
  <c r="DU70" i="39"/>
  <c r="DR94" i="39"/>
  <c r="DM118" i="39"/>
  <c r="DS71" i="39"/>
  <c r="DQ83" i="39"/>
  <c r="DP117" i="39"/>
  <c r="DV30" i="39"/>
  <c r="DS46" i="39"/>
  <c r="DS62" i="39"/>
  <c r="DP70" i="39"/>
  <c r="DQ23" i="39"/>
  <c r="DS87" i="39"/>
  <c r="DM91" i="39"/>
  <c r="DR46" i="39"/>
  <c r="DT85" i="39"/>
  <c r="DP85" i="39"/>
  <c r="DR101" i="39"/>
  <c r="DN101" i="39"/>
  <c r="DP90" i="39"/>
  <c r="DT90" i="39"/>
  <c r="DS54" i="39"/>
  <c r="DU88" i="39"/>
  <c r="DM103" i="39"/>
  <c r="DO109" i="39"/>
  <c r="DX117" i="39"/>
  <c r="DP121" i="39"/>
  <c r="DX22" i="39"/>
  <c r="DN22" i="39"/>
  <c r="DU30" i="39"/>
  <c r="DP30" i="39"/>
  <c r="DQ38" i="39"/>
  <c r="DT38" i="39"/>
  <c r="DO46" i="39"/>
  <c r="DM46" i="39"/>
  <c r="DW54" i="39"/>
  <c r="DT54" i="39"/>
  <c r="DQ62" i="39"/>
  <c r="DU62" i="39"/>
  <c r="DW70" i="39"/>
  <c r="DM70" i="39"/>
  <c r="DU78" i="39"/>
  <c r="DP78" i="39"/>
  <c r="DR86" i="39"/>
  <c r="DW55" i="39"/>
  <c r="DQ109" i="39"/>
  <c r="DU120" i="39"/>
  <c r="DR31" i="39"/>
  <c r="DN39" i="39"/>
  <c r="DQ55" i="39"/>
  <c r="DQ71" i="39"/>
  <c r="DN87" i="39"/>
  <c r="DM48" i="39"/>
  <c r="DX101" i="39"/>
  <c r="DW90" i="39"/>
  <c r="DR90" i="39"/>
  <c r="DW73" i="39"/>
  <c r="DQ92" i="39"/>
  <c r="DX110" i="39"/>
  <c r="DT118" i="39"/>
  <c r="DT22" i="39"/>
  <c r="DP22" i="39"/>
  <c r="DU22" i="39"/>
  <c r="DX30" i="39"/>
  <c r="DO30" i="39"/>
  <c r="DV38" i="39"/>
  <c r="DX38" i="39"/>
  <c r="DW46" i="39"/>
  <c r="DT46" i="39"/>
  <c r="DV54" i="39"/>
  <c r="DR54" i="39"/>
  <c r="DO62" i="39"/>
  <c r="DT62" i="39"/>
  <c r="DQ70" i="39"/>
  <c r="DT70" i="39"/>
  <c r="DS78" i="39"/>
  <c r="DP86" i="39"/>
  <c r="DP94" i="39"/>
  <c r="DW74" i="39"/>
  <c r="DQ85" i="39"/>
  <c r="DU112" i="39"/>
  <c r="DO23" i="39"/>
  <c r="DV31" i="39"/>
  <c r="DO47" i="39"/>
  <c r="DW63" i="39"/>
  <c r="DS79" i="39"/>
  <c r="DP95" i="39"/>
  <c r="DN50" i="39"/>
  <c r="DQ64" i="39"/>
  <c r="DR85" i="39"/>
  <c r="DN85" i="39"/>
  <c r="DT101" i="39"/>
  <c r="DP101" i="39"/>
  <c r="DO90" i="39"/>
  <c r="DU80" i="39"/>
  <c r="DM94" i="39"/>
  <c r="DR107" i="39"/>
  <c r="DT112" i="39"/>
  <c r="DX119" i="39"/>
  <c r="DS22" i="39"/>
  <c r="DW22" i="39"/>
  <c r="DW30" i="39"/>
  <c r="DS30" i="39"/>
  <c r="DN30" i="39"/>
  <c r="DU38" i="39"/>
  <c r="DV46" i="39"/>
  <c r="DX46" i="39"/>
  <c r="DN54" i="39"/>
  <c r="DX54" i="39"/>
  <c r="DV62" i="39"/>
  <c r="DR62" i="39"/>
  <c r="DV70" i="39"/>
  <c r="DX70" i="39"/>
  <c r="DN78" i="39"/>
  <c r="DO86" i="39"/>
  <c r="DO94" i="39"/>
  <c r="DQ74" i="39"/>
  <c r="DM96" i="39"/>
  <c r="DM23" i="39"/>
  <c r="DO39" i="39"/>
  <c r="DP47" i="39"/>
  <c r="DX63" i="39"/>
  <c r="DM79" i="39"/>
  <c r="DX103" i="39"/>
  <c r="DX72" i="39"/>
  <c r="DQ94" i="39"/>
  <c r="DS94" i="39"/>
  <c r="FN99" i="39"/>
  <c r="DX66" i="39"/>
  <c r="DU66" i="39"/>
  <c r="DW66" i="39"/>
  <c r="DR66" i="39"/>
  <c r="DN66" i="39"/>
  <c r="DO66" i="39"/>
  <c r="DV66" i="39"/>
  <c r="DP66" i="39"/>
  <c r="DQ66" i="39"/>
  <c r="DT66" i="39"/>
  <c r="BZ51" i="39" a="1"/>
  <c r="BZ51" i="39" s="1"/>
  <c r="FN78" i="39"/>
  <c r="DS43" i="39"/>
  <c r="DO107" i="39"/>
  <c r="DO83" i="39"/>
  <c r="DQ87" i="39"/>
  <c r="DP23" i="39"/>
  <c r="DM67" i="39"/>
  <c r="DO70" i="39"/>
  <c r="DQ77" i="39"/>
  <c r="DX120" i="39"/>
  <c r="DP118" i="39"/>
  <c r="DX112" i="39"/>
  <c r="DT109" i="39"/>
  <c r="DW103" i="39"/>
  <c r="DX105" i="39"/>
  <c r="DR73" i="39"/>
  <c r="DO73" i="39"/>
  <c r="DN65" i="39"/>
  <c r="DQ65" i="39"/>
  <c r="DU65" i="39"/>
  <c r="DP49" i="39"/>
  <c r="DM49" i="39"/>
  <c r="DO120" i="39"/>
  <c r="DS117" i="39"/>
  <c r="DO112" i="39"/>
  <c r="DU108" i="39"/>
  <c r="DU103" i="39"/>
  <c r="DO91" i="39"/>
  <c r="DW78" i="39"/>
  <c r="DN10" i="39"/>
  <c r="DP10" i="39"/>
  <c r="DS10" i="39"/>
  <c r="DR34" i="39"/>
  <c r="DN34" i="39"/>
  <c r="FN96" i="39"/>
  <c r="DM98" i="39"/>
  <c r="DU105" i="39"/>
  <c r="DS96" i="39"/>
  <c r="DW91" i="39"/>
  <c r="DO79" i="39"/>
  <c r="DM113" i="39"/>
  <c r="DQ120" i="39"/>
  <c r="DO101" i="39"/>
  <c r="DU61" i="39"/>
  <c r="DP120" i="39"/>
  <c r="DT117" i="39"/>
  <c r="DP112" i="39"/>
  <c r="DV108" i="39"/>
  <c r="DQ91" i="39"/>
  <c r="DN105" i="39"/>
  <c r="DR105" i="39"/>
  <c r="DT73" i="39"/>
  <c r="DU73" i="39"/>
  <c r="DP73" i="39"/>
  <c r="DV65" i="39"/>
  <c r="DR65" i="39"/>
  <c r="DW65" i="39"/>
  <c r="DT49" i="39"/>
  <c r="DX49" i="39"/>
  <c r="DS49" i="39"/>
  <c r="DS119" i="39"/>
  <c r="DW116" i="39"/>
  <c r="DQ111" i="39"/>
  <c r="DU107" i="39"/>
  <c r="DW101" i="39"/>
  <c r="DU87" i="39"/>
  <c r="DV10" i="39"/>
  <c r="DX10" i="39"/>
  <c r="DT10" i="39"/>
  <c r="DT34" i="39"/>
  <c r="DV34" i="39"/>
  <c r="DM26" i="39"/>
  <c r="DO26" i="39"/>
  <c r="DQ26" i="39"/>
  <c r="DT96" i="39"/>
  <c r="DW96" i="39"/>
  <c r="DT88" i="39"/>
  <c r="DW88" i="39"/>
  <c r="DT80" i="39"/>
  <c r="DW80" i="39"/>
  <c r="DP72" i="39"/>
  <c r="DV72" i="39"/>
  <c r="DS72" i="39"/>
  <c r="FN34" i="39"/>
  <c r="DM72" i="39"/>
  <c r="DQ103" i="39"/>
  <c r="DW71" i="39"/>
  <c r="DM86" i="39"/>
  <c r="DQ112" i="39"/>
  <c r="DM119" i="39"/>
  <c r="DT119" i="39"/>
  <c r="DX116" i="39"/>
  <c r="DR111" i="39"/>
  <c r="DW107" i="39"/>
  <c r="DS98" i="39"/>
  <c r="DW87" i="39"/>
  <c r="DW43" i="39"/>
  <c r="DV105" i="39"/>
  <c r="DS105" i="39"/>
  <c r="DN73" i="39"/>
  <c r="DM73" i="39"/>
  <c r="DQ73" i="39"/>
  <c r="DP65" i="39"/>
  <c r="DM65" i="39"/>
  <c r="DN49" i="39"/>
  <c r="DQ49" i="39"/>
  <c r="DU49" i="39"/>
  <c r="DW64" i="39"/>
  <c r="DM78" i="39"/>
  <c r="DP116" i="39"/>
  <c r="DU96" i="39"/>
  <c r="DX65" i="39"/>
  <c r="DW118" i="39"/>
  <c r="DS113" i="39"/>
  <c r="DV106" i="39"/>
  <c r="DW85" i="39"/>
  <c r="DO10" i="39"/>
  <c r="DM34" i="39"/>
  <c r="DO34" i="39"/>
  <c r="DW26" i="39"/>
  <c r="DS26" i="39"/>
  <c r="DR96" i="39"/>
  <c r="DP96" i="39"/>
  <c r="DV88" i="39"/>
  <c r="DR80" i="39"/>
  <c r="DP80" i="39"/>
  <c r="DR72" i="39"/>
  <c r="DQ72" i="39"/>
  <c r="DT64" i="39"/>
  <c r="DV64" i="39"/>
  <c r="DX48" i="39"/>
  <c r="DU48" i="39"/>
  <c r="DO48" i="39"/>
  <c r="DR121" i="39"/>
  <c r="DV118" i="39"/>
  <c r="DN116" i="39"/>
  <c r="DR113" i="39"/>
  <c r="DP110" i="39"/>
  <c r="DU106" i="39"/>
  <c r="DQ96" i="39"/>
  <c r="DU85" i="39"/>
  <c r="FN110" i="39"/>
  <c r="DM95" i="39"/>
  <c r="DT113" i="39"/>
  <c r="DP105" i="39"/>
  <c r="DV73" i="39"/>
  <c r="DS65" i="39"/>
  <c r="DV49" i="39"/>
  <c r="DO118" i="39"/>
  <c r="DW112" i="39"/>
  <c r="DQ105" i="39"/>
  <c r="DW10" i="39"/>
  <c r="DU34" i="39"/>
  <c r="DU26" i="39"/>
  <c r="DP26" i="39"/>
  <c r="DT26" i="39"/>
  <c r="DN96" i="39"/>
  <c r="DX96" i="39"/>
  <c r="DO88" i="39"/>
  <c r="DN80" i="39"/>
  <c r="DX80" i="39"/>
  <c r="DT72" i="39"/>
  <c r="DP64" i="39"/>
  <c r="DM64" i="39"/>
  <c r="DS64" i="39"/>
  <c r="DR48" i="39"/>
  <c r="DN48" i="39"/>
  <c r="DQ48" i="39"/>
  <c r="DV120" i="39"/>
  <c r="DN118" i="39"/>
  <c r="DV112" i="39"/>
  <c r="DR109" i="39"/>
  <c r="DO105" i="39"/>
  <c r="DW83" i="39"/>
  <c r="DS70" i="39"/>
  <c r="DP50" i="39"/>
  <c r="DS50" i="39"/>
  <c r="DS63" i="39"/>
  <c r="DO85" i="39"/>
  <c r="DT121" i="39"/>
  <c r="DS110" i="39"/>
  <c r="DT105" i="39"/>
  <c r="DX73" i="39"/>
  <c r="DR49" i="39"/>
  <c r="DS121" i="39"/>
  <c r="DO116" i="39"/>
  <c r="DQ110" i="39"/>
  <c r="DQ98" i="39"/>
  <c r="DM10" i="39"/>
  <c r="DQ10" i="39"/>
  <c r="DP34" i="39"/>
  <c r="DQ34" i="39"/>
  <c r="DN26" i="39"/>
  <c r="DX26" i="39"/>
  <c r="DV96" i="39"/>
  <c r="DR88" i="39"/>
  <c r="DP88" i="39"/>
  <c r="DV80" i="39"/>
  <c r="DQ80" i="39"/>
  <c r="DN72" i="39"/>
  <c r="DX64" i="39"/>
  <c r="DU64" i="39"/>
  <c r="DO64" i="39"/>
  <c r="DT48" i="39"/>
  <c r="DV48" i="39"/>
  <c r="DN120" i="39"/>
  <c r="DR117" i="39"/>
  <c r="DN112" i="39"/>
  <c r="DS108" i="39"/>
  <c r="DU101" i="39"/>
  <c r="DU92" i="39"/>
  <c r="DX50" i="39"/>
  <c r="DU50" i="39"/>
  <c r="DW50" i="39"/>
  <c r="DN103" i="39"/>
  <c r="DR103" i="39"/>
  <c r="DV95" i="39"/>
  <c r="DS95" i="39"/>
  <c r="DP87" i="39"/>
  <c r="DT87" i="39"/>
  <c r="DU79" i="39"/>
  <c r="DQ79" i="39"/>
  <c r="DN71" i="39"/>
  <c r="DR71" i="39"/>
  <c r="DO71" i="39"/>
  <c r="DV63" i="39"/>
  <c r="DR63" i="39"/>
  <c r="DT55" i="39"/>
  <c r="DX55" i="39"/>
  <c r="DM55" i="39"/>
  <c r="FN38" i="39"/>
  <c r="DX90" i="39"/>
  <c r="DV90" i="39"/>
  <c r="DM87" i="39"/>
  <c r="DW95" i="39"/>
  <c r="DQ106" i="39"/>
  <c r="DN110" i="39"/>
  <c r="DX113" i="39"/>
  <c r="DT116" i="39"/>
  <c r="DP119" i="39"/>
  <c r="DX121" i="39"/>
  <c r="DQ22" i="39"/>
  <c r="DO22" i="39"/>
  <c r="DM22" i="39"/>
  <c r="DT30" i="39"/>
  <c r="DQ30" i="39"/>
  <c r="DM30" i="39"/>
  <c r="DN38" i="39"/>
  <c r="DR38" i="39"/>
  <c r="DQ46" i="39"/>
  <c r="DN46" i="39"/>
  <c r="DQ54" i="39"/>
  <c r="DM54" i="39"/>
  <c r="DP54" i="39"/>
  <c r="DW62" i="39"/>
  <c r="DM62" i="39"/>
  <c r="DP62" i="39"/>
  <c r="DN70" i="39"/>
  <c r="DR70" i="39"/>
  <c r="DT78" i="39"/>
  <c r="DV78" i="39"/>
  <c r="DX86" i="39"/>
  <c r="DV86" i="39"/>
  <c r="DX94" i="39"/>
  <c r="DV94" i="39"/>
  <c r="DM74" i="39"/>
  <c r="DR74" i="39"/>
  <c r="DS34" i="39"/>
  <c r="DM63" i="39"/>
  <c r="DO87" i="39"/>
  <c r="DU99" i="39"/>
  <c r="DS106" i="39"/>
  <c r="DO110" i="39"/>
  <c r="DQ113" i="39"/>
  <c r="DM116" i="39"/>
  <c r="DU118" i="39"/>
  <c r="DQ121" i="39"/>
  <c r="DV23" i="39"/>
  <c r="DT23" i="39"/>
  <c r="DW31" i="39"/>
  <c r="DQ31" i="39"/>
  <c r="DN31" i="39"/>
  <c r="DM39" i="39"/>
  <c r="DX39" i="39"/>
  <c r="DT39" i="39"/>
  <c r="DR47" i="39"/>
  <c r="DV47" i="39"/>
  <c r="DO55" i="39"/>
  <c r="DP55" i="39"/>
  <c r="DU63" i="39"/>
  <c r="DP63" i="39"/>
  <c r="DM71" i="39"/>
  <c r="DP71" i="39"/>
  <c r="DR79" i="39"/>
  <c r="DV79" i="39"/>
  <c r="DR87" i="39"/>
  <c r="DT95" i="39"/>
  <c r="DN95" i="39"/>
  <c r="DP103" i="39"/>
  <c r="DO50" i="39"/>
  <c r="DM50" i="39"/>
  <c r="DO49" i="39"/>
  <c r="DW99" i="39"/>
  <c r="DV116" i="39"/>
  <c r="DP48" i="39"/>
  <c r="DN64" i="39"/>
  <c r="DO80" i="39"/>
  <c r="DV26" i="39"/>
  <c r="DS109" i="39"/>
  <c r="DW49" i="39"/>
  <c r="DM110" i="39"/>
  <c r="FN91" i="39"/>
  <c r="DN94" i="39"/>
  <c r="DO74" i="39"/>
  <c r="DV74" i="39"/>
  <c r="DX74" i="39"/>
  <c r="DU90" i="39"/>
  <c r="DQ101" i="39"/>
  <c r="DS107" i="39"/>
  <c r="DM111" i="39"/>
  <c r="DU116" i="39"/>
  <c r="DQ119" i="39"/>
  <c r="DX23" i="39"/>
  <c r="DN23" i="39"/>
  <c r="DS23" i="39"/>
  <c r="DU31" i="39"/>
  <c r="DX31" i="39"/>
  <c r="DT31" i="39"/>
  <c r="DU39" i="39"/>
  <c r="DP39" i="39"/>
  <c r="DW47" i="39"/>
  <c r="DQ47" i="39"/>
  <c r="DN47" i="39"/>
  <c r="DU55" i="39"/>
  <c r="DV55" i="39"/>
  <c r="DO63" i="39"/>
  <c r="DN63" i="39"/>
  <c r="DX71" i="39"/>
  <c r="DV71" i="39"/>
  <c r="DP79" i="39"/>
  <c r="DN79" i="39"/>
  <c r="DX87" i="39"/>
  <c r="DR95" i="39"/>
  <c r="DT103" i="39"/>
  <c r="DV103" i="39"/>
  <c r="DQ50" i="39"/>
  <c r="DT50" i="39"/>
  <c r="DU74" i="39"/>
  <c r="DT107" i="39"/>
  <c r="DR119" i="39"/>
  <c r="DR64" i="39"/>
  <c r="DX88" i="39"/>
  <c r="DW34" i="39"/>
  <c r="DR10" i="39"/>
  <c r="DX106" i="39"/>
  <c r="DQ78" i="39"/>
  <c r="DX78" i="39"/>
  <c r="DW86" i="39"/>
  <c r="DT86" i="39"/>
  <c r="DW94" i="39"/>
  <c r="DT94" i="39"/>
  <c r="DN74" i="39"/>
  <c r="DT74" i="39"/>
  <c r="DP74" i="39"/>
  <c r="DW48" i="39"/>
  <c r="DU83" i="39"/>
  <c r="DS92" i="39"/>
  <c r="DO103" i="39"/>
  <c r="DQ108" i="39"/>
  <c r="DM112" i="39"/>
  <c r="DQ117" i="39"/>
  <c r="DM120" i="39"/>
  <c r="DW23" i="39"/>
  <c r="DU23" i="39"/>
  <c r="DR23" i="39"/>
  <c r="DO31" i="39"/>
  <c r="DP31" i="39"/>
  <c r="DS39" i="39"/>
  <c r="DR39" i="39"/>
  <c r="DV39" i="39"/>
  <c r="DU47" i="39"/>
  <c r="DX47" i="39"/>
  <c r="DT47" i="39"/>
  <c r="DR55" i="39"/>
  <c r="DN55" i="39"/>
  <c r="DQ63" i="39"/>
  <c r="DT63" i="39"/>
  <c r="DU71" i="39"/>
  <c r="DT71" i="39"/>
  <c r="DX79" i="39"/>
  <c r="DT79" i="39"/>
  <c r="DV87" i="39"/>
  <c r="DX95" i="39"/>
  <c r="DS103" i="39"/>
  <c r="DV50" i="39"/>
  <c r="DR50" i="39"/>
  <c r="DO78" i="39"/>
  <c r="DO111" i="39"/>
  <c r="DS48" i="39"/>
  <c r="DO72" i="39"/>
  <c r="DN88" i="39"/>
  <c r="DX34" i="39"/>
  <c r="DU10" i="39"/>
  <c r="DW120" i="39"/>
  <c r="DT65" i="39"/>
  <c r="DX118" i="39"/>
  <c r="FN94" i="39"/>
  <c r="DQ118" i="39"/>
  <c r="FN113" i="39"/>
  <c r="FN44" i="39"/>
  <c r="FN61" i="39"/>
  <c r="FN31" i="39"/>
  <c r="DM121" i="39"/>
  <c r="DM99" i="39"/>
  <c r="FN51" i="39"/>
  <c r="FN43" i="39"/>
  <c r="FN108" i="39"/>
  <c r="FN101" i="39"/>
  <c r="FN71" i="39"/>
  <c r="FN88" i="39"/>
  <c r="FN27" i="39"/>
  <c r="FN76" i="39"/>
  <c r="FN111" i="39"/>
  <c r="FN121" i="39"/>
  <c r="FN66" i="39"/>
  <c r="FN107" i="39"/>
  <c r="FN92" i="39"/>
  <c r="FN95" i="39"/>
  <c r="FN116" i="39"/>
  <c r="FN70" i="39"/>
  <c r="FN20" i="39"/>
  <c r="FN119" i="39"/>
  <c r="FN45" i="39"/>
  <c r="FN85" i="39"/>
  <c r="FN22" i="39"/>
  <c r="FN54" i="39"/>
  <c r="FN47" i="39"/>
  <c r="FN12" i="39"/>
  <c r="FN64" i="39"/>
  <c r="FN26" i="39"/>
  <c r="DO65" i="39"/>
  <c r="DM92" i="39"/>
  <c r="DS74" i="39"/>
  <c r="DM106" i="39"/>
  <c r="DM35" i="39"/>
  <c r="DO108" i="39"/>
  <c r="FN80" i="39"/>
  <c r="FN87" i="39"/>
  <c r="FN65" i="39"/>
  <c r="FN112" i="39"/>
  <c r="FN50" i="39"/>
  <c r="FN98" i="39"/>
  <c r="FN106" i="39"/>
  <c r="FN69" i="39"/>
  <c r="FN120" i="39"/>
  <c r="FN28" i="39"/>
  <c r="FN103" i="39"/>
  <c r="FN109" i="39"/>
  <c r="FN53" i="39"/>
  <c r="FN30" i="39"/>
  <c r="FN62" i="39"/>
  <c r="FN23" i="39"/>
  <c r="FN55" i="39"/>
  <c r="FN73" i="39"/>
  <c r="FN74" i="39"/>
  <c r="DQ116" i="39"/>
  <c r="DS90" i="39"/>
  <c r="DW109" i="39"/>
  <c r="DM51" i="39"/>
  <c r="FN48" i="39"/>
  <c r="FN117" i="39"/>
  <c r="FN90" i="39"/>
  <c r="FN49" i="39"/>
  <c r="FN72" i="39"/>
  <c r="FN105" i="39"/>
  <c r="FN35" i="39"/>
  <c r="FN83" i="39"/>
  <c r="FN63" i="39"/>
  <c r="FN67" i="39"/>
  <c r="FN118" i="39"/>
  <c r="FN60" i="39"/>
  <c r="FN37" i="39"/>
  <c r="FN77" i="39"/>
  <c r="FN10" i="39"/>
  <c r="FN46" i="39"/>
  <c r="FN86" i="39"/>
  <c r="FN39" i="39"/>
  <c r="FN79" i="39"/>
  <c r="GL10" i="39"/>
  <c r="GM10" i="39" s="1" a="1"/>
  <c r="GM10" i="39" s="1"/>
  <c r="DI128" i="39"/>
  <c r="DD128" i="39"/>
  <c r="DE128" i="39"/>
  <c r="DA128" i="39"/>
  <c r="DO128" i="39"/>
  <c r="DM128" i="39"/>
  <c r="DQ128" i="39"/>
  <c r="DH128" i="39"/>
  <c r="DB128" i="39"/>
  <c r="DK128" i="39"/>
  <c r="CZ128" i="39"/>
  <c r="DP128" i="39"/>
  <c r="DV128" i="39"/>
  <c r="DT128" i="39"/>
  <c r="DF128" i="39"/>
  <c r="DJ128" i="39"/>
  <c r="DG128" i="39"/>
  <c r="DX128" i="39"/>
  <c r="DN128" i="39"/>
  <c r="DX122" i="39"/>
  <c r="DV122" i="39"/>
  <c r="DS122" i="39"/>
  <c r="DP122" i="39"/>
  <c r="DN122" i="39"/>
  <c r="DR122" i="39"/>
  <c r="DQ122" i="39"/>
  <c r="DW122" i="39"/>
  <c r="DU122" i="39"/>
  <c r="GC122" i="39"/>
  <c r="GI122" i="39" s="1"/>
  <c r="DM122" i="39"/>
  <c r="DO122" i="39"/>
  <c r="DT122" i="39"/>
  <c r="GB122" i="39"/>
  <c r="GH122" i="39" s="1"/>
  <c r="FN122" i="39"/>
  <c r="DS154" i="39"/>
  <c r="DP154" i="39"/>
  <c r="DN154" i="39"/>
  <c r="DG142" i="39"/>
  <c r="DB142" i="39"/>
  <c r="DC142" i="39"/>
  <c r="DP142" i="39"/>
  <c r="DN142" i="39"/>
  <c r="DS142" i="39"/>
  <c r="DF142" i="39"/>
  <c r="CZ142" i="39"/>
  <c r="DI142" i="39"/>
  <c r="DW142" i="39"/>
  <c r="DU142" i="39"/>
  <c r="DR142" i="39"/>
  <c r="DE142" i="39"/>
  <c r="DJ142" i="39"/>
  <c r="DO142" i="39"/>
  <c r="DM142" i="39"/>
  <c r="DW154" i="39"/>
  <c r="DU154" i="39"/>
  <c r="DR154" i="39"/>
  <c r="FN154" i="39"/>
  <c r="DK154" i="39"/>
  <c r="DI154" i="39"/>
  <c r="DO154" i="39"/>
  <c r="DM154" i="39"/>
  <c r="DQ154" i="39"/>
  <c r="DC154" i="39"/>
  <c r="DA154" i="39"/>
  <c r="DX154" i="39"/>
  <c r="DV154" i="39"/>
  <c r="GC154" i="39"/>
  <c r="GI154" i="39" s="1"/>
  <c r="DJ121" i="39"/>
  <c r="DH121" i="39"/>
  <c r="DG140" i="39"/>
  <c r="DD121" i="39"/>
  <c r="DB121" i="39"/>
  <c r="CZ121" i="39"/>
  <c r="DK121" i="39"/>
  <c r="DI121" i="39"/>
  <c r="DG121" i="39"/>
  <c r="DC121" i="39"/>
  <c r="DA121" i="39"/>
  <c r="DX168" i="39"/>
  <c r="DT168" i="39"/>
  <c r="DP168" i="39"/>
  <c r="DV161" i="39"/>
  <c r="DR165" i="39"/>
  <c r="DU168" i="39"/>
  <c r="DD160" i="39"/>
  <c r="DO161" i="39"/>
  <c r="DU163" i="39"/>
  <c r="DO165" i="39"/>
  <c r="DU167" i="39"/>
  <c r="DO169" i="39"/>
  <c r="DM167" i="39"/>
  <c r="DN163" i="39"/>
  <c r="DS164" i="39"/>
  <c r="DO168" i="39"/>
  <c r="DT169" i="39"/>
  <c r="DB160" i="39"/>
  <c r="DE162" i="39"/>
  <c r="DP167" i="39"/>
  <c r="DJ162" i="39"/>
  <c r="DS163" i="39"/>
  <c r="DC166" i="39"/>
  <c r="CZ166" i="39"/>
  <c r="DM165" i="39"/>
  <c r="DU165" i="39"/>
  <c r="DQ165" i="39"/>
  <c r="DT163" i="39"/>
  <c r="DV165" i="39"/>
  <c r="DR169" i="39"/>
  <c r="DH160" i="39"/>
  <c r="CZ160" i="39"/>
  <c r="DS161" i="39"/>
  <c r="DN164" i="39"/>
  <c r="DS165" i="39"/>
  <c r="DN168" i="39"/>
  <c r="DS169" i="39"/>
  <c r="DA160" i="39"/>
  <c r="DP161" i="39"/>
  <c r="DR163" i="39"/>
  <c r="DW164" i="39"/>
  <c r="DN167" i="39"/>
  <c r="DS168" i="39"/>
  <c r="DF160" i="39"/>
  <c r="DW167" i="39"/>
  <c r="DK162" i="39"/>
  <c r="DF162" i="39"/>
  <c r="DO163" i="39"/>
  <c r="DJ166" i="39"/>
  <c r="DA166" i="39"/>
  <c r="DN165" i="39"/>
  <c r="DQ169" i="39"/>
  <c r="DM169" i="39"/>
  <c r="DU169" i="39"/>
  <c r="DQ161" i="39"/>
  <c r="DU161" i="39"/>
  <c r="DM161" i="39"/>
  <c r="DX163" i="39"/>
  <c r="DT167" i="39"/>
  <c r="DV169" i="39"/>
  <c r="DW161" i="39"/>
  <c r="DR164" i="39"/>
  <c r="DW165" i="39"/>
  <c r="DR168" i="39"/>
  <c r="DW169" i="39"/>
  <c r="DE160" i="39"/>
  <c r="DT161" i="39"/>
  <c r="DV163" i="39"/>
  <c r="DP165" i="39"/>
  <c r="DR167" i="39"/>
  <c r="DW168" i="39"/>
  <c r="DM164" i="39"/>
  <c r="DI166" i="39"/>
  <c r="DI162" i="39"/>
  <c r="DH162" i="39"/>
  <c r="DG162" i="39"/>
  <c r="DB162" i="39"/>
  <c r="DH166" i="39"/>
  <c r="DK166" i="39"/>
  <c r="DF166" i="39"/>
  <c r="DN169" i="39"/>
  <c r="DT164" i="39"/>
  <c r="DX164" i="39"/>
  <c r="DP164" i="39"/>
  <c r="DK160" i="39"/>
  <c r="DG160" i="39"/>
  <c r="DC160" i="39"/>
  <c r="DR161" i="39"/>
  <c r="DU164" i="39"/>
  <c r="DX167" i="39"/>
  <c r="DQ163" i="39"/>
  <c r="DV164" i="39"/>
  <c r="DQ167" i="39"/>
  <c r="DV168" i="39"/>
  <c r="DM163" i="39"/>
  <c r="DI160" i="39"/>
  <c r="DX161" i="39"/>
  <c r="DO164" i="39"/>
  <c r="DT165" i="39"/>
  <c r="DV167" i="39"/>
  <c r="DP169" i="39"/>
  <c r="DM168" i="39"/>
  <c r="DP163" i="39"/>
  <c r="DQ168" i="39"/>
  <c r="DD162" i="39"/>
  <c r="DC162" i="39"/>
  <c r="CZ162" i="39"/>
  <c r="DD166" i="39"/>
  <c r="DG166" i="39"/>
  <c r="DB166" i="39"/>
  <c r="DS167" i="39"/>
  <c r="GC140" i="39"/>
  <c r="GI140" i="39" s="1"/>
  <c r="DM140" i="39"/>
  <c r="DT140" i="39"/>
  <c r="DP140" i="39"/>
  <c r="DX140" i="39"/>
  <c r="DS140" i="39"/>
  <c r="DW140" i="39"/>
  <c r="DR140" i="39"/>
  <c r="DO140" i="39"/>
  <c r="DQ140" i="39"/>
  <c r="DV140" i="39"/>
  <c r="DN140" i="39"/>
  <c r="DU140" i="39"/>
  <c r="GB140" i="39"/>
  <c r="DD140" i="39"/>
  <c r="DF140" i="39"/>
  <c r="DE140" i="39"/>
  <c r="DK140" i="39"/>
  <c r="DB140" i="39"/>
  <c r="DC140" i="39"/>
  <c r="CZ140" i="39"/>
  <c r="DI140" i="39"/>
  <c r="DJ140" i="39"/>
  <c r="DA140" i="39"/>
  <c r="DH140" i="39"/>
  <c r="GN45" i="39" l="1"/>
  <c r="CA45" i="39" a="1"/>
  <c r="CA45" i="39" s="1"/>
  <c r="CB45" i="39" a="1"/>
  <c r="CB45" i="39" s="1"/>
  <c r="L91" i="39"/>
  <c r="CB46" i="39" a="1"/>
  <c r="CB46" i="39" s="1"/>
  <c r="CA46" i="39" a="1"/>
  <c r="CA46" i="39" s="1"/>
  <c r="CA61" i="39" a="1"/>
  <c r="CA61" i="39" s="1"/>
  <c r="CB61" i="39" a="1"/>
  <c r="CB61" i="39" s="1"/>
  <c r="CA53" i="39" a="1"/>
  <c r="CA53" i="39" s="1"/>
  <c r="CB53" i="39" a="1"/>
  <c r="CB53" i="39" s="1"/>
  <c r="L93" i="39"/>
  <c r="CA65" i="39" a="1"/>
  <c r="CA65" i="39" s="1"/>
  <c r="CB59" i="39" a="1"/>
  <c r="CB59" i="39" s="1"/>
  <c r="CB63" i="39" a="1"/>
  <c r="CB63" i="39" s="1"/>
  <c r="CB66" i="39" a="1"/>
  <c r="CB66" i="39" s="1"/>
  <c r="CA66" i="39" a="1"/>
  <c r="CA66" i="39" s="1"/>
  <c r="CB47" i="39" a="1"/>
  <c r="CB47" i="39" s="1"/>
  <c r="CA47" i="39" a="1"/>
  <c r="CA47" i="39" s="1"/>
  <c r="CA58" i="39" a="1"/>
  <c r="CA58" i="39" s="1"/>
  <c r="CA55" i="39" a="1"/>
  <c r="CA55" i="39" s="1"/>
  <c r="CB64" i="39" a="1"/>
  <c r="CB64" i="39" s="1"/>
  <c r="CA64" i="39" a="1"/>
  <c r="CA64" i="39" s="1"/>
  <c r="CA62" i="39" a="1"/>
  <c r="CA62" i="39" s="1"/>
  <c r="CB62" i="39" a="1"/>
  <c r="CB62" i="39" s="1"/>
  <c r="CA56" i="39" a="1"/>
  <c r="CA56" i="39" s="1"/>
  <c r="CA52" i="39" a="1"/>
  <c r="CA52" i="39" s="1"/>
  <c r="GN43" i="39"/>
  <c r="GN112" i="39"/>
  <c r="GN73" i="39"/>
  <c r="CA49" i="39" a="1"/>
  <c r="CA49" i="39" s="1"/>
  <c r="CB49" i="39" a="1"/>
  <c r="CB49" i="39" s="1"/>
  <c r="CA68" i="39" a="1"/>
  <c r="CA68" i="39" s="1"/>
  <c r="CB67" i="39" a="1"/>
  <c r="CB67" i="39" s="1"/>
  <c r="CA67" i="39" a="1"/>
  <c r="CA67" i="39" s="1"/>
  <c r="CA60" i="39" a="1"/>
  <c r="CA60" i="39" s="1"/>
  <c r="CB60" i="39" a="1"/>
  <c r="CB60" i="39" s="1"/>
  <c r="CB50" i="39" a="1"/>
  <c r="CB50" i="39" s="1"/>
  <c r="CA50" i="39" a="1"/>
  <c r="CA50" i="39" s="1"/>
  <c r="CA57" i="39" a="1"/>
  <c r="CA57" i="39" s="1"/>
  <c r="CB57" i="39" a="1"/>
  <c r="CB57" i="39" s="1"/>
  <c r="GN79" i="39"/>
  <c r="GN76" i="39"/>
  <c r="GN34" i="39"/>
  <c r="GN83" i="39"/>
  <c r="GN113" i="39"/>
  <c r="GN24" i="39"/>
  <c r="GN58" i="39"/>
  <c r="GN68" i="39"/>
  <c r="GN22" i="39"/>
  <c r="GN74" i="39"/>
  <c r="GN31" i="39"/>
  <c r="GN97" i="39"/>
  <c r="GN93" i="39"/>
  <c r="GN108" i="39"/>
  <c r="GN14" i="39"/>
  <c r="GN104" i="39"/>
  <c r="GN116" i="39"/>
  <c r="GN55" i="39"/>
  <c r="GN19" i="39"/>
  <c r="GN110" i="39"/>
  <c r="GN46" i="39"/>
  <c r="GN109" i="39"/>
  <c r="GN77" i="39"/>
  <c r="GN64" i="39"/>
  <c r="GN49" i="39"/>
  <c r="GN90" i="39"/>
  <c r="GN88" i="39"/>
  <c r="GN27" i="39"/>
  <c r="GN120" i="39"/>
  <c r="GN36" i="39"/>
  <c r="GN32" i="39"/>
  <c r="GN94" i="39"/>
  <c r="GN101" i="39"/>
  <c r="GN40" i="39"/>
  <c r="GN30" i="39"/>
  <c r="GN60" i="39"/>
  <c r="GN28" i="39"/>
  <c r="GN78" i="39"/>
  <c r="GN20" i="39"/>
  <c r="GN41" i="39"/>
  <c r="GN103" i="39"/>
  <c r="GN105" i="39"/>
  <c r="GN106" i="39"/>
  <c r="GN39" i="39"/>
  <c r="GN12" i="39"/>
  <c r="GN35" i="39"/>
  <c r="GN85" i="39"/>
  <c r="GN38" i="39"/>
  <c r="GN98" i="39"/>
  <c r="GN54" i="39"/>
  <c r="GN61" i="39"/>
  <c r="GN81" i="39"/>
  <c r="GN53" i="39"/>
  <c r="GN72" i="39"/>
  <c r="GN117" i="39"/>
  <c r="GN59" i="39"/>
  <c r="GN57" i="39"/>
  <c r="CA44" i="39" a="1"/>
  <c r="CA44" i="39" s="1"/>
  <c r="CB44" i="39" a="1"/>
  <c r="CB44" i="39" s="1"/>
  <c r="GN111" i="39"/>
  <c r="GN66" i="39"/>
  <c r="GN80" i="39"/>
  <c r="GN47" i="39"/>
  <c r="GN119" i="39"/>
  <c r="GN75" i="39"/>
  <c r="GN56" i="39"/>
  <c r="GN114" i="39"/>
  <c r="GN118" i="39"/>
  <c r="GN62" i="39"/>
  <c r="GN95" i="39"/>
  <c r="GN44" i="39"/>
  <c r="GN91" i="39"/>
  <c r="GN23" i="39"/>
  <c r="GN96" i="39"/>
  <c r="GN71" i="39"/>
  <c r="GN63" i="39"/>
  <c r="GN51" i="39"/>
  <c r="GN100" i="39"/>
  <c r="GN10" i="39"/>
  <c r="CA51" i="39" a="1"/>
  <c r="CA51" i="39" s="1"/>
  <c r="CB51" i="39" a="1"/>
  <c r="CB51" i="39" s="1"/>
  <c r="CC101" i="39"/>
  <c r="CA101" i="39"/>
  <c r="CA102" i="39" s="1"/>
  <c r="GN99" i="39"/>
  <c r="EW69" i="7" a="1"/>
  <c r="EW69" i="7" s="1"/>
  <c r="EW70" i="7" a="1"/>
  <c r="EW70" i="7" s="1"/>
  <c r="EW71" i="7" a="1"/>
  <c r="EW71" i="7" s="1"/>
  <c r="EW72" i="7" a="1"/>
  <c r="EW72" i="7"/>
  <c r="EW73" i="7" a="1"/>
  <c r="EW73" i="7" s="1"/>
  <c r="EW74" i="7" a="1"/>
  <c r="EW74" i="7" s="1"/>
  <c r="EW75" i="7" a="1"/>
  <c r="EW75" i="7" s="1"/>
  <c r="EW76" i="7" a="1"/>
  <c r="EW76" i="7" s="1"/>
  <c r="EW77" i="7" a="1"/>
  <c r="EW77" i="7" s="1"/>
  <c r="EW78" i="7" a="1"/>
  <c r="EW78" i="7" s="1"/>
  <c r="EW79" i="7" a="1"/>
  <c r="EW79" i="7" s="1"/>
  <c r="EW80" i="7" a="1"/>
  <c r="EW80" i="7" s="1"/>
  <c r="EW81" i="7" a="1"/>
  <c r="EW81" i="7" s="1"/>
  <c r="EW68" i="7" a="1"/>
  <c r="EW68" i="7" s="1"/>
  <c r="S216" i="7"/>
  <c r="S217" i="7"/>
  <c r="S218" i="7"/>
  <c r="S215" i="7"/>
  <c r="EW88" i="7" l="1"/>
  <c r="A66" i="7" s="1"/>
  <c r="DM84" i="7" l="1"/>
  <c r="DM79" i="7"/>
  <c r="BC118" i="7"/>
  <c r="HE4" i="39" l="1"/>
  <c r="GU171" i="39"/>
  <c r="GU170" i="39"/>
  <c r="GU169" i="39"/>
  <c r="GU168" i="39"/>
  <c r="GU167" i="39"/>
  <c r="GU166" i="39"/>
  <c r="GU165" i="39"/>
  <c r="GU164" i="39"/>
  <c r="GU163" i="39"/>
  <c r="GU162" i="39"/>
  <c r="GU161" i="39"/>
  <c r="GU160" i="39"/>
  <c r="GU159" i="39"/>
  <c r="GU158" i="39"/>
  <c r="GU157" i="39"/>
  <c r="GU156" i="39"/>
  <c r="GU155" i="39"/>
  <c r="GU154" i="39"/>
  <c r="GU153" i="39"/>
  <c r="GU152" i="39"/>
  <c r="GU151" i="39"/>
  <c r="GU150" i="39"/>
  <c r="GU149" i="39"/>
  <c r="GU148" i="39"/>
  <c r="GU147" i="39"/>
  <c r="GU146" i="39"/>
  <c r="GU145" i="39"/>
  <c r="GU144" i="39"/>
  <c r="GU143" i="39"/>
  <c r="GU142" i="39"/>
  <c r="GU141" i="39"/>
  <c r="GU140" i="39"/>
  <c r="GU139" i="39"/>
  <c r="GU138" i="39"/>
  <c r="GU137" i="39"/>
  <c r="GU136" i="39"/>
  <c r="GU135" i="39"/>
  <c r="GU134" i="39"/>
  <c r="GU133" i="39"/>
  <c r="GU132" i="39"/>
  <c r="GU131" i="39"/>
  <c r="GU93" i="39"/>
  <c r="GU92" i="39"/>
  <c r="GU91" i="39"/>
  <c r="GU90" i="39"/>
  <c r="GU89" i="39"/>
  <c r="GU88" i="39"/>
  <c r="GU87" i="39"/>
  <c r="GT170" i="39"/>
  <c r="GS170" i="39"/>
  <c r="GL29" i="39"/>
  <c r="GL121" i="39"/>
  <c r="GM121" i="39" s="1" a="1"/>
  <c r="GM121" i="39" s="1"/>
  <c r="GL11" i="39"/>
  <c r="U137" i="7"/>
  <c r="GL9" i="39" l="1"/>
  <c r="GL89" i="39"/>
  <c r="GN121" i="39"/>
  <c r="GL140" i="39"/>
  <c r="GM140" i="39" s="1" a="1"/>
  <c r="GM140" i="39" s="1"/>
  <c r="GQ122" i="39"/>
  <c r="GQ123" i="39"/>
  <c r="GQ124" i="39"/>
  <c r="GQ125" i="39"/>
  <c r="GQ126" i="39"/>
  <c r="GQ127" i="39"/>
  <c r="GQ128" i="39"/>
  <c r="GQ129" i="39"/>
  <c r="GQ130" i="39"/>
  <c r="GQ131" i="39"/>
  <c r="GQ132" i="39"/>
  <c r="GQ133" i="39"/>
  <c r="GQ134" i="39"/>
  <c r="GQ135" i="39"/>
  <c r="GQ136" i="39"/>
  <c r="GQ137" i="39"/>
  <c r="GQ138" i="39"/>
  <c r="GQ139" i="39"/>
  <c r="GQ140" i="39"/>
  <c r="GQ141" i="39"/>
  <c r="GQ142" i="39"/>
  <c r="GQ143" i="39"/>
  <c r="GQ144" i="39"/>
  <c r="GQ145" i="39"/>
  <c r="GQ146" i="39"/>
  <c r="GQ147" i="39"/>
  <c r="GQ148" i="39"/>
  <c r="GQ149" i="39"/>
  <c r="GQ150" i="39"/>
  <c r="GQ151" i="39"/>
  <c r="GQ152" i="39"/>
  <c r="GQ153" i="39"/>
  <c r="GQ154" i="39"/>
  <c r="GQ155" i="39"/>
  <c r="GQ156" i="39"/>
  <c r="GQ157" i="39"/>
  <c r="GQ158" i="39"/>
  <c r="GQ159" i="39"/>
  <c r="GQ160" i="39"/>
  <c r="GQ161" i="39"/>
  <c r="GQ162" i="39"/>
  <c r="GQ163" i="39"/>
  <c r="GQ164" i="39"/>
  <c r="GQ165" i="39"/>
  <c r="GQ166" i="39"/>
  <c r="GQ167" i="39"/>
  <c r="GQ168" i="39"/>
  <c r="GQ169" i="39"/>
  <c r="GQ170" i="39"/>
  <c r="GN170" i="39"/>
  <c r="GR170" i="39" l="1"/>
  <c r="HF121" i="39"/>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84" i="32"/>
  <c r="AM8" i="32"/>
  <c r="AM9" i="32"/>
  <c r="AM10" i="32"/>
  <c r="AM34" i="32"/>
  <c r="AM35" i="32"/>
  <c r="AM36" i="32"/>
  <c r="AM37" i="32"/>
  <c r="AM38" i="32"/>
  <c r="AM39" i="32"/>
  <c r="AM40" i="32"/>
  <c r="AM41" i="32"/>
  <c r="AM42" i="32"/>
  <c r="AM43" i="32"/>
  <c r="AM44" i="32"/>
  <c r="AM45" i="32"/>
  <c r="AM46" i="32"/>
  <c r="AM47" i="32"/>
  <c r="AM48" i="32"/>
  <c r="AM49"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7" i="32"/>
  <c r="AL34" i="32"/>
  <c r="AL35" i="32"/>
  <c r="AL37" i="32"/>
  <c r="AL38" i="32"/>
  <c r="AL39" i="32"/>
  <c r="AL40" i="32"/>
  <c r="AL41" i="32"/>
  <c r="AL42" i="32"/>
  <c r="AL43" i="32"/>
  <c r="AL44" i="32"/>
  <c r="AL45" i="32"/>
  <c r="AL46" i="32"/>
  <c r="AL48" i="32"/>
  <c r="AL49" i="32"/>
  <c r="AL51" i="32"/>
  <c r="AL52" i="32"/>
  <c r="AL53" i="32"/>
  <c r="AL54" i="32"/>
  <c r="AL55" i="32"/>
  <c r="AL56" i="32"/>
  <c r="AL58" i="32"/>
  <c r="AL59" i="32"/>
  <c r="AL60" i="32"/>
  <c r="AL61" i="32"/>
  <c r="AL62" i="32"/>
  <c r="AL63" i="32"/>
  <c r="AL64" i="32"/>
  <c r="AL65" i="32"/>
  <c r="AL66" i="32"/>
  <c r="AL67" i="32"/>
  <c r="AL68" i="32"/>
  <c r="AL69" i="32"/>
  <c r="AL71" i="32"/>
  <c r="AL72" i="32"/>
  <c r="AL73" i="32"/>
  <c r="AL74" i="32"/>
  <c r="AL75" i="32"/>
  <c r="AL76" i="32"/>
  <c r="AL77" i="32"/>
  <c r="AL78" i="32"/>
  <c r="AL79" i="32"/>
  <c r="AL80" i="32"/>
  <c r="AL8" i="32"/>
  <c r="AL9" i="32"/>
  <c r="AL10" i="32"/>
  <c r="AL7" i="32"/>
  <c r="GH128" i="39"/>
  <c r="HI128" i="39" s="1"/>
  <c r="GY128" i="39" s="1"/>
  <c r="GL160" i="39"/>
  <c r="GL161" i="39"/>
  <c r="GM161" i="39" s="1"/>
  <c r="GL162" i="39"/>
  <c r="GM162" i="39" s="1"/>
  <c r="GL163" i="39"/>
  <c r="GM163" i="39" s="1"/>
  <c r="GL164" i="39"/>
  <c r="GM164" i="39" s="1"/>
  <c r="GL165" i="39"/>
  <c r="GM165" i="39" s="1"/>
  <c r="GL166" i="39"/>
  <c r="GM166" i="39" s="1"/>
  <c r="GL167" i="39"/>
  <c r="GM167" i="39" s="1"/>
  <c r="GL168" i="39"/>
  <c r="GM168" i="39" s="1"/>
  <c r="GL169" i="39"/>
  <c r="GM169" i="39" s="1"/>
  <c r="EZ161" i="39"/>
  <c r="EZ162" i="39"/>
  <c r="EZ163" i="39"/>
  <c r="EZ165" i="39"/>
  <c r="EZ166" i="39"/>
  <c r="EZ167" i="39"/>
  <c r="EZ168" i="39"/>
  <c r="EZ169" i="39"/>
  <c r="CH77" i="39"/>
  <c r="CH78" i="39"/>
  <c r="CP79" i="39"/>
  <c r="CH76" i="39"/>
  <c r="GV132" i="39"/>
  <c r="GV131" i="39"/>
  <c r="GV130" i="39"/>
  <c r="GU130" i="39"/>
  <c r="GV129" i="39"/>
  <c r="GU129" i="39"/>
  <c r="GV128" i="39"/>
  <c r="GU128" i="39"/>
  <c r="GV127" i="39"/>
  <c r="GU127" i="39"/>
  <c r="GV126" i="39"/>
  <c r="GU126" i="39"/>
  <c r="GV125" i="39"/>
  <c r="GU125" i="39"/>
  <c r="GV124" i="39"/>
  <c r="GU124" i="39"/>
  <c r="GV123" i="39"/>
  <c r="GU123" i="39"/>
  <c r="GV122" i="39"/>
  <c r="GU122" i="39"/>
  <c r="HO54" i="39"/>
  <c r="HP54" i="39" a="1"/>
  <c r="HP54" i="39" s="1"/>
  <c r="HQ54" i="39" a="1"/>
  <c r="HQ54" i="39" s="1"/>
  <c r="HU54" i="39" a="1"/>
  <c r="HU54" i="39" s="1"/>
  <c r="HO55" i="39"/>
  <c r="HP55" i="39" a="1"/>
  <c r="HP55" i="39" s="1"/>
  <c r="HQ55" i="39" a="1"/>
  <c r="HQ55" i="39" s="1"/>
  <c r="HU55" i="39" a="1"/>
  <c r="HU55" i="39" s="1"/>
  <c r="HO56" i="39"/>
  <c r="HP56" i="39" a="1"/>
  <c r="HP56" i="39" s="1"/>
  <c r="HQ56" i="39" a="1"/>
  <c r="HQ56" i="39" s="1"/>
  <c r="HU56" i="39" a="1"/>
  <c r="HU56" i="39" s="1"/>
  <c r="HO57" i="39"/>
  <c r="HP57" i="39" a="1"/>
  <c r="HP57" i="39" s="1"/>
  <c r="HQ57" i="39" a="1"/>
  <c r="HQ57" i="39" s="1"/>
  <c r="HU57" i="39" a="1"/>
  <c r="HU57" i="39" s="1"/>
  <c r="HO58" i="39"/>
  <c r="HP58" i="39" a="1"/>
  <c r="HP58" i="39" s="1"/>
  <c r="HQ58" i="39" a="1"/>
  <c r="HQ58" i="39" s="1"/>
  <c r="HU58" i="39" a="1"/>
  <c r="HU58" i="39" s="1"/>
  <c r="HO59" i="39"/>
  <c r="HP59" i="39" a="1"/>
  <c r="HP59" i="39" s="1"/>
  <c r="HQ59" i="39" a="1"/>
  <c r="HQ59" i="39" s="1"/>
  <c r="HU59" i="39" a="1"/>
  <c r="HU59" i="39" s="1"/>
  <c r="HM59" i="39"/>
  <c r="HM55" i="39"/>
  <c r="HM56" i="39"/>
  <c r="HM57" i="39"/>
  <c r="HM58" i="39"/>
  <c r="HM54" i="39"/>
  <c r="HM5" i="39"/>
  <c r="HM6" i="39"/>
  <c r="HM7" i="39"/>
  <c r="HM8" i="39"/>
  <c r="HM9" i="39"/>
  <c r="HM10" i="39"/>
  <c r="HM11" i="39"/>
  <c r="HM12" i="39"/>
  <c r="HM13" i="39"/>
  <c r="HM14" i="39"/>
  <c r="HM15" i="39"/>
  <c r="HM16" i="39"/>
  <c r="HM17" i="39"/>
  <c r="HM18" i="39"/>
  <c r="HM19" i="39"/>
  <c r="HM20" i="39"/>
  <c r="HM21" i="39"/>
  <c r="HM22" i="39"/>
  <c r="HM23" i="39"/>
  <c r="HM24" i="39"/>
  <c r="HM25" i="39"/>
  <c r="HM26" i="39"/>
  <c r="HM27" i="39"/>
  <c r="HM28" i="39"/>
  <c r="HM29" i="39"/>
  <c r="HM30" i="39"/>
  <c r="HM31" i="39"/>
  <c r="HM32" i="39"/>
  <c r="HM33" i="39"/>
  <c r="HM34" i="39"/>
  <c r="HM35" i="39"/>
  <c r="HM36" i="39"/>
  <c r="HM37" i="39"/>
  <c r="HM38" i="39"/>
  <c r="HM39" i="39"/>
  <c r="HM40" i="39"/>
  <c r="HM41" i="39"/>
  <c r="HM42" i="39"/>
  <c r="HM43" i="39"/>
  <c r="HM44" i="39"/>
  <c r="HM45" i="39"/>
  <c r="HM46" i="39"/>
  <c r="HM47" i="39"/>
  <c r="HM48" i="39"/>
  <c r="HM49" i="39"/>
  <c r="HM50" i="39"/>
  <c r="HM51" i="39"/>
  <c r="HM52" i="39"/>
  <c r="HM53" i="39"/>
  <c r="HM4" i="39"/>
  <c r="HR59" i="39" l="1"/>
  <c r="HT59" i="39"/>
  <c r="HX59" i="39"/>
  <c r="HT58" i="39"/>
  <c r="HX58" i="39"/>
  <c r="HT57" i="39"/>
  <c r="HX57" i="39"/>
  <c r="HT56" i="39"/>
  <c r="HX56" i="39"/>
  <c r="HT55" i="39"/>
  <c r="HX55" i="39"/>
  <c r="HT54" i="39"/>
  <c r="HX54" i="39"/>
  <c r="GB164" i="39"/>
  <c r="GH164" i="39" s="1"/>
  <c r="HI164" i="39" s="1"/>
  <c r="GY164" i="39" s="1"/>
  <c r="GH160" i="39"/>
  <c r="HI160" i="39" s="1"/>
  <c r="GY160" i="39" s="1"/>
  <c r="GS153" i="39"/>
  <c r="GT153" i="39"/>
  <c r="GS157" i="39"/>
  <c r="GT157" i="39"/>
  <c r="HR58" i="39"/>
  <c r="GB166" i="39"/>
  <c r="EZ164" i="39"/>
  <c r="GB165" i="39"/>
  <c r="GH165" i="39" s="1"/>
  <c r="HI165" i="39" s="1"/>
  <c r="GY165" i="39" s="1"/>
  <c r="GB163" i="39"/>
  <c r="GB161" i="39"/>
  <c r="GH161" i="39" s="1"/>
  <c r="HI161" i="39" s="1"/>
  <c r="GY161" i="39" s="1"/>
  <c r="GB167" i="39"/>
  <c r="GB169" i="39"/>
  <c r="GH169" i="39" s="1"/>
  <c r="HI169" i="39" s="1"/>
  <c r="GY169" i="39" s="1"/>
  <c r="GB168" i="39"/>
  <c r="HV59" i="39"/>
  <c r="CP78" i="39"/>
  <c r="GB162" i="39"/>
  <c r="GH162" i="39" s="1"/>
  <c r="HI162" i="39" s="1"/>
  <c r="GY162" i="39" s="1"/>
  <c r="GH129" i="39"/>
  <c r="HI129" i="39" s="1"/>
  <c r="GY129" i="39" s="1"/>
  <c r="GH148" i="39"/>
  <c r="HI148" i="39" s="1"/>
  <c r="HR56" i="39"/>
  <c r="GH155" i="39"/>
  <c r="HI155" i="39" s="1"/>
  <c r="GH142" i="39"/>
  <c r="HI142" i="39" s="1"/>
  <c r="GH143" i="39"/>
  <c r="HI143" i="39" s="1"/>
  <c r="GY143" i="39" s="1"/>
  <c r="GH158" i="39"/>
  <c r="HI158" i="39" s="1"/>
  <c r="GY158" i="39" s="1"/>
  <c r="CP75" i="39"/>
  <c r="CH75" i="39"/>
  <c r="GM144" i="39" s="1" a="1"/>
  <c r="GM144" i="39" s="1"/>
  <c r="GH124" i="39"/>
  <c r="HI124" i="39" s="1"/>
  <c r="GY124" i="39" s="1"/>
  <c r="GH156" i="39"/>
  <c r="HI156" i="39" s="1"/>
  <c r="GY156" i="39" s="1"/>
  <c r="GH130" i="39"/>
  <c r="HI130" i="39" s="1"/>
  <c r="GY130" i="39" s="1"/>
  <c r="GH134" i="39"/>
  <c r="HI134" i="39" s="1"/>
  <c r="GY134" i="39" s="1"/>
  <c r="GH126" i="39"/>
  <c r="HI126" i="39" s="1"/>
  <c r="GY126" i="39" s="1"/>
  <c r="GH154" i="39"/>
  <c r="HI154" i="39" s="1"/>
  <c r="GY154" i="39" s="1"/>
  <c r="GH131" i="39"/>
  <c r="HI131" i="39" s="1"/>
  <c r="GY131" i="39" s="1"/>
  <c r="GH123" i="39"/>
  <c r="HI123" i="39" s="1"/>
  <c r="GY123" i="39" s="1"/>
  <c r="GH147" i="39"/>
  <c r="HI147" i="39" s="1"/>
  <c r="GY147" i="39" s="1"/>
  <c r="GH139" i="39"/>
  <c r="HI139" i="39" s="1"/>
  <c r="GY139" i="39" s="1"/>
  <c r="GH146" i="39"/>
  <c r="HI146" i="39" s="1"/>
  <c r="GH138" i="39"/>
  <c r="HI138" i="39" s="1"/>
  <c r="GY138" i="39" s="1"/>
  <c r="GH149" i="39"/>
  <c r="HI149" i="39" s="1"/>
  <c r="GY149" i="39" s="1"/>
  <c r="GH159" i="39"/>
  <c r="HI159" i="39" s="1"/>
  <c r="GY159" i="39" s="1"/>
  <c r="CP77" i="39"/>
  <c r="GM146" i="39" s="1" a="1"/>
  <c r="GM146" i="39" s="1"/>
  <c r="CP76" i="39"/>
  <c r="GH153" i="39"/>
  <c r="HI153" i="39" s="1"/>
  <c r="GY153" i="39" s="1"/>
  <c r="GH145" i="39"/>
  <c r="HI145" i="39" s="1"/>
  <c r="GH137" i="39"/>
  <c r="HI137" i="39" s="1"/>
  <c r="GY137" i="39" s="1"/>
  <c r="HV56" i="39"/>
  <c r="HV54" i="39"/>
  <c r="GH144" i="39"/>
  <c r="HI144" i="39" s="1"/>
  <c r="GH136" i="39"/>
  <c r="HI136" i="39" s="1"/>
  <c r="GY136" i="39" s="1"/>
  <c r="CH79" i="39"/>
  <c r="GH132" i="39"/>
  <c r="HI132" i="39" s="1"/>
  <c r="GY132" i="39" s="1"/>
  <c r="HR57" i="39"/>
  <c r="GH141" i="39"/>
  <c r="HI141" i="39" s="1"/>
  <c r="GY141" i="39" s="1"/>
  <c r="GH133" i="39"/>
  <c r="HI133" i="39" s="1"/>
  <c r="GY133" i="39" s="1"/>
  <c r="GH125" i="39"/>
  <c r="HI125" i="39" s="1"/>
  <c r="GY125" i="39" s="1"/>
  <c r="HV58" i="39"/>
  <c r="HV55" i="39"/>
  <c r="HR54" i="39"/>
  <c r="HV57" i="39"/>
  <c r="HR55" i="39"/>
  <c r="GH140" i="39" l="1"/>
  <c r="HI140" i="39" s="1"/>
  <c r="GT167" i="39"/>
  <c r="GS167" i="39"/>
  <c r="GT168" i="39"/>
  <c r="GS168" i="39"/>
  <c r="GH135" i="39"/>
  <c r="HI135" i="39" s="1"/>
  <c r="GT169" i="39"/>
  <c r="GN163" i="39"/>
  <c r="GR163" i="39" s="1"/>
  <c r="GT163" i="39"/>
  <c r="GS163" i="39"/>
  <c r="GN161" i="39"/>
  <c r="GR161" i="39" s="1"/>
  <c r="GT161" i="39"/>
  <c r="GS161" i="39"/>
  <c r="GW161" i="39" s="1"/>
  <c r="GX161" i="39" s="1"/>
  <c r="GT166" i="39"/>
  <c r="GS166" i="39"/>
  <c r="GN164" i="39"/>
  <c r="GR164" i="39" s="1"/>
  <c r="GS164" i="39"/>
  <c r="HC164" i="39" s="1"/>
  <c r="GK164" i="39" s="1"/>
  <c r="GT164" i="39"/>
  <c r="GT165" i="39"/>
  <c r="GT151" i="39"/>
  <c r="GS134" i="39"/>
  <c r="HC134" i="39" s="1"/>
  <c r="GK134" i="39" s="1"/>
  <c r="GT134" i="39"/>
  <c r="HA138" i="39"/>
  <c r="GT146" i="39"/>
  <c r="GS140" i="39"/>
  <c r="GT140" i="39"/>
  <c r="GS156" i="39"/>
  <c r="GW156" i="39" s="1"/>
  <c r="GX156" i="39" s="1"/>
  <c r="GT156" i="39"/>
  <c r="GS132" i="39"/>
  <c r="GW132" i="39" s="1"/>
  <c r="GX132" i="39" s="1"/>
  <c r="GT132" i="39"/>
  <c r="GS143" i="39"/>
  <c r="GW143" i="39" s="1"/>
  <c r="GX143" i="39" s="1"/>
  <c r="GT143" i="39"/>
  <c r="GS127" i="39"/>
  <c r="GT127" i="39"/>
  <c r="GS159" i="39"/>
  <c r="HC159" i="39" s="1"/>
  <c r="GT159" i="39"/>
  <c r="GS124" i="39"/>
  <c r="HC124" i="39" s="1"/>
  <c r="GT124" i="39"/>
  <c r="GT148" i="39"/>
  <c r="GS136" i="39"/>
  <c r="HC136" i="39" s="1"/>
  <c r="GK136" i="39" s="1"/>
  <c r="GT136" i="39"/>
  <c r="GS138" i="39"/>
  <c r="HC138" i="39" s="1"/>
  <c r="GK138" i="39" s="1"/>
  <c r="GT138" i="39"/>
  <c r="GS139" i="39"/>
  <c r="GW139" i="39" s="1"/>
  <c r="GX139" i="39" s="1"/>
  <c r="GT139" i="39"/>
  <c r="GS126" i="39"/>
  <c r="HC126" i="39" s="1"/>
  <c r="GT126" i="39"/>
  <c r="GZ134" i="39"/>
  <c r="GZ158" i="39"/>
  <c r="GW153" i="39"/>
  <c r="GX153" i="39" s="1"/>
  <c r="HC153" i="39"/>
  <c r="GS152" i="39"/>
  <c r="GT152" i="39"/>
  <c r="GZ131" i="39"/>
  <c r="GZ154" i="39"/>
  <c r="GZ130" i="39"/>
  <c r="GS158" i="39"/>
  <c r="HC158" i="39" s="1"/>
  <c r="GK158" i="39" s="1"/>
  <c r="GT158" i="39"/>
  <c r="GT155" i="39"/>
  <c r="GZ143" i="39"/>
  <c r="GS149" i="39"/>
  <c r="GW149" i="39" s="1"/>
  <c r="GX149" i="39" s="1"/>
  <c r="GT149" i="39"/>
  <c r="GZ123" i="39"/>
  <c r="GS130" i="39"/>
  <c r="HC130" i="39" s="1"/>
  <c r="GT130" i="39"/>
  <c r="GT144" i="39"/>
  <c r="GS141" i="39"/>
  <c r="HC141" i="39" s="1"/>
  <c r="GK141" i="39" s="1"/>
  <c r="GT141" i="39"/>
  <c r="GS125" i="39"/>
  <c r="HC125" i="39" s="1"/>
  <c r="GK125" i="39" s="1"/>
  <c r="GT125" i="39"/>
  <c r="HA126" i="39"/>
  <c r="GT142" i="39"/>
  <c r="GS150" i="39"/>
  <c r="GT150" i="39"/>
  <c r="GS123" i="39"/>
  <c r="GW123" i="39" s="1"/>
  <c r="GX123" i="39" s="1"/>
  <c r="GT123" i="39"/>
  <c r="GS131" i="39"/>
  <c r="HC131" i="39" s="1"/>
  <c r="GT131" i="39"/>
  <c r="GS154" i="39"/>
  <c r="GW154" i="39" s="1"/>
  <c r="GX154" i="39" s="1"/>
  <c r="GT154" i="39"/>
  <c r="GS129" i="39"/>
  <c r="GT129" i="39"/>
  <c r="GS137" i="39"/>
  <c r="GT137" i="39"/>
  <c r="GS133" i="39"/>
  <c r="HC133" i="39" s="1"/>
  <c r="GK133" i="39" s="1"/>
  <c r="GT133" i="39"/>
  <c r="GS128" i="39"/>
  <c r="GT128" i="39"/>
  <c r="GT145" i="39"/>
  <c r="GS147" i="39"/>
  <c r="GT147" i="39"/>
  <c r="GS135" i="39"/>
  <c r="GT135" i="39"/>
  <c r="HI122" i="39"/>
  <c r="GY122" i="39" s="1"/>
  <c r="GT122" i="39"/>
  <c r="HF167" i="39"/>
  <c r="HF169" i="39"/>
  <c r="HF165" i="39"/>
  <c r="GN169" i="39"/>
  <c r="HF164" i="39"/>
  <c r="HF157" i="39"/>
  <c r="HF163" i="39"/>
  <c r="HF168" i="39"/>
  <c r="GN167" i="39"/>
  <c r="GR167" i="39" s="1"/>
  <c r="HF161" i="39"/>
  <c r="GN165" i="39"/>
  <c r="HF153" i="39"/>
  <c r="HF166" i="39"/>
  <c r="GN168" i="39"/>
  <c r="GR168" i="39" s="1"/>
  <c r="GN166" i="39"/>
  <c r="GR166" i="39" s="1"/>
  <c r="HA149" i="39"/>
  <c r="GN157" i="39"/>
  <c r="GR157" i="39" s="1"/>
  <c r="HA153" i="39"/>
  <c r="GN153" i="39"/>
  <c r="GR153" i="39" s="1"/>
  <c r="GZ156" i="39"/>
  <c r="GH150" i="39"/>
  <c r="HI150" i="39" s="1"/>
  <c r="GY150" i="39" s="1"/>
  <c r="HA137" i="39"/>
  <c r="HA124" i="39"/>
  <c r="GZ164" i="39"/>
  <c r="GH168" i="39"/>
  <c r="HI168" i="39" s="1"/>
  <c r="GY168" i="39" s="1"/>
  <c r="GH167" i="39"/>
  <c r="HI167" i="39" s="1"/>
  <c r="GY167" i="39" s="1"/>
  <c r="GH166" i="39"/>
  <c r="HI166" i="39" s="1"/>
  <c r="GY166" i="39" s="1"/>
  <c r="HA160" i="39"/>
  <c r="HA147" i="39"/>
  <c r="GH163" i="39"/>
  <c r="HI163" i="39" s="1"/>
  <c r="GY163" i="39" s="1"/>
  <c r="GH152" i="39"/>
  <c r="HI152" i="39" s="1"/>
  <c r="GY152" i="39" s="1"/>
  <c r="GZ133" i="39"/>
  <c r="GZ139" i="39"/>
  <c r="HA129" i="39"/>
  <c r="HA141" i="39"/>
  <c r="GH127" i="39"/>
  <c r="HI127" i="39" s="1"/>
  <c r="GY127" i="39" s="1"/>
  <c r="GH157" i="39"/>
  <c r="HI157" i="39" s="1"/>
  <c r="GY157" i="39" s="1"/>
  <c r="HA125" i="39"/>
  <c r="GH151" i="39"/>
  <c r="HI151" i="39" s="1"/>
  <c r="GZ128" i="39"/>
  <c r="HA128" i="39"/>
  <c r="HA161" i="39"/>
  <c r="GZ161" i="39"/>
  <c r="GS169" i="39" l="1"/>
  <c r="GR169" i="39"/>
  <c r="GS165" i="39"/>
  <c r="GR165" i="39"/>
  <c r="GY135" i="39"/>
  <c r="GZ135" i="39" s="1"/>
  <c r="GY140" i="39"/>
  <c r="GZ140" i="39" s="1"/>
  <c r="FO131" i="39"/>
  <c r="FP131" i="39" s="1"/>
  <c r="FQ131" i="39" s="1"/>
  <c r="FR131" i="39" s="1"/>
  <c r="FS131" i="39" s="1"/>
  <c r="FT131" i="39" s="1"/>
  <c r="FU131" i="39" s="1"/>
  <c r="FV131" i="39" s="1"/>
  <c r="FW131" i="39" s="1"/>
  <c r="FX131" i="39" s="1"/>
  <c r="FY131" i="39" s="1"/>
  <c r="FZ131" i="39" s="1"/>
  <c r="GK131" i="39"/>
  <c r="FO130" i="39"/>
  <c r="FP130" i="39" s="1"/>
  <c r="FQ130" i="39" s="1"/>
  <c r="FR130" i="39" s="1"/>
  <c r="FS130" i="39" s="1"/>
  <c r="FT130" i="39" s="1"/>
  <c r="FU130" i="39" s="1"/>
  <c r="FV130" i="39" s="1"/>
  <c r="FW130" i="39" s="1"/>
  <c r="FX130" i="39" s="1"/>
  <c r="FY130" i="39" s="1"/>
  <c r="FZ130" i="39" s="1"/>
  <c r="GK130" i="39"/>
  <c r="FO126" i="39"/>
  <c r="FP126" i="39" s="1"/>
  <c r="FQ126" i="39" s="1"/>
  <c r="FR126" i="39" s="1"/>
  <c r="FS126" i="39" s="1"/>
  <c r="FT126" i="39" s="1"/>
  <c r="FU126" i="39" s="1"/>
  <c r="FV126" i="39" s="1"/>
  <c r="FW126" i="39" s="1"/>
  <c r="FX126" i="39" s="1"/>
  <c r="FY126" i="39" s="1"/>
  <c r="FZ126" i="39" s="1"/>
  <c r="GK126" i="39"/>
  <c r="FO159" i="39"/>
  <c r="FP159" i="39" s="1"/>
  <c r="FQ159" i="39" s="1"/>
  <c r="FR159" i="39" s="1"/>
  <c r="FS159" i="39" s="1"/>
  <c r="FT159" i="39" s="1"/>
  <c r="FU159" i="39" s="1"/>
  <c r="FV159" i="39" s="1"/>
  <c r="FW159" i="39" s="1"/>
  <c r="FX159" i="39" s="1"/>
  <c r="FY159" i="39" s="1"/>
  <c r="FZ159" i="39" s="1"/>
  <c r="GK159" i="39"/>
  <c r="FO153" i="39"/>
  <c r="FP153" i="39" s="1"/>
  <c r="FQ153" i="39" s="1"/>
  <c r="FR153" i="39" s="1"/>
  <c r="FS153" i="39" s="1"/>
  <c r="FT153" i="39" s="1"/>
  <c r="FU153" i="39" s="1"/>
  <c r="FV153" i="39" s="1"/>
  <c r="FW153" i="39" s="1"/>
  <c r="FX153" i="39" s="1"/>
  <c r="FY153" i="39" s="1"/>
  <c r="FZ153" i="39" s="1"/>
  <c r="GK153" i="39"/>
  <c r="FO124" i="39"/>
  <c r="FP124" i="39" s="1"/>
  <c r="FQ124" i="39" s="1"/>
  <c r="FR124" i="39" s="1"/>
  <c r="FS124" i="39" s="1"/>
  <c r="FT124" i="39" s="1"/>
  <c r="FU124" i="39" s="1"/>
  <c r="FV124" i="39" s="1"/>
  <c r="FW124" i="39" s="1"/>
  <c r="FX124" i="39" s="1"/>
  <c r="FY124" i="39" s="1"/>
  <c r="FZ124" i="39" s="1"/>
  <c r="GK124" i="39"/>
  <c r="FA133" i="39"/>
  <c r="FB133" i="39" s="1"/>
  <c r="FC133" i="39" s="1"/>
  <c r="FD133" i="39" s="1"/>
  <c r="FE133" i="39" s="1"/>
  <c r="FF133" i="39" s="1"/>
  <c r="FG133" i="39" s="1"/>
  <c r="FH133" i="39" s="1"/>
  <c r="FI133" i="39" s="1"/>
  <c r="FJ133" i="39" s="1"/>
  <c r="FK133" i="39" s="1"/>
  <c r="FL133" i="39" s="1"/>
  <c r="FO133" i="39"/>
  <c r="FP133" i="39" s="1"/>
  <c r="FQ133" i="39" s="1"/>
  <c r="FR133" i="39" s="1"/>
  <c r="FS133" i="39" s="1"/>
  <c r="FT133" i="39" s="1"/>
  <c r="FU133" i="39" s="1"/>
  <c r="FV133" i="39" s="1"/>
  <c r="FW133" i="39" s="1"/>
  <c r="FX133" i="39" s="1"/>
  <c r="FY133" i="39" s="1"/>
  <c r="FZ133" i="39" s="1"/>
  <c r="FA141" i="39"/>
  <c r="FB141" i="39" s="1"/>
  <c r="FC141" i="39" s="1"/>
  <c r="FD141" i="39" s="1"/>
  <c r="FE141" i="39" s="1"/>
  <c r="FF141" i="39" s="1"/>
  <c r="FG141" i="39" s="1"/>
  <c r="FH141" i="39" s="1"/>
  <c r="FI141" i="39" s="1"/>
  <c r="FJ141" i="39" s="1"/>
  <c r="FK141" i="39" s="1"/>
  <c r="FL141" i="39" s="1"/>
  <c r="FO141" i="39"/>
  <c r="FP141" i="39" s="1"/>
  <c r="FQ141" i="39" s="1"/>
  <c r="FR141" i="39" s="1"/>
  <c r="FS141" i="39" s="1"/>
  <c r="FT141" i="39" s="1"/>
  <c r="FU141" i="39" s="1"/>
  <c r="FV141" i="39" s="1"/>
  <c r="FW141" i="39" s="1"/>
  <c r="FX141" i="39" s="1"/>
  <c r="FY141" i="39" s="1"/>
  <c r="FZ141" i="39" s="1"/>
  <c r="FA136" i="39"/>
  <c r="FB136" i="39" s="1"/>
  <c r="FC136" i="39" s="1"/>
  <c r="FD136" i="39" s="1"/>
  <c r="FE136" i="39" s="1"/>
  <c r="FF136" i="39" s="1"/>
  <c r="FG136" i="39" s="1"/>
  <c r="FH136" i="39" s="1"/>
  <c r="FI136" i="39" s="1"/>
  <c r="FJ136" i="39" s="1"/>
  <c r="FK136" i="39" s="1"/>
  <c r="FL136" i="39" s="1"/>
  <c r="FO136" i="39"/>
  <c r="FP136" i="39" s="1"/>
  <c r="FQ136" i="39" s="1"/>
  <c r="FR136" i="39" s="1"/>
  <c r="FS136" i="39" s="1"/>
  <c r="FT136" i="39" s="1"/>
  <c r="FU136" i="39" s="1"/>
  <c r="FV136" i="39" s="1"/>
  <c r="FW136" i="39" s="1"/>
  <c r="FX136" i="39" s="1"/>
  <c r="FY136" i="39" s="1"/>
  <c r="FZ136" i="39" s="1"/>
  <c r="FA164" i="39"/>
  <c r="FB164" i="39" s="1"/>
  <c r="FC164" i="39" s="1"/>
  <c r="FD164" i="39" s="1"/>
  <c r="FE164" i="39" s="1"/>
  <c r="FF164" i="39" s="1"/>
  <c r="FG164" i="39" s="1"/>
  <c r="FH164" i="39" s="1"/>
  <c r="FI164" i="39" s="1"/>
  <c r="FJ164" i="39" s="1"/>
  <c r="FK164" i="39" s="1"/>
  <c r="FL164" i="39" s="1"/>
  <c r="FO164" i="39"/>
  <c r="FP164" i="39" s="1"/>
  <c r="FQ164" i="39" s="1"/>
  <c r="FR164" i="39" s="1"/>
  <c r="FS164" i="39" s="1"/>
  <c r="FT164" i="39" s="1"/>
  <c r="FU164" i="39" s="1"/>
  <c r="FV164" i="39" s="1"/>
  <c r="FW164" i="39" s="1"/>
  <c r="FX164" i="39" s="1"/>
  <c r="FY164" i="39" s="1"/>
  <c r="FZ164" i="39" s="1"/>
  <c r="FA125" i="39"/>
  <c r="FB125" i="39" s="1"/>
  <c r="FC125" i="39" s="1"/>
  <c r="FD125" i="39" s="1"/>
  <c r="FE125" i="39" s="1"/>
  <c r="FF125" i="39" s="1"/>
  <c r="FG125" i="39" s="1"/>
  <c r="FH125" i="39" s="1"/>
  <c r="FI125" i="39" s="1"/>
  <c r="FJ125" i="39" s="1"/>
  <c r="FK125" i="39" s="1"/>
  <c r="FL125" i="39" s="1"/>
  <c r="FO125" i="39"/>
  <c r="FP125" i="39" s="1"/>
  <c r="FQ125" i="39" s="1"/>
  <c r="FR125" i="39" s="1"/>
  <c r="FS125" i="39" s="1"/>
  <c r="FT125" i="39" s="1"/>
  <c r="FU125" i="39" s="1"/>
  <c r="FV125" i="39" s="1"/>
  <c r="FW125" i="39" s="1"/>
  <c r="FX125" i="39" s="1"/>
  <c r="FY125" i="39" s="1"/>
  <c r="FZ125" i="39" s="1"/>
  <c r="FA158" i="39"/>
  <c r="FB158" i="39" s="1"/>
  <c r="FC158" i="39" s="1"/>
  <c r="FD158" i="39" s="1"/>
  <c r="FE158" i="39" s="1"/>
  <c r="FF158" i="39" s="1"/>
  <c r="FG158" i="39" s="1"/>
  <c r="FH158" i="39" s="1"/>
  <c r="FI158" i="39" s="1"/>
  <c r="FJ158" i="39" s="1"/>
  <c r="FK158" i="39" s="1"/>
  <c r="FL158" i="39" s="1"/>
  <c r="FO158" i="39"/>
  <c r="FP158" i="39" s="1"/>
  <c r="FQ158" i="39" s="1"/>
  <c r="FR158" i="39" s="1"/>
  <c r="FS158" i="39" s="1"/>
  <c r="FT158" i="39" s="1"/>
  <c r="FU158" i="39" s="1"/>
  <c r="FV158" i="39" s="1"/>
  <c r="FW158" i="39" s="1"/>
  <c r="FX158" i="39" s="1"/>
  <c r="FY158" i="39" s="1"/>
  <c r="FZ158" i="39" s="1"/>
  <c r="FA138" i="39"/>
  <c r="FB138" i="39" s="1"/>
  <c r="FC138" i="39" s="1"/>
  <c r="FD138" i="39" s="1"/>
  <c r="FE138" i="39" s="1"/>
  <c r="FF138" i="39" s="1"/>
  <c r="FG138" i="39" s="1"/>
  <c r="FH138" i="39" s="1"/>
  <c r="FI138" i="39" s="1"/>
  <c r="FJ138" i="39" s="1"/>
  <c r="FK138" i="39" s="1"/>
  <c r="FL138" i="39" s="1"/>
  <c r="FO138" i="39"/>
  <c r="FP138" i="39" s="1"/>
  <c r="FQ138" i="39" s="1"/>
  <c r="FR138" i="39" s="1"/>
  <c r="FS138" i="39" s="1"/>
  <c r="FT138" i="39" s="1"/>
  <c r="FU138" i="39" s="1"/>
  <c r="FV138" i="39" s="1"/>
  <c r="FW138" i="39" s="1"/>
  <c r="FX138" i="39" s="1"/>
  <c r="FY138" i="39" s="1"/>
  <c r="FZ138" i="39" s="1"/>
  <c r="FA134" i="39"/>
  <c r="FB134" i="39" s="1"/>
  <c r="FC134" i="39" s="1"/>
  <c r="FD134" i="39" s="1"/>
  <c r="FE134" i="39" s="1"/>
  <c r="FF134" i="39" s="1"/>
  <c r="FG134" i="39" s="1"/>
  <c r="FH134" i="39" s="1"/>
  <c r="FI134" i="39" s="1"/>
  <c r="FJ134" i="39" s="1"/>
  <c r="FK134" i="39" s="1"/>
  <c r="FL134" i="39" s="1"/>
  <c r="FO134" i="39"/>
  <c r="FP134" i="39" s="1"/>
  <c r="FQ134" i="39" s="1"/>
  <c r="FR134" i="39" s="1"/>
  <c r="FS134" i="39" s="1"/>
  <c r="FT134" i="39" s="1"/>
  <c r="FU134" i="39" s="1"/>
  <c r="FV134" i="39" s="1"/>
  <c r="FW134" i="39" s="1"/>
  <c r="FX134" i="39" s="1"/>
  <c r="FY134" i="39" s="1"/>
  <c r="FZ134" i="39" s="1"/>
  <c r="FA159" i="39"/>
  <c r="FB159" i="39" s="1"/>
  <c r="FC159" i="39" s="1"/>
  <c r="FD159" i="39" s="1"/>
  <c r="FE159" i="39" s="1"/>
  <c r="FF159" i="39" s="1"/>
  <c r="FG159" i="39" s="1"/>
  <c r="FH159" i="39" s="1"/>
  <c r="FI159" i="39" s="1"/>
  <c r="FJ159" i="39" s="1"/>
  <c r="FK159" i="39" s="1"/>
  <c r="FL159" i="39" s="1"/>
  <c r="HD126" i="39"/>
  <c r="HE126" i="39" s="1"/>
  <c r="FA126" i="39"/>
  <c r="FB126" i="39" s="1"/>
  <c r="FC126" i="39" s="1"/>
  <c r="FD126" i="39" s="1"/>
  <c r="FE126" i="39" s="1"/>
  <c r="FF126" i="39" s="1"/>
  <c r="FG126" i="39" s="1"/>
  <c r="FH126" i="39" s="1"/>
  <c r="FI126" i="39" s="1"/>
  <c r="FJ126" i="39" s="1"/>
  <c r="FK126" i="39" s="1"/>
  <c r="FL126" i="39" s="1"/>
  <c r="HD153" i="39"/>
  <c r="HE153" i="39" s="1"/>
  <c r="FA153" i="39"/>
  <c r="FB153" i="39" s="1"/>
  <c r="FC153" i="39" s="1"/>
  <c r="FD153" i="39" s="1"/>
  <c r="FE153" i="39" s="1"/>
  <c r="FF153" i="39" s="1"/>
  <c r="FG153" i="39" s="1"/>
  <c r="FH153" i="39" s="1"/>
  <c r="FI153" i="39" s="1"/>
  <c r="FJ153" i="39" s="1"/>
  <c r="FK153" i="39" s="1"/>
  <c r="FL153" i="39" s="1"/>
  <c r="GJ124" i="39"/>
  <c r="FA124" i="39"/>
  <c r="FB124" i="39" s="1"/>
  <c r="FC124" i="39" s="1"/>
  <c r="FD124" i="39" s="1"/>
  <c r="FE124" i="39" s="1"/>
  <c r="FF124" i="39" s="1"/>
  <c r="FG124" i="39" s="1"/>
  <c r="FH124" i="39" s="1"/>
  <c r="FI124" i="39" s="1"/>
  <c r="FJ124" i="39" s="1"/>
  <c r="FK124" i="39" s="1"/>
  <c r="FL124" i="39" s="1"/>
  <c r="HD131" i="39"/>
  <c r="FA131" i="39"/>
  <c r="FB131" i="39" s="1"/>
  <c r="FC131" i="39" s="1"/>
  <c r="FD131" i="39" s="1"/>
  <c r="FE131" i="39" s="1"/>
  <c r="FF131" i="39" s="1"/>
  <c r="FG131" i="39" s="1"/>
  <c r="FH131" i="39" s="1"/>
  <c r="FI131" i="39" s="1"/>
  <c r="FJ131" i="39" s="1"/>
  <c r="FK131" i="39" s="1"/>
  <c r="FL131" i="39" s="1"/>
  <c r="HD130" i="39"/>
  <c r="HE130" i="39" s="1"/>
  <c r="FA130" i="39"/>
  <c r="FB130" i="39" s="1"/>
  <c r="FC130" i="39" s="1"/>
  <c r="FD130" i="39" s="1"/>
  <c r="FE130" i="39" s="1"/>
  <c r="FF130" i="39" s="1"/>
  <c r="FG130" i="39" s="1"/>
  <c r="FH130" i="39" s="1"/>
  <c r="FI130" i="39" s="1"/>
  <c r="FJ130" i="39" s="1"/>
  <c r="FK130" i="39" s="1"/>
  <c r="FL130" i="39" s="1"/>
  <c r="HC140" i="39"/>
  <c r="HC156" i="39"/>
  <c r="GK156" i="39" s="1"/>
  <c r="GW159" i="39"/>
  <c r="GX159" i="39" s="1"/>
  <c r="HC161" i="39"/>
  <c r="GK161" i="39" s="1"/>
  <c r="GW167" i="39"/>
  <c r="GX167" i="39" s="1"/>
  <c r="HC167" i="39"/>
  <c r="GW168" i="39"/>
  <c r="GX168" i="39" s="1"/>
  <c r="HC168" i="39"/>
  <c r="HC132" i="39"/>
  <c r="GK132" i="39" s="1"/>
  <c r="GW126" i="39"/>
  <c r="GX126" i="39" s="1"/>
  <c r="HC143" i="39"/>
  <c r="GW136" i="39"/>
  <c r="GX136" i="39" s="1"/>
  <c r="HA143" i="39"/>
  <c r="GW125" i="39"/>
  <c r="GX125" i="39" s="1"/>
  <c r="GW158" i="39"/>
  <c r="GX158" i="39" s="1"/>
  <c r="GW124" i="39"/>
  <c r="GX124" i="39" s="1"/>
  <c r="GW134" i="39"/>
  <c r="GX134" i="39" s="1"/>
  <c r="GJ134" i="39"/>
  <c r="HA134" i="39"/>
  <c r="HD125" i="39"/>
  <c r="HE125" i="39" s="1"/>
  <c r="GW133" i="39"/>
  <c r="GX133" i="39" s="1"/>
  <c r="GW163" i="39"/>
  <c r="GX163" i="39" s="1"/>
  <c r="HC163" i="39"/>
  <c r="HC166" i="39"/>
  <c r="GW166" i="39"/>
  <c r="GX166" i="39" s="1"/>
  <c r="GW138" i="39"/>
  <c r="GX138" i="39" s="1"/>
  <c r="GW164" i="39"/>
  <c r="GX164" i="39" s="1"/>
  <c r="HA154" i="39"/>
  <c r="HC154" i="39"/>
  <c r="HA123" i="39"/>
  <c r="HD134" i="39"/>
  <c r="HE134" i="39" s="1"/>
  <c r="GJ153" i="39"/>
  <c r="HA131" i="39"/>
  <c r="GZ138" i="39"/>
  <c r="GJ125" i="39"/>
  <c r="HA158" i="39"/>
  <c r="GZ126" i="39"/>
  <c r="GJ133" i="39"/>
  <c r="HD133" i="39"/>
  <c r="HE133" i="39" s="1"/>
  <c r="GJ141" i="39"/>
  <c r="HD141" i="39"/>
  <c r="HE141" i="39" s="1"/>
  <c r="HD124" i="39"/>
  <c r="GW147" i="39"/>
  <c r="GX147" i="39" s="1"/>
  <c r="HC129" i="39"/>
  <c r="HC147" i="39"/>
  <c r="GW129" i="39"/>
  <c r="GX129" i="39" s="1"/>
  <c r="HC150" i="39"/>
  <c r="GK150" i="39" s="1"/>
  <c r="GW150" i="39"/>
  <c r="GX150" i="39" s="1"/>
  <c r="GW137" i="39"/>
  <c r="GX137" i="39" s="1"/>
  <c r="HA130" i="39"/>
  <c r="GW140" i="39"/>
  <c r="GX140" i="39" s="1"/>
  <c r="HC123" i="39"/>
  <c r="GW131" i="39"/>
  <c r="GX131" i="39" s="1"/>
  <c r="GW135" i="39"/>
  <c r="GX135" i="39" s="1"/>
  <c r="HC139" i="39"/>
  <c r="HC137" i="39"/>
  <c r="HC127" i="39"/>
  <c r="GK127" i="39" s="1"/>
  <c r="GW127" i="39"/>
  <c r="GX127" i="39" s="1"/>
  <c r="HC128" i="39"/>
  <c r="GW128" i="39"/>
  <c r="GX128" i="39" s="1"/>
  <c r="HC135" i="39"/>
  <c r="GK135" i="39" s="1"/>
  <c r="HC149" i="39"/>
  <c r="GW141" i="39"/>
  <c r="GX141" i="39" s="1"/>
  <c r="GW130" i="39"/>
  <c r="GX130" i="39" s="1"/>
  <c r="HC157" i="39"/>
  <c r="GW157" i="39"/>
  <c r="GX157" i="39" s="1"/>
  <c r="HC152" i="39"/>
  <c r="GK152" i="39" s="1"/>
  <c r="GW152" i="39"/>
  <c r="GX152" i="39" s="1"/>
  <c r="GZ149" i="39"/>
  <c r="GJ164" i="39"/>
  <c r="HD164" i="39"/>
  <c r="HE164" i="39" s="1"/>
  <c r="HD158" i="39"/>
  <c r="GJ138" i="39"/>
  <c r="HD138" i="39"/>
  <c r="HF147" i="39"/>
  <c r="HF131" i="39"/>
  <c r="HF148" i="39"/>
  <c r="HF139" i="39"/>
  <c r="HF142" i="39"/>
  <c r="HF128" i="39"/>
  <c r="HF146" i="39"/>
  <c r="HF144" i="39"/>
  <c r="HF123" i="39"/>
  <c r="HF138" i="39"/>
  <c r="HF158" i="39"/>
  <c r="HF137" i="39"/>
  <c r="HF132" i="39"/>
  <c r="HF149" i="39"/>
  <c r="HF152" i="39"/>
  <c r="HF130" i="39"/>
  <c r="HF150" i="39"/>
  <c r="HF156" i="39"/>
  <c r="HF135" i="39"/>
  <c r="HF125" i="39"/>
  <c r="HF127" i="39"/>
  <c r="HF140" i="39"/>
  <c r="HF122" i="39"/>
  <c r="HF126" i="39"/>
  <c r="HF145" i="39"/>
  <c r="HF124" i="39"/>
  <c r="HF159" i="39"/>
  <c r="HF143" i="39"/>
  <c r="HF136" i="39"/>
  <c r="HF134" i="39"/>
  <c r="HF154" i="39"/>
  <c r="HF155" i="39"/>
  <c r="HF133" i="39"/>
  <c r="HF129" i="39"/>
  <c r="HF141" i="39"/>
  <c r="HF151" i="39"/>
  <c r="GN135" i="39"/>
  <c r="GR135" i="39" s="1"/>
  <c r="GN127" i="39"/>
  <c r="GR127" i="39" s="1"/>
  <c r="HA156" i="39"/>
  <c r="GN148" i="39"/>
  <c r="GR148" i="39" s="1"/>
  <c r="GS148" i="39" s="1"/>
  <c r="GN142" i="39"/>
  <c r="GR142" i="39" s="1"/>
  <c r="GS142" i="39" s="1"/>
  <c r="GN122" i="39"/>
  <c r="GN152" i="39"/>
  <c r="GR152" i="39" s="1"/>
  <c r="GN155" i="39"/>
  <c r="GR155" i="39" s="1"/>
  <c r="GS155" i="39" s="1"/>
  <c r="GN143" i="39"/>
  <c r="GR143" i="39" s="1"/>
  <c r="GN124" i="39"/>
  <c r="GR124" i="39" s="1"/>
  <c r="GN129" i="39"/>
  <c r="GR129" i="39" s="1"/>
  <c r="GN154" i="39"/>
  <c r="GR154" i="39" s="1"/>
  <c r="GN125" i="39"/>
  <c r="GR125" i="39" s="1"/>
  <c r="GN159" i="39"/>
  <c r="GR159" i="39" s="1"/>
  <c r="GZ153" i="39"/>
  <c r="GN126" i="39"/>
  <c r="GR126" i="39" s="1"/>
  <c r="GN132" i="39"/>
  <c r="GR132" i="39" s="1"/>
  <c r="GN134" i="39"/>
  <c r="GR134" i="39" s="1"/>
  <c r="GN147" i="39"/>
  <c r="GR147" i="39" s="1"/>
  <c r="GN131" i="39"/>
  <c r="GR131" i="39" s="1"/>
  <c r="GN130" i="39"/>
  <c r="GR130" i="39" s="1"/>
  <c r="GN139" i="39"/>
  <c r="GR139" i="39" s="1"/>
  <c r="GN156" i="39"/>
  <c r="GR156" i="39" s="1"/>
  <c r="GN151" i="39"/>
  <c r="GR151" i="39" s="1"/>
  <c r="GS151" i="39" s="1"/>
  <c r="GN145" i="39"/>
  <c r="GR145" i="39" s="1"/>
  <c r="GS145" i="39" s="1"/>
  <c r="GN123" i="39"/>
  <c r="GR123" i="39" s="1"/>
  <c r="GN149" i="39"/>
  <c r="GR149" i="39" s="1"/>
  <c r="GN138" i="39"/>
  <c r="GR138" i="39" s="1"/>
  <c r="GN140" i="39"/>
  <c r="GR140" i="39" s="1"/>
  <c r="GN137" i="39"/>
  <c r="GR137" i="39" s="1"/>
  <c r="GN128" i="39"/>
  <c r="GR128" i="39" s="1"/>
  <c r="GN150" i="39"/>
  <c r="GR150" i="39" s="1"/>
  <c r="GN141" i="39"/>
  <c r="GR141" i="39" s="1"/>
  <c r="GN136" i="39"/>
  <c r="GR136" i="39" s="1"/>
  <c r="GN146" i="39"/>
  <c r="GR146" i="39" s="1"/>
  <c r="GS146" i="39" s="1"/>
  <c r="GN144" i="39"/>
  <c r="GR144" i="39" s="1"/>
  <c r="GS144" i="39" s="1"/>
  <c r="GN133" i="39"/>
  <c r="GR133" i="39" s="1"/>
  <c r="GN158" i="39"/>
  <c r="GR158" i="39" s="1"/>
  <c r="GZ160" i="39"/>
  <c r="GZ137" i="39"/>
  <c r="GZ124" i="39"/>
  <c r="GZ147" i="39"/>
  <c r="HA133" i="39"/>
  <c r="HA164" i="39"/>
  <c r="HA139" i="39"/>
  <c r="GZ129" i="39"/>
  <c r="GJ158" i="39"/>
  <c r="GZ141" i="39"/>
  <c r="GZ125" i="39"/>
  <c r="GJ126" i="39"/>
  <c r="HG134" i="39" l="1" a="1"/>
  <c r="HG134" i="39" s="1"/>
  <c r="HG141" i="39" a="1"/>
  <c r="HG141" i="39" s="1"/>
  <c r="HG133" i="39" a="1"/>
  <c r="HG133" i="39" s="1"/>
  <c r="HH133" i="39" a="1"/>
  <c r="HH133" i="39" s="1"/>
  <c r="HG164" i="39" a="1"/>
  <c r="HG164" i="39" s="1"/>
  <c r="HG126" i="39" a="1"/>
  <c r="HG126" i="39" s="1"/>
  <c r="HH130" i="39" a="1"/>
  <c r="HH130" i="39" s="1"/>
  <c r="HH141" i="39" a="1"/>
  <c r="HH141" i="39" s="1"/>
  <c r="HH134" i="39" a="1"/>
  <c r="HH134" i="39" s="1"/>
  <c r="HG125" i="39" a="1"/>
  <c r="HG125" i="39" s="1"/>
  <c r="HG153" i="39" a="1"/>
  <c r="HG153" i="39" s="1"/>
  <c r="HH153" i="39" a="1"/>
  <c r="HH153" i="39" s="1"/>
  <c r="HH126" i="39" a="1"/>
  <c r="HH126" i="39" s="1"/>
  <c r="HH164" i="39" a="1"/>
  <c r="HH164" i="39" s="1"/>
  <c r="HH125" i="39" a="1"/>
  <c r="HH125" i="39" s="1"/>
  <c r="HA140" i="39"/>
  <c r="GS122" i="39"/>
  <c r="GR122" i="39"/>
  <c r="HA135" i="39"/>
  <c r="FO128" i="39"/>
  <c r="FP128" i="39" s="1"/>
  <c r="FQ128" i="39" s="1"/>
  <c r="FR128" i="39" s="1"/>
  <c r="FS128" i="39" s="1"/>
  <c r="FT128" i="39" s="1"/>
  <c r="FU128" i="39" s="1"/>
  <c r="FV128" i="39" s="1"/>
  <c r="FW128" i="39" s="1"/>
  <c r="FX128" i="39" s="1"/>
  <c r="FY128" i="39" s="1"/>
  <c r="FZ128" i="39" s="1"/>
  <c r="GK128" i="39"/>
  <c r="FO139" i="39"/>
  <c r="FP139" i="39" s="1"/>
  <c r="FQ139" i="39" s="1"/>
  <c r="FR139" i="39" s="1"/>
  <c r="FS139" i="39" s="1"/>
  <c r="FT139" i="39" s="1"/>
  <c r="FU139" i="39" s="1"/>
  <c r="FV139" i="39" s="1"/>
  <c r="FW139" i="39" s="1"/>
  <c r="FX139" i="39" s="1"/>
  <c r="FY139" i="39" s="1"/>
  <c r="FZ139" i="39" s="1"/>
  <c r="GK139" i="39"/>
  <c r="FO168" i="39"/>
  <c r="FP168" i="39" s="1"/>
  <c r="FQ168" i="39" s="1"/>
  <c r="FR168" i="39" s="1"/>
  <c r="FS168" i="39" s="1"/>
  <c r="FT168" i="39" s="1"/>
  <c r="FU168" i="39" s="1"/>
  <c r="FV168" i="39" s="1"/>
  <c r="FW168" i="39" s="1"/>
  <c r="FX168" i="39" s="1"/>
  <c r="FY168" i="39" s="1"/>
  <c r="FZ168" i="39" s="1"/>
  <c r="GK168" i="39"/>
  <c r="FO157" i="39"/>
  <c r="FP157" i="39" s="1"/>
  <c r="FQ157" i="39" s="1"/>
  <c r="FR157" i="39" s="1"/>
  <c r="FS157" i="39" s="1"/>
  <c r="FT157" i="39" s="1"/>
  <c r="FU157" i="39" s="1"/>
  <c r="FV157" i="39" s="1"/>
  <c r="FW157" i="39" s="1"/>
  <c r="FX157" i="39" s="1"/>
  <c r="FY157" i="39" s="1"/>
  <c r="FZ157" i="39" s="1"/>
  <c r="GK157" i="39"/>
  <c r="FO149" i="39"/>
  <c r="FP149" i="39" s="1"/>
  <c r="FQ149" i="39" s="1"/>
  <c r="FR149" i="39" s="1"/>
  <c r="FS149" i="39" s="1"/>
  <c r="FT149" i="39" s="1"/>
  <c r="FU149" i="39" s="1"/>
  <c r="FV149" i="39" s="1"/>
  <c r="FW149" i="39" s="1"/>
  <c r="FX149" i="39" s="1"/>
  <c r="FY149" i="39" s="1"/>
  <c r="FZ149" i="39" s="1"/>
  <c r="GK149" i="39"/>
  <c r="FO143" i="39"/>
  <c r="FP143" i="39" s="1"/>
  <c r="FQ143" i="39" s="1"/>
  <c r="FR143" i="39" s="1"/>
  <c r="FS143" i="39" s="1"/>
  <c r="FT143" i="39" s="1"/>
  <c r="FU143" i="39" s="1"/>
  <c r="FV143" i="39" s="1"/>
  <c r="FW143" i="39" s="1"/>
  <c r="FX143" i="39" s="1"/>
  <c r="FY143" i="39" s="1"/>
  <c r="FZ143" i="39" s="1"/>
  <c r="GK143" i="39"/>
  <c r="FO129" i="39"/>
  <c r="FP129" i="39" s="1"/>
  <c r="FQ129" i="39" s="1"/>
  <c r="FR129" i="39" s="1"/>
  <c r="FS129" i="39" s="1"/>
  <c r="FT129" i="39" s="1"/>
  <c r="FU129" i="39" s="1"/>
  <c r="FV129" i="39" s="1"/>
  <c r="FW129" i="39" s="1"/>
  <c r="FX129" i="39" s="1"/>
  <c r="FY129" i="39" s="1"/>
  <c r="FZ129" i="39" s="1"/>
  <c r="GK129" i="39"/>
  <c r="FO154" i="39"/>
  <c r="FP154" i="39" s="1"/>
  <c r="FQ154" i="39" s="1"/>
  <c r="FR154" i="39" s="1"/>
  <c r="FS154" i="39" s="1"/>
  <c r="FT154" i="39" s="1"/>
  <c r="FU154" i="39" s="1"/>
  <c r="FV154" i="39" s="1"/>
  <c r="FW154" i="39" s="1"/>
  <c r="FX154" i="39" s="1"/>
  <c r="FY154" i="39" s="1"/>
  <c r="FZ154" i="39" s="1"/>
  <c r="GK154" i="39"/>
  <c r="FO166" i="39"/>
  <c r="FP166" i="39" s="1"/>
  <c r="FQ166" i="39" s="1"/>
  <c r="FR166" i="39" s="1"/>
  <c r="FS166" i="39" s="1"/>
  <c r="FT166" i="39" s="1"/>
  <c r="FU166" i="39" s="1"/>
  <c r="FV166" i="39" s="1"/>
  <c r="FW166" i="39" s="1"/>
  <c r="FX166" i="39" s="1"/>
  <c r="FY166" i="39" s="1"/>
  <c r="FZ166" i="39" s="1"/>
  <c r="GK166" i="39"/>
  <c r="FO167" i="39"/>
  <c r="FP167" i="39" s="1"/>
  <c r="FQ167" i="39" s="1"/>
  <c r="FR167" i="39" s="1"/>
  <c r="FS167" i="39" s="1"/>
  <c r="FT167" i="39" s="1"/>
  <c r="FU167" i="39" s="1"/>
  <c r="FV167" i="39" s="1"/>
  <c r="FW167" i="39" s="1"/>
  <c r="FX167" i="39" s="1"/>
  <c r="FY167" i="39" s="1"/>
  <c r="FZ167" i="39" s="1"/>
  <c r="GK167" i="39"/>
  <c r="FO137" i="39"/>
  <c r="FP137" i="39" s="1"/>
  <c r="FQ137" i="39" s="1"/>
  <c r="FR137" i="39" s="1"/>
  <c r="FS137" i="39" s="1"/>
  <c r="FT137" i="39" s="1"/>
  <c r="FU137" i="39" s="1"/>
  <c r="FV137" i="39" s="1"/>
  <c r="FW137" i="39" s="1"/>
  <c r="FX137" i="39" s="1"/>
  <c r="FY137" i="39" s="1"/>
  <c r="FZ137" i="39" s="1"/>
  <c r="GK137" i="39"/>
  <c r="FO123" i="39"/>
  <c r="FP123" i="39" s="1"/>
  <c r="FQ123" i="39" s="1"/>
  <c r="FR123" i="39" s="1"/>
  <c r="FS123" i="39" s="1"/>
  <c r="FT123" i="39" s="1"/>
  <c r="FU123" i="39" s="1"/>
  <c r="FV123" i="39" s="1"/>
  <c r="FW123" i="39" s="1"/>
  <c r="FX123" i="39" s="1"/>
  <c r="FY123" i="39" s="1"/>
  <c r="FZ123" i="39" s="1"/>
  <c r="GK123" i="39"/>
  <c r="FO147" i="39"/>
  <c r="FP147" i="39" s="1"/>
  <c r="FQ147" i="39" s="1"/>
  <c r="FR147" i="39" s="1"/>
  <c r="FS147" i="39" s="1"/>
  <c r="FT147" i="39" s="1"/>
  <c r="FU147" i="39" s="1"/>
  <c r="FV147" i="39" s="1"/>
  <c r="FW147" i="39" s="1"/>
  <c r="FX147" i="39" s="1"/>
  <c r="FY147" i="39" s="1"/>
  <c r="FZ147" i="39" s="1"/>
  <c r="GK147" i="39"/>
  <c r="FO163" i="39"/>
  <c r="FP163" i="39" s="1"/>
  <c r="FQ163" i="39" s="1"/>
  <c r="FR163" i="39" s="1"/>
  <c r="FS163" i="39" s="1"/>
  <c r="FT163" i="39" s="1"/>
  <c r="FU163" i="39" s="1"/>
  <c r="FV163" i="39" s="1"/>
  <c r="FW163" i="39" s="1"/>
  <c r="FX163" i="39" s="1"/>
  <c r="FY163" i="39" s="1"/>
  <c r="FZ163" i="39" s="1"/>
  <c r="GK163" i="39"/>
  <c r="FO140" i="39"/>
  <c r="FP140" i="39" s="1"/>
  <c r="FQ140" i="39" s="1"/>
  <c r="FR140" i="39" s="1"/>
  <c r="FS140" i="39" s="1"/>
  <c r="FT140" i="39" s="1"/>
  <c r="FU140" i="39" s="1"/>
  <c r="FV140" i="39" s="1"/>
  <c r="FW140" i="39" s="1"/>
  <c r="FX140" i="39" s="1"/>
  <c r="FY140" i="39" s="1"/>
  <c r="FZ140" i="39" s="1"/>
  <c r="GK140" i="39"/>
  <c r="FA150" i="39"/>
  <c r="FB150" i="39" s="1"/>
  <c r="FC150" i="39" s="1"/>
  <c r="FD150" i="39" s="1"/>
  <c r="FE150" i="39" s="1"/>
  <c r="FF150" i="39" s="1"/>
  <c r="FG150" i="39" s="1"/>
  <c r="FH150" i="39" s="1"/>
  <c r="FI150" i="39" s="1"/>
  <c r="FJ150" i="39" s="1"/>
  <c r="FK150" i="39" s="1"/>
  <c r="FL150" i="39" s="1"/>
  <c r="FO150" i="39"/>
  <c r="FP150" i="39" s="1"/>
  <c r="FQ150" i="39" s="1"/>
  <c r="FR150" i="39" s="1"/>
  <c r="FS150" i="39" s="1"/>
  <c r="FT150" i="39" s="1"/>
  <c r="FU150" i="39" s="1"/>
  <c r="FV150" i="39" s="1"/>
  <c r="FW150" i="39" s="1"/>
  <c r="FX150" i="39" s="1"/>
  <c r="FY150" i="39" s="1"/>
  <c r="FZ150" i="39" s="1"/>
  <c r="FA135" i="39"/>
  <c r="FB135" i="39" s="1"/>
  <c r="FC135" i="39" s="1"/>
  <c r="FD135" i="39" s="1"/>
  <c r="FE135" i="39" s="1"/>
  <c r="FF135" i="39" s="1"/>
  <c r="FG135" i="39" s="1"/>
  <c r="FH135" i="39" s="1"/>
  <c r="FI135" i="39" s="1"/>
  <c r="FJ135" i="39" s="1"/>
  <c r="FK135" i="39" s="1"/>
  <c r="FL135" i="39" s="1"/>
  <c r="FO135" i="39"/>
  <c r="FP135" i="39" s="1"/>
  <c r="FQ135" i="39" s="1"/>
  <c r="FR135" i="39" s="1"/>
  <c r="FS135" i="39" s="1"/>
  <c r="FT135" i="39" s="1"/>
  <c r="FU135" i="39" s="1"/>
  <c r="FV135" i="39" s="1"/>
  <c r="FW135" i="39" s="1"/>
  <c r="FX135" i="39" s="1"/>
  <c r="FY135" i="39" s="1"/>
  <c r="FZ135" i="39" s="1"/>
  <c r="FA156" i="39"/>
  <c r="FB156" i="39" s="1"/>
  <c r="FC156" i="39" s="1"/>
  <c r="FD156" i="39" s="1"/>
  <c r="FE156" i="39" s="1"/>
  <c r="FF156" i="39" s="1"/>
  <c r="FG156" i="39" s="1"/>
  <c r="FH156" i="39" s="1"/>
  <c r="FI156" i="39" s="1"/>
  <c r="FJ156" i="39" s="1"/>
  <c r="FK156" i="39" s="1"/>
  <c r="FL156" i="39" s="1"/>
  <c r="FO156" i="39"/>
  <c r="FP156" i="39" s="1"/>
  <c r="FQ156" i="39" s="1"/>
  <c r="FR156" i="39" s="1"/>
  <c r="FS156" i="39" s="1"/>
  <c r="FT156" i="39" s="1"/>
  <c r="FU156" i="39" s="1"/>
  <c r="FV156" i="39" s="1"/>
  <c r="FW156" i="39" s="1"/>
  <c r="FX156" i="39" s="1"/>
  <c r="FY156" i="39" s="1"/>
  <c r="FZ156" i="39" s="1"/>
  <c r="FA152" i="39"/>
  <c r="FB152" i="39" s="1"/>
  <c r="FC152" i="39" s="1"/>
  <c r="FD152" i="39" s="1"/>
  <c r="FE152" i="39" s="1"/>
  <c r="FF152" i="39" s="1"/>
  <c r="FG152" i="39" s="1"/>
  <c r="FH152" i="39" s="1"/>
  <c r="FI152" i="39" s="1"/>
  <c r="FJ152" i="39" s="1"/>
  <c r="FK152" i="39" s="1"/>
  <c r="FL152" i="39" s="1"/>
  <c r="FO152" i="39"/>
  <c r="FP152" i="39" s="1"/>
  <c r="FQ152" i="39" s="1"/>
  <c r="FR152" i="39" s="1"/>
  <c r="FS152" i="39" s="1"/>
  <c r="FT152" i="39" s="1"/>
  <c r="FU152" i="39" s="1"/>
  <c r="FV152" i="39" s="1"/>
  <c r="FW152" i="39" s="1"/>
  <c r="FX152" i="39" s="1"/>
  <c r="FY152" i="39" s="1"/>
  <c r="FZ152" i="39" s="1"/>
  <c r="FA132" i="39"/>
  <c r="FB132" i="39" s="1"/>
  <c r="FC132" i="39" s="1"/>
  <c r="FD132" i="39" s="1"/>
  <c r="FE132" i="39" s="1"/>
  <c r="FF132" i="39" s="1"/>
  <c r="FG132" i="39" s="1"/>
  <c r="FH132" i="39" s="1"/>
  <c r="FI132" i="39" s="1"/>
  <c r="FJ132" i="39" s="1"/>
  <c r="FK132" i="39" s="1"/>
  <c r="FL132" i="39" s="1"/>
  <c r="FO132" i="39"/>
  <c r="FP132" i="39" s="1"/>
  <c r="FQ132" i="39" s="1"/>
  <c r="FR132" i="39" s="1"/>
  <c r="FS132" i="39" s="1"/>
  <c r="FT132" i="39" s="1"/>
  <c r="FU132" i="39" s="1"/>
  <c r="FV132" i="39" s="1"/>
  <c r="FW132" i="39" s="1"/>
  <c r="FX132" i="39" s="1"/>
  <c r="FY132" i="39" s="1"/>
  <c r="FZ132" i="39" s="1"/>
  <c r="FA127" i="39"/>
  <c r="FB127" i="39" s="1"/>
  <c r="FC127" i="39" s="1"/>
  <c r="FD127" i="39" s="1"/>
  <c r="FE127" i="39" s="1"/>
  <c r="FF127" i="39" s="1"/>
  <c r="FG127" i="39" s="1"/>
  <c r="FH127" i="39" s="1"/>
  <c r="FI127" i="39" s="1"/>
  <c r="FJ127" i="39" s="1"/>
  <c r="FK127" i="39" s="1"/>
  <c r="FL127" i="39" s="1"/>
  <c r="FO127" i="39"/>
  <c r="FP127" i="39" s="1"/>
  <c r="FQ127" i="39" s="1"/>
  <c r="FR127" i="39" s="1"/>
  <c r="FS127" i="39" s="1"/>
  <c r="FT127" i="39" s="1"/>
  <c r="FU127" i="39" s="1"/>
  <c r="FV127" i="39" s="1"/>
  <c r="FW127" i="39" s="1"/>
  <c r="FX127" i="39" s="1"/>
  <c r="FY127" i="39" s="1"/>
  <c r="FZ127" i="39" s="1"/>
  <c r="FA161" i="39"/>
  <c r="FB161" i="39" s="1"/>
  <c r="FC161" i="39" s="1"/>
  <c r="FD161" i="39" s="1"/>
  <c r="FE161" i="39" s="1"/>
  <c r="FF161" i="39" s="1"/>
  <c r="FG161" i="39" s="1"/>
  <c r="FH161" i="39" s="1"/>
  <c r="FI161" i="39" s="1"/>
  <c r="FJ161" i="39" s="1"/>
  <c r="FK161" i="39" s="1"/>
  <c r="FL161" i="39" s="1"/>
  <c r="FO161" i="39"/>
  <c r="FP161" i="39" s="1"/>
  <c r="FQ161" i="39" s="1"/>
  <c r="FR161" i="39" s="1"/>
  <c r="FS161" i="39" s="1"/>
  <c r="FT161" i="39" s="1"/>
  <c r="FU161" i="39" s="1"/>
  <c r="FV161" i="39" s="1"/>
  <c r="FW161" i="39" s="1"/>
  <c r="FX161" i="39" s="1"/>
  <c r="FY161" i="39" s="1"/>
  <c r="FZ161" i="39" s="1"/>
  <c r="HD137" i="39"/>
  <c r="HE137" i="39" s="1"/>
  <c r="FA137" i="39"/>
  <c r="FB137" i="39" s="1"/>
  <c r="FC137" i="39" s="1"/>
  <c r="FD137" i="39" s="1"/>
  <c r="FE137" i="39" s="1"/>
  <c r="FF137" i="39" s="1"/>
  <c r="FG137" i="39" s="1"/>
  <c r="FH137" i="39" s="1"/>
  <c r="FI137" i="39" s="1"/>
  <c r="FJ137" i="39" s="1"/>
  <c r="FK137" i="39" s="1"/>
  <c r="FL137" i="39" s="1"/>
  <c r="HD129" i="39"/>
  <c r="HE129" i="39" s="1"/>
  <c r="FA129" i="39"/>
  <c r="FB129" i="39" s="1"/>
  <c r="FC129" i="39" s="1"/>
  <c r="FD129" i="39" s="1"/>
  <c r="FE129" i="39" s="1"/>
  <c r="FF129" i="39" s="1"/>
  <c r="FG129" i="39" s="1"/>
  <c r="FH129" i="39" s="1"/>
  <c r="FI129" i="39" s="1"/>
  <c r="FJ129" i="39" s="1"/>
  <c r="FK129" i="39" s="1"/>
  <c r="FL129" i="39" s="1"/>
  <c r="HD139" i="39"/>
  <c r="HE139" i="39" s="1"/>
  <c r="FA139" i="39"/>
  <c r="FB139" i="39" s="1"/>
  <c r="FC139" i="39" s="1"/>
  <c r="FD139" i="39" s="1"/>
  <c r="FE139" i="39" s="1"/>
  <c r="FF139" i="39" s="1"/>
  <c r="FG139" i="39" s="1"/>
  <c r="FH139" i="39" s="1"/>
  <c r="FI139" i="39" s="1"/>
  <c r="FJ139" i="39" s="1"/>
  <c r="FK139" i="39" s="1"/>
  <c r="FL139" i="39" s="1"/>
  <c r="HD149" i="39"/>
  <c r="HE149" i="39" s="1"/>
  <c r="FA149" i="39"/>
  <c r="FB149" i="39" s="1"/>
  <c r="FC149" i="39" s="1"/>
  <c r="FD149" i="39" s="1"/>
  <c r="FE149" i="39" s="1"/>
  <c r="FF149" i="39" s="1"/>
  <c r="FG149" i="39" s="1"/>
  <c r="FH149" i="39" s="1"/>
  <c r="FI149" i="39" s="1"/>
  <c r="FJ149" i="39" s="1"/>
  <c r="FK149" i="39" s="1"/>
  <c r="FL149" i="39" s="1"/>
  <c r="HD143" i="39"/>
  <c r="HE143" i="39" s="1"/>
  <c r="FA143" i="39"/>
  <c r="FB143" i="39" s="1"/>
  <c r="FC143" i="39" s="1"/>
  <c r="FD143" i="39" s="1"/>
  <c r="FE143" i="39" s="1"/>
  <c r="FF143" i="39" s="1"/>
  <c r="FG143" i="39" s="1"/>
  <c r="FH143" i="39" s="1"/>
  <c r="FI143" i="39" s="1"/>
  <c r="FJ143" i="39" s="1"/>
  <c r="FK143" i="39" s="1"/>
  <c r="FL143" i="39" s="1"/>
  <c r="HD154" i="39"/>
  <c r="HE154" i="39" s="1"/>
  <c r="FA154" i="39"/>
  <c r="FB154" i="39" s="1"/>
  <c r="FC154" i="39" s="1"/>
  <c r="FD154" i="39" s="1"/>
  <c r="FE154" i="39" s="1"/>
  <c r="FF154" i="39" s="1"/>
  <c r="FG154" i="39" s="1"/>
  <c r="FH154" i="39" s="1"/>
  <c r="FI154" i="39" s="1"/>
  <c r="FJ154" i="39" s="1"/>
  <c r="FK154" i="39" s="1"/>
  <c r="FL154" i="39" s="1"/>
  <c r="HD166" i="39"/>
  <c r="HE166" i="39" s="1"/>
  <c r="FA166" i="39"/>
  <c r="FB166" i="39" s="1"/>
  <c r="FC166" i="39" s="1"/>
  <c r="FD166" i="39" s="1"/>
  <c r="FE166" i="39" s="1"/>
  <c r="FF166" i="39" s="1"/>
  <c r="FG166" i="39" s="1"/>
  <c r="FH166" i="39" s="1"/>
  <c r="FI166" i="39" s="1"/>
  <c r="FJ166" i="39" s="1"/>
  <c r="FK166" i="39" s="1"/>
  <c r="FL166" i="39" s="1"/>
  <c r="HD123" i="39"/>
  <c r="HE123" i="39" s="1"/>
  <c r="FA123" i="39"/>
  <c r="FB123" i="39" s="1"/>
  <c r="FC123" i="39" s="1"/>
  <c r="FD123" i="39" s="1"/>
  <c r="FE123" i="39" s="1"/>
  <c r="FF123" i="39" s="1"/>
  <c r="FG123" i="39" s="1"/>
  <c r="FH123" i="39" s="1"/>
  <c r="FI123" i="39" s="1"/>
  <c r="FJ123" i="39" s="1"/>
  <c r="FK123" i="39" s="1"/>
  <c r="FL123" i="39" s="1"/>
  <c r="HD147" i="39"/>
  <c r="HE147" i="39" s="1"/>
  <c r="FA147" i="39"/>
  <c r="FB147" i="39" s="1"/>
  <c r="FC147" i="39" s="1"/>
  <c r="FD147" i="39" s="1"/>
  <c r="FE147" i="39" s="1"/>
  <c r="FF147" i="39" s="1"/>
  <c r="FG147" i="39" s="1"/>
  <c r="FH147" i="39" s="1"/>
  <c r="FI147" i="39" s="1"/>
  <c r="FJ147" i="39" s="1"/>
  <c r="FK147" i="39" s="1"/>
  <c r="FL147" i="39" s="1"/>
  <c r="HD163" i="39"/>
  <c r="HE163" i="39" s="1"/>
  <c r="FA163" i="39"/>
  <c r="FB163" i="39" s="1"/>
  <c r="FC163" i="39" s="1"/>
  <c r="FD163" i="39" s="1"/>
  <c r="FE163" i="39" s="1"/>
  <c r="FF163" i="39" s="1"/>
  <c r="FG163" i="39" s="1"/>
  <c r="FH163" i="39" s="1"/>
  <c r="FI163" i="39" s="1"/>
  <c r="FJ163" i="39" s="1"/>
  <c r="FK163" i="39" s="1"/>
  <c r="FL163" i="39" s="1"/>
  <c r="GJ140" i="39"/>
  <c r="FA140" i="39"/>
  <c r="FB140" i="39" s="1"/>
  <c r="FC140" i="39" s="1"/>
  <c r="FD140" i="39" s="1"/>
  <c r="FE140" i="39" s="1"/>
  <c r="FF140" i="39" s="1"/>
  <c r="FG140" i="39" s="1"/>
  <c r="FH140" i="39" s="1"/>
  <c r="FI140" i="39" s="1"/>
  <c r="FJ140" i="39" s="1"/>
  <c r="FK140" i="39" s="1"/>
  <c r="FL140" i="39" s="1"/>
  <c r="HD167" i="39"/>
  <c r="HE167" i="39" s="1"/>
  <c r="FA167" i="39"/>
  <c r="FB167" i="39" s="1"/>
  <c r="FC167" i="39" s="1"/>
  <c r="FD167" i="39" s="1"/>
  <c r="FE167" i="39" s="1"/>
  <c r="FF167" i="39" s="1"/>
  <c r="FG167" i="39" s="1"/>
  <c r="FH167" i="39" s="1"/>
  <c r="FI167" i="39" s="1"/>
  <c r="FJ167" i="39" s="1"/>
  <c r="FK167" i="39" s="1"/>
  <c r="FL167" i="39" s="1"/>
  <c r="HD168" i="39"/>
  <c r="HE168" i="39" s="1"/>
  <c r="FA168" i="39"/>
  <c r="FB168" i="39" s="1"/>
  <c r="FC168" i="39" s="1"/>
  <c r="FD168" i="39" s="1"/>
  <c r="FE168" i="39" s="1"/>
  <c r="FF168" i="39" s="1"/>
  <c r="FG168" i="39" s="1"/>
  <c r="FH168" i="39" s="1"/>
  <c r="FI168" i="39" s="1"/>
  <c r="FJ168" i="39" s="1"/>
  <c r="FK168" i="39" s="1"/>
  <c r="FL168" i="39" s="1"/>
  <c r="HD128" i="39"/>
  <c r="HE128" i="39" s="1"/>
  <c r="FA128" i="39"/>
  <c r="FB128" i="39" s="1"/>
  <c r="FC128" i="39" s="1"/>
  <c r="FD128" i="39" s="1"/>
  <c r="FE128" i="39" s="1"/>
  <c r="FF128" i="39" s="1"/>
  <c r="FG128" i="39" s="1"/>
  <c r="FH128" i="39" s="1"/>
  <c r="FI128" i="39" s="1"/>
  <c r="FJ128" i="39" s="1"/>
  <c r="FK128" i="39" s="1"/>
  <c r="FL128" i="39" s="1"/>
  <c r="HD157" i="39"/>
  <c r="HE157" i="39" s="1"/>
  <c r="FA157" i="39"/>
  <c r="FB157" i="39" s="1"/>
  <c r="FC157" i="39" s="1"/>
  <c r="FD157" i="39" s="1"/>
  <c r="FE157" i="39" s="1"/>
  <c r="FF157" i="39" s="1"/>
  <c r="FG157" i="39" s="1"/>
  <c r="FH157" i="39" s="1"/>
  <c r="FI157" i="39" s="1"/>
  <c r="FJ157" i="39" s="1"/>
  <c r="FK157" i="39" s="1"/>
  <c r="FL157" i="39" s="1"/>
  <c r="HD140" i="39"/>
  <c r="HE140" i="39" s="1"/>
  <c r="GJ161" i="39"/>
  <c r="HD161" i="39"/>
  <c r="HE161" i="39" s="1"/>
  <c r="GJ156" i="39"/>
  <c r="HD156" i="39"/>
  <c r="HE156" i="39" s="1"/>
  <c r="GJ143" i="39"/>
  <c r="GJ154" i="39"/>
  <c r="GJ139" i="39"/>
  <c r="GJ123" i="39"/>
  <c r="GJ135" i="39"/>
  <c r="HD135" i="39"/>
  <c r="HE135" i="39" s="1"/>
  <c r="GJ147" i="39"/>
  <c r="GJ137" i="39"/>
  <c r="GJ149" i="39"/>
  <c r="HD127" i="39"/>
  <c r="HE127" i="39" s="1"/>
  <c r="HH127" i="39" s="1" a="1"/>
  <c r="HH127" i="39" s="1"/>
  <c r="HE138" i="39"/>
  <c r="HE124" i="39"/>
  <c r="HG124" i="39" s="1" a="1"/>
  <c r="HG124" i="39" s="1"/>
  <c r="HE131" i="39"/>
  <c r="HH131" i="39" s="1" a="1"/>
  <c r="HH131" i="39" s="1"/>
  <c r="HE158" i="39"/>
  <c r="HA166" i="39"/>
  <c r="GZ166" i="39"/>
  <c r="GJ167" i="39"/>
  <c r="GJ163" i="39"/>
  <c r="GZ167" i="39"/>
  <c r="HA167" i="39"/>
  <c r="GZ163" i="39"/>
  <c r="HA163" i="39"/>
  <c r="GJ168" i="39"/>
  <c r="GJ166" i="39"/>
  <c r="GZ168" i="39"/>
  <c r="HA168" i="39"/>
  <c r="HA157" i="39"/>
  <c r="GZ157" i="39"/>
  <c r="GJ157" i="39"/>
  <c r="GZ127" i="39"/>
  <c r="HA127" i="39"/>
  <c r="GJ127" i="39"/>
  <c r="AZ85" i="39"/>
  <c r="AZ86" i="39"/>
  <c r="AZ87" i="39"/>
  <c r="AZ88" i="39"/>
  <c r="AZ89" i="39"/>
  <c r="AZ90" i="39"/>
  <c r="AZ91" i="39"/>
  <c r="AZ92" i="39"/>
  <c r="AZ93" i="39"/>
  <c r="AZ94" i="39"/>
  <c r="AZ95" i="39"/>
  <c r="AZ96" i="39"/>
  <c r="AZ97" i="39"/>
  <c r="AZ98" i="39"/>
  <c r="AZ99" i="39"/>
  <c r="AZ100" i="39"/>
  <c r="AZ101" i="39"/>
  <c r="AZ102" i="39"/>
  <c r="AZ103" i="39"/>
  <c r="AZ104" i="39"/>
  <c r="AZ105" i="39"/>
  <c r="AZ106" i="39"/>
  <c r="AZ107" i="39"/>
  <c r="AZ108" i="39"/>
  <c r="AZ109" i="39"/>
  <c r="AZ110" i="39"/>
  <c r="AZ111" i="39"/>
  <c r="AZ112" i="39"/>
  <c r="AZ113" i="39"/>
  <c r="AZ114" i="39"/>
  <c r="AZ115" i="39"/>
  <c r="AZ116" i="39"/>
  <c r="AZ117" i="39"/>
  <c r="AZ118" i="39"/>
  <c r="AZ119" i="39"/>
  <c r="AZ120" i="39"/>
  <c r="AZ121" i="39"/>
  <c r="AZ122" i="39"/>
  <c r="AZ123" i="39"/>
  <c r="AZ124" i="39"/>
  <c r="AZ125" i="39"/>
  <c r="AZ126" i="39"/>
  <c r="AZ127" i="39"/>
  <c r="AZ128" i="39"/>
  <c r="AZ129" i="39"/>
  <c r="AZ130" i="39"/>
  <c r="AZ131" i="39"/>
  <c r="AZ132" i="39"/>
  <c r="F15" i="39" a="1"/>
  <c r="F15" i="39" s="1"/>
  <c r="F16" i="39" a="1"/>
  <c r="F16" i="39" s="1"/>
  <c r="G16" i="39" a="1"/>
  <c r="G16" i="39" s="1"/>
  <c r="F17" i="39" a="1"/>
  <c r="F17" i="39" s="1"/>
  <c r="G17" i="39" a="1"/>
  <c r="G17" i="39" s="1"/>
  <c r="F18" i="39" a="1"/>
  <c r="F18" i="39" s="1"/>
  <c r="G18" i="39" a="1"/>
  <c r="G18" i="39" s="1"/>
  <c r="F19" i="39" a="1"/>
  <c r="F19" i="39" s="1"/>
  <c r="G19" i="39" a="1"/>
  <c r="G19" i="39" s="1"/>
  <c r="F20" i="39" a="1"/>
  <c r="F20" i="39" s="1"/>
  <c r="G20" i="39" a="1"/>
  <c r="G20" i="39" s="1"/>
  <c r="F21" i="39" a="1"/>
  <c r="F21" i="39" s="1"/>
  <c r="G21" i="39" a="1"/>
  <c r="G21" i="39" s="1"/>
  <c r="F22" i="39" a="1"/>
  <c r="F22" i="39" s="1"/>
  <c r="G22" i="39" a="1"/>
  <c r="G22" i="39" s="1"/>
  <c r="F23" i="39" a="1"/>
  <c r="F23" i="39" s="1"/>
  <c r="G23" i="39" a="1"/>
  <c r="G23" i="39" s="1"/>
  <c r="F24" i="39" a="1"/>
  <c r="F24" i="39" s="1"/>
  <c r="G24" i="39" a="1"/>
  <c r="G24" i="39" s="1"/>
  <c r="F25" i="39" a="1"/>
  <c r="F25" i="39" s="1"/>
  <c r="G25" i="39" a="1"/>
  <c r="G25" i="39" s="1"/>
  <c r="F26" i="39" a="1"/>
  <c r="F26" i="39" s="1"/>
  <c r="G26" i="39" a="1"/>
  <c r="G26" i="39" s="1"/>
  <c r="F27" i="39" a="1"/>
  <c r="F27" i="39" s="1"/>
  <c r="G27" i="39" a="1"/>
  <c r="G27" i="39" s="1"/>
  <c r="F28" i="39" a="1"/>
  <c r="F28" i="39" s="1"/>
  <c r="G28" i="39" a="1"/>
  <c r="G28" i="39" s="1"/>
  <c r="F29" i="39" a="1"/>
  <c r="F29" i="39" s="1"/>
  <c r="G29" i="39" a="1"/>
  <c r="G29" i="39" s="1"/>
  <c r="F30" i="39" a="1"/>
  <c r="F30" i="39" s="1"/>
  <c r="G30" i="39" a="1"/>
  <c r="G30" i="39" s="1"/>
  <c r="F31" i="39" a="1"/>
  <c r="F31" i="39" s="1"/>
  <c r="G31" i="39" a="1"/>
  <c r="G31" i="39" s="1"/>
  <c r="F32" i="39" a="1"/>
  <c r="F32" i="39" s="1"/>
  <c r="G32" i="39" a="1"/>
  <c r="G32" i="39" s="1"/>
  <c r="F33" i="39" a="1"/>
  <c r="F33" i="39" s="1"/>
  <c r="G33" i="39" a="1"/>
  <c r="G33" i="39" s="1"/>
  <c r="F34" i="39" a="1"/>
  <c r="F34" i="39" s="1"/>
  <c r="G34" i="39" a="1"/>
  <c r="G34" i="39" s="1"/>
  <c r="F35" i="39" a="1"/>
  <c r="F35" i="39" s="1"/>
  <c r="G35" i="39" a="1"/>
  <c r="G35" i="39" s="1"/>
  <c r="F36" i="39" a="1"/>
  <c r="F36" i="39" s="1"/>
  <c r="G36" i="39" a="1"/>
  <c r="G36" i="39" s="1"/>
  <c r="F14" i="39" a="1"/>
  <c r="F14" i="39" s="1"/>
  <c r="HG140" i="39" l="1" a="1"/>
  <c r="HG140" i="39" s="1"/>
  <c r="HG167" i="39" a="1"/>
  <c r="HG167" i="39" s="1"/>
  <c r="HG161" i="39" a="1"/>
  <c r="HG161" i="39" s="1"/>
  <c r="HG168" i="39" a="1"/>
  <c r="HG168" i="39" s="1"/>
  <c r="HG154" i="39" a="1"/>
  <c r="HG154" i="39" s="1"/>
  <c r="HG163" i="39" a="1"/>
  <c r="HG163" i="39" s="1"/>
  <c r="HG149" i="39" a="1"/>
  <c r="HG149" i="39" s="1"/>
  <c r="HH124" i="39" a="1"/>
  <c r="HH124" i="39" s="1"/>
  <c r="HG138" i="39" a="1"/>
  <c r="HG138" i="39" s="1"/>
  <c r="HH138" i="39" a="1"/>
  <c r="HH138" i="39" s="1"/>
  <c r="HH140" i="39" a="1"/>
  <c r="HH140" i="39" s="1"/>
  <c r="HH147" i="39" a="1"/>
  <c r="HH147" i="39" s="1"/>
  <c r="HH137" i="39" a="1"/>
  <c r="HH137" i="39" s="1"/>
  <c r="HH166" i="39" a="1"/>
  <c r="HH166" i="39" s="1"/>
  <c r="HH129" i="39" a="1"/>
  <c r="HH129" i="39" s="1"/>
  <c r="HH149" i="39" a="1"/>
  <c r="HH149" i="39" s="1"/>
  <c r="HH168" i="39" a="1"/>
  <c r="HH168" i="39" s="1"/>
  <c r="HH139" i="39" a="1"/>
  <c r="HH139" i="39" s="1"/>
  <c r="HG158" i="39" a="1"/>
  <c r="HG158" i="39" s="1"/>
  <c r="HH158" i="39" a="1"/>
  <c r="HH158" i="39" s="1"/>
  <c r="HG157" i="39" a="1"/>
  <c r="HG157" i="39" s="1"/>
  <c r="HG123" i="39" a="1"/>
  <c r="HG123" i="39" s="1"/>
  <c r="HG127" i="39" a="1"/>
  <c r="HG127" i="39" s="1"/>
  <c r="HG135" i="39" a="1"/>
  <c r="HG135" i="39" s="1"/>
  <c r="HG156" i="39" a="1"/>
  <c r="HG156" i="39" s="1"/>
  <c r="HG147" i="39" a="1"/>
  <c r="HG147" i="39" s="1"/>
  <c r="HG166" i="39" a="1"/>
  <c r="HG166" i="39" s="1"/>
  <c r="HG143" i="39" a="1"/>
  <c r="HG143" i="39" s="1"/>
  <c r="HG139" i="39" a="1"/>
  <c r="HG139" i="39" s="1"/>
  <c r="HG137" i="39" a="1"/>
  <c r="HG137" i="39" s="1"/>
  <c r="HH161" i="39" a="1"/>
  <c r="HH161" i="39" s="1"/>
  <c r="HH163" i="39" a="1"/>
  <c r="HH163" i="39" s="1"/>
  <c r="HH123" i="39" a="1"/>
  <c r="HH123" i="39" s="1"/>
  <c r="HH167" i="39" a="1"/>
  <c r="HH167" i="39" s="1"/>
  <c r="HH154" i="39" a="1"/>
  <c r="HH154" i="39" s="1"/>
  <c r="HH143" i="39" a="1"/>
  <c r="HH143" i="39" s="1"/>
  <c r="HH157" i="39" a="1"/>
  <c r="HH157" i="39" s="1"/>
  <c r="HH128" i="39" a="1"/>
  <c r="HH128" i="39" s="1"/>
  <c r="HH135" i="39" a="1"/>
  <c r="HH135" i="39" s="1"/>
  <c r="HH156" i="39" a="1"/>
  <c r="HH156" i="39" s="1"/>
  <c r="CQ33" i="39"/>
  <c r="CR33" i="39"/>
  <c r="CQ25" i="39"/>
  <c r="CR25" i="39"/>
  <c r="CQ17" i="39"/>
  <c r="CR17" i="39"/>
  <c r="CQ36" i="39"/>
  <c r="CR36" i="39"/>
  <c r="CQ32" i="39"/>
  <c r="CR32" i="39"/>
  <c r="CQ28" i="39"/>
  <c r="CR28" i="39"/>
  <c r="CQ24" i="39"/>
  <c r="CR24" i="39"/>
  <c r="CQ20" i="39"/>
  <c r="CR20" i="39"/>
  <c r="CQ16" i="39"/>
  <c r="CR16" i="39"/>
  <c r="CQ35" i="39"/>
  <c r="CR35" i="39"/>
  <c r="CQ31" i="39"/>
  <c r="CR31" i="39"/>
  <c r="CQ27" i="39"/>
  <c r="CR27" i="39"/>
  <c r="CQ23" i="39"/>
  <c r="CR23" i="39"/>
  <c r="CQ19" i="39"/>
  <c r="CR19" i="39"/>
  <c r="CQ34" i="39"/>
  <c r="CR34" i="39"/>
  <c r="CR30" i="39"/>
  <c r="CQ30" i="39"/>
  <c r="CQ26" i="39"/>
  <c r="CR26" i="39"/>
  <c r="CR22" i="39"/>
  <c r="CQ22" i="39"/>
  <c r="CQ18" i="39"/>
  <c r="CR18" i="39"/>
  <c r="CR29" i="39"/>
  <c r="CQ29" i="39"/>
  <c r="CR21" i="39"/>
  <c r="CQ21" i="39"/>
  <c r="CM30" i="39"/>
  <c r="CI30" i="39"/>
  <c r="EZ57" i="39" s="1"/>
  <c r="CM34" i="39"/>
  <c r="CI34" i="39"/>
  <c r="CM18" i="39"/>
  <c r="CI18" i="39"/>
  <c r="EZ33" i="39" s="1"/>
  <c r="CI36" i="39"/>
  <c r="CM36" i="39"/>
  <c r="CM32" i="39"/>
  <c r="CI32" i="39"/>
  <c r="CI28" i="39"/>
  <c r="CM28" i="39"/>
  <c r="CM24" i="39"/>
  <c r="CI24" i="39"/>
  <c r="CI20" i="39"/>
  <c r="EZ24" i="39" s="1"/>
  <c r="CM20" i="39"/>
  <c r="CM16" i="39"/>
  <c r="CI16" i="39"/>
  <c r="CM35" i="39"/>
  <c r="CI35" i="39"/>
  <c r="CM31" i="39"/>
  <c r="CI31" i="39"/>
  <c r="EZ21" i="39" s="1"/>
  <c r="CM27" i="39"/>
  <c r="CI27" i="39"/>
  <c r="EZ104" i="39" s="1"/>
  <c r="CM23" i="39"/>
  <c r="CI23" i="39"/>
  <c r="EZ58" i="39" s="1"/>
  <c r="CM19" i="39"/>
  <c r="CI19" i="39"/>
  <c r="CM22" i="39"/>
  <c r="CI22" i="39"/>
  <c r="EZ81" i="39" s="1"/>
  <c r="CM26" i="39"/>
  <c r="CI26" i="39"/>
  <c r="EZ25" i="39" s="1"/>
  <c r="CM33" i="39"/>
  <c r="CI33" i="39"/>
  <c r="EZ41" i="39" s="1"/>
  <c r="CM29" i="39"/>
  <c r="CI29" i="39"/>
  <c r="EZ14" i="39" s="1"/>
  <c r="CM25" i="39"/>
  <c r="CI25" i="39"/>
  <c r="CM21" i="39"/>
  <c r="CI21" i="39"/>
  <c r="EZ114" i="39" s="1"/>
  <c r="CM17" i="39"/>
  <c r="CI17" i="39"/>
  <c r="EZ56" i="39" s="1"/>
  <c r="CE14" i="39"/>
  <c r="CD32" i="39"/>
  <c r="CE20" i="39"/>
  <c r="CE28" i="39"/>
  <c r="CE24" i="39"/>
  <c r="CE16" i="39"/>
  <c r="DA33" i="39" l="1"/>
  <c r="DB33" i="39"/>
  <c r="CZ33" i="39"/>
  <c r="DH33" i="39"/>
  <c r="DC33" i="39"/>
  <c r="DE33" i="39"/>
  <c r="DI33" i="39"/>
  <c r="DF33" i="39"/>
  <c r="DG33" i="39"/>
  <c r="DK33" i="39"/>
  <c r="DJ33" i="39"/>
  <c r="DD33" i="39"/>
  <c r="EZ93" i="39"/>
  <c r="DD41" i="39"/>
  <c r="DH41" i="39"/>
  <c r="DF41" i="39"/>
  <c r="DJ41" i="39"/>
  <c r="DB41" i="39"/>
  <c r="DE41" i="39"/>
  <c r="DK41" i="39"/>
  <c r="DC41" i="39"/>
  <c r="DI41" i="39"/>
  <c r="DG41" i="39"/>
  <c r="CZ41" i="39"/>
  <c r="DA41" i="39"/>
  <c r="EZ36" i="39"/>
  <c r="EZ59" i="39"/>
  <c r="DB59" i="39"/>
  <c r="DF59" i="39"/>
  <c r="DG59" i="39"/>
  <c r="DI59" i="39"/>
  <c r="DK59" i="39"/>
  <c r="DE59" i="39"/>
  <c r="DH59" i="39"/>
  <c r="DD59" i="39"/>
  <c r="DC59" i="39"/>
  <c r="DJ59" i="39"/>
  <c r="DA59" i="39"/>
  <c r="CZ59" i="39"/>
  <c r="DE36" i="39"/>
  <c r="DC36" i="39"/>
  <c r="DD36" i="39"/>
  <c r="DF36" i="39"/>
  <c r="CZ36" i="39"/>
  <c r="DG36" i="39"/>
  <c r="DK36" i="39"/>
  <c r="DA36" i="39"/>
  <c r="DJ36" i="39"/>
  <c r="DI36" i="39"/>
  <c r="DH36" i="39"/>
  <c r="DB36" i="39"/>
  <c r="DK21" i="39"/>
  <c r="DA21" i="39"/>
  <c r="DD21" i="39"/>
  <c r="DI21" i="39"/>
  <c r="DC21" i="39"/>
  <c r="CZ21" i="39"/>
  <c r="DB21" i="39"/>
  <c r="DH21" i="39"/>
  <c r="DE21" i="39"/>
  <c r="DF21" i="39"/>
  <c r="DJ21" i="39"/>
  <c r="DG21" i="39"/>
  <c r="DG57" i="39"/>
  <c r="DC57" i="39"/>
  <c r="DB57" i="39"/>
  <c r="DJ57" i="39"/>
  <c r="DI57" i="39"/>
  <c r="DF57" i="39"/>
  <c r="DH57" i="39"/>
  <c r="DE57" i="39"/>
  <c r="DA57" i="39"/>
  <c r="CZ57" i="39"/>
  <c r="DD57" i="39"/>
  <c r="DK57" i="39"/>
  <c r="DB14" i="39"/>
  <c r="DJ14" i="39"/>
  <c r="DC14" i="39"/>
  <c r="DH14" i="39"/>
  <c r="DI14" i="39"/>
  <c r="DE14" i="39"/>
  <c r="DG14" i="39"/>
  <c r="DK14" i="39"/>
  <c r="DD14" i="39"/>
  <c r="DA14" i="39"/>
  <c r="CZ14" i="39"/>
  <c r="DF14" i="39"/>
  <c r="DA93" i="39"/>
  <c r="DK93" i="39"/>
  <c r="DI93" i="39"/>
  <c r="DE93" i="39"/>
  <c r="DB93" i="39"/>
  <c r="DG93" i="39"/>
  <c r="DJ93" i="39"/>
  <c r="DF93" i="39"/>
  <c r="DD93" i="39"/>
  <c r="DC93" i="39"/>
  <c r="CZ93" i="39"/>
  <c r="DH93" i="39"/>
  <c r="CZ104" i="39"/>
  <c r="DC104" i="39"/>
  <c r="DE104" i="39"/>
  <c r="DI104" i="39"/>
  <c r="DG104" i="39"/>
  <c r="DA104" i="39"/>
  <c r="DB104" i="39"/>
  <c r="DD104" i="39"/>
  <c r="DJ104" i="39"/>
  <c r="DH104" i="39"/>
  <c r="DK104" i="39"/>
  <c r="DF104" i="39"/>
  <c r="DE58" i="39"/>
  <c r="DG58" i="39"/>
  <c r="DH58" i="39"/>
  <c r="DJ58" i="39"/>
  <c r="DC58" i="39"/>
  <c r="DF58" i="39"/>
  <c r="DI58" i="39"/>
  <c r="CZ58" i="39"/>
  <c r="DD58" i="39"/>
  <c r="DA58" i="39"/>
  <c r="DB58" i="39"/>
  <c r="DK58" i="39"/>
  <c r="DI81" i="39"/>
  <c r="DB81" i="39"/>
  <c r="DD81" i="39"/>
  <c r="DJ81" i="39"/>
  <c r="DC81" i="39"/>
  <c r="CZ81" i="39"/>
  <c r="DK81" i="39"/>
  <c r="DH81" i="39"/>
  <c r="DF81" i="39"/>
  <c r="DE81" i="39"/>
  <c r="DA81" i="39"/>
  <c r="DG81" i="39"/>
  <c r="DH114" i="39"/>
  <c r="DJ114" i="39"/>
  <c r="DA114" i="39"/>
  <c r="DF114" i="39"/>
  <c r="DK114" i="39"/>
  <c r="DD114" i="39"/>
  <c r="CZ114" i="39"/>
  <c r="DB114" i="39"/>
  <c r="DI114" i="39"/>
  <c r="DG114" i="39"/>
  <c r="DC114" i="39"/>
  <c r="DE114" i="39"/>
  <c r="CZ24" i="39"/>
  <c r="DI24" i="39"/>
  <c r="DJ24" i="39"/>
  <c r="DG24" i="39"/>
  <c r="DH24" i="39"/>
  <c r="DE24" i="39"/>
  <c r="DB24" i="39"/>
  <c r="DD24" i="39"/>
  <c r="DC24" i="39"/>
  <c r="DA24" i="39"/>
  <c r="DF24" i="39"/>
  <c r="DK24" i="39"/>
  <c r="EZ102" i="39"/>
  <c r="EZ19" i="39"/>
  <c r="CZ19" i="39"/>
  <c r="DK19" i="39"/>
  <c r="DA19" i="39"/>
  <c r="DI19" i="39"/>
  <c r="DJ19" i="39"/>
  <c r="DE19" i="39"/>
  <c r="DH19" i="39"/>
  <c r="DD19" i="39"/>
  <c r="DF19" i="39"/>
  <c r="DB19" i="39"/>
  <c r="DG19" i="39"/>
  <c r="DC19" i="39"/>
  <c r="DB68" i="39"/>
  <c r="DA68" i="39"/>
  <c r="DD68" i="39"/>
  <c r="DI68" i="39"/>
  <c r="DE68" i="39"/>
  <c r="DK68" i="39"/>
  <c r="DG68" i="39"/>
  <c r="DJ68" i="39"/>
  <c r="DF68" i="39"/>
  <c r="DC68" i="39"/>
  <c r="DH68" i="39"/>
  <c r="CZ68" i="39"/>
  <c r="EZ40" i="39"/>
  <c r="EZ68" i="39"/>
  <c r="DH56" i="39"/>
  <c r="DE56" i="39"/>
  <c r="DG56" i="39"/>
  <c r="DA56" i="39"/>
  <c r="DF56" i="39"/>
  <c r="CZ56" i="39"/>
  <c r="DC56" i="39"/>
  <c r="DI56" i="39"/>
  <c r="DB56" i="39"/>
  <c r="DJ56" i="39"/>
  <c r="DK56" i="39"/>
  <c r="DD56" i="39"/>
  <c r="DK40" i="39"/>
  <c r="DE40" i="39"/>
  <c r="CZ40" i="39"/>
  <c r="DA40" i="39"/>
  <c r="DF40" i="39"/>
  <c r="DC40" i="39"/>
  <c r="DB40" i="39"/>
  <c r="DG40" i="39"/>
  <c r="DI40" i="39"/>
  <c r="DH40" i="39"/>
  <c r="DD40" i="39"/>
  <c r="DJ40" i="39"/>
  <c r="EZ42" i="39"/>
  <c r="EZ32" i="39"/>
  <c r="DH32" i="39"/>
  <c r="DI32" i="39"/>
  <c r="DG32" i="39"/>
  <c r="DE32" i="39"/>
  <c r="DK32" i="39"/>
  <c r="DC32" i="39"/>
  <c r="DJ32" i="39"/>
  <c r="DB32" i="39"/>
  <c r="DF32" i="39"/>
  <c r="DA32" i="39"/>
  <c r="CZ32" i="39"/>
  <c r="DD32" i="39"/>
  <c r="EZ13" i="39"/>
  <c r="EZ17" i="39"/>
  <c r="DG17" i="39"/>
  <c r="DC17" i="39"/>
  <c r="DA17" i="39"/>
  <c r="DF17" i="39"/>
  <c r="DE17" i="39"/>
  <c r="DD17" i="39"/>
  <c r="DJ17" i="39"/>
  <c r="DB17" i="39"/>
  <c r="DH17" i="39"/>
  <c r="CZ17" i="39"/>
  <c r="DK17" i="39"/>
  <c r="DI17" i="39"/>
  <c r="DG25" i="39"/>
  <c r="DA25" i="39"/>
  <c r="DE25" i="39"/>
  <c r="DB25" i="39"/>
  <c r="DJ25" i="39"/>
  <c r="CZ25" i="39"/>
  <c r="DF25" i="39"/>
  <c r="DH25" i="39"/>
  <c r="DD25" i="39"/>
  <c r="DK25" i="39"/>
  <c r="DI25" i="39"/>
  <c r="DC25" i="39"/>
  <c r="DH102" i="39"/>
  <c r="DJ102" i="39"/>
  <c r="DC102" i="39"/>
  <c r="DE102" i="39"/>
  <c r="DA102" i="39"/>
  <c r="DD102" i="39"/>
  <c r="DG102" i="39"/>
  <c r="DF102" i="39"/>
  <c r="DK102" i="39"/>
  <c r="CZ102" i="39"/>
  <c r="DI102" i="39"/>
  <c r="DB102" i="39"/>
  <c r="CZ42" i="39"/>
  <c r="DC42" i="39"/>
  <c r="DF42" i="39"/>
  <c r="DH42" i="39"/>
  <c r="DD42" i="39"/>
  <c r="DI42" i="39"/>
  <c r="DJ42" i="39"/>
  <c r="DA42" i="39"/>
  <c r="DB42" i="39"/>
  <c r="DE42" i="39"/>
  <c r="DK42" i="39"/>
  <c r="DG42" i="39"/>
  <c r="DI13" i="39"/>
  <c r="DK13" i="39"/>
  <c r="DG13" i="39"/>
  <c r="DF13" i="39"/>
  <c r="CZ13" i="39"/>
  <c r="DB13" i="39"/>
  <c r="DD13" i="39"/>
  <c r="DH13" i="39"/>
  <c r="DJ13" i="39"/>
  <c r="DE13" i="39"/>
  <c r="DA13" i="39"/>
  <c r="DC13" i="39"/>
  <c r="CE34" i="39"/>
  <c r="CE31" i="39"/>
  <c r="CE23" i="39"/>
  <c r="CD21" i="39"/>
  <c r="CE30" i="39"/>
  <c r="CE19" i="39"/>
  <c r="CE26" i="39"/>
  <c r="CD36" i="39"/>
  <c r="CE15" i="39"/>
  <c r="CD33" i="39"/>
  <c r="CD29" i="39"/>
  <c r="CE18" i="39"/>
  <c r="CE35" i="39"/>
  <c r="CD25" i="39"/>
  <c r="CD17" i="39"/>
  <c r="CE27" i="39"/>
  <c r="CD20" i="39"/>
  <c r="CD15" i="39"/>
  <c r="CE33" i="39"/>
  <c r="CE29" i="39"/>
  <c r="CD18" i="39"/>
  <c r="CD35" i="39"/>
  <c r="CE25" i="39"/>
  <c r="CD27" i="39"/>
  <c r="CE36" i="39"/>
  <c r="CD28" i="39"/>
  <c r="CD16" i="39"/>
  <c r="CE21" i="39"/>
  <c r="CD34" i="39"/>
  <c r="CD30" i="39"/>
  <c r="CD31" i="39"/>
  <c r="CD19" i="39"/>
  <c r="CD23" i="39"/>
  <c r="CD26" i="39"/>
  <c r="CE32" i="39"/>
  <c r="CD14" i="39"/>
  <c r="CE22" i="39"/>
  <c r="CE17" i="39"/>
  <c r="CD22" i="39"/>
  <c r="CD24" i="39"/>
  <c r="CE59" i="39"/>
  <c r="CE65" i="39"/>
  <c r="CE61" i="39"/>
  <c r="CE57" i="39"/>
  <c r="CE49" i="39" l="1"/>
  <c r="CE54" i="39"/>
  <c r="CE62" i="39"/>
  <c r="CD55" i="39"/>
  <c r="CE60" i="39"/>
  <c r="CE66" i="39"/>
  <c r="CE63" i="39"/>
  <c r="CD53" i="39"/>
  <c r="CE45" i="39"/>
  <c r="CE50" i="39"/>
  <c r="CE58" i="39"/>
  <c r="CE56" i="39"/>
  <c r="CE64" i="39"/>
  <c r="CE47" i="39"/>
  <c r="CE51" i="39"/>
  <c r="CE67" i="39"/>
  <c r="CD57" i="39"/>
  <c r="CD45" i="39"/>
  <c r="CD50" i="39"/>
  <c r="CD46" i="39"/>
  <c r="CD56" i="39"/>
  <c r="CD64" i="39"/>
  <c r="CD47" i="39"/>
  <c r="CD51" i="39"/>
  <c r="CE53" i="39"/>
  <c r="CD67" i="39"/>
  <c r="CD59" i="39"/>
  <c r="CD61" i="39"/>
  <c r="CD49" i="39"/>
  <c r="CD54" i="39"/>
  <c r="CD62" i="39"/>
  <c r="CE55" i="39"/>
  <c r="CD60" i="39"/>
  <c r="CD68" i="39"/>
  <c r="CD66" i="39"/>
  <c r="CD63" i="39"/>
  <c r="CE68" i="39"/>
  <c r="CD65" i="39"/>
  <c r="CE48" i="39"/>
  <c r="CE46" i="39"/>
  <c r="CD48" i="39"/>
  <c r="CE52" i="39"/>
  <c r="CD52" i="39"/>
  <c r="CD58" i="39"/>
  <c r="HF98" i="39"/>
  <c r="HF103" i="39"/>
  <c r="HF99" i="39"/>
  <c r="HF93" i="39"/>
  <c r="HF104" i="39"/>
  <c r="HF101" i="39"/>
  <c r="CC61" i="39"/>
  <c r="CC57" i="39"/>
  <c r="CC67" i="39"/>
  <c r="CC59" i="39"/>
  <c r="CC63" i="39"/>
  <c r="CC65" i="39"/>
  <c r="CC53" i="39"/>
  <c r="CC51" i="39"/>
  <c r="CC46" i="39"/>
  <c r="CC48" i="39"/>
  <c r="CC66" i="39"/>
  <c r="CC50" i="39"/>
  <c r="CC58" i="39"/>
  <c r="CC68" i="39"/>
  <c r="CC52" i="39"/>
  <c r="CC45" i="39"/>
  <c r="CC60" i="39"/>
  <c r="CC55" i="39"/>
  <c r="CC64" i="39"/>
  <c r="CC54" i="39"/>
  <c r="CC62" i="39"/>
  <c r="CC56" i="39"/>
  <c r="CC47" i="39"/>
  <c r="CC49" i="39"/>
  <c r="CL66" i="39" l="1"/>
  <c r="CN66" i="39"/>
  <c r="CL49" i="39"/>
  <c r="CN49" i="39"/>
  <c r="CN45" i="39"/>
  <c r="CL45" i="39"/>
  <c r="CL51" i="39"/>
  <c r="CN51" i="39"/>
  <c r="CN64" i="39"/>
  <c r="CL64" i="39"/>
  <c r="CL67" i="39"/>
  <c r="CN67" i="39"/>
  <c r="CL52" i="39"/>
  <c r="CN52" i="39"/>
  <c r="CN56" i="39"/>
  <c r="CL56" i="39"/>
  <c r="CL68" i="39"/>
  <c r="CN68" i="39"/>
  <c r="CL65" i="39"/>
  <c r="CN65" i="39"/>
  <c r="CN61" i="39"/>
  <c r="CL61" i="39"/>
  <c r="CL60" i="39"/>
  <c r="CN60" i="39"/>
  <c r="CN53" i="39"/>
  <c r="CL53" i="39"/>
  <c r="CL58" i="39"/>
  <c r="CN58" i="39"/>
  <c r="CN63" i="39"/>
  <c r="CL63" i="39"/>
  <c r="CN46" i="39"/>
  <c r="CL46" i="39"/>
  <c r="CN47" i="39"/>
  <c r="CL47" i="39"/>
  <c r="CN62" i="39"/>
  <c r="CL62" i="39"/>
  <c r="CN54" i="39"/>
  <c r="CL54" i="39"/>
  <c r="CL50" i="39"/>
  <c r="CN50" i="39"/>
  <c r="CL59" i="39"/>
  <c r="CN59" i="39"/>
  <c r="CN55" i="39"/>
  <c r="CL55" i="39"/>
  <c r="CN48" i="39"/>
  <c r="CL48" i="39"/>
  <c r="CL57" i="39"/>
  <c r="CN57" i="39"/>
  <c r="HF95" i="39"/>
  <c r="HF94" i="39"/>
  <c r="HF88" i="39"/>
  <c r="HF91" i="39"/>
  <c r="HF90" i="39"/>
  <c r="HF96" i="39"/>
  <c r="HF97" i="39"/>
  <c r="Q61" i="39"/>
  <c r="Q62" i="39"/>
  <c r="Q63" i="39"/>
  <c r="K62" i="39"/>
  <c r="I62" i="39"/>
  <c r="I63" i="39"/>
  <c r="I64" i="39"/>
  <c r="I65" i="39"/>
  <c r="I66" i="39"/>
  <c r="I67" i="39"/>
  <c r="I68" i="39"/>
  <c r="K63" i="39"/>
  <c r="K64" i="39"/>
  <c r="K65" i="39"/>
  <c r="K66" i="39"/>
  <c r="K67" i="39"/>
  <c r="K68" i="39"/>
  <c r="CP33" i="39"/>
  <c r="H31" i="39" a="1"/>
  <c r="H31" i="39" s="1"/>
  <c r="CH31" i="39"/>
  <c r="CH34" i="39"/>
  <c r="CK35" i="39"/>
  <c r="CH36" i="39"/>
  <c r="CK32" i="39"/>
  <c r="CJ31" i="39" l="1"/>
  <c r="FN21" i="39" s="1"/>
  <c r="CS31" i="39"/>
  <c r="CT31" i="39"/>
  <c r="CO31" i="39"/>
  <c r="L92" i="39"/>
  <c r="CK31" i="39"/>
  <c r="CH32" i="39"/>
  <c r="CP36" i="39"/>
  <c r="CH35" i="39"/>
  <c r="CK33" i="39"/>
  <c r="CP31" i="39"/>
  <c r="CK36" i="39"/>
  <c r="CP34" i="39"/>
  <c r="CH33" i="39"/>
  <c r="CP32" i="39"/>
  <c r="CP35" i="39"/>
  <c r="CK34" i="39"/>
  <c r="CE44" i="39"/>
  <c r="AD7" i="32"/>
  <c r="AD8" i="32"/>
  <c r="AD9" i="32"/>
  <c r="AD10" i="32"/>
  <c r="AD13" i="32"/>
  <c r="AD14" i="32"/>
  <c r="AD15" i="32"/>
  <c r="AD16" i="32"/>
  <c r="AD17" i="32"/>
  <c r="AD32" i="32"/>
  <c r="AD33" i="32"/>
  <c r="AD34" i="32"/>
  <c r="AD35" i="32"/>
  <c r="AD36" i="32"/>
  <c r="AD37" i="32"/>
  <c r="AD38" i="32"/>
  <c r="AD39" i="32"/>
  <c r="AD40" i="32"/>
  <c r="AD41" i="32"/>
  <c r="AD42" i="32"/>
  <c r="AD43" i="32"/>
  <c r="AD44" i="32"/>
  <c r="AD45" i="32"/>
  <c r="AD46" i="32"/>
  <c r="AD47" i="32"/>
  <c r="AD48" i="32"/>
  <c r="AD49" i="32"/>
  <c r="AD51" i="32"/>
  <c r="AD52" i="32"/>
  <c r="AD53" i="32"/>
  <c r="AD54" i="32"/>
  <c r="AD55" i="32"/>
  <c r="AD56" i="32"/>
  <c r="AD57" i="32"/>
  <c r="AD58" i="32"/>
  <c r="AD59" i="32"/>
  <c r="AD60" i="32"/>
  <c r="AD61" i="32"/>
  <c r="AD62" i="32"/>
  <c r="AD63" i="32"/>
  <c r="AD64" i="32"/>
  <c r="AD65" i="32"/>
  <c r="AD66" i="32"/>
  <c r="AD67" i="32"/>
  <c r="AD68" i="32"/>
  <c r="AD71" i="32"/>
  <c r="AD72" i="32"/>
  <c r="AD73" i="32"/>
  <c r="AD74" i="32"/>
  <c r="AD75" i="32"/>
  <c r="AD76" i="32"/>
  <c r="AD77" i="32"/>
  <c r="AD78" i="32"/>
  <c r="AD79" i="32"/>
  <c r="I53" i="37"/>
  <c r="G53" i="37"/>
  <c r="E53" i="37"/>
  <c r="I52" i="37"/>
  <c r="G52" i="37"/>
  <c r="J41" i="37"/>
  <c r="H41" i="37"/>
  <c r="F41" i="37"/>
  <c r="J40" i="37"/>
  <c r="H40" i="37"/>
  <c r="F40" i="37"/>
  <c r="J39" i="37"/>
  <c r="H39" i="37"/>
  <c r="J38" i="37"/>
  <c r="H38" i="37"/>
  <c r="J37" i="37"/>
  <c r="H37" i="37"/>
  <c r="J36" i="37"/>
  <c r="H36" i="37"/>
  <c r="AN56" i="12"/>
  <c r="AN57" i="12"/>
  <c r="AN58" i="12"/>
  <c r="AN59" i="12"/>
  <c r="AN52" i="12"/>
  <c r="AN53" i="12"/>
  <c r="BH52" i="12" a="1"/>
  <c r="BH52" i="12" s="1"/>
  <c r="BI52" i="12" a="1"/>
  <c r="BI52" i="12" s="1"/>
  <c r="BJ52" i="12" a="1"/>
  <c r="BJ52" i="12" s="1"/>
  <c r="BH53" i="12" a="1"/>
  <c r="BH53" i="12" s="1"/>
  <c r="BI53" i="12" a="1"/>
  <c r="BI53" i="12" s="1"/>
  <c r="BJ53" i="12" a="1"/>
  <c r="BJ53" i="12" s="1"/>
  <c r="BH54" i="12" a="1"/>
  <c r="BH54" i="12" s="1"/>
  <c r="BI54" i="12" a="1"/>
  <c r="BI54" i="12" s="1"/>
  <c r="BJ54" i="12" a="1"/>
  <c r="BJ54" i="12" s="1"/>
  <c r="BH55" i="12" a="1"/>
  <c r="BH55" i="12" s="1"/>
  <c r="BI55" i="12" a="1"/>
  <c r="BI55" i="12" s="1"/>
  <c r="BJ55" i="12" a="1"/>
  <c r="BJ55" i="12" s="1"/>
  <c r="BH56" i="12" a="1"/>
  <c r="BH56" i="12" s="1"/>
  <c r="BI56" i="12" a="1"/>
  <c r="BI56" i="12" s="1"/>
  <c r="BJ56" i="12" a="1"/>
  <c r="BJ56" i="12" s="1"/>
  <c r="BH57" i="12" a="1"/>
  <c r="BH57" i="12" s="1"/>
  <c r="BI57" i="12" a="1"/>
  <c r="BI57" i="12" s="1"/>
  <c r="BJ57" i="12" a="1"/>
  <c r="BJ57" i="12" s="1"/>
  <c r="BH58" i="12" a="1"/>
  <c r="BH58" i="12" s="1"/>
  <c r="BI58" i="12" a="1"/>
  <c r="BI58" i="12" s="1"/>
  <c r="BJ58" i="12" a="1"/>
  <c r="BJ58" i="12" s="1"/>
  <c r="BH59" i="12" a="1"/>
  <c r="BH59" i="12" s="1"/>
  <c r="BI59" i="12" a="1"/>
  <c r="BI59" i="12" s="1"/>
  <c r="BJ59" i="12" a="1"/>
  <c r="BJ59" i="12" s="1"/>
  <c r="BH36" i="12" a="1"/>
  <c r="BH36" i="12" s="1"/>
  <c r="BI36" i="12" a="1"/>
  <c r="BI36" i="12" s="1"/>
  <c r="BJ36" i="12" a="1"/>
  <c r="BJ36" i="12" s="1"/>
  <c r="BH37" i="12" a="1"/>
  <c r="BH37" i="12" s="1"/>
  <c r="BI37" i="12" a="1"/>
  <c r="BI37" i="12" s="1"/>
  <c r="BJ37" i="12" a="1"/>
  <c r="BJ37" i="12" s="1"/>
  <c r="AN36" i="12"/>
  <c r="AN37" i="12"/>
  <c r="DN21" i="39" l="1"/>
  <c r="DW21" i="39"/>
  <c r="DS21" i="39"/>
  <c r="DU21" i="39"/>
  <c r="DO21" i="39"/>
  <c r="DX21" i="39"/>
  <c r="DR21" i="39"/>
  <c r="DM21" i="39"/>
  <c r="DV21" i="39"/>
  <c r="DQ21" i="39"/>
  <c r="DT21" i="39"/>
  <c r="DP21" i="39"/>
  <c r="G15" i="39" a="1"/>
  <c r="G15" i="39" s="1"/>
  <c r="G14" i="39" a="1"/>
  <c r="G14" i="39" s="1"/>
  <c r="N92" i="39"/>
  <c r="CD44" i="39"/>
  <c r="CC44" i="39"/>
  <c r="HF105" i="39"/>
  <c r="CC34" i="39"/>
  <c r="CL34" i="39" s="1"/>
  <c r="CC33" i="39"/>
  <c r="CL33" i="39" s="1"/>
  <c r="CC36" i="39"/>
  <c r="CL36" i="39" s="1"/>
  <c r="CC35" i="39"/>
  <c r="CL35" i="39" s="1"/>
  <c r="CC32" i="39"/>
  <c r="CL32" i="39" s="1"/>
  <c r="CC31" i="39"/>
  <c r="AR69" i="7" a="1"/>
  <c r="AR69" i="7" s="1"/>
  <c r="AR71" i="7" a="1"/>
  <c r="AR71" i="7" s="1"/>
  <c r="AR72" i="7" a="1"/>
  <c r="AR72" i="7" s="1"/>
  <c r="AR73" i="7" a="1"/>
  <c r="AR73" i="7" s="1"/>
  <c r="AR74" i="7" a="1"/>
  <c r="AR74" i="7" s="1"/>
  <c r="AR75" i="7" a="1"/>
  <c r="AR75" i="7" s="1"/>
  <c r="AR76" i="7" a="1"/>
  <c r="AR76" i="7" s="1"/>
  <c r="AR77" i="7" a="1"/>
  <c r="AR77" i="7" s="1"/>
  <c r="AR78" i="7" a="1"/>
  <c r="AR78" i="7" s="1"/>
  <c r="AR80" i="7" a="1"/>
  <c r="AR80" i="7" s="1"/>
  <c r="AR81" i="7" a="1"/>
  <c r="AR81" i="7" s="1"/>
  <c r="O62" i="12"/>
  <c r="O63" i="12"/>
  <c r="O64" i="12"/>
  <c r="O65" i="12"/>
  <c r="O66" i="12"/>
  <c r="O67" i="12"/>
  <c r="O68" i="12"/>
  <c r="O69" i="12"/>
  <c r="O70" i="12"/>
  <c r="O71" i="12"/>
  <c r="O72" i="12"/>
  <c r="O73" i="12"/>
  <c r="O74" i="12"/>
  <c r="O75" i="12"/>
  <c r="O76" i="12"/>
  <c r="O77" i="12"/>
  <c r="O78" i="12"/>
  <c r="O79" i="12"/>
  <c r="O80" i="12"/>
  <c r="O81" i="12"/>
  <c r="O82" i="12"/>
  <c r="O83" i="12"/>
  <c r="O84" i="12"/>
  <c r="O85" i="12"/>
  <c r="O61" i="12"/>
  <c r="CQ14" i="39" l="1"/>
  <c r="CR14" i="39"/>
  <c r="CQ15" i="39"/>
  <c r="CR15" i="39"/>
  <c r="CL31" i="39"/>
  <c r="CN31" i="39"/>
  <c r="CN44" i="39"/>
  <c r="CL44" i="39"/>
  <c r="CM14" i="39"/>
  <c r="CI14" i="39"/>
  <c r="EZ52" i="39" s="1"/>
  <c r="CM15" i="39"/>
  <c r="CI15" i="39"/>
  <c r="EZ82" i="39" s="1"/>
  <c r="HF106" i="39"/>
  <c r="DF82" i="39" l="1"/>
  <c r="DI82" i="39"/>
  <c r="DE82" i="39"/>
  <c r="CZ82" i="39"/>
  <c r="DH82" i="39"/>
  <c r="DG82" i="39"/>
  <c r="DJ82" i="39"/>
  <c r="DD82" i="39"/>
  <c r="DK82" i="39"/>
  <c r="DC82" i="39"/>
  <c r="DA82" i="39"/>
  <c r="DB82" i="39"/>
  <c r="EZ84" i="39"/>
  <c r="EZ115" i="39"/>
  <c r="DI115" i="39"/>
  <c r="DE115" i="39"/>
  <c r="DK115" i="39"/>
  <c r="DB115" i="39"/>
  <c r="DD115" i="39"/>
  <c r="DG115" i="39"/>
  <c r="DC115" i="39"/>
  <c r="DA115" i="39"/>
  <c r="DF115" i="39"/>
  <c r="CZ115" i="39"/>
  <c r="DH115" i="39"/>
  <c r="DJ115" i="39"/>
  <c r="DJ52" i="39"/>
  <c r="CZ52" i="39"/>
  <c r="DB52" i="39"/>
  <c r="DK52" i="39"/>
  <c r="DI52" i="39"/>
  <c r="DE52" i="39"/>
  <c r="DG52" i="39"/>
  <c r="DH52" i="39"/>
  <c r="DD52" i="39"/>
  <c r="DA52" i="39"/>
  <c r="DF52" i="39"/>
  <c r="DC52" i="39"/>
  <c r="DF84" i="39"/>
  <c r="CZ84" i="39"/>
  <c r="DG84" i="39"/>
  <c r="DE84" i="39"/>
  <c r="DH84" i="39"/>
  <c r="DJ84" i="39"/>
  <c r="DC84" i="39"/>
  <c r="DD84" i="39"/>
  <c r="DK84" i="39"/>
  <c r="DB84" i="39"/>
  <c r="DA84" i="39"/>
  <c r="DI84" i="39"/>
  <c r="EZ100" i="39"/>
  <c r="EZ29" i="39"/>
  <c r="DB29" i="39"/>
  <c r="DK29" i="39"/>
  <c r="DC29" i="39"/>
  <c r="CZ29" i="39"/>
  <c r="DI29" i="39"/>
  <c r="DE29" i="39"/>
  <c r="DJ29" i="39"/>
  <c r="DD29" i="39"/>
  <c r="DG29" i="39"/>
  <c r="DF29" i="39"/>
  <c r="DH29" i="39"/>
  <c r="DA29" i="39"/>
  <c r="DG100" i="39"/>
  <c r="DJ100" i="39"/>
  <c r="DC100" i="39"/>
  <c r="DB100" i="39"/>
  <c r="DF100" i="39"/>
  <c r="CZ100" i="39"/>
  <c r="DA100" i="39"/>
  <c r="DH100" i="39"/>
  <c r="DI100" i="39"/>
  <c r="DD100" i="39"/>
  <c r="DK100" i="39"/>
  <c r="DE100" i="39"/>
  <c r="EZ18" i="39"/>
  <c r="EZ75" i="39"/>
  <c r="DF75" i="39"/>
  <c r="DI75" i="39"/>
  <c r="DK75" i="39"/>
  <c r="DA75" i="39"/>
  <c r="DE75" i="39"/>
  <c r="DD75" i="39"/>
  <c r="DG75" i="39"/>
  <c r="CZ75" i="39"/>
  <c r="DH75" i="39"/>
  <c r="DJ75" i="39"/>
  <c r="DB75" i="39"/>
  <c r="DC75" i="39"/>
  <c r="DE18" i="39"/>
  <c r="CZ18" i="39"/>
  <c r="DI18" i="39"/>
  <c r="DH18" i="39"/>
  <c r="DD18" i="39"/>
  <c r="DG18" i="39"/>
  <c r="DK18" i="39"/>
  <c r="DA18" i="39"/>
  <c r="DJ18" i="39"/>
  <c r="DB18" i="39"/>
  <c r="DC18" i="39"/>
  <c r="DF18" i="39"/>
  <c r="EZ15" i="39"/>
  <c r="DA15" i="39"/>
  <c r="DB15" i="39"/>
  <c r="CZ15" i="39"/>
  <c r="DE15" i="39"/>
  <c r="DF15" i="39"/>
  <c r="DC15" i="39"/>
  <c r="DD15" i="39"/>
  <c r="DI15" i="39"/>
  <c r="DJ15" i="39"/>
  <c r="DG15" i="39"/>
  <c r="DH15" i="39"/>
  <c r="DK15" i="39"/>
  <c r="EZ97" i="39"/>
  <c r="EZ16" i="39"/>
  <c r="DF16" i="39"/>
  <c r="DD16" i="39"/>
  <c r="CZ16" i="39"/>
  <c r="DH16" i="39"/>
  <c r="DB16" i="39"/>
  <c r="DJ16" i="39"/>
  <c r="DA16" i="39"/>
  <c r="DC16" i="39"/>
  <c r="DI16" i="39"/>
  <c r="DE16" i="39"/>
  <c r="DG16" i="39"/>
  <c r="DK16" i="39"/>
  <c r="DA97" i="39"/>
  <c r="DG97" i="39"/>
  <c r="DJ97" i="39"/>
  <c r="DD97" i="39"/>
  <c r="DF97" i="39"/>
  <c r="CZ97" i="39"/>
  <c r="DC97" i="39"/>
  <c r="DB97" i="39"/>
  <c r="DH97" i="39"/>
  <c r="DK97" i="39"/>
  <c r="DE97" i="39"/>
  <c r="DI97" i="39"/>
  <c r="DK11" i="39"/>
  <c r="DC9" i="39"/>
  <c r="DA9" i="39"/>
  <c r="DB9" i="39"/>
  <c r="DC89" i="39"/>
  <c r="DE89" i="39"/>
  <c r="DI89" i="39"/>
  <c r="DG89" i="39"/>
  <c r="DD9" i="39"/>
  <c r="DF9" i="39"/>
  <c r="DG9" i="39"/>
  <c r="CZ89" i="39"/>
  <c r="DJ89" i="39"/>
  <c r="DK89" i="39"/>
  <c r="DF89" i="39"/>
  <c r="DE9" i="39"/>
  <c r="DD89" i="39"/>
  <c r="CZ9" i="39"/>
  <c r="DH9" i="39"/>
  <c r="DI9" i="39"/>
  <c r="DJ9" i="39"/>
  <c r="DH89" i="39"/>
  <c r="DB89" i="39"/>
  <c r="DK9" i="39"/>
  <c r="DA89" i="39"/>
  <c r="EZ89" i="39"/>
  <c r="EZ9" i="39"/>
  <c r="DH11" i="39"/>
  <c r="DJ11" i="39"/>
  <c r="DI11" i="39"/>
  <c r="DF11" i="39"/>
  <c r="DG11" i="39"/>
  <c r="DD11" i="39"/>
  <c r="DE11" i="39"/>
  <c r="DB11" i="39"/>
  <c r="DC11" i="39"/>
  <c r="DA11" i="39"/>
  <c r="CZ11" i="39"/>
  <c r="EZ11" i="39"/>
  <c r="HF62" i="39"/>
  <c r="HF51" i="39"/>
  <c r="HF24" i="39"/>
  <c r="HF78" i="39"/>
  <c r="HF57" i="39"/>
  <c r="HF81" i="39"/>
  <c r="HF23" i="39"/>
  <c r="HF71" i="39"/>
  <c r="HF34" i="39"/>
  <c r="HF85" i="39"/>
  <c r="HF61" i="39"/>
  <c r="HF31" i="39"/>
  <c r="HF27" i="39"/>
  <c r="HF39" i="39"/>
  <c r="HF28" i="39"/>
  <c r="HF54" i="39"/>
  <c r="HF35" i="39"/>
  <c r="HF59" i="39"/>
  <c r="HF74" i="39"/>
  <c r="HF76" i="39"/>
  <c r="HF37" i="39"/>
  <c r="HF79" i="39"/>
  <c r="HF67" i="39"/>
  <c r="HF20" i="39"/>
  <c r="HF68" i="39"/>
  <c r="HF19" i="39"/>
  <c r="HF41" i="39"/>
  <c r="HF72" i="39"/>
  <c r="HF45" i="39"/>
  <c r="HF50" i="39"/>
  <c r="HF83" i="39"/>
  <c r="HF26" i="39"/>
  <c r="HF46" i="39"/>
  <c r="HF60" i="39"/>
  <c r="HF66" i="39"/>
  <c r="HF65" i="39"/>
  <c r="HF36" i="39"/>
  <c r="HF38" i="39"/>
  <c r="HF30" i="39"/>
  <c r="HF22" i="39"/>
  <c r="HF63" i="39"/>
  <c r="HF14" i="39"/>
  <c r="U177" i="7"/>
  <c r="P191" i="7"/>
  <c r="DC4" i="39" l="1"/>
  <c r="BH70" i="7"/>
  <c r="BI70" i="7"/>
  <c r="BJ70" i="7"/>
  <c r="BH71" i="7"/>
  <c r="BI71" i="7"/>
  <c r="BJ71" i="7"/>
  <c r="BH72" i="7"/>
  <c r="BI72" i="7"/>
  <c r="BJ72" i="7"/>
  <c r="BH73" i="7"/>
  <c r="BI73" i="7"/>
  <c r="BJ73" i="7"/>
  <c r="BH74" i="7"/>
  <c r="BI74" i="7"/>
  <c r="BJ74" i="7"/>
  <c r="BH75" i="7"/>
  <c r="BI75" i="7"/>
  <c r="BJ75" i="7"/>
  <c r="BH76" i="7"/>
  <c r="BI76" i="7"/>
  <c r="BJ76" i="7"/>
  <c r="BH77" i="7"/>
  <c r="BI77" i="7"/>
  <c r="BJ77" i="7"/>
  <c r="BH78" i="7"/>
  <c r="BI78" i="7"/>
  <c r="BJ78" i="7"/>
  <c r="BH79" i="7"/>
  <c r="BI79" i="7"/>
  <c r="BJ79" i="7"/>
  <c r="BH80" i="7"/>
  <c r="BI80" i="7"/>
  <c r="BJ80" i="7"/>
  <c r="BH81" i="7"/>
  <c r="BI81" i="7"/>
  <c r="BJ81" i="7"/>
  <c r="BI43" i="12" a="1"/>
  <c r="BI43" i="12" s="1"/>
  <c r="BH46" i="12" a="1"/>
  <c r="BH46" i="12" s="1"/>
  <c r="BJ40" i="12" a="1"/>
  <c r="BJ40" i="12" s="1"/>
  <c r="BH38" i="12" a="1"/>
  <c r="BH38" i="12" s="1"/>
  <c r="BH32" i="12" a="1"/>
  <c r="BH32" i="12" s="1"/>
  <c r="BI32" i="12" a="1"/>
  <c r="BI32" i="12" s="1"/>
  <c r="BH33" i="12" a="1"/>
  <c r="BH33" i="12" s="1"/>
  <c r="BI33" i="12" a="1"/>
  <c r="BI33" i="12" s="1"/>
  <c r="BH34" i="12" a="1"/>
  <c r="BH34" i="12" s="1"/>
  <c r="BI34" i="12" a="1"/>
  <c r="BI34" i="12" s="1"/>
  <c r="BH35" i="12" a="1"/>
  <c r="BH35" i="12" s="1"/>
  <c r="BI35" i="12" a="1"/>
  <c r="BI35" i="12" s="1"/>
  <c r="BI38" i="12" a="1"/>
  <c r="BI38" i="12" s="1"/>
  <c r="BJ38" i="12" a="1"/>
  <c r="BJ38" i="12" s="1"/>
  <c r="BI39" i="12" a="1"/>
  <c r="BI39" i="12" s="1"/>
  <c r="BJ39" i="12" a="1"/>
  <c r="BJ39" i="12" s="1"/>
  <c r="BH40" i="12" a="1"/>
  <c r="BH40" i="12" s="1"/>
  <c r="BI40" i="12" a="1"/>
  <c r="BI40" i="12" s="1"/>
  <c r="BH41" i="12" a="1"/>
  <c r="BH41" i="12" s="1"/>
  <c r="BI41" i="12" a="1"/>
  <c r="BI41" i="12" s="1"/>
  <c r="BH42" i="12" a="1"/>
  <c r="BH42" i="12" s="1"/>
  <c r="BI42" i="12" a="1"/>
  <c r="BI42" i="12" s="1"/>
  <c r="BJ42" i="12" a="1"/>
  <c r="BJ42" i="12" s="1"/>
  <c r="BH43" i="12" a="1"/>
  <c r="BH43" i="12" s="1"/>
  <c r="BJ43" i="12" a="1"/>
  <c r="BJ43" i="12" s="1"/>
  <c r="BH44" i="12" a="1"/>
  <c r="BH44" i="12" s="1"/>
  <c r="BJ44" i="12" a="1"/>
  <c r="BJ44" i="12" s="1"/>
  <c r="BH45" i="12" a="1"/>
  <c r="BH45" i="12" s="1"/>
  <c r="BI45" i="12" a="1"/>
  <c r="BI45" i="12" s="1"/>
  <c r="BJ45" i="12" a="1"/>
  <c r="BJ45" i="12" s="1"/>
  <c r="BI46" i="12" a="1"/>
  <c r="BI46" i="12" s="1"/>
  <c r="BJ46" i="12" a="1"/>
  <c r="BJ46" i="12" s="1"/>
  <c r="BI47" i="12" a="1"/>
  <c r="BI47" i="12" s="1"/>
  <c r="BJ47" i="12" a="1"/>
  <c r="BJ47" i="12" s="1"/>
  <c r="BI48" i="12" a="1"/>
  <c r="BI48" i="12" s="1"/>
  <c r="BJ48" i="12" a="1"/>
  <c r="BJ48" i="12" s="1"/>
  <c r="BI49" i="12" a="1"/>
  <c r="BI49" i="12" s="1"/>
  <c r="BJ49" i="12" a="1"/>
  <c r="BJ49" i="12" s="1"/>
  <c r="BH50" i="12" a="1"/>
  <c r="BH50" i="12" s="1"/>
  <c r="BI50" i="12" a="1"/>
  <c r="BI50" i="12" s="1"/>
  <c r="BJ50" i="12" a="1"/>
  <c r="BJ50" i="12" s="1"/>
  <c r="BH51" i="12" a="1"/>
  <c r="BH51" i="12" s="1"/>
  <c r="BJ51" i="12" a="1"/>
  <c r="BJ51" i="12" s="1"/>
  <c r="BI60" i="12" a="1"/>
  <c r="BI60" i="12" s="1"/>
  <c r="BJ60" i="12" a="1"/>
  <c r="BJ60" i="12" s="1"/>
  <c r="BH61" i="12" a="1"/>
  <c r="BH61" i="12" s="1"/>
  <c r="BI61" i="12" a="1"/>
  <c r="BI61" i="12" s="1"/>
  <c r="BJ61" i="12" a="1"/>
  <c r="BJ61" i="12" s="1"/>
  <c r="BH62" i="12" a="1"/>
  <c r="BH62" i="12" s="1"/>
  <c r="BI62" i="12" a="1"/>
  <c r="BI62" i="12" s="1"/>
  <c r="BJ62" i="12" a="1"/>
  <c r="BJ62" i="12" s="1"/>
  <c r="BH63" i="12" a="1"/>
  <c r="BH63" i="12" s="1"/>
  <c r="BI63" i="12" a="1"/>
  <c r="BI63" i="12" s="1"/>
  <c r="BJ63" i="12" a="1"/>
  <c r="BJ63" i="12" s="1"/>
  <c r="BH64" i="12" a="1"/>
  <c r="BH64" i="12" s="1"/>
  <c r="BI64" i="12" a="1"/>
  <c r="BI64" i="12" s="1"/>
  <c r="BJ64" i="12" a="1"/>
  <c r="BJ64" i="12" s="1"/>
  <c r="BH65" i="12" a="1"/>
  <c r="BH65" i="12" s="1"/>
  <c r="BI65" i="12" a="1"/>
  <c r="BI65" i="12" s="1"/>
  <c r="BJ65" i="12" a="1"/>
  <c r="BJ65" i="12" s="1"/>
  <c r="BH66" i="12" a="1"/>
  <c r="BH66" i="12" s="1"/>
  <c r="BI66" i="12" a="1"/>
  <c r="BI66" i="12" s="1"/>
  <c r="BJ66" i="12" a="1"/>
  <c r="BJ66" i="12" s="1"/>
  <c r="BH67" i="12" a="1"/>
  <c r="BH67" i="12" s="1"/>
  <c r="BI67" i="12" a="1"/>
  <c r="BI67" i="12" s="1"/>
  <c r="BJ67" i="12" a="1"/>
  <c r="BJ67" i="12" s="1"/>
  <c r="BH68" i="12" a="1"/>
  <c r="BH68" i="12" s="1"/>
  <c r="BI68" i="12" a="1"/>
  <c r="BI68" i="12" s="1"/>
  <c r="BJ68" i="12" a="1"/>
  <c r="BJ68" i="12" s="1"/>
  <c r="BH69" i="12" a="1"/>
  <c r="BH69" i="12" s="1"/>
  <c r="BI69" i="12" a="1"/>
  <c r="BI69" i="12" s="1"/>
  <c r="BJ69" i="12" a="1"/>
  <c r="BJ69" i="12" s="1"/>
  <c r="BH70" i="12" a="1"/>
  <c r="BH70" i="12" s="1"/>
  <c r="BI70" i="12" a="1"/>
  <c r="BI70" i="12" s="1"/>
  <c r="BJ70" i="12" a="1"/>
  <c r="BJ70" i="12" s="1"/>
  <c r="BH71" i="12" a="1"/>
  <c r="BH71" i="12" s="1"/>
  <c r="BI71" i="12" a="1"/>
  <c r="BI71" i="12" s="1"/>
  <c r="BJ71" i="12" a="1"/>
  <c r="BJ71" i="12" s="1"/>
  <c r="BH72" i="12" a="1"/>
  <c r="BH72" i="12" s="1"/>
  <c r="BI72" i="12" a="1"/>
  <c r="BI72" i="12" s="1"/>
  <c r="BJ72" i="12" a="1"/>
  <c r="BJ72" i="12" s="1"/>
  <c r="BH73" i="12" a="1"/>
  <c r="BH73" i="12" s="1"/>
  <c r="BI73" i="12" a="1"/>
  <c r="BI73" i="12" s="1"/>
  <c r="BJ73" i="12" a="1"/>
  <c r="BJ73" i="12" s="1"/>
  <c r="BH74" i="12" a="1"/>
  <c r="BH74" i="12" s="1"/>
  <c r="BI74" i="12" a="1"/>
  <c r="BI74" i="12" s="1"/>
  <c r="BJ74" i="12" a="1"/>
  <c r="BJ74" i="12" s="1"/>
  <c r="BH75" i="12" a="1"/>
  <c r="BH75" i="12" s="1"/>
  <c r="BI75" i="12" a="1"/>
  <c r="BI75" i="12" s="1"/>
  <c r="BJ75" i="12" a="1"/>
  <c r="BJ75" i="12" s="1"/>
  <c r="BH76" i="12" a="1"/>
  <c r="BH76" i="12" s="1"/>
  <c r="BI76" i="12" a="1"/>
  <c r="BI76" i="12" s="1"/>
  <c r="BJ76" i="12" a="1"/>
  <c r="BJ76" i="12" s="1"/>
  <c r="BH77" i="12" a="1"/>
  <c r="BH77" i="12" s="1"/>
  <c r="BI77" i="12" a="1"/>
  <c r="BI77" i="12" s="1"/>
  <c r="BJ77" i="12" a="1"/>
  <c r="BJ77" i="12" s="1"/>
  <c r="BH78" i="12" a="1"/>
  <c r="BH78" i="12" s="1"/>
  <c r="BI78" i="12" a="1"/>
  <c r="BI78" i="12" s="1"/>
  <c r="BJ78" i="12" a="1"/>
  <c r="BJ78" i="12" s="1"/>
  <c r="BH79" i="12" a="1"/>
  <c r="BH79" i="12" s="1"/>
  <c r="BI79" i="12" a="1"/>
  <c r="BI79" i="12" s="1"/>
  <c r="BJ79" i="12" a="1"/>
  <c r="BJ79" i="12" s="1"/>
  <c r="BH80" i="12" a="1"/>
  <c r="BH80" i="12" s="1"/>
  <c r="BI80" i="12" a="1"/>
  <c r="BI80" i="12" s="1"/>
  <c r="BJ80" i="12" a="1"/>
  <c r="BJ80" i="12" s="1"/>
  <c r="BH81" i="12" a="1"/>
  <c r="BH81" i="12" s="1"/>
  <c r="BI81" i="12" a="1"/>
  <c r="BI81" i="12" s="1"/>
  <c r="BJ81" i="12" a="1"/>
  <c r="BJ81" i="12" s="1"/>
  <c r="BH82" i="12" a="1"/>
  <c r="BH82" i="12" s="1"/>
  <c r="BI82" i="12" a="1"/>
  <c r="BI82" i="12" s="1"/>
  <c r="BJ82" i="12" a="1"/>
  <c r="BJ82" i="12" s="1"/>
  <c r="BH83" i="12" a="1"/>
  <c r="BH83" i="12" s="1"/>
  <c r="BI83" i="12" a="1"/>
  <c r="BI83" i="12" s="1"/>
  <c r="BJ83" i="12" a="1"/>
  <c r="BJ83" i="12" s="1"/>
  <c r="BH84" i="12" a="1"/>
  <c r="BH84" i="12" s="1"/>
  <c r="BI84" i="12" a="1"/>
  <c r="BI84" i="12" s="1"/>
  <c r="BJ84" i="12" a="1"/>
  <c r="BJ84" i="12" s="1"/>
  <c r="BH85" i="12" a="1"/>
  <c r="BH85" i="12" s="1"/>
  <c r="BI85" i="12" a="1"/>
  <c r="BI85" i="12" s="1"/>
  <c r="BJ85" i="12" a="1"/>
  <c r="BJ85" i="12" s="1"/>
  <c r="BI31" i="12" a="1"/>
  <c r="BI31" i="12" s="1"/>
  <c r="BH31" i="12" a="1"/>
  <c r="BH31" i="12" s="1"/>
  <c r="BI68" i="7" l="1"/>
  <c r="BH68" i="7"/>
  <c r="BH69" i="7"/>
  <c r="BI69" i="7"/>
  <c r="BJ34" i="12" a="1"/>
  <c r="BJ34" i="12" s="1"/>
  <c r="BJ35" i="12" a="1"/>
  <c r="BJ35" i="12" s="1"/>
  <c r="BH60" i="12" a="1"/>
  <c r="BH60" i="12" s="1"/>
  <c r="BH49" i="12" a="1"/>
  <c r="BH49" i="12" s="1"/>
  <c r="BH48" i="12" a="1"/>
  <c r="BH48" i="12" s="1"/>
  <c r="BJ33" i="12" a="1"/>
  <c r="BJ33" i="12" s="1"/>
  <c r="BJ32" i="12" a="1"/>
  <c r="BJ32" i="12" s="1"/>
  <c r="BJ31" i="12" a="1"/>
  <c r="BJ31" i="12" s="1"/>
  <c r="BI51" i="12" a="1"/>
  <c r="BI51" i="12" s="1"/>
  <c r="BH47" i="12" a="1"/>
  <c r="BH47" i="12" s="1"/>
  <c r="BI44" i="12" a="1"/>
  <c r="BI44" i="12" s="1"/>
  <c r="BJ41" i="12" a="1"/>
  <c r="BJ41" i="12" s="1"/>
  <c r="BJ68" i="7" s="1"/>
  <c r="BH39" i="12" a="1"/>
  <c r="BH39" i="12" s="1"/>
  <c r="BJ69" i="7" l="1"/>
  <c r="AZ13" i="39"/>
  <c r="GV171" i="39" l="1"/>
  <c r="HO9" i="39" l="1"/>
  <c r="HO10" i="39"/>
  <c r="HO11" i="39"/>
  <c r="HO12" i="39"/>
  <c r="HO13" i="39"/>
  <c r="HO18" i="39"/>
  <c r="HO19" i="39"/>
  <c r="HO20" i="39"/>
  <c r="HO21" i="39"/>
  <c r="HO22" i="39"/>
  <c r="HO23" i="39"/>
  <c r="HO24" i="39"/>
  <c r="HO25" i="39"/>
  <c r="HO26" i="39"/>
  <c r="HO27" i="39"/>
  <c r="HO28" i="39"/>
  <c r="HO29" i="39"/>
  <c r="HO34" i="39"/>
  <c r="HO36" i="39"/>
  <c r="HO37" i="39"/>
  <c r="HO38" i="39"/>
  <c r="HO39" i="39"/>
  <c r="HO40" i="39"/>
  <c r="HO41" i="39"/>
  <c r="HO42" i="39"/>
  <c r="HO43" i="39"/>
  <c r="HO45" i="39"/>
  <c r="HO46" i="39"/>
  <c r="HO47" i="39"/>
  <c r="HO48" i="39"/>
  <c r="HO50" i="39"/>
  <c r="HO53" i="39"/>
  <c r="F338" i="7"/>
  <c r="HT43" i="39" l="1"/>
  <c r="HX43" i="39"/>
  <c r="HT22" i="39"/>
  <c r="HX22" i="39"/>
  <c r="HT12" i="39"/>
  <c r="HX12" i="39"/>
  <c r="HT39" i="39"/>
  <c r="HX39" i="39"/>
  <c r="HT18" i="39"/>
  <c r="HX18" i="39"/>
  <c r="HT38" i="39"/>
  <c r="HX38" i="39"/>
  <c r="HT21" i="39"/>
  <c r="HX21" i="39"/>
  <c r="HT11" i="39"/>
  <c r="HX11" i="39"/>
  <c r="HT34" i="39"/>
  <c r="HX34" i="39"/>
  <c r="HT42" i="39"/>
  <c r="HX42" i="39"/>
  <c r="HT25" i="39"/>
  <c r="HX25" i="39"/>
  <c r="HT53" i="39"/>
  <c r="HX53" i="39"/>
  <c r="HT46" i="39"/>
  <c r="HX46" i="39"/>
  <c r="HT41" i="39"/>
  <c r="HX41" i="39"/>
  <c r="HT37" i="39"/>
  <c r="HX37" i="39"/>
  <c r="HT28" i="39"/>
  <c r="HX28" i="39"/>
  <c r="HT24" i="39"/>
  <c r="HX24" i="39"/>
  <c r="HT20" i="39"/>
  <c r="HX20" i="39"/>
  <c r="HT10" i="39"/>
  <c r="HX10" i="39"/>
  <c r="HT48" i="39"/>
  <c r="HX48" i="39"/>
  <c r="HT26" i="39"/>
  <c r="HX26" i="39"/>
  <c r="HT47" i="39"/>
  <c r="HX47" i="39"/>
  <c r="HT29" i="39"/>
  <c r="HX29" i="39"/>
  <c r="HT50" i="39"/>
  <c r="HX50" i="39"/>
  <c r="HT45" i="39"/>
  <c r="HX45" i="39"/>
  <c r="HT40" i="39"/>
  <c r="HX40" i="39"/>
  <c r="HT36" i="39"/>
  <c r="HX36" i="39"/>
  <c r="HT27" i="39"/>
  <c r="HX27" i="39"/>
  <c r="HT23" i="39"/>
  <c r="HX23" i="39"/>
  <c r="HT19" i="39"/>
  <c r="HX19" i="39"/>
  <c r="HT13" i="39"/>
  <c r="HX13" i="39"/>
  <c r="N4" i="39"/>
  <c r="N91" i="39" s="1"/>
  <c r="HU6" i="39" a="1"/>
  <c r="HU6" i="39" s="1"/>
  <c r="HU10" i="39" a="1"/>
  <c r="HU10" i="39" s="1"/>
  <c r="HU11" i="39" a="1"/>
  <c r="HU11" i="39" s="1"/>
  <c r="HU12" i="39" a="1"/>
  <c r="HU12" i="39" s="1"/>
  <c r="HU13" i="39" a="1"/>
  <c r="HU13" i="39" s="1"/>
  <c r="HU14" i="39" a="1"/>
  <c r="HU14" i="39" s="1"/>
  <c r="HU15" i="39" a="1"/>
  <c r="HU15" i="39" s="1"/>
  <c r="HU16" i="39" a="1"/>
  <c r="HU16" i="39" s="1"/>
  <c r="HU17" i="39" a="1"/>
  <c r="HU17" i="39" s="1"/>
  <c r="HU18" i="39" a="1"/>
  <c r="HU18" i="39" s="1"/>
  <c r="HU19" i="39" a="1"/>
  <c r="HU19" i="39" s="1"/>
  <c r="HU20" i="39" a="1"/>
  <c r="HU20" i="39" s="1"/>
  <c r="HU21" i="39" a="1"/>
  <c r="HU21" i="39" s="1"/>
  <c r="HU22" i="39" a="1"/>
  <c r="HU22" i="39" s="1"/>
  <c r="HU23" i="39" a="1"/>
  <c r="HU23" i="39" s="1"/>
  <c r="HU24" i="39" a="1"/>
  <c r="HU24" i="39" s="1"/>
  <c r="HU25" i="39" a="1"/>
  <c r="HU25" i="39" s="1"/>
  <c r="HU26" i="39" a="1"/>
  <c r="HU26" i="39" s="1"/>
  <c r="HU27" i="39" a="1"/>
  <c r="HU27" i="39" s="1"/>
  <c r="HU28" i="39" a="1"/>
  <c r="HU28" i="39" s="1"/>
  <c r="HU29" i="39" a="1"/>
  <c r="HU29" i="39" s="1"/>
  <c r="HU30" i="39" a="1"/>
  <c r="HU30" i="39" s="1"/>
  <c r="HU31" i="39" a="1"/>
  <c r="HU31" i="39" s="1"/>
  <c r="HU32" i="39" a="1"/>
  <c r="HU32" i="39" s="1"/>
  <c r="HU33" i="39" a="1"/>
  <c r="HU33" i="39" s="1"/>
  <c r="HU34" i="39" a="1"/>
  <c r="HU34" i="39" s="1"/>
  <c r="HU35" i="39" a="1"/>
  <c r="HU35" i="39" s="1"/>
  <c r="HU36" i="39" a="1"/>
  <c r="HU36" i="39" s="1"/>
  <c r="HU37" i="39" a="1"/>
  <c r="HU37" i="39" s="1"/>
  <c r="HU38" i="39" a="1"/>
  <c r="HU38" i="39" s="1"/>
  <c r="HU39" i="39" a="1"/>
  <c r="HU39" i="39" s="1"/>
  <c r="HU40" i="39" a="1"/>
  <c r="HU40" i="39" s="1"/>
  <c r="HU41" i="39" a="1"/>
  <c r="HU41" i="39" s="1"/>
  <c r="HU42" i="39" a="1"/>
  <c r="HU42" i="39" s="1"/>
  <c r="HU43" i="39" a="1"/>
  <c r="HU43" i="39" s="1"/>
  <c r="HU44" i="39" a="1"/>
  <c r="HU44" i="39" s="1"/>
  <c r="HU45" i="39" a="1"/>
  <c r="HU45" i="39" s="1"/>
  <c r="HU46" i="39" a="1"/>
  <c r="HU46" i="39" s="1"/>
  <c r="HU47" i="39" a="1"/>
  <c r="HU47" i="39" s="1"/>
  <c r="HU48" i="39" a="1"/>
  <c r="HU48" i="39" s="1"/>
  <c r="HU49" i="39" a="1"/>
  <c r="HU49" i="39" s="1"/>
  <c r="HU50" i="39" a="1"/>
  <c r="HU50" i="39" s="1"/>
  <c r="HU51" i="39" a="1"/>
  <c r="HU51" i="39" s="1"/>
  <c r="HU52" i="39" a="1"/>
  <c r="HU52" i="39" s="1"/>
  <c r="HU53" i="39" a="1"/>
  <c r="HU53" i="39" s="1"/>
  <c r="GU8" i="39"/>
  <c r="GU9" i="39"/>
  <c r="GU10" i="39"/>
  <c r="GU11" i="39"/>
  <c r="GU12" i="39"/>
  <c r="GU13" i="39"/>
  <c r="GU14" i="39"/>
  <c r="GU17" i="39"/>
  <c r="GU18" i="39"/>
  <c r="GU19" i="39"/>
  <c r="GU20" i="39"/>
  <c r="GU21" i="39"/>
  <c r="GU22" i="39"/>
  <c r="GU23" i="39"/>
  <c r="GU24" i="39"/>
  <c r="GU25" i="39"/>
  <c r="GU26" i="39"/>
  <c r="GU27" i="39"/>
  <c r="GU28" i="39"/>
  <c r="GU29" i="39"/>
  <c r="GU30" i="39"/>
  <c r="GU31" i="39"/>
  <c r="GU32" i="39"/>
  <c r="GU33" i="39"/>
  <c r="GU34" i="39"/>
  <c r="GU35" i="39"/>
  <c r="GU36" i="39"/>
  <c r="GU37" i="39"/>
  <c r="GU38" i="39"/>
  <c r="GU39" i="39"/>
  <c r="GU40" i="39"/>
  <c r="GU41" i="39"/>
  <c r="GU42" i="39"/>
  <c r="GU43" i="39"/>
  <c r="GU44" i="39"/>
  <c r="GU45" i="39"/>
  <c r="GU46" i="39"/>
  <c r="GU47" i="39"/>
  <c r="GU48" i="39"/>
  <c r="GU49" i="39"/>
  <c r="GU50" i="39"/>
  <c r="GU51" i="39"/>
  <c r="GU52" i="39"/>
  <c r="GU53" i="39"/>
  <c r="GU54" i="39"/>
  <c r="GU55" i="39"/>
  <c r="GU56" i="39"/>
  <c r="GU57" i="39"/>
  <c r="GU58" i="39"/>
  <c r="GU59" i="39"/>
  <c r="GU60" i="39"/>
  <c r="GU61" i="39"/>
  <c r="GU62" i="39"/>
  <c r="GU63" i="39"/>
  <c r="GU64" i="39"/>
  <c r="GU65" i="39"/>
  <c r="GU66" i="39"/>
  <c r="GU67" i="39"/>
  <c r="GU68" i="39"/>
  <c r="GU69" i="39"/>
  <c r="GU70" i="39"/>
  <c r="GU71" i="39"/>
  <c r="GU72" i="39"/>
  <c r="GU73" i="39"/>
  <c r="GU74" i="39"/>
  <c r="GU75" i="39"/>
  <c r="GU76" i="39"/>
  <c r="GU77" i="39"/>
  <c r="GU78" i="39"/>
  <c r="GU79" i="39"/>
  <c r="GU80" i="39"/>
  <c r="GU81" i="39"/>
  <c r="GU82" i="39"/>
  <c r="GU83" i="39"/>
  <c r="GU84" i="39"/>
  <c r="GU85" i="39"/>
  <c r="GU86" i="39"/>
  <c r="GU94" i="39"/>
  <c r="GU95" i="39"/>
  <c r="GU96" i="39"/>
  <c r="GU97" i="39"/>
  <c r="GU98" i="39"/>
  <c r="GU99" i="39"/>
  <c r="GU100" i="39"/>
  <c r="GU101" i="39"/>
  <c r="GU102" i="39"/>
  <c r="GU103" i="39"/>
  <c r="GU104" i="39"/>
  <c r="GU105" i="39"/>
  <c r="GU106" i="39"/>
  <c r="GU107" i="39"/>
  <c r="GU108" i="39"/>
  <c r="HF8" i="39"/>
  <c r="HF4" i="39"/>
  <c r="HE8" i="39"/>
  <c r="HD8" i="39" l="1"/>
  <c r="AZ33" i="39" l="1"/>
  <c r="AZ34" i="39"/>
  <c r="AZ35" i="39"/>
  <c r="AZ36" i="39"/>
  <c r="AZ40" i="39"/>
  <c r="AZ41" i="39"/>
  <c r="AZ42" i="39"/>
  <c r="AZ43" i="39"/>
  <c r="AZ44" i="39"/>
  <c r="AZ45" i="39"/>
  <c r="AZ46" i="39"/>
  <c r="AZ47" i="39"/>
  <c r="AZ48" i="39"/>
  <c r="AZ49" i="39"/>
  <c r="AZ50" i="39"/>
  <c r="AZ51" i="39"/>
  <c r="AZ52" i="39"/>
  <c r="AZ53" i="39"/>
  <c r="AZ54" i="39"/>
  <c r="AZ55" i="39"/>
  <c r="AZ56" i="39"/>
  <c r="AZ57" i="39"/>
  <c r="AZ58" i="39"/>
  <c r="AZ59" i="39"/>
  <c r="AZ60" i="39"/>
  <c r="AZ61" i="39"/>
  <c r="AZ62" i="39"/>
  <c r="AZ63" i="39"/>
  <c r="AZ64" i="39"/>
  <c r="AZ65" i="39"/>
  <c r="AZ66" i="39"/>
  <c r="AZ67" i="39"/>
  <c r="AZ68" i="39"/>
  <c r="AZ69" i="39"/>
  <c r="AZ70" i="39"/>
  <c r="AZ71" i="39"/>
  <c r="AZ72" i="39"/>
  <c r="AZ73" i="39"/>
  <c r="AZ74" i="39"/>
  <c r="AZ75" i="39"/>
  <c r="AZ76" i="39"/>
  <c r="AZ77" i="39"/>
  <c r="AZ78" i="39"/>
  <c r="AZ79" i="39"/>
  <c r="AZ80" i="39"/>
  <c r="AZ81" i="39"/>
  <c r="AZ82" i="39"/>
  <c r="AZ83" i="39"/>
  <c r="AZ84" i="39"/>
  <c r="AZ23" i="39"/>
  <c r="AZ24" i="39"/>
  <c r="AZ25" i="39"/>
  <c r="AZ26" i="39"/>
  <c r="AZ27" i="39"/>
  <c r="AZ28" i="39"/>
  <c r="AZ29" i="39"/>
  <c r="AZ30" i="39"/>
  <c r="AZ31" i="39"/>
  <c r="AZ32" i="39"/>
  <c r="AZ22" i="39"/>
  <c r="AZ14" i="39"/>
  <c r="AZ15" i="39"/>
  <c r="AZ16" i="39"/>
  <c r="AZ17" i="39"/>
  <c r="AZ18" i="39"/>
  <c r="AZ19" i="39"/>
  <c r="AZ20" i="39"/>
  <c r="AZ21" i="39"/>
  <c r="GX8" i="39"/>
  <c r="GW8" i="39"/>
  <c r="GV9" i="39"/>
  <c r="GV10" i="39"/>
  <c r="GV11" i="39"/>
  <c r="GV12" i="39"/>
  <c r="GV13" i="39"/>
  <c r="GV14" i="39"/>
  <c r="GV17" i="39"/>
  <c r="GV18" i="39"/>
  <c r="GV19" i="39"/>
  <c r="GV20" i="39"/>
  <c r="GV21" i="39"/>
  <c r="GV22" i="39"/>
  <c r="GV23" i="39"/>
  <c r="GV24" i="39"/>
  <c r="GV25" i="39"/>
  <c r="GV26" i="39"/>
  <c r="GV27" i="39"/>
  <c r="GV28" i="39"/>
  <c r="GV29" i="39"/>
  <c r="GV30" i="39"/>
  <c r="GV31" i="39"/>
  <c r="GV32" i="39"/>
  <c r="GV33" i="39"/>
  <c r="GV34" i="39"/>
  <c r="GV35" i="39"/>
  <c r="GV36" i="39"/>
  <c r="GV37" i="39"/>
  <c r="GV38" i="39"/>
  <c r="GV39" i="39"/>
  <c r="GV40" i="39"/>
  <c r="GV41" i="39"/>
  <c r="GV42" i="39"/>
  <c r="GV43" i="39"/>
  <c r="GV44" i="39"/>
  <c r="GV45" i="39"/>
  <c r="GV46" i="39"/>
  <c r="GV47" i="39"/>
  <c r="GV48" i="39"/>
  <c r="GV49" i="39"/>
  <c r="GV50" i="39"/>
  <c r="GV51" i="39"/>
  <c r="GV52" i="39"/>
  <c r="GV53" i="39"/>
  <c r="GV54" i="39"/>
  <c r="GV55" i="39"/>
  <c r="GV56" i="39"/>
  <c r="GV57" i="39"/>
  <c r="GV58" i="39"/>
  <c r="GV59" i="39"/>
  <c r="GV60" i="39"/>
  <c r="GV61" i="39"/>
  <c r="GV62" i="39"/>
  <c r="GV63" i="39"/>
  <c r="GV64" i="39"/>
  <c r="GV65" i="39"/>
  <c r="GV66" i="39"/>
  <c r="GV67" i="39"/>
  <c r="GV68" i="39"/>
  <c r="GV69" i="39"/>
  <c r="GV70" i="39"/>
  <c r="GV71" i="39"/>
  <c r="GV72" i="39"/>
  <c r="GV73" i="39"/>
  <c r="GV74" i="39"/>
  <c r="GV75" i="39"/>
  <c r="GV76" i="39"/>
  <c r="GV77" i="39"/>
  <c r="GV78" i="39"/>
  <c r="GV79" i="39"/>
  <c r="GV80" i="39"/>
  <c r="GV81" i="39"/>
  <c r="GV82" i="39"/>
  <c r="GV83" i="39"/>
  <c r="GV84" i="39"/>
  <c r="GV85" i="39"/>
  <c r="GV86" i="39"/>
  <c r="GV87" i="39"/>
  <c r="GV93" i="39"/>
  <c r="GV94" i="39"/>
  <c r="GV95" i="39"/>
  <c r="GV96" i="39"/>
  <c r="GV97" i="39"/>
  <c r="GV98" i="39"/>
  <c r="GV99" i="39"/>
  <c r="GV100" i="39"/>
  <c r="GV101" i="39"/>
  <c r="GV102" i="39"/>
  <c r="GV103" i="39"/>
  <c r="GV104" i="39"/>
  <c r="GV105" i="39"/>
  <c r="GV106" i="39"/>
  <c r="GV107" i="39"/>
  <c r="GV108" i="39"/>
  <c r="GV8" i="39"/>
  <c r="HP5" i="39" a="1"/>
  <c r="HP5" i="39" s="1"/>
  <c r="HP6" i="39" a="1"/>
  <c r="HP6" i="39" s="1"/>
  <c r="HP7" i="39" a="1"/>
  <c r="HP7" i="39" s="1"/>
  <c r="HP8" i="39" a="1"/>
  <c r="HP8" i="39" s="1"/>
  <c r="HP9" i="39" a="1"/>
  <c r="HP9" i="39" s="1"/>
  <c r="HP10" i="39" a="1"/>
  <c r="HP10" i="39" s="1"/>
  <c r="HP11" i="39" a="1"/>
  <c r="HP11" i="39" s="1"/>
  <c r="HP12" i="39" a="1"/>
  <c r="HP12" i="39" s="1"/>
  <c r="HP13" i="39" a="1"/>
  <c r="HP13" i="39" s="1"/>
  <c r="HP14" i="39" a="1"/>
  <c r="HP14" i="39" s="1"/>
  <c r="HP15" i="39" a="1"/>
  <c r="HP15" i="39" s="1"/>
  <c r="HP16" i="39" a="1"/>
  <c r="HP16" i="39" s="1"/>
  <c r="HP17" i="39" a="1"/>
  <c r="HP17" i="39" s="1"/>
  <c r="HP18" i="39" a="1"/>
  <c r="HP18" i="39" s="1"/>
  <c r="HP19" i="39" a="1"/>
  <c r="HP19" i="39" s="1"/>
  <c r="HP20" i="39" a="1"/>
  <c r="HP20" i="39" s="1"/>
  <c r="HP21" i="39" a="1"/>
  <c r="HP21" i="39" s="1"/>
  <c r="HP22" i="39" a="1"/>
  <c r="HP22" i="39" s="1"/>
  <c r="HP23" i="39" a="1"/>
  <c r="HP23" i="39" s="1"/>
  <c r="HP24" i="39" a="1"/>
  <c r="HP24" i="39" s="1"/>
  <c r="HP25" i="39" a="1"/>
  <c r="HP25" i="39" s="1"/>
  <c r="HP26" i="39" a="1"/>
  <c r="HP26" i="39" s="1"/>
  <c r="HP27" i="39" a="1"/>
  <c r="HP27" i="39" s="1"/>
  <c r="HP28" i="39" a="1"/>
  <c r="HP28" i="39" s="1"/>
  <c r="HP29" i="39" a="1"/>
  <c r="HP29" i="39" s="1"/>
  <c r="HP30" i="39" a="1"/>
  <c r="HP30" i="39" s="1"/>
  <c r="HP31" i="39" a="1"/>
  <c r="HP31" i="39" s="1"/>
  <c r="HP32" i="39" a="1"/>
  <c r="HP32" i="39" s="1"/>
  <c r="HP33" i="39" a="1"/>
  <c r="HP33" i="39" s="1"/>
  <c r="HP34" i="39" a="1"/>
  <c r="HP34" i="39" s="1"/>
  <c r="HP35" i="39" a="1"/>
  <c r="HP35" i="39" s="1"/>
  <c r="HP36" i="39" a="1"/>
  <c r="HP36" i="39" s="1"/>
  <c r="HP37" i="39" a="1"/>
  <c r="HP37" i="39" s="1"/>
  <c r="HP38" i="39" a="1"/>
  <c r="HP38" i="39" s="1"/>
  <c r="HP39" i="39" a="1"/>
  <c r="HP39" i="39" s="1"/>
  <c r="HP40" i="39" a="1"/>
  <c r="HP40" i="39" s="1"/>
  <c r="HP41" i="39" a="1"/>
  <c r="HP41" i="39" s="1"/>
  <c r="HP42" i="39" a="1"/>
  <c r="HP42" i="39" s="1"/>
  <c r="HP43" i="39" a="1"/>
  <c r="HP43" i="39" s="1"/>
  <c r="HP44" i="39" a="1"/>
  <c r="HP44" i="39" s="1"/>
  <c r="HP45" i="39" a="1"/>
  <c r="HP45" i="39" s="1"/>
  <c r="HP46" i="39" a="1"/>
  <c r="HP46" i="39" s="1"/>
  <c r="HP47" i="39" a="1"/>
  <c r="HP47" i="39" s="1"/>
  <c r="HP48" i="39" a="1"/>
  <c r="HP48" i="39" s="1"/>
  <c r="HP49" i="39" a="1"/>
  <c r="HP49" i="39" s="1"/>
  <c r="HP50" i="39" a="1"/>
  <c r="HP50" i="39" s="1"/>
  <c r="HP51" i="39" a="1"/>
  <c r="HP51" i="39" s="1"/>
  <c r="HP52" i="39" a="1"/>
  <c r="HP52" i="39" s="1"/>
  <c r="HP53" i="39" a="1"/>
  <c r="HP53" i="39" s="1"/>
  <c r="HP4" i="39" a="1"/>
  <c r="HP4" i="39" s="1"/>
  <c r="HQ6" i="39" a="1"/>
  <c r="HQ6" i="39" s="1"/>
  <c r="HQ10" i="39" a="1"/>
  <c r="HQ10" i="39" s="1"/>
  <c r="HQ11" i="39" a="1"/>
  <c r="HQ11" i="39" s="1"/>
  <c r="HQ12" i="39" a="1"/>
  <c r="HQ12" i="39" s="1"/>
  <c r="HQ13" i="39" a="1"/>
  <c r="HQ13" i="39" s="1"/>
  <c r="HQ14" i="39" a="1"/>
  <c r="HQ14" i="39" s="1"/>
  <c r="HQ15" i="39" a="1"/>
  <c r="HQ15" i="39" s="1"/>
  <c r="HQ16" i="39" a="1"/>
  <c r="HQ16" i="39" s="1"/>
  <c r="HQ17" i="39" a="1"/>
  <c r="HQ17" i="39" s="1"/>
  <c r="HQ18" i="39" a="1"/>
  <c r="HQ18" i="39" s="1"/>
  <c r="HQ19" i="39" a="1"/>
  <c r="HQ19" i="39" s="1"/>
  <c r="HQ20" i="39" a="1"/>
  <c r="HQ20" i="39" s="1"/>
  <c r="HQ21" i="39" a="1"/>
  <c r="HQ21" i="39" s="1"/>
  <c r="HQ22" i="39" a="1"/>
  <c r="HQ22" i="39" s="1"/>
  <c r="HQ23" i="39" a="1"/>
  <c r="HQ23" i="39" s="1"/>
  <c r="HQ24" i="39" a="1"/>
  <c r="HQ24" i="39" s="1"/>
  <c r="HQ25" i="39" a="1"/>
  <c r="HQ25" i="39" s="1"/>
  <c r="HQ26" i="39" a="1"/>
  <c r="HQ26" i="39" s="1"/>
  <c r="HQ27" i="39" a="1"/>
  <c r="HQ27" i="39" s="1"/>
  <c r="HQ28" i="39" a="1"/>
  <c r="HQ28" i="39" s="1"/>
  <c r="HQ29" i="39" a="1"/>
  <c r="HQ29" i="39" s="1"/>
  <c r="HQ30" i="39" a="1"/>
  <c r="HQ30" i="39" s="1"/>
  <c r="HQ31" i="39" a="1"/>
  <c r="HQ31" i="39" s="1"/>
  <c r="HQ32" i="39" a="1"/>
  <c r="HQ32" i="39" s="1"/>
  <c r="HQ33" i="39" a="1"/>
  <c r="HQ33" i="39" s="1"/>
  <c r="HQ34" i="39" a="1"/>
  <c r="HQ34" i="39" s="1"/>
  <c r="HQ35" i="39" a="1"/>
  <c r="HQ35" i="39" s="1"/>
  <c r="HQ36" i="39" a="1"/>
  <c r="HQ36" i="39" s="1"/>
  <c r="HQ37" i="39" a="1"/>
  <c r="HQ37" i="39" s="1"/>
  <c r="HQ38" i="39" a="1"/>
  <c r="HQ38" i="39" s="1"/>
  <c r="HQ39" i="39" a="1"/>
  <c r="HQ39" i="39" s="1"/>
  <c r="HQ40" i="39" a="1"/>
  <c r="HQ40" i="39" s="1"/>
  <c r="HQ41" i="39" a="1"/>
  <c r="HQ41" i="39" s="1"/>
  <c r="HQ42" i="39" a="1"/>
  <c r="HQ42" i="39" s="1"/>
  <c r="HQ43" i="39" a="1"/>
  <c r="HQ43" i="39" s="1"/>
  <c r="HQ44" i="39" a="1"/>
  <c r="HQ44" i="39" s="1"/>
  <c r="HQ45" i="39" a="1"/>
  <c r="HQ45" i="39" s="1"/>
  <c r="HQ46" i="39" a="1"/>
  <c r="HQ46" i="39" s="1"/>
  <c r="HQ47" i="39" a="1"/>
  <c r="HQ47" i="39" s="1"/>
  <c r="HQ48" i="39" a="1"/>
  <c r="HQ48" i="39" s="1"/>
  <c r="HQ49" i="39" a="1"/>
  <c r="HQ49" i="39" s="1"/>
  <c r="HQ50" i="39" a="1"/>
  <c r="HQ50" i="39" s="1"/>
  <c r="HQ51" i="39" a="1"/>
  <c r="HQ51" i="39" s="1"/>
  <c r="HQ52" i="39" a="1"/>
  <c r="HQ52" i="39" s="1"/>
  <c r="HQ53" i="39" a="1"/>
  <c r="HQ53" i="39" s="1"/>
  <c r="GL4" i="39" l="1"/>
  <c r="GM4" i="39"/>
  <c r="GO4" i="39"/>
  <c r="GP4" i="39"/>
  <c r="GL8" i="39"/>
  <c r="GM8" i="39"/>
  <c r="GO8" i="39"/>
  <c r="GP8" i="39"/>
  <c r="Q64" i="39" l="1"/>
  <c r="Q65" i="39"/>
  <c r="Q66" i="39"/>
  <c r="Q67" i="39"/>
  <c r="Q68" i="39"/>
  <c r="GS4" i="39"/>
  <c r="GS8" i="39"/>
  <c r="CD102" i="39" l="1"/>
  <c r="N103" i="39"/>
  <c r="N102" i="39"/>
  <c r="L101" i="39" a="1"/>
  <c r="L101" i="39" s="1"/>
  <c r="N101" i="39" s="1"/>
  <c r="L100" i="39" a="1"/>
  <c r="L100" i="39" s="1"/>
  <c r="N100" i="39" s="1"/>
  <c r="CJ100" i="39" l="1"/>
  <c r="IF8" i="39" s="1"/>
  <c r="CB101" i="39"/>
  <c r="CB102" i="39" s="1"/>
  <c r="CC102" i="39"/>
  <c r="CI100" i="39" l="1"/>
  <c r="IF7" i="39" s="1"/>
  <c r="CH100" i="39"/>
  <c r="IF6" i="39" s="1"/>
  <c r="H34" i="39" a="1"/>
  <c r="H34" i="39" s="1"/>
  <c r="H36" i="39" a="1"/>
  <c r="H36" i="39" s="1"/>
  <c r="H32" i="39" a="1"/>
  <c r="H32" i="39" s="1"/>
  <c r="H33" i="39" a="1"/>
  <c r="H33" i="39" s="1"/>
  <c r="H35" i="39" a="1"/>
  <c r="H35" i="39" s="1"/>
  <c r="CJ35" i="39" l="1"/>
  <c r="CJ36" i="39"/>
  <c r="CJ33" i="39"/>
  <c r="FN41" i="39" s="1"/>
  <c r="CJ34" i="39"/>
  <c r="CJ32" i="39"/>
  <c r="CS35" i="39"/>
  <c r="CT35" i="39"/>
  <c r="CS32" i="39"/>
  <c r="CT32" i="39"/>
  <c r="CS36" i="39"/>
  <c r="CT36" i="39"/>
  <c r="CS33" i="39"/>
  <c r="CT33" i="39"/>
  <c r="CS34" i="39"/>
  <c r="CT34" i="39"/>
  <c r="CN32" i="39"/>
  <c r="CO32" i="39"/>
  <c r="CO35" i="39"/>
  <c r="CN35" i="39"/>
  <c r="CN36" i="39"/>
  <c r="CO36" i="39"/>
  <c r="CN33" i="39"/>
  <c r="CO33" i="39"/>
  <c r="CN34" i="39"/>
  <c r="CO34" i="39"/>
  <c r="AW113" i="7"/>
  <c r="AW138" i="7"/>
  <c r="BI138" i="7" s="1"/>
  <c r="BJ138" i="7" s="1"/>
  <c r="AW139" i="7"/>
  <c r="AW140" i="7"/>
  <c r="AW141" i="7"/>
  <c r="AW142" i="7"/>
  <c r="AW143" i="7"/>
  <c r="AW144" i="7"/>
  <c r="AW145" i="7"/>
  <c r="AW146" i="7"/>
  <c r="AW147" i="7"/>
  <c r="AW148" i="7"/>
  <c r="AW149" i="7"/>
  <c r="AW150" i="7"/>
  <c r="AW151" i="7"/>
  <c r="AW152" i="7"/>
  <c r="AW153" i="7"/>
  <c r="AW154" i="7"/>
  <c r="AW155" i="7"/>
  <c r="DV41" i="39" l="1"/>
  <c r="DO41" i="39"/>
  <c r="DN41" i="39"/>
  <c r="DQ41" i="39"/>
  <c r="DS41" i="39"/>
  <c r="DT41" i="39"/>
  <c r="DM41" i="39"/>
  <c r="DX41" i="39"/>
  <c r="DW41" i="39"/>
  <c r="DR41" i="39"/>
  <c r="DU41" i="39"/>
  <c r="DP41" i="39"/>
  <c r="DT59" i="39"/>
  <c r="DX59" i="39"/>
  <c r="DP59" i="39"/>
  <c r="DU59" i="39"/>
  <c r="DV59" i="39"/>
  <c r="DO59" i="39"/>
  <c r="DW59" i="39"/>
  <c r="DN59" i="39"/>
  <c r="DS59" i="39"/>
  <c r="DQ59" i="39"/>
  <c r="DR59" i="39"/>
  <c r="DM59" i="39"/>
  <c r="FN36" i="39"/>
  <c r="FN59" i="39"/>
  <c r="DR36" i="39"/>
  <c r="DT36" i="39"/>
  <c r="DP36" i="39"/>
  <c r="DN36" i="39"/>
  <c r="DV36" i="39"/>
  <c r="DM36" i="39"/>
  <c r="DS36" i="39"/>
  <c r="DX36" i="39"/>
  <c r="DO36" i="39"/>
  <c r="DQ36" i="39"/>
  <c r="DU36" i="39"/>
  <c r="DW36" i="39"/>
  <c r="HF10" i="39"/>
  <c r="GM160" i="39"/>
  <c r="GS160" i="39" s="1"/>
  <c r="HC160" i="39" s="1"/>
  <c r="FA160" i="39" s="1"/>
  <c r="Q60" i="39"/>
  <c r="Q59" i="39"/>
  <c r="Q58" i="39"/>
  <c r="Q57" i="39"/>
  <c r="Q56" i="39"/>
  <c r="Q55" i="39"/>
  <c r="Q54" i="39"/>
  <c r="Q53" i="39"/>
  <c r="Q52" i="39"/>
  <c r="Q51" i="39"/>
  <c r="Q50" i="39"/>
  <c r="Q49" i="39"/>
  <c r="Q48" i="39"/>
  <c r="Q47" i="39"/>
  <c r="Q46" i="39"/>
  <c r="Q45" i="39"/>
  <c r="Q44" i="39"/>
  <c r="K61" i="39"/>
  <c r="K60" i="39"/>
  <c r="K59" i="39"/>
  <c r="K58" i="39"/>
  <c r="K57" i="39"/>
  <c r="K56" i="39"/>
  <c r="K55" i="39"/>
  <c r="K54" i="39"/>
  <c r="K53" i="39"/>
  <c r="K52" i="39"/>
  <c r="K51" i="39"/>
  <c r="K50" i="39"/>
  <c r="K49" i="39"/>
  <c r="K48" i="39"/>
  <c r="K47" i="39"/>
  <c r="K46" i="39"/>
  <c r="K45" i="39"/>
  <c r="K44" i="39"/>
  <c r="I45" i="39"/>
  <c r="I46" i="39"/>
  <c r="I47" i="39"/>
  <c r="I48" i="39"/>
  <c r="I49" i="39"/>
  <c r="I50" i="39"/>
  <c r="I51" i="39"/>
  <c r="I52" i="39"/>
  <c r="I53" i="39"/>
  <c r="I54" i="39"/>
  <c r="I55" i="39"/>
  <c r="I56" i="39"/>
  <c r="I57" i="39"/>
  <c r="I58" i="39"/>
  <c r="I59" i="39"/>
  <c r="I60" i="39"/>
  <c r="I61" i="39"/>
  <c r="I44" i="39"/>
  <c r="H19" i="39" a="1"/>
  <c r="H19" i="39" s="1"/>
  <c r="CJ19" i="39" l="1"/>
  <c r="CS19" i="39"/>
  <c r="CT19" i="39"/>
  <c r="CO19" i="39"/>
  <c r="GS162" i="39"/>
  <c r="GT162" i="39"/>
  <c r="HF162" i="39"/>
  <c r="GN162" i="39"/>
  <c r="GR162" i="39" s="1"/>
  <c r="HF92" i="39"/>
  <c r="HF32" i="39"/>
  <c r="HF64" i="39"/>
  <c r="HF47" i="39"/>
  <c r="HF53" i="39"/>
  <c r="HF58" i="39"/>
  <c r="HF55" i="39"/>
  <c r="HF44" i="39"/>
  <c r="HF100" i="39"/>
  <c r="HF43" i="39"/>
  <c r="HF56" i="39"/>
  <c r="GJ130" i="39"/>
  <c r="HG130" i="39" s="1" a="1"/>
  <c r="HG130" i="39" s="1"/>
  <c r="GJ131" i="39"/>
  <c r="HG131" i="39" s="1" a="1"/>
  <c r="HG131" i="39" s="1"/>
  <c r="CK14" i="39"/>
  <c r="CC29" i="39"/>
  <c r="CL29" i="39" s="1"/>
  <c r="CC19" i="39"/>
  <c r="CL19" i="39" s="1"/>
  <c r="CC30" i="39"/>
  <c r="CL30" i="39" s="1"/>
  <c r="CC27" i="39"/>
  <c r="CL27" i="39" s="1"/>
  <c r="CC28" i="39"/>
  <c r="CL28" i="39" s="1"/>
  <c r="DT19" i="39" l="1"/>
  <c r="DS19" i="39"/>
  <c r="DM19" i="39"/>
  <c r="DO19" i="39"/>
  <c r="DR19" i="39"/>
  <c r="DN19" i="39"/>
  <c r="DV19" i="39"/>
  <c r="DQ19" i="39"/>
  <c r="DP19" i="39"/>
  <c r="DU19" i="39"/>
  <c r="DX19" i="39"/>
  <c r="DW19" i="39"/>
  <c r="FN102" i="39"/>
  <c r="FN19" i="39"/>
  <c r="HF160" i="39"/>
  <c r="GN160" i="39"/>
  <c r="GR160" i="39" s="1"/>
  <c r="GT160" i="39"/>
  <c r="DR102" i="39"/>
  <c r="DO102" i="39"/>
  <c r="DT102" i="39"/>
  <c r="DW102" i="39"/>
  <c r="DS102" i="39"/>
  <c r="DM102" i="39"/>
  <c r="DN102" i="39"/>
  <c r="DP102" i="39"/>
  <c r="DQ102" i="39"/>
  <c r="DV102" i="39"/>
  <c r="DX102" i="39"/>
  <c r="DU102" i="39"/>
  <c r="CN19" i="39"/>
  <c r="GW162" i="39"/>
  <c r="GX162" i="39" s="1"/>
  <c r="HC162" i="39"/>
  <c r="GK162" i="39" s="1"/>
  <c r="CC25" i="39"/>
  <c r="CL25" i="39" s="1"/>
  <c r="CC20" i="39"/>
  <c r="CL20" i="39" s="1"/>
  <c r="CC26" i="39"/>
  <c r="CL26" i="39" s="1"/>
  <c r="CC14" i="39"/>
  <c r="CC23" i="39"/>
  <c r="CL23" i="39" s="1"/>
  <c r="CC24" i="39"/>
  <c r="CL24" i="39" s="1"/>
  <c r="CC18" i="39"/>
  <c r="CL18" i="39" s="1"/>
  <c r="CC16" i="39"/>
  <c r="CL16" i="39" s="1"/>
  <c r="CC15" i="39"/>
  <c r="CC21" i="39"/>
  <c r="CL21" i="39" s="1"/>
  <c r="CC22" i="39"/>
  <c r="CL22" i="39" s="1"/>
  <c r="CC17" i="39"/>
  <c r="CL17" i="39" s="1"/>
  <c r="N5" i="39"/>
  <c r="N93" i="39" s="1"/>
  <c r="D6" i="39"/>
  <c r="D5" i="39"/>
  <c r="D4" i="39"/>
  <c r="D3" i="39"/>
  <c r="HD160" i="39" l="1"/>
  <c r="HE160" i="39" s="1"/>
  <c r="GW160" i="39"/>
  <c r="GX160" i="39" s="1"/>
  <c r="CL15" i="39"/>
  <c r="EF16" i="39"/>
  <c r="EO16" i="39"/>
  <c r="EW16" i="39"/>
  <c r="EM16" i="39"/>
  <c r="DZ16" i="39"/>
  <c r="EH16" i="39"/>
  <c r="EQ16" i="39"/>
  <c r="ED16" i="39"/>
  <c r="EU16" i="39"/>
  <c r="EB16" i="39"/>
  <c r="EJ16" i="39"/>
  <c r="ES16" i="39"/>
  <c r="EA15" i="39"/>
  <c r="ER15" i="39"/>
  <c r="EJ15" i="39"/>
  <c r="EP15" i="39"/>
  <c r="EH15" i="39"/>
  <c r="EK16" i="39"/>
  <c r="ER16" i="39"/>
  <c r="EA16" i="39"/>
  <c r="ED15" i="39"/>
  <c r="EU15" i="39"/>
  <c r="EV16" i="39"/>
  <c r="EE16" i="39"/>
  <c r="EE15" i="39"/>
  <c r="EV15" i="39"/>
  <c r="EO15" i="39"/>
  <c r="EC15" i="39"/>
  <c r="EM15" i="39"/>
  <c r="EX16" i="39"/>
  <c r="EG16" i="39"/>
  <c r="EN16" i="39"/>
  <c r="EN15" i="39"/>
  <c r="EF15" i="39"/>
  <c r="EW15" i="39"/>
  <c r="EP16" i="39"/>
  <c r="EI15" i="39"/>
  <c r="EB15" i="39"/>
  <c r="ES15" i="39"/>
  <c r="EX15" i="39"/>
  <c r="DZ15" i="39"/>
  <c r="EQ15" i="39"/>
  <c r="EC16" i="39"/>
  <c r="EI16" i="39"/>
  <c r="EK15" i="39"/>
  <c r="FA162" i="39"/>
  <c r="FB162" i="39" s="1"/>
  <c r="FC162" i="39" s="1"/>
  <c r="FD162" i="39" s="1"/>
  <c r="FE162" i="39" s="1"/>
  <c r="FF162" i="39" s="1"/>
  <c r="FG162" i="39" s="1"/>
  <c r="FH162" i="39" s="1"/>
  <c r="FI162" i="39" s="1"/>
  <c r="FJ162" i="39" s="1"/>
  <c r="FK162" i="39" s="1"/>
  <c r="FL162" i="39" s="1"/>
  <c r="FO162" i="39"/>
  <c r="FP162" i="39" s="1"/>
  <c r="FQ162" i="39" s="1"/>
  <c r="FR162" i="39" s="1"/>
  <c r="FS162" i="39" s="1"/>
  <c r="FT162" i="39" s="1"/>
  <c r="FU162" i="39" s="1"/>
  <c r="FV162" i="39" s="1"/>
  <c r="FW162" i="39" s="1"/>
  <c r="FX162" i="39" s="1"/>
  <c r="FY162" i="39" s="1"/>
  <c r="FZ162" i="39" s="1"/>
  <c r="EW65" i="39"/>
  <c r="EX88" i="39"/>
  <c r="ET99" i="39"/>
  <c r="EW113" i="39"/>
  <c r="ES120" i="39"/>
  <c r="EX72" i="39"/>
  <c r="EO117" i="39"/>
  <c r="EO121" i="39"/>
  <c r="ET83" i="39"/>
  <c r="EP94" i="39"/>
  <c r="ES116" i="39"/>
  <c r="EO119" i="39"/>
  <c r="EW121" i="39"/>
  <c r="EP78" i="39"/>
  <c r="EW117" i="39"/>
  <c r="EW119" i="39"/>
  <c r="EP86" i="39"/>
  <c r="ET111" i="39"/>
  <c r="EP70" i="39"/>
  <c r="ET103" i="39"/>
  <c r="EQ108" i="39"/>
  <c r="EO108" i="39"/>
  <c r="EX52" i="39"/>
  <c r="ER59" i="39"/>
  <c r="EQ59" i="39"/>
  <c r="EM51" i="39"/>
  <c r="EP43" i="39"/>
  <c r="EV43" i="39"/>
  <c r="ES35" i="39"/>
  <c r="EW35" i="39"/>
  <c r="EU27" i="39"/>
  <c r="ER19" i="39"/>
  <c r="EW19" i="39"/>
  <c r="EP109" i="39"/>
  <c r="EN12" i="39"/>
  <c r="ES12" i="39"/>
  <c r="EQ60" i="39"/>
  <c r="EV20" i="39"/>
  <c r="EX99" i="39"/>
  <c r="EV10" i="39"/>
  <c r="EV106" i="39"/>
  <c r="EM98" i="39"/>
  <c r="ER90" i="39"/>
  <c r="EW90" i="39"/>
  <c r="EN82" i="39"/>
  <c r="ET74" i="39"/>
  <c r="EN66" i="39"/>
  <c r="EM66" i="39"/>
  <c r="EP58" i="39"/>
  <c r="ET50" i="39"/>
  <c r="ER50" i="39"/>
  <c r="EO42" i="39"/>
  <c r="EX34" i="39"/>
  <c r="EN26" i="39"/>
  <c r="ES26" i="39"/>
  <c r="EP18" i="39"/>
  <c r="EQ118" i="39"/>
  <c r="EP98" i="39"/>
  <c r="ET92" i="39"/>
  <c r="EN44" i="39"/>
  <c r="EU44" i="39"/>
  <c r="EW107" i="39"/>
  <c r="ER75" i="39"/>
  <c r="EW105" i="39"/>
  <c r="EO81" i="39"/>
  <c r="EU73" i="39"/>
  <c r="ER73" i="39"/>
  <c r="EM65" i="39"/>
  <c r="ER57" i="39"/>
  <c r="EQ57" i="39"/>
  <c r="EN49" i="39"/>
  <c r="ET41" i="39"/>
  <c r="EM25" i="39"/>
  <c r="EQ17" i="39"/>
  <c r="EW17" i="39"/>
  <c r="EP120" i="39"/>
  <c r="EW57" i="39"/>
  <c r="EM76" i="39"/>
  <c r="EU28" i="39"/>
  <c r="ER28" i="39"/>
  <c r="EM83" i="39"/>
  <c r="EQ83" i="39"/>
  <c r="ES96" i="39"/>
  <c r="EQ88" i="39"/>
  <c r="EO88" i="39"/>
  <c r="EN80" i="39"/>
  <c r="ET72" i="39"/>
  <c r="ET64" i="39"/>
  <c r="ER64" i="39"/>
  <c r="EW56" i="39"/>
  <c r="ET48" i="39"/>
  <c r="ER48" i="39"/>
  <c r="ET14" i="39"/>
  <c r="EX14" i="39"/>
  <c r="EW116" i="39"/>
  <c r="EX80" i="39"/>
  <c r="EO91" i="39"/>
  <c r="EM103" i="39"/>
  <c r="EQ103" i="39"/>
  <c r="EO95" i="39"/>
  <c r="EM87" i="39"/>
  <c r="EQ87" i="39"/>
  <c r="EO79" i="39"/>
  <c r="EM71" i="39"/>
  <c r="EQ71" i="39"/>
  <c r="ET63" i="39"/>
  <c r="EX55" i="39"/>
  <c r="EQ55" i="39"/>
  <c r="EU47" i="39"/>
  <c r="ES39" i="39"/>
  <c r="EP31" i="39"/>
  <c r="EN31" i="39"/>
  <c r="ER23" i="39"/>
  <c r="EW23" i="39"/>
  <c r="EU13" i="39"/>
  <c r="EO113" i="39"/>
  <c r="EN116" i="39"/>
  <c r="EN120" i="39"/>
  <c r="EX92" i="39"/>
  <c r="EP102" i="39"/>
  <c r="ET87" i="39"/>
  <c r="ER108" i="39"/>
  <c r="EW108" i="39"/>
  <c r="EQ52" i="39"/>
  <c r="ES59" i="39"/>
  <c r="EW59" i="39"/>
  <c r="EU51" i="39"/>
  <c r="EX43" i="39"/>
  <c r="EO43" i="39"/>
  <c r="ET35" i="39"/>
  <c r="EP27" i="39"/>
  <c r="EN27" i="39"/>
  <c r="ES19" i="39"/>
  <c r="EX109" i="39"/>
  <c r="EV121" i="39"/>
  <c r="EV12" i="39"/>
  <c r="ET60" i="39"/>
  <c r="ER60" i="39"/>
  <c r="EO20" i="39"/>
  <c r="EM99" i="39"/>
  <c r="EQ99" i="39"/>
  <c r="EO10" i="39"/>
  <c r="EQ106" i="39"/>
  <c r="EO106" i="39"/>
  <c r="EU98" i="39"/>
  <c r="ES90" i="39"/>
  <c r="EM74" i="39"/>
  <c r="EV66" i="39"/>
  <c r="ES66" i="39"/>
  <c r="EX58" i="39"/>
  <c r="EN50" i="39"/>
  <c r="EM50" i="39"/>
  <c r="EW42" i="39"/>
  <c r="ET34" i="39"/>
  <c r="EQ34" i="39"/>
  <c r="EV26" i="39"/>
  <c r="EX18" i="39"/>
  <c r="EU117" i="39"/>
  <c r="EM92" i="39"/>
  <c r="EV44" i="39"/>
  <c r="EM44" i="39"/>
  <c r="EP107" i="39"/>
  <c r="EN75" i="39"/>
  <c r="ES75" i="39"/>
  <c r="EP105" i="39"/>
  <c r="EW81" i="39"/>
  <c r="EN73" i="39"/>
  <c r="ES73" i="39"/>
  <c r="EU65" i="39"/>
  <c r="EP49" i="39"/>
  <c r="EV49" i="39"/>
  <c r="EM41" i="39"/>
  <c r="EU25" i="39"/>
  <c r="ER17" i="39"/>
  <c r="ET101" i="39"/>
  <c r="EX98" i="39"/>
  <c r="ET71" i="39"/>
  <c r="ES108" i="39"/>
  <c r="ET52" i="39"/>
  <c r="ER52" i="39"/>
  <c r="ET59" i="39"/>
  <c r="EN51" i="39"/>
  <c r="ER43" i="39"/>
  <c r="EQ43" i="39"/>
  <c r="EM35" i="39"/>
  <c r="EX27" i="39"/>
  <c r="EV27" i="39"/>
  <c r="ET19" i="39"/>
  <c r="EM109" i="39"/>
  <c r="EQ109" i="39"/>
  <c r="ER120" i="39"/>
  <c r="EO12" i="39"/>
  <c r="EN60" i="39"/>
  <c r="EU60" i="39"/>
  <c r="EW20" i="39"/>
  <c r="EU99" i="39"/>
  <c r="ER99" i="39"/>
  <c r="EW10" i="39"/>
  <c r="ER106" i="39"/>
  <c r="EW106" i="39"/>
  <c r="EN98" i="39"/>
  <c r="ET90" i="39"/>
  <c r="EO82" i="39"/>
  <c r="EU74" i="39"/>
  <c r="EO66" i="39"/>
  <c r="EU66" i="39"/>
  <c r="EQ58" i="39"/>
  <c r="EV50" i="39"/>
  <c r="ES50" i="39"/>
  <c r="EM34" i="39"/>
  <c r="ER34" i="39"/>
  <c r="EO26" i="39"/>
  <c r="EM18" i="39"/>
  <c r="EQ18" i="39"/>
  <c r="EM117" i="39"/>
  <c r="EX76" i="39"/>
  <c r="EU92" i="39"/>
  <c r="EO44" i="39"/>
  <c r="EX107" i="39"/>
  <c r="EX105" i="39"/>
  <c r="EV73" i="39"/>
  <c r="EN65" i="39"/>
  <c r="ET57" i="39"/>
  <c r="EX49" i="39"/>
  <c r="EO49" i="39"/>
  <c r="EU41" i="39"/>
  <c r="EP25" i="39"/>
  <c r="EN25" i="39"/>
  <c r="ES17" i="39"/>
  <c r="EX118" i="39"/>
  <c r="EX102" i="39"/>
  <c r="EN76" i="39"/>
  <c r="EV28" i="39"/>
  <c r="ES44" i="39"/>
  <c r="EU11" i="39"/>
  <c r="ES36" i="39"/>
  <c r="EX82" i="39"/>
  <c r="EO63" i="39"/>
  <c r="ET108" i="39"/>
  <c r="EN52" i="39"/>
  <c r="EU52" i="39"/>
  <c r="EM59" i="39"/>
  <c r="EP51" i="39"/>
  <c r="EV51" i="39"/>
  <c r="ES43" i="39"/>
  <c r="EW43" i="39"/>
  <c r="EU35" i="39"/>
  <c r="EQ27" i="39"/>
  <c r="EO27" i="39"/>
  <c r="EM19" i="39"/>
  <c r="EU109" i="39"/>
  <c r="ER109" i="39"/>
  <c r="EV119" i="39"/>
  <c r="EV113" i="39"/>
  <c r="EW12" i="39"/>
  <c r="EV60" i="39"/>
  <c r="EM60" i="39"/>
  <c r="EP20" i="39"/>
  <c r="EN99" i="39"/>
  <c r="ES99" i="39"/>
  <c r="EP10" i="39"/>
  <c r="ES106" i="39"/>
  <c r="EV98" i="39"/>
  <c r="EM90" i="39"/>
  <c r="EW82" i="39"/>
  <c r="EN74" i="39"/>
  <c r="EW66" i="39"/>
  <c r="ET58" i="39"/>
  <c r="ER58" i="39"/>
  <c r="EO50" i="39"/>
  <c r="EU50" i="39"/>
  <c r="EX42" i="39"/>
  <c r="EN34" i="39"/>
  <c r="ES34" i="39"/>
  <c r="EW26" i="39"/>
  <c r="EU18" i="39"/>
  <c r="ER18" i="39"/>
  <c r="EU121" i="39"/>
  <c r="EQ116" i="39"/>
  <c r="ES60" i="39"/>
  <c r="EN92" i="39"/>
  <c r="EW44" i="39"/>
  <c r="EM107" i="39"/>
  <c r="EQ107" i="39"/>
  <c r="EO75" i="39"/>
  <c r="EM105" i="39"/>
  <c r="EQ105" i="39"/>
  <c r="EX81" i="39"/>
  <c r="EO73" i="39"/>
  <c r="EP65" i="39"/>
  <c r="EV65" i="39"/>
  <c r="EM57" i="39"/>
  <c r="ER49" i="39"/>
  <c r="EQ49" i="39"/>
  <c r="EN41" i="39"/>
  <c r="EX25" i="39"/>
  <c r="EP118" i="39"/>
  <c r="EV76" i="39"/>
  <c r="EO28" i="39"/>
  <c r="EP11" i="39"/>
  <c r="EN11" i="39"/>
  <c r="EV83" i="39"/>
  <c r="EU96" i="39"/>
  <c r="ET88" i="39"/>
  <c r="ER80" i="39"/>
  <c r="EW80" i="39"/>
  <c r="EN72" i="39"/>
  <c r="EO64" i="39"/>
  <c r="EU64" i="39"/>
  <c r="EQ56" i="39"/>
  <c r="EO48" i="39"/>
  <c r="EU48" i="39"/>
  <c r="EN14" i="39"/>
  <c r="EO120" i="39"/>
  <c r="EX91" i="39"/>
  <c r="EV103" i="39"/>
  <c r="ET85" i="39"/>
  <c r="EP110" i="39"/>
  <c r="ER116" i="39"/>
  <c r="EP88" i="39"/>
  <c r="EO55" i="39"/>
  <c r="EM108" i="39"/>
  <c r="EM52" i="39"/>
  <c r="EU59" i="39"/>
  <c r="EX51" i="39"/>
  <c r="EO51" i="39"/>
  <c r="ET43" i="39"/>
  <c r="EN35" i="39"/>
  <c r="ER27" i="39"/>
  <c r="EU19" i="39"/>
  <c r="EN109" i="39"/>
  <c r="ES109" i="39"/>
  <c r="EN119" i="39"/>
  <c r="ET109" i="39"/>
  <c r="EP12" i="39"/>
  <c r="EO60" i="39"/>
  <c r="ET20" i="39"/>
  <c r="EX20" i="39"/>
  <c r="EV99" i="39"/>
  <c r="ET10" i="39"/>
  <c r="EX10" i="39"/>
  <c r="ET106" i="39"/>
  <c r="EQ98" i="39"/>
  <c r="EO98" i="39"/>
  <c r="EU90" i="39"/>
  <c r="EV74" i="39"/>
  <c r="EP66" i="39"/>
  <c r="EN58" i="39"/>
  <c r="ET77" i="39"/>
  <c r="EN121" i="39"/>
  <c r="EP72" i="39"/>
  <c r="EO39" i="39"/>
  <c r="EU108" i="39"/>
  <c r="EO52" i="39"/>
  <c r="EN59" i="39"/>
  <c r="ER51" i="39"/>
  <c r="EQ51" i="39"/>
  <c r="EM43" i="39"/>
  <c r="EP35" i="39"/>
  <c r="EV35" i="39"/>
  <c r="ES27" i="39"/>
  <c r="EP19" i="39"/>
  <c r="EN19" i="39"/>
  <c r="EV109" i="39"/>
  <c r="ER118" i="39"/>
  <c r="ET12" i="39"/>
  <c r="EX12" i="39"/>
  <c r="EW60" i="39"/>
  <c r="EM20" i="39"/>
  <c r="EQ20" i="39"/>
  <c r="EO99" i="39"/>
  <c r="EM10" i="39"/>
  <c r="EQ10" i="39"/>
  <c r="EM106" i="39"/>
  <c r="ER98" i="39"/>
  <c r="EW98" i="39"/>
  <c r="EN90" i="39"/>
  <c r="EQ74" i="39"/>
  <c r="EO74" i="39"/>
  <c r="EX66" i="39"/>
  <c r="EV58" i="39"/>
  <c r="EP50" i="39"/>
  <c r="EO34" i="39"/>
  <c r="ET26" i="39"/>
  <c r="EX26" i="39"/>
  <c r="EV18" i="39"/>
  <c r="EQ120" i="39"/>
  <c r="EQ92" i="39"/>
  <c r="EO92" i="39"/>
  <c r="EX44" i="39"/>
  <c r="EN107" i="39"/>
  <c r="ES107" i="39"/>
  <c r="EP75" i="39"/>
  <c r="EN105" i="39"/>
  <c r="ES105" i="39"/>
  <c r="EP73" i="39"/>
  <c r="ER65" i="39"/>
  <c r="EQ65" i="39"/>
  <c r="EN57" i="39"/>
  <c r="ET49" i="39"/>
  <c r="EX41" i="39"/>
  <c r="EO41" i="39"/>
  <c r="ER25" i="39"/>
  <c r="EW25" i="39"/>
  <c r="EU17" i="39"/>
  <c r="EX116" i="39"/>
  <c r="EX86" i="39"/>
  <c r="ER76" i="39"/>
  <c r="EW76" i="39"/>
  <c r="EP28" i="39"/>
  <c r="EQ11" i="39"/>
  <c r="EO11" i="39"/>
  <c r="EW83" i="39"/>
  <c r="ET69" i="39"/>
  <c r="ET91" i="39"/>
  <c r="EP76" i="39"/>
  <c r="ET113" i="39"/>
  <c r="EN108" i="39"/>
  <c r="EW52" i="39"/>
  <c r="EP59" i="39"/>
  <c r="EV59" i="39"/>
  <c r="ES51" i="39"/>
  <c r="EW51" i="39"/>
  <c r="EU43" i="39"/>
  <c r="EX35" i="39"/>
  <c r="EO35" i="39"/>
  <c r="ET27" i="39"/>
  <c r="EX19" i="39"/>
  <c r="EV19" i="39"/>
  <c r="EO109" i="39"/>
  <c r="EV117" i="39"/>
  <c r="EM12" i="39"/>
  <c r="EQ12" i="39"/>
  <c r="EP60" i="39"/>
  <c r="EU20" i="39"/>
  <c r="ER20" i="39"/>
  <c r="EW99" i="39"/>
  <c r="EU10" i="39"/>
  <c r="ER10" i="39"/>
  <c r="EU106" i="39"/>
  <c r="ES98" i="39"/>
  <c r="EV90" i="39"/>
  <c r="EM82" i="39"/>
  <c r="ER74" i="39"/>
  <c r="EW74" i="39"/>
  <c r="EQ66" i="39"/>
  <c r="EO58" i="39"/>
  <c r="EU58" i="39"/>
  <c r="EX50" i="39"/>
  <c r="EN42" i="39"/>
  <c r="EM42" i="39"/>
  <c r="EW34" i="39"/>
  <c r="EM26" i="39"/>
  <c r="EQ26" i="39"/>
  <c r="EO18" i="39"/>
  <c r="EU119" i="39"/>
  <c r="EU113" i="39"/>
  <c r="ER92" i="39"/>
  <c r="EW92" i="39"/>
  <c r="EQ44" i="39"/>
  <c r="EV107" i="39"/>
  <c r="EX75" i="39"/>
  <c r="EV105" i="39"/>
  <c r="EN81" i="39"/>
  <c r="EX73" i="39"/>
  <c r="ES65" i="39"/>
  <c r="EP57" i="39"/>
  <c r="EV57" i="39"/>
  <c r="EM49" i="39"/>
  <c r="ER41" i="39"/>
  <c r="EQ41" i="39"/>
  <c r="ES25" i="39"/>
  <c r="EP17" i="39"/>
  <c r="EN17" i="39"/>
  <c r="ET121" i="39"/>
  <c r="EP116" i="39"/>
  <c r="ES76" i="39"/>
  <c r="ET28" i="39"/>
  <c r="EX28" i="39"/>
  <c r="ER11" i="39"/>
  <c r="EW11" i="39"/>
  <c r="EP83" i="39"/>
  <c r="EQ96" i="39"/>
  <c r="EO96" i="39"/>
  <c r="EN88" i="39"/>
  <c r="EM80" i="39"/>
  <c r="ER72" i="39"/>
  <c r="EW72" i="39"/>
  <c r="EQ119" i="39"/>
  <c r="EX59" i="39"/>
  <c r="EQ35" i="39"/>
  <c r="EN117" i="39"/>
  <c r="EN10" i="39"/>
  <c r="EO90" i="39"/>
  <c r="EM58" i="39"/>
  <c r="EV34" i="39"/>
  <c r="ES18" i="39"/>
  <c r="EO107" i="39"/>
  <c r="EO105" i="39"/>
  <c r="EO65" i="39"/>
  <c r="EV41" i="39"/>
  <c r="EM17" i="39"/>
  <c r="EP108" i="39"/>
  <c r="ET76" i="39"/>
  <c r="EX11" i="39"/>
  <c r="EX83" i="39"/>
  <c r="ES88" i="39"/>
  <c r="EU80" i="39"/>
  <c r="EV72" i="39"/>
  <c r="EQ64" i="39"/>
  <c r="EX56" i="39"/>
  <c r="EP48" i="39"/>
  <c r="ER14" i="39"/>
  <c r="EW118" i="39"/>
  <c r="EX96" i="39"/>
  <c r="EW91" i="39"/>
  <c r="EO103" i="39"/>
  <c r="EU95" i="39"/>
  <c r="ES95" i="39"/>
  <c r="EX87" i="39"/>
  <c r="EW79" i="39"/>
  <c r="EN71" i="39"/>
  <c r="EV63" i="39"/>
  <c r="EU55" i="39"/>
  <c r="ET47" i="39"/>
  <c r="ER39" i="39"/>
  <c r="EX31" i="39"/>
  <c r="EO31" i="39"/>
  <c r="EM23" i="39"/>
  <c r="ER13" i="39"/>
  <c r="EV116" i="39"/>
  <c r="EX74" i="39"/>
  <c r="EM84" i="39"/>
  <c r="ER110" i="39"/>
  <c r="EW110" i="39"/>
  <c r="EN67" i="39"/>
  <c r="ER102" i="39"/>
  <c r="EW102" i="39"/>
  <c r="EN94" i="39"/>
  <c r="ET86" i="39"/>
  <c r="EQ78" i="39"/>
  <c r="EO78" i="39"/>
  <c r="EU70" i="39"/>
  <c r="EO62" i="39"/>
  <c r="EU62" i="39"/>
  <c r="EQ54" i="39"/>
  <c r="EO46" i="39"/>
  <c r="EU46" i="39"/>
  <c r="EQ38" i="39"/>
  <c r="EN30" i="39"/>
  <c r="ES30" i="39"/>
  <c r="EP22" i="39"/>
  <c r="ES112" i="39"/>
  <c r="EO59" i="39"/>
  <c r="EM27" i="39"/>
  <c r="EU12" i="39"/>
  <c r="ES10" i="39"/>
  <c r="EP34" i="39"/>
  <c r="ES92" i="39"/>
  <c r="ER107" i="39"/>
  <c r="ER105" i="39"/>
  <c r="EX57" i="39"/>
  <c r="EV17" i="39"/>
  <c r="EP92" i="39"/>
  <c r="EU76" i="39"/>
  <c r="ES11" i="39"/>
  <c r="ER83" i="39"/>
  <c r="ER96" i="39"/>
  <c r="EM88" i="39"/>
  <c r="EV80" i="39"/>
  <c r="EO72" i="39"/>
  <c r="EM64" i="39"/>
  <c r="EX48" i="39"/>
  <c r="EM14" i="39"/>
  <c r="EO118" i="39"/>
  <c r="ET75" i="39"/>
  <c r="EP91" i="39"/>
  <c r="EW103" i="39"/>
  <c r="EN95" i="39"/>
  <c r="ER87" i="39"/>
  <c r="EP79" i="39"/>
  <c r="EV71" i="39"/>
  <c r="EP63" i="39"/>
  <c r="EQ63" i="39"/>
  <c r="EN55" i="39"/>
  <c r="EM47" i="39"/>
  <c r="ET39" i="39"/>
  <c r="EQ31" i="39"/>
  <c r="EW31" i="39"/>
  <c r="EU23" i="39"/>
  <c r="ES13" i="39"/>
  <c r="EM113" i="39"/>
  <c r="ES52" i="39"/>
  <c r="ES110" i="39"/>
  <c r="ES118" i="39"/>
  <c r="EV67" i="39"/>
  <c r="ES102" i="39"/>
  <c r="EW41" i="39"/>
  <c r="ER12" i="39"/>
  <c r="EW50" i="39"/>
  <c r="EU34" i="39"/>
  <c r="EV92" i="39"/>
  <c r="EM73" i="39"/>
  <c r="EU57" i="39"/>
  <c r="EX70" i="39"/>
  <c r="EO76" i="39"/>
  <c r="EM11" i="39"/>
  <c r="ES83" i="39"/>
  <c r="ET96" i="39"/>
  <c r="EU88" i="39"/>
  <c r="EO80" i="39"/>
  <c r="ES64" i="39"/>
  <c r="EM56" i="39"/>
  <c r="EQ48" i="39"/>
  <c r="EU14" i="39"/>
  <c r="ES117" i="39"/>
  <c r="EQ91" i="39"/>
  <c r="EP103" i="39"/>
  <c r="EV95" i="39"/>
  <c r="EU87" i="39"/>
  <c r="ES87" i="39"/>
  <c r="EX79" i="39"/>
  <c r="EO71" i="39"/>
  <c r="EX63" i="39"/>
  <c r="EW63" i="39"/>
  <c r="EV55" i="39"/>
  <c r="EN47" i="39"/>
  <c r="EM39" i="39"/>
  <c r="ER31" i="39"/>
  <c r="EN23" i="39"/>
  <c r="EN113" i="39"/>
  <c r="ER121" i="39"/>
  <c r="EW27" i="39"/>
  <c r="EN84" i="39"/>
  <c r="ET110" i="39"/>
  <c r="EM67" i="39"/>
  <c r="ET102" i="39"/>
  <c r="EQ94" i="39"/>
  <c r="EO94" i="39"/>
  <c r="EU86" i="39"/>
  <c r="ES78" i="39"/>
  <c r="EP112" i="39"/>
  <c r="ET51" i="39"/>
  <c r="EQ19" i="39"/>
  <c r="EX60" i="39"/>
  <c r="EN106" i="39"/>
  <c r="EQ50" i="39"/>
  <c r="EU26" i="39"/>
  <c r="ET44" i="39"/>
  <c r="EM75" i="39"/>
  <c r="EW73" i="39"/>
  <c r="EO57" i="39"/>
  <c r="EM28" i="39"/>
  <c r="EV11" i="39"/>
  <c r="EM96" i="39"/>
  <c r="EV88" i="39"/>
  <c r="EN64" i="39"/>
  <c r="ET56" i="39"/>
  <c r="ES56" i="39"/>
  <c r="EM48" i="39"/>
  <c r="EV14" i="39"/>
  <c r="EO116" i="39"/>
  <c r="ER91" i="39"/>
  <c r="EX103" i="39"/>
  <c r="EW95" i="39"/>
  <c r="EN87" i="39"/>
  <c r="EQ79" i="39"/>
  <c r="EW71" i="39"/>
  <c r="ER63" i="39"/>
  <c r="EP55" i="39"/>
  <c r="EW55" i="39"/>
  <c r="EV47" i="39"/>
  <c r="EU39" i="39"/>
  <c r="ES31" i="39"/>
  <c r="EP23" i="39"/>
  <c r="EV23" i="39"/>
  <c r="EM13" i="39"/>
  <c r="EP113" i="39"/>
  <c r="EV120" i="39"/>
  <c r="EM110" i="39"/>
  <c r="EP67" i="39"/>
  <c r="EO67" i="39"/>
  <c r="EM102" i="39"/>
  <c r="ER94" i="39"/>
  <c r="EO19" i="39"/>
  <c r="EN20" i="39"/>
  <c r="ES74" i="39"/>
  <c r="EP26" i="39"/>
  <c r="EM121" i="39"/>
  <c r="EP44" i="39"/>
  <c r="EW75" i="39"/>
  <c r="EQ73" i="39"/>
  <c r="ES49" i="39"/>
  <c r="EQ25" i="39"/>
  <c r="EX120" i="39"/>
  <c r="EN28" i="39"/>
  <c r="EN96" i="39"/>
  <c r="EW88" i="39"/>
  <c r="EQ72" i="39"/>
  <c r="EV64" i="39"/>
  <c r="EN56" i="39"/>
  <c r="EU56" i="39"/>
  <c r="ES48" i="39"/>
  <c r="EO14" i="39"/>
  <c r="EM91" i="39"/>
  <c r="ES91" i="39"/>
  <c r="ER103" i="39"/>
  <c r="EP95" i="39"/>
  <c r="EV87" i="39"/>
  <c r="EM79" i="39"/>
  <c r="ER79" i="39"/>
  <c r="EP71" i="39"/>
  <c r="ES63" i="39"/>
  <c r="ER55" i="39"/>
  <c r="EP47" i="39"/>
  <c r="EQ47" i="39"/>
  <c r="EN39" i="39"/>
  <c r="ET31" i="39"/>
  <c r="EX23" i="39"/>
  <c r="EO23" i="39"/>
  <c r="EN13" i="39"/>
  <c r="EQ113" i="39"/>
  <c r="ER119" i="39"/>
  <c r="EX106" i="39"/>
  <c r="EV108" i="39"/>
  <c r="EN43" i="39"/>
  <c r="ES20" i="39"/>
  <c r="ET98" i="39"/>
  <c r="ET66" i="39"/>
  <c r="ER26" i="39"/>
  <c r="EM119" i="39"/>
  <c r="ER44" i="39"/>
  <c r="EQ75" i="39"/>
  <c r="EU49" i="39"/>
  <c r="ET25" i="39"/>
  <c r="ET119" i="39"/>
  <c r="EW28" i="39"/>
  <c r="EU83" i="39"/>
  <c r="EV96" i="39"/>
  <c r="EQ80" i="39"/>
  <c r="ES72" i="39"/>
  <c r="EW64" i="39"/>
  <c r="EV56" i="39"/>
  <c r="EN48" i="39"/>
  <c r="EW14" i="39"/>
  <c r="ES121" i="39"/>
  <c r="EU91" i="39"/>
  <c r="ES103" i="39"/>
  <c r="EX95" i="39"/>
  <c r="EO87" i="39"/>
  <c r="EU79" i="39"/>
  <c r="ES79" i="39"/>
  <c r="EX71" i="39"/>
  <c r="EM63" i="39"/>
  <c r="ES55" i="39"/>
  <c r="EX47" i="39"/>
  <c r="EW47" i="39"/>
  <c r="EV39" i="39"/>
  <c r="EM31" i="39"/>
  <c r="EQ23" i="39"/>
  <c r="EP13" i="39"/>
  <c r="EV13" i="39"/>
  <c r="ER113" i="39"/>
  <c r="EV118" i="39"/>
  <c r="EP96" i="39"/>
  <c r="EW84" i="39"/>
  <c r="EN110" i="39"/>
  <c r="ER67" i="39"/>
  <c r="EU67" i="39"/>
  <c r="EN102" i="39"/>
  <c r="ET94" i="39"/>
  <c r="EQ86" i="39"/>
  <c r="EO86" i="39"/>
  <c r="EU78" i="39"/>
  <c r="ES70" i="39"/>
  <c r="ET62" i="39"/>
  <c r="ER62" i="39"/>
  <c r="EW54" i="39"/>
  <c r="ET46" i="39"/>
  <c r="ER46" i="39"/>
  <c r="EW38" i="39"/>
  <c r="ET30" i="39"/>
  <c r="EX30" i="39"/>
  <c r="EV22" i="39"/>
  <c r="EV112" i="39"/>
  <c r="EU120" i="39"/>
  <c r="EP74" i="39"/>
  <c r="ET36" i="39"/>
  <c r="ER36" i="39"/>
  <c r="EO101" i="39"/>
  <c r="EO85" i="39"/>
  <c r="EM77" i="39"/>
  <c r="EQ77" i="39"/>
  <c r="EW69" i="39"/>
  <c r="EX61" i="39"/>
  <c r="EP52" i="39"/>
  <c r="EW109" i="39"/>
  <c r="ER66" i="39"/>
  <c r="EN18" i="39"/>
  <c r="EX65" i="39"/>
  <c r="EP41" i="39"/>
  <c r="EO25" i="39"/>
  <c r="ET117" i="39"/>
  <c r="EQ28" i="39"/>
  <c r="EN83" i="39"/>
  <c r="EW96" i="39"/>
  <c r="ES80" i="39"/>
  <c r="EM72" i="39"/>
  <c r="EP64" i="39"/>
  <c r="EO56" i="39"/>
  <c r="EV48" i="39"/>
  <c r="EP14" i="39"/>
  <c r="EW120" i="39"/>
  <c r="EX112" i="39"/>
  <c r="EN91" i="39"/>
  <c r="EU103" i="39"/>
  <c r="EQ95" i="39"/>
  <c r="EW87" i="39"/>
  <c r="EN79" i="39"/>
  <c r="ER71" i="39"/>
  <c r="EU63" i="39"/>
  <c r="ET55" i="39"/>
  <c r="ER47" i="39"/>
  <c r="EP39" i="39"/>
  <c r="EQ39" i="39"/>
  <c r="EU31" i="39"/>
  <c r="ES23" i="39"/>
  <c r="EX13" i="39"/>
  <c r="EO13" i="39"/>
  <c r="ES113" i="39"/>
  <c r="EN118" i="39"/>
  <c r="EX90" i="39"/>
  <c r="EV110" i="39"/>
  <c r="ES67" i="39"/>
  <c r="EV102" i="39"/>
  <c r="EM94" i="39"/>
  <c r="ER86" i="39"/>
  <c r="EW86" i="39"/>
  <c r="EN78" i="39"/>
  <c r="ET70" i="39"/>
  <c r="EN62" i="39"/>
  <c r="EM62" i="39"/>
  <c r="EP54" i="39"/>
  <c r="EN46" i="39"/>
  <c r="EM46" i="39"/>
  <c r="EP38" i="39"/>
  <c r="EM30" i="39"/>
  <c r="EQ30" i="39"/>
  <c r="EO22" i="39"/>
  <c r="EQ112" i="39"/>
  <c r="EX108" i="39"/>
  <c r="ES28" i="39"/>
  <c r="EU72" i="39"/>
  <c r="EN103" i="39"/>
  <c r="EW39" i="39"/>
  <c r="ER117" i="39"/>
  <c r="EU110" i="39"/>
  <c r="EU102" i="39"/>
  <c r="ES86" i="39"/>
  <c r="EV78" i="39"/>
  <c r="EO70" i="39"/>
  <c r="ET54" i="39"/>
  <c r="EU54" i="39"/>
  <c r="EN38" i="39"/>
  <c r="EU30" i="39"/>
  <c r="EU22" i="39"/>
  <c r="ER112" i="39"/>
  <c r="EU116" i="39"/>
  <c r="EX84" i="39"/>
  <c r="EN36" i="39"/>
  <c r="EM36" i="39"/>
  <c r="EX101" i="39"/>
  <c r="EU85" i="39"/>
  <c r="ES85" i="39"/>
  <c r="EX77" i="39"/>
  <c r="EP69" i="39"/>
  <c r="ES61" i="39"/>
  <c r="EW61" i="39"/>
  <c r="EN53" i="39"/>
  <c r="ES45" i="39"/>
  <c r="EW45" i="39"/>
  <c r="EN37" i="39"/>
  <c r="EU21" i="39"/>
  <c r="EU111" i="39"/>
  <c r="ER111" i="39"/>
  <c r="EP119" i="39"/>
  <c r="EX113" i="39"/>
  <c r="ET73" i="39"/>
  <c r="EW58" i="39"/>
  <c r="ET65" i="39"/>
  <c r="EQ14" i="39"/>
  <c r="EU71" i="39"/>
  <c r="EV31" i="39"/>
  <c r="EP80" i="39"/>
  <c r="EO110" i="39"/>
  <c r="EO102" i="39"/>
  <c r="EM86" i="39"/>
  <c r="EW78" i="39"/>
  <c r="EW70" i="39"/>
  <c r="EN54" i="39"/>
  <c r="EV46" i="39"/>
  <c r="EV38" i="39"/>
  <c r="EV30" i="39"/>
  <c r="EN22" i="39"/>
  <c r="ET112" i="39"/>
  <c r="EM116" i="39"/>
  <c r="ET79" i="39"/>
  <c r="EV36" i="39"/>
  <c r="EQ101" i="39"/>
  <c r="EN85" i="39"/>
  <c r="ER77" i="39"/>
  <c r="EX69" i="39"/>
  <c r="ET61" i="39"/>
  <c r="EP53" i="39"/>
  <c r="EV53" i="39"/>
  <c r="ET45" i="39"/>
  <c r="EP37" i="39"/>
  <c r="EV37" i="39"/>
  <c r="EP21" i="39"/>
  <c r="EN21" i="39"/>
  <c r="EN111" i="39"/>
  <c r="ES111" i="39"/>
  <c r="ET118" i="39"/>
  <c r="EX110" i="39"/>
  <c r="EW67" i="39"/>
  <c r="EP99" i="39"/>
  <c r="ES41" i="39"/>
  <c r="EO83" i="39"/>
  <c r="EX64" i="39"/>
  <c r="EM95" i="39"/>
  <c r="ES71" i="39"/>
  <c r="EN86" i="39"/>
  <c r="EV62" i="39"/>
  <c r="EV54" i="39"/>
  <c r="EW46" i="39"/>
  <c r="EO38" i="39"/>
  <c r="EO30" i="39"/>
  <c r="EW22" i="39"/>
  <c r="EM112" i="39"/>
  <c r="EW49" i="39"/>
  <c r="EO36" i="39"/>
  <c r="EM101" i="39"/>
  <c r="ER101" i="39"/>
  <c r="EV85" i="39"/>
  <c r="EU77" i="39"/>
  <c r="ES77" i="39"/>
  <c r="EQ69" i="39"/>
  <c r="EM61" i="39"/>
  <c r="EX53" i="39"/>
  <c r="EO53" i="39"/>
  <c r="EM45" i="39"/>
  <c r="EX37" i="39"/>
  <c r="EO37" i="39"/>
  <c r="EX21" i="39"/>
  <c r="EV21" i="39"/>
  <c r="EV111" i="39"/>
  <c r="EX117" i="39"/>
  <c r="ET105" i="39"/>
  <c r="EO47" i="39"/>
  <c r="EU107" i="39"/>
  <c r="EX17" i="39"/>
  <c r="EP56" i="39"/>
  <c r="ES119" i="39"/>
  <c r="ER95" i="39"/>
  <c r="ET23" i="39"/>
  <c r="EX67" i="39"/>
  <c r="ES94" i="39"/>
  <c r="EV86" i="39"/>
  <c r="EQ70" i="39"/>
  <c r="EW62" i="39"/>
  <c r="EO54" i="39"/>
  <c r="EP46" i="39"/>
  <c r="EX38" i="39"/>
  <c r="EW30" i="39"/>
  <c r="EX22" i="39"/>
  <c r="EU112" i="39"/>
  <c r="EQ121" i="39"/>
  <c r="ES22" i="39"/>
  <c r="EW36" i="39"/>
  <c r="EU101" i="39"/>
  <c r="ES101" i="39"/>
  <c r="EW85" i="39"/>
  <c r="EN77" i="39"/>
  <c r="EM69" i="39"/>
  <c r="ER69" i="39"/>
  <c r="EU61" i="39"/>
  <c r="ER53" i="39"/>
  <c r="EQ53" i="39"/>
  <c r="EU45" i="39"/>
  <c r="ER37" i="39"/>
  <c r="EQ37" i="39"/>
  <c r="EQ21" i="39"/>
  <c r="EO21" i="39"/>
  <c r="EO111" i="39"/>
  <c r="EP117" i="39"/>
  <c r="EO17" i="39"/>
  <c r="EW48" i="39"/>
  <c r="ET107" i="39"/>
  <c r="EN63" i="39"/>
  <c r="EQ13" i="39"/>
  <c r="ET67" i="39"/>
  <c r="EU94" i="39"/>
  <c r="ER70" i="39"/>
  <c r="EP62" i="39"/>
  <c r="EX54" i="39"/>
  <c r="EX46" i="39"/>
  <c r="ER38" i="39"/>
  <c r="EP30" i="39"/>
  <c r="EQ22" i="39"/>
  <c r="EN112" i="39"/>
  <c r="EM120" i="39"/>
  <c r="EP106" i="39"/>
  <c r="EP36" i="39"/>
  <c r="EN101" i="39"/>
  <c r="EP85" i="39"/>
  <c r="EV77" i="39"/>
  <c r="EU69" i="39"/>
  <c r="ES69" i="39"/>
  <c r="EN61" i="39"/>
  <c r="ES53" i="39"/>
  <c r="EW53" i="39"/>
  <c r="EN45" i="39"/>
  <c r="ES37" i="39"/>
  <c r="EW37" i="39"/>
  <c r="ER21" i="39"/>
  <c r="EW21" i="39"/>
  <c r="EW111" i="39"/>
  <c r="EX121" i="39"/>
  <c r="ET116" i="39"/>
  <c r="EX94" i="39"/>
  <c r="ER35" i="39"/>
  <c r="EW18" i="39"/>
  <c r="ER88" i="39"/>
  <c r="EP87" i="39"/>
  <c r="EM55" i="39"/>
  <c r="EW13" i="39"/>
  <c r="EO84" i="39"/>
  <c r="EQ67" i="39"/>
  <c r="EV94" i="39"/>
  <c r="ER78" i="39"/>
  <c r="EM70" i="39"/>
  <c r="EX62" i="39"/>
  <c r="ER54" i="39"/>
  <c r="EQ46" i="39"/>
  <c r="EM38" i="39"/>
  <c r="ER30" i="39"/>
  <c r="ER22" i="39"/>
  <c r="EO112" i="39"/>
  <c r="EU118" i="39"/>
  <c r="EX36" i="39"/>
  <c r="EV101" i="39"/>
  <c r="EX85" i="39"/>
  <c r="EO77" i="39"/>
  <c r="EN69" i="39"/>
  <c r="EV61" i="39"/>
  <c r="ET53" i="39"/>
  <c r="EP45" i="39"/>
  <c r="EV45" i="39"/>
  <c r="ET37" i="39"/>
  <c r="ES21" i="39"/>
  <c r="EP111" i="39"/>
  <c r="EP121" i="39"/>
  <c r="EQ90" i="39"/>
  <c r="EU105" i="39"/>
  <c r="ET80" i="39"/>
  <c r="EV91" i="39"/>
  <c r="ES47" i="39"/>
  <c r="EW94" i="39"/>
  <c r="ET78" i="39"/>
  <c r="EN70" i="39"/>
  <c r="EQ62" i="39"/>
  <c r="EM54" i="39"/>
  <c r="ES46" i="39"/>
  <c r="ES38" i="39"/>
  <c r="ET22" i="39"/>
  <c r="EW112" i="39"/>
  <c r="EM118" i="39"/>
  <c r="ET95" i="39"/>
  <c r="EQ36" i="39"/>
  <c r="EW101" i="39"/>
  <c r="EQ85" i="39"/>
  <c r="EW77" i="39"/>
  <c r="EV69" i="39"/>
  <c r="EP61" i="39"/>
  <c r="EO61" i="39"/>
  <c r="EM53" i="39"/>
  <c r="EX45" i="39"/>
  <c r="EO45" i="39"/>
  <c r="EM37" i="39"/>
  <c r="ET21" i="39"/>
  <c r="EX111" i="39"/>
  <c r="ET120" i="39"/>
  <c r="EM81" i="39"/>
  <c r="EQ76" i="39"/>
  <c r="EV79" i="39"/>
  <c r="EX39" i="39"/>
  <c r="EQ110" i="39"/>
  <c r="EQ102" i="39"/>
  <c r="EM78" i="39"/>
  <c r="EV70" i="39"/>
  <c r="ES62" i="39"/>
  <c r="ES54" i="39"/>
  <c r="ET38" i="39"/>
  <c r="EU38" i="39"/>
  <c r="EM22" i="39"/>
  <c r="EQ117" i="39"/>
  <c r="EP90" i="39"/>
  <c r="EU36" i="39"/>
  <c r="EP101" i="39"/>
  <c r="EM85" i="39"/>
  <c r="ER85" i="39"/>
  <c r="EP77" i="39"/>
  <c r="EO69" i="39"/>
  <c r="ER61" i="39"/>
  <c r="EQ61" i="39"/>
  <c r="EU53" i="39"/>
  <c r="ER45" i="39"/>
  <c r="EQ45" i="39"/>
  <c r="EU37" i="39"/>
  <c r="EM21" i="39"/>
  <c r="EM111" i="39"/>
  <c r="EQ111" i="39"/>
  <c r="EX119" i="39"/>
  <c r="EX78" i="39"/>
  <c r="DZ10" i="39"/>
  <c r="CL14" i="39"/>
  <c r="EB9" i="39" s="1"/>
  <c r="DZ12" i="39"/>
  <c r="ED12" i="39"/>
  <c r="ED104" i="39"/>
  <c r="EK96" i="39"/>
  <c r="EC88" i="39"/>
  <c r="EJ80" i="39"/>
  <c r="EB72" i="39"/>
  <c r="EH72" i="39"/>
  <c r="EA64" i="39"/>
  <c r="EF64" i="39"/>
  <c r="EH56" i="39"/>
  <c r="EE56" i="39"/>
  <c r="DZ48" i="39"/>
  <c r="ED48" i="39"/>
  <c r="EK40" i="39"/>
  <c r="EG103" i="39"/>
  <c r="EF95" i="39"/>
  <c r="ED95" i="39"/>
  <c r="EE87" i="39"/>
  <c r="EJ87" i="39"/>
  <c r="EK79" i="39"/>
  <c r="EB79" i="39"/>
  <c r="EC71" i="39"/>
  <c r="EI71" i="39"/>
  <c r="EI63" i="39"/>
  <c r="EA55" i="39"/>
  <c r="EH47" i="39"/>
  <c r="DZ39" i="39"/>
  <c r="EG31" i="39"/>
  <c r="EK31" i="39"/>
  <c r="EF23" i="39"/>
  <c r="EC23" i="39"/>
  <c r="EE13" i="39"/>
  <c r="EJ13" i="39"/>
  <c r="EC113" i="39"/>
  <c r="EI113" i="39"/>
  <c r="EK10" i="39"/>
  <c r="EK102" i="39"/>
  <c r="EC94" i="39"/>
  <c r="EJ86" i="39"/>
  <c r="EB78" i="39"/>
  <c r="EI70" i="39"/>
  <c r="DZ70" i="39"/>
  <c r="EH62" i="39"/>
  <c r="EE62" i="39"/>
  <c r="DZ54" i="39"/>
  <c r="ED54" i="39"/>
  <c r="EK46" i="39"/>
  <c r="EC38" i="39"/>
  <c r="EJ30" i="39"/>
  <c r="EB22" i="39"/>
  <c r="EE101" i="39"/>
  <c r="EJ101" i="39"/>
  <c r="EK93" i="39"/>
  <c r="EB93" i="39"/>
  <c r="EC85" i="39"/>
  <c r="EI85" i="39"/>
  <c r="EA77" i="39"/>
  <c r="EH69" i="39"/>
  <c r="EH61" i="39"/>
  <c r="DZ119" i="39"/>
  <c r="EF111" i="39"/>
  <c r="ED111" i="39"/>
  <c r="EI108" i="39"/>
  <c r="DZ108" i="39"/>
  <c r="EA100" i="39"/>
  <c r="EF100" i="39"/>
  <c r="EG92" i="39"/>
  <c r="EE92" i="39"/>
  <c r="ED84" i="39"/>
  <c r="EK76" i="39"/>
  <c r="EF68" i="39"/>
  <c r="EB60" i="39"/>
  <c r="EG52" i="39"/>
  <c r="EA44" i="39"/>
  <c r="EF44" i="39"/>
  <c r="EH36" i="39"/>
  <c r="EE36" i="39"/>
  <c r="EH107" i="39"/>
  <c r="DZ99" i="39"/>
  <c r="EG91" i="39"/>
  <c r="EH12" i="39"/>
  <c r="EE12" i="39"/>
  <c r="EG104" i="39"/>
  <c r="EE104" i="39"/>
  <c r="ED96" i="39"/>
  <c r="EK88" i="39"/>
  <c r="EC80" i="39"/>
  <c r="EJ72" i="39"/>
  <c r="EI64" i="39"/>
  <c r="EG64" i="39"/>
  <c r="EA56" i="39"/>
  <c r="EF56" i="39"/>
  <c r="EH48" i="39"/>
  <c r="EE48" i="39"/>
  <c r="DZ40" i="39"/>
  <c r="ED40" i="39"/>
  <c r="DZ103" i="39"/>
  <c r="EG95" i="39"/>
  <c r="EF87" i="39"/>
  <c r="ED87" i="39"/>
  <c r="EE79" i="39"/>
  <c r="EJ79" i="39"/>
  <c r="EK71" i="39"/>
  <c r="EB71" i="39"/>
  <c r="ED63" i="39"/>
  <c r="EB63" i="39"/>
  <c r="EI55" i="39"/>
  <c r="EA47" i="39"/>
  <c r="EH39" i="39"/>
  <c r="DZ31" i="39"/>
  <c r="EG23" i="39"/>
  <c r="EK23" i="39"/>
  <c r="EF13" i="39"/>
  <c r="EC13" i="39"/>
  <c r="EK113" i="39"/>
  <c r="EB113" i="39"/>
  <c r="ED10" i="39"/>
  <c r="ED102" i="39"/>
  <c r="EK94" i="39"/>
  <c r="EC86" i="39"/>
  <c r="EJ78" i="39"/>
  <c r="EB70" i="39"/>
  <c r="EH70" i="39"/>
  <c r="EA62" i="39"/>
  <c r="EF62" i="39"/>
  <c r="EH54" i="39"/>
  <c r="EE54" i="39"/>
  <c r="DZ46" i="39"/>
  <c r="ED46" i="39"/>
  <c r="EK38" i="39"/>
  <c r="EC30" i="39"/>
  <c r="EJ22" i="39"/>
  <c r="EF101" i="39"/>
  <c r="ED101" i="39"/>
  <c r="EE93" i="39"/>
  <c r="EJ93" i="39"/>
  <c r="EK85" i="39"/>
  <c r="EB85" i="39"/>
  <c r="EC77" i="39"/>
  <c r="EI77" i="39"/>
  <c r="EA69" i="39"/>
  <c r="EA61" i="39"/>
  <c r="EH119" i="39"/>
  <c r="EG111" i="39"/>
  <c r="EB108" i="39"/>
  <c r="EH108" i="39"/>
  <c r="EI100" i="39"/>
  <c r="EH100" i="39"/>
  <c r="EA92" i="39"/>
  <c r="EF92" i="39"/>
  <c r="EG84" i="39"/>
  <c r="EE84" i="39"/>
  <c r="DZ84" i="39"/>
  <c r="ED76" i="39"/>
  <c r="EG68" i="39"/>
  <c r="EJ60" i="39"/>
  <c r="EB52" i="39"/>
  <c r="EI44" i="39"/>
  <c r="EG44" i="39"/>
  <c r="EA36" i="39"/>
  <c r="EF36" i="39"/>
  <c r="EA107" i="39"/>
  <c r="EH99" i="39"/>
  <c r="DZ91" i="39"/>
  <c r="EG83" i="39"/>
  <c r="EF75" i="39"/>
  <c r="ED75" i="39"/>
  <c r="EF67" i="39"/>
  <c r="EG67" i="39"/>
  <c r="EE59" i="39"/>
  <c r="EJ59" i="39"/>
  <c r="ED51" i="39"/>
  <c r="EB51" i="39"/>
  <c r="EI43" i="39"/>
  <c r="EA12" i="39"/>
  <c r="EF12" i="39"/>
  <c r="EA104" i="39"/>
  <c r="EF104" i="39"/>
  <c r="EG96" i="39"/>
  <c r="EE96" i="39"/>
  <c r="ED88" i="39"/>
  <c r="EK80" i="39"/>
  <c r="EC72" i="39"/>
  <c r="EB64" i="39"/>
  <c r="EI56" i="39"/>
  <c r="EG56" i="39"/>
  <c r="EA48" i="39"/>
  <c r="EF48" i="39"/>
  <c r="EH40" i="39"/>
  <c r="EE40" i="39"/>
  <c r="EH103" i="39"/>
  <c r="DZ95" i="39"/>
  <c r="EG87" i="39"/>
  <c r="EF79" i="39"/>
  <c r="ED79" i="39"/>
  <c r="EE71" i="39"/>
  <c r="EJ71" i="39"/>
  <c r="EE63" i="39"/>
  <c r="EJ63" i="39"/>
  <c r="ED55" i="39"/>
  <c r="EB55" i="39"/>
  <c r="EI47" i="39"/>
  <c r="EA39" i="39"/>
  <c r="EH31" i="39"/>
  <c r="DZ23" i="39"/>
  <c r="EG13" i="39"/>
  <c r="EK13" i="39"/>
  <c r="EE113" i="39"/>
  <c r="EJ113" i="39"/>
  <c r="EH10" i="39"/>
  <c r="EE10" i="39"/>
  <c r="EG102" i="39"/>
  <c r="EE102" i="39"/>
  <c r="ED94" i="39"/>
  <c r="EK86" i="39"/>
  <c r="EC78" i="39"/>
  <c r="EJ70" i="39"/>
  <c r="EI62" i="39"/>
  <c r="EG62" i="39"/>
  <c r="EA54" i="39"/>
  <c r="EF54" i="39"/>
  <c r="EH46" i="39"/>
  <c r="EE46" i="39"/>
  <c r="DZ38" i="39"/>
  <c r="ED38" i="39"/>
  <c r="EK30" i="39"/>
  <c r="EC22" i="39"/>
  <c r="EG101" i="39"/>
  <c r="EF93" i="39"/>
  <c r="ED93" i="39"/>
  <c r="EE85" i="39"/>
  <c r="EJ85" i="39"/>
  <c r="EK77" i="39"/>
  <c r="EB77" i="39"/>
  <c r="EC69" i="39"/>
  <c r="EI69" i="39"/>
  <c r="EI61" i="39"/>
  <c r="EA119" i="39"/>
  <c r="DZ111" i="39"/>
  <c r="EJ108" i="39"/>
  <c r="EB100" i="39"/>
  <c r="DZ100" i="39"/>
  <c r="EI92" i="39"/>
  <c r="DZ92" i="39"/>
  <c r="EA84" i="39"/>
  <c r="EF84" i="39"/>
  <c r="EG76" i="39"/>
  <c r="EE76" i="39"/>
  <c r="EI68" i="39"/>
  <c r="EC60" i="39"/>
  <c r="EJ52" i="39"/>
  <c r="EB44" i="39"/>
  <c r="EI36" i="39"/>
  <c r="EG36" i="39"/>
  <c r="EC107" i="39"/>
  <c r="EI107" i="39"/>
  <c r="EA99" i="39"/>
  <c r="EH91" i="39"/>
  <c r="DZ83" i="39"/>
  <c r="EG75" i="39"/>
  <c r="DZ67" i="39"/>
  <c r="EK67" i="39"/>
  <c r="EF59" i="39"/>
  <c r="EC59" i="39"/>
  <c r="EE51" i="39"/>
  <c r="EJ51" i="39"/>
  <c r="EI12" i="39"/>
  <c r="EG12" i="39"/>
  <c r="EI104" i="39"/>
  <c r="DZ104" i="39"/>
  <c r="EA96" i="39"/>
  <c r="EF96" i="39"/>
  <c r="EG88" i="39"/>
  <c r="EE88" i="39"/>
  <c r="ED80" i="39"/>
  <c r="EK72" i="39"/>
  <c r="EJ64" i="39"/>
  <c r="EB56" i="39"/>
  <c r="EI48" i="39"/>
  <c r="EG48" i="39"/>
  <c r="EA40" i="39"/>
  <c r="EF40" i="39"/>
  <c r="EA103" i="39"/>
  <c r="EH95" i="39"/>
  <c r="DZ87" i="39"/>
  <c r="EG79" i="39"/>
  <c r="EF71" i="39"/>
  <c r="ED71" i="39"/>
  <c r="EF63" i="39"/>
  <c r="EC63" i="39"/>
  <c r="EE55" i="39"/>
  <c r="EJ55" i="39"/>
  <c r="ED47" i="39"/>
  <c r="EB47" i="39"/>
  <c r="EI39" i="39"/>
  <c r="EA31" i="39"/>
  <c r="EH23" i="39"/>
  <c r="DZ13" i="39"/>
  <c r="EF113" i="39"/>
  <c r="ED113" i="39"/>
  <c r="EA10" i="39"/>
  <c r="EF10" i="39"/>
  <c r="EA102" i="39"/>
  <c r="EF102" i="39"/>
  <c r="EG94" i="39"/>
  <c r="EE94" i="39"/>
  <c r="ED86" i="39"/>
  <c r="EK78" i="39"/>
  <c r="EC70" i="39"/>
  <c r="EB62" i="39"/>
  <c r="EI54" i="39"/>
  <c r="EG54" i="39"/>
  <c r="EA46" i="39"/>
  <c r="EF46" i="39"/>
  <c r="EH38" i="39"/>
  <c r="EE38" i="39"/>
  <c r="DZ30" i="39"/>
  <c r="ED30" i="39"/>
  <c r="EK22" i="39"/>
  <c r="DZ101" i="39"/>
  <c r="EG93" i="39"/>
  <c r="EF85" i="39"/>
  <c r="ED85" i="39"/>
  <c r="EE77" i="39"/>
  <c r="EJ77" i="39"/>
  <c r="EK69" i="39"/>
  <c r="EB69" i="39"/>
  <c r="ED61" i="39"/>
  <c r="EB61" i="39"/>
  <c r="EI119" i="39"/>
  <c r="EH111" i="39"/>
  <c r="EC108" i="39"/>
  <c r="EJ100" i="39"/>
  <c r="EB92" i="39"/>
  <c r="EH92" i="39"/>
  <c r="EI84" i="39"/>
  <c r="EH84" i="39"/>
  <c r="EA76" i="39"/>
  <c r="EF76" i="39"/>
  <c r="DZ68" i="39"/>
  <c r="EJ68" i="39"/>
  <c r="EK60" i="39"/>
  <c r="EC52" i="39"/>
  <c r="EJ44" i="39"/>
  <c r="EB36" i="39"/>
  <c r="EK107" i="39"/>
  <c r="EB107" i="39"/>
  <c r="EC99" i="39"/>
  <c r="EI99" i="39"/>
  <c r="EA91" i="39"/>
  <c r="EH83" i="39"/>
  <c r="DZ75" i="39"/>
  <c r="EH67" i="39"/>
  <c r="EG59" i="39"/>
  <c r="EK59" i="39"/>
  <c r="EF51" i="39"/>
  <c r="EC51" i="39"/>
  <c r="EE43" i="39"/>
  <c r="EJ43" i="39"/>
  <c r="EB12" i="39"/>
  <c r="EB104" i="39"/>
  <c r="EH104" i="39"/>
  <c r="EI96" i="39"/>
  <c r="DZ96" i="39"/>
  <c r="EA88" i="39"/>
  <c r="EF88" i="39"/>
  <c r="EG80" i="39"/>
  <c r="EE80" i="39"/>
  <c r="ED72" i="39"/>
  <c r="EC64" i="39"/>
  <c r="EJ56" i="39"/>
  <c r="EB48" i="39"/>
  <c r="EI40" i="39"/>
  <c r="EG40" i="39"/>
  <c r="EC103" i="39"/>
  <c r="EI103" i="39"/>
  <c r="EA95" i="39"/>
  <c r="EH87" i="39"/>
  <c r="DZ79" i="39"/>
  <c r="EG71" i="39"/>
  <c r="EG63" i="39"/>
  <c r="EK63" i="39"/>
  <c r="EF55" i="39"/>
  <c r="EC55" i="39"/>
  <c r="EE47" i="39"/>
  <c r="EJ47" i="39"/>
  <c r="ED39" i="39"/>
  <c r="EB39" i="39"/>
  <c r="EI31" i="39"/>
  <c r="EA23" i="39"/>
  <c r="EH13" i="39"/>
  <c r="EG113" i="39"/>
  <c r="EI10" i="39"/>
  <c r="EG10" i="39"/>
  <c r="EI102" i="39"/>
  <c r="DZ102" i="39"/>
  <c r="EA94" i="39"/>
  <c r="EF94" i="39"/>
  <c r="EG86" i="39"/>
  <c r="EE86" i="39"/>
  <c r="ED78" i="39"/>
  <c r="EK70" i="39"/>
  <c r="EJ62" i="39"/>
  <c r="EB54" i="39"/>
  <c r="EI46" i="39"/>
  <c r="EG46" i="39"/>
  <c r="EA38" i="39"/>
  <c r="EF38" i="39"/>
  <c r="EH30" i="39"/>
  <c r="EE30" i="39"/>
  <c r="DZ22" i="39"/>
  <c r="ED22" i="39"/>
  <c r="EH101" i="39"/>
  <c r="DZ93" i="39"/>
  <c r="EG85" i="39"/>
  <c r="EF77" i="39"/>
  <c r="ED77" i="39"/>
  <c r="EE69" i="39"/>
  <c r="EJ69" i="39"/>
  <c r="EE61" i="39"/>
  <c r="EJ61" i="39"/>
  <c r="ED119" i="39"/>
  <c r="EB119" i="39"/>
  <c r="EA111" i="39"/>
  <c r="EK108" i="39"/>
  <c r="EC100" i="39"/>
  <c r="EJ92" i="39"/>
  <c r="EB84" i="39"/>
  <c r="EI76" i="39"/>
  <c r="DZ76" i="39"/>
  <c r="EA68" i="39"/>
  <c r="EK68" i="39"/>
  <c r="DZ60" i="39"/>
  <c r="ED60" i="39"/>
  <c r="EK52" i="39"/>
  <c r="EJ12" i="39"/>
  <c r="EJ104" i="39"/>
  <c r="EB96" i="39"/>
  <c r="EH96" i="39"/>
  <c r="EI88" i="39"/>
  <c r="DZ88" i="39"/>
  <c r="EA80" i="39"/>
  <c r="EF80" i="39"/>
  <c r="EG72" i="39"/>
  <c r="EE72" i="39"/>
  <c r="EK64" i="39"/>
  <c r="EC56" i="39"/>
  <c r="EJ48" i="39"/>
  <c r="EB40" i="39"/>
  <c r="EK103" i="39"/>
  <c r="EB103" i="39"/>
  <c r="EC95" i="39"/>
  <c r="EI95" i="39"/>
  <c r="EA87" i="39"/>
  <c r="EH79" i="39"/>
  <c r="DZ71" i="39"/>
  <c r="DZ63" i="39"/>
  <c r="EG55" i="39"/>
  <c r="EK55" i="39"/>
  <c r="EF47" i="39"/>
  <c r="EC47" i="39"/>
  <c r="EE39" i="39"/>
  <c r="EJ39" i="39"/>
  <c r="ED31" i="39"/>
  <c r="EB31" i="39"/>
  <c r="EI23" i="39"/>
  <c r="EA13" i="39"/>
  <c r="DZ113" i="39"/>
  <c r="EB10" i="39"/>
  <c r="EB102" i="39"/>
  <c r="EH102" i="39"/>
  <c r="EI94" i="39"/>
  <c r="DZ94" i="39"/>
  <c r="EA86" i="39"/>
  <c r="EF86" i="39"/>
  <c r="EG78" i="39"/>
  <c r="EE78" i="39"/>
  <c r="ED70" i="39"/>
  <c r="EC62" i="39"/>
  <c r="EJ54" i="39"/>
  <c r="EB46" i="39"/>
  <c r="EI38" i="39"/>
  <c r="EG38" i="39"/>
  <c r="EA30" i="39"/>
  <c r="EF30" i="39"/>
  <c r="EH22" i="39"/>
  <c r="EE22" i="39"/>
  <c r="EA101" i="39"/>
  <c r="EH93" i="39"/>
  <c r="DZ85" i="39"/>
  <c r="EG77" i="39"/>
  <c r="EF69" i="39"/>
  <c r="ED69" i="39"/>
  <c r="EF61" i="39"/>
  <c r="EC61" i="39"/>
  <c r="EE119" i="39"/>
  <c r="EJ119" i="39"/>
  <c r="EC111" i="39"/>
  <c r="EI111" i="39"/>
  <c r="ED108" i="39"/>
  <c r="EK100" i="39"/>
  <c r="EC92" i="39"/>
  <c r="EJ84" i="39"/>
  <c r="EB76" i="39"/>
  <c r="EH76" i="39"/>
  <c r="EB68" i="39"/>
  <c r="EC68" i="39"/>
  <c r="EH60" i="39"/>
  <c r="EE60" i="39"/>
  <c r="DZ52" i="39"/>
  <c r="ED52" i="39"/>
  <c r="EK44" i="39"/>
  <c r="EC36" i="39"/>
  <c r="EF107" i="39"/>
  <c r="ED107" i="39"/>
  <c r="EE99" i="39"/>
  <c r="EJ99" i="39"/>
  <c r="EK91" i="39"/>
  <c r="EB91" i="39"/>
  <c r="EC83" i="39"/>
  <c r="EI83" i="39"/>
  <c r="EA75" i="39"/>
  <c r="EI67" i="39"/>
  <c r="EH59" i="39"/>
  <c r="DZ51" i="39"/>
  <c r="EC12" i="39"/>
  <c r="EC104" i="39"/>
  <c r="EJ96" i="39"/>
  <c r="EB88" i="39"/>
  <c r="EH88" i="39"/>
  <c r="EI80" i="39"/>
  <c r="DZ80" i="39"/>
  <c r="EA72" i="39"/>
  <c r="EF72" i="39"/>
  <c r="DZ64" i="39"/>
  <c r="ED64" i="39"/>
  <c r="EK56" i="39"/>
  <c r="EC48" i="39"/>
  <c r="EJ40" i="39"/>
  <c r="EE103" i="39"/>
  <c r="EJ103" i="39"/>
  <c r="EK95" i="39"/>
  <c r="EB95" i="39"/>
  <c r="EC87" i="39"/>
  <c r="EI87" i="39"/>
  <c r="EA79" i="39"/>
  <c r="EH71" i="39"/>
  <c r="EH63" i="39"/>
  <c r="DZ55" i="39"/>
  <c r="EG47" i="39"/>
  <c r="EK47" i="39"/>
  <c r="EF39" i="39"/>
  <c r="EC39" i="39"/>
  <c r="EE31" i="39"/>
  <c r="EJ31" i="39"/>
  <c r="ED23" i="39"/>
  <c r="EB23" i="39"/>
  <c r="EI13" i="39"/>
  <c r="EH113" i="39"/>
  <c r="EJ10" i="39"/>
  <c r="EJ102" i="39"/>
  <c r="EB94" i="39"/>
  <c r="EH94" i="39"/>
  <c r="EI86" i="39"/>
  <c r="DZ86" i="39"/>
  <c r="EA78" i="39"/>
  <c r="EF78" i="39"/>
  <c r="EH78" i="39"/>
  <c r="EG70" i="39"/>
  <c r="EE70" i="39"/>
  <c r="EK62" i="39"/>
  <c r="EC54" i="39"/>
  <c r="EJ46" i="39"/>
  <c r="EB38" i="39"/>
  <c r="EI30" i="39"/>
  <c r="EG30" i="39"/>
  <c r="EA22" i="39"/>
  <c r="EF22" i="39"/>
  <c r="EC101" i="39"/>
  <c r="EI101" i="39"/>
  <c r="EA93" i="39"/>
  <c r="EH85" i="39"/>
  <c r="DZ77" i="39"/>
  <c r="EG69" i="39"/>
  <c r="EG61" i="39"/>
  <c r="EK61" i="39"/>
  <c r="EF119" i="39"/>
  <c r="EC119" i="39"/>
  <c r="EK111" i="39"/>
  <c r="EB111" i="39"/>
  <c r="EG108" i="39"/>
  <c r="EE108" i="39"/>
  <c r="ED100" i="39"/>
  <c r="EK92" i="39"/>
  <c r="EC84" i="39"/>
  <c r="EJ76" i="39"/>
  <c r="ED68" i="39"/>
  <c r="EH68" i="39"/>
  <c r="EA60" i="39"/>
  <c r="EF60" i="39"/>
  <c r="EH52" i="39"/>
  <c r="EE52" i="39"/>
  <c r="DZ44" i="39"/>
  <c r="ED44" i="39"/>
  <c r="EK36" i="39"/>
  <c r="EG107" i="39"/>
  <c r="EF99" i="39"/>
  <c r="ED99" i="39"/>
  <c r="EE91" i="39"/>
  <c r="EJ91" i="39"/>
  <c r="EK83" i="39"/>
  <c r="EB83" i="39"/>
  <c r="EC75" i="39"/>
  <c r="EI75" i="39"/>
  <c r="EB67" i="39"/>
  <c r="EA59" i="39"/>
  <c r="EH51" i="39"/>
  <c r="DZ43" i="39"/>
  <c r="EK12" i="39"/>
  <c r="EK104" i="39"/>
  <c r="EC96" i="39"/>
  <c r="EJ88" i="39"/>
  <c r="EB80" i="39"/>
  <c r="EH80" i="39"/>
  <c r="EI72" i="39"/>
  <c r="DZ72" i="39"/>
  <c r="EH64" i="39"/>
  <c r="EE64" i="39"/>
  <c r="DZ56" i="39"/>
  <c r="ED56" i="39"/>
  <c r="EK48" i="39"/>
  <c r="EC40" i="39"/>
  <c r="EF103" i="39"/>
  <c r="ED103" i="39"/>
  <c r="EE95" i="39"/>
  <c r="EJ95" i="39"/>
  <c r="EK87" i="39"/>
  <c r="EB87" i="39"/>
  <c r="EC79" i="39"/>
  <c r="EI79" i="39"/>
  <c r="EA71" i="39"/>
  <c r="EA63" i="39"/>
  <c r="EH55" i="39"/>
  <c r="DZ47" i="39"/>
  <c r="EG39" i="39"/>
  <c r="EK39" i="39"/>
  <c r="EF31" i="39"/>
  <c r="EC31" i="39"/>
  <c r="EE23" i="39"/>
  <c r="EJ23" i="39"/>
  <c r="ED13" i="39"/>
  <c r="EB13" i="39"/>
  <c r="EA113" i="39"/>
  <c r="EC10" i="39"/>
  <c r="EC102" i="39"/>
  <c r="EJ94" i="39"/>
  <c r="EB86" i="39"/>
  <c r="EH86" i="39"/>
  <c r="EI78" i="39"/>
  <c r="DZ78" i="39"/>
  <c r="EA70" i="39"/>
  <c r="EF70" i="39"/>
  <c r="DZ62" i="39"/>
  <c r="ED62" i="39"/>
  <c r="EK54" i="39"/>
  <c r="EC46" i="39"/>
  <c r="EJ38" i="39"/>
  <c r="EB30" i="39"/>
  <c r="EI22" i="39"/>
  <c r="EG22" i="39"/>
  <c r="EK101" i="39"/>
  <c r="EB101" i="39"/>
  <c r="EC93" i="39"/>
  <c r="EI93" i="39"/>
  <c r="EA85" i="39"/>
  <c r="EH77" i="39"/>
  <c r="DZ69" i="39"/>
  <c r="DZ61" i="39"/>
  <c r="EG119" i="39"/>
  <c r="EK119" i="39"/>
  <c r="EE111" i="39"/>
  <c r="EJ111" i="39"/>
  <c r="EA108" i="39"/>
  <c r="EF108" i="39"/>
  <c r="EG100" i="39"/>
  <c r="EE100" i="39"/>
  <c r="ED92" i="39"/>
  <c r="EK84" i="39"/>
  <c r="EC76" i="39"/>
  <c r="EE68" i="39"/>
  <c r="EI60" i="39"/>
  <c r="EG60" i="39"/>
  <c r="EA52" i="39"/>
  <c r="EF52" i="39"/>
  <c r="EH44" i="39"/>
  <c r="EE44" i="39"/>
  <c r="DZ36" i="39"/>
  <c r="ED36" i="39"/>
  <c r="EC44" i="39"/>
  <c r="EJ107" i="39"/>
  <c r="EB99" i="39"/>
  <c r="EI91" i="39"/>
  <c r="EF83" i="39"/>
  <c r="EB59" i="39"/>
  <c r="EI51" i="39"/>
  <c r="EF43" i="39"/>
  <c r="EI106" i="39"/>
  <c r="DZ106" i="39"/>
  <c r="EA98" i="39"/>
  <c r="EF98" i="39"/>
  <c r="EG90" i="39"/>
  <c r="EE90" i="39"/>
  <c r="ED82" i="39"/>
  <c r="EK74" i="39"/>
  <c r="EJ66" i="39"/>
  <c r="EB58" i="39"/>
  <c r="EI50" i="39"/>
  <c r="EG50" i="39"/>
  <c r="EA42" i="39"/>
  <c r="EF42" i="39"/>
  <c r="ED121" i="39"/>
  <c r="EB121" i="39"/>
  <c r="DZ105" i="39"/>
  <c r="EG97" i="39"/>
  <c r="EE81" i="39"/>
  <c r="EJ81" i="39"/>
  <c r="EK73" i="39"/>
  <c r="EB73" i="39"/>
  <c r="ED65" i="39"/>
  <c r="EB65" i="39"/>
  <c r="EI57" i="39"/>
  <c r="EA49" i="39"/>
  <c r="EH41" i="39"/>
  <c r="DZ33" i="39"/>
  <c r="EG25" i="39"/>
  <c r="EK25" i="39"/>
  <c r="EF17" i="39"/>
  <c r="EK17" i="39"/>
  <c r="DZ120" i="39"/>
  <c r="ED120" i="39"/>
  <c r="EJ112" i="39"/>
  <c r="EH53" i="39"/>
  <c r="EH45" i="39"/>
  <c r="EH37" i="39"/>
  <c r="EH29" i="39"/>
  <c r="EH21" i="39"/>
  <c r="EK28" i="39"/>
  <c r="EK20" i="39"/>
  <c r="EK118" i="39"/>
  <c r="EB110" i="39"/>
  <c r="EH110" i="39"/>
  <c r="EE35" i="39"/>
  <c r="EJ35" i="39"/>
  <c r="EE27" i="39"/>
  <c r="EJ27" i="39"/>
  <c r="EE19" i="39"/>
  <c r="EJ19" i="39"/>
  <c r="EG117" i="39"/>
  <c r="EF117" i="39"/>
  <c r="DZ109" i="39"/>
  <c r="EC34" i="39"/>
  <c r="EC26" i="39"/>
  <c r="ED91" i="39"/>
  <c r="EA83" i="39"/>
  <c r="EK75" i="39"/>
  <c r="EK51" i="39"/>
  <c r="EG43" i="39"/>
  <c r="EB106" i="39"/>
  <c r="EH106" i="39"/>
  <c r="EI98" i="39"/>
  <c r="DZ98" i="39"/>
  <c r="EA90" i="39"/>
  <c r="EF90" i="39"/>
  <c r="EG82" i="39"/>
  <c r="EE82" i="39"/>
  <c r="ED74" i="39"/>
  <c r="ED66" i="39"/>
  <c r="EJ58" i="39"/>
  <c r="EB50" i="39"/>
  <c r="EI42" i="39"/>
  <c r="EG42" i="39"/>
  <c r="EE121" i="39"/>
  <c r="EJ121" i="39"/>
  <c r="EH105" i="39"/>
  <c r="DZ97" i="39"/>
  <c r="EF81" i="39"/>
  <c r="ED81" i="39"/>
  <c r="EE73" i="39"/>
  <c r="EJ73" i="39"/>
  <c r="EE65" i="39"/>
  <c r="EJ65" i="39"/>
  <c r="ED57" i="39"/>
  <c r="EB57" i="39"/>
  <c r="EI49" i="39"/>
  <c r="EA41" i="39"/>
  <c r="EH33" i="39"/>
  <c r="DZ25" i="39"/>
  <c r="EG17" i="39"/>
  <c r="EC17" i="39"/>
  <c r="EH120" i="39"/>
  <c r="EE120" i="39"/>
  <c r="EC112" i="39"/>
  <c r="EA53" i="39"/>
  <c r="EA45" i="39"/>
  <c r="EA37" i="39"/>
  <c r="EA29" i="39"/>
  <c r="EA21" i="39"/>
  <c r="DZ28" i="39"/>
  <c r="ED28" i="39"/>
  <c r="DZ20" i="39"/>
  <c r="ED20" i="39"/>
  <c r="DZ118" i="39"/>
  <c r="ED118" i="39"/>
  <c r="EJ110" i="39"/>
  <c r="EF35" i="39"/>
  <c r="EC35" i="39"/>
  <c r="EF27" i="39"/>
  <c r="EC27" i="39"/>
  <c r="EF19" i="39"/>
  <c r="EC19" i="39"/>
  <c r="EA117" i="39"/>
  <c r="EH117" i="39"/>
  <c r="EH109" i="39"/>
  <c r="EK34" i="39"/>
  <c r="EK26" i="39"/>
  <c r="EK18" i="39"/>
  <c r="EJ116" i="39"/>
  <c r="EK115" i="39"/>
  <c r="ED115" i="39"/>
  <c r="EH32" i="39"/>
  <c r="EE32" i="39"/>
  <c r="EH24" i="39"/>
  <c r="EE24" i="39"/>
  <c r="EH14" i="39"/>
  <c r="EE14" i="39"/>
  <c r="EA114" i="39"/>
  <c r="ED114" i="39"/>
  <c r="DZ11" i="39"/>
  <c r="EJ83" i="39"/>
  <c r="EE75" i="39"/>
  <c r="EH43" i="39"/>
  <c r="EJ106" i="39"/>
  <c r="EB98" i="39"/>
  <c r="EH98" i="39"/>
  <c r="EI90" i="39"/>
  <c r="DZ90" i="39"/>
  <c r="EA82" i="39"/>
  <c r="EF82" i="39"/>
  <c r="EG74" i="39"/>
  <c r="EE74" i="39"/>
  <c r="EE66" i="39"/>
  <c r="EC58" i="39"/>
  <c r="EJ50" i="39"/>
  <c r="EB42" i="39"/>
  <c r="EF121" i="39"/>
  <c r="EC121" i="39"/>
  <c r="EA105" i="39"/>
  <c r="EH97" i="39"/>
  <c r="EG81" i="39"/>
  <c r="EF73" i="39"/>
  <c r="EF65" i="39"/>
  <c r="EK65" i="39"/>
  <c r="EE57" i="39"/>
  <c r="EJ57" i="39"/>
  <c r="ED49" i="39"/>
  <c r="EB49" i="39"/>
  <c r="EI41" i="39"/>
  <c r="EA33" i="39"/>
  <c r="EH25" i="39"/>
  <c r="DZ17" i="39"/>
  <c r="EA120" i="39"/>
  <c r="EF120" i="39"/>
  <c r="EK112" i="39"/>
  <c r="EI53" i="39"/>
  <c r="EI45" i="39"/>
  <c r="EI37" i="39"/>
  <c r="EI29" i="39"/>
  <c r="EI21" i="39"/>
  <c r="EH28" i="39"/>
  <c r="EE28" i="39"/>
  <c r="EH20" i="39"/>
  <c r="EE20" i="39"/>
  <c r="EH118" i="39"/>
  <c r="EE118" i="39"/>
  <c r="EC110" i="39"/>
  <c r="EG35" i="39"/>
  <c r="EK35" i="39"/>
  <c r="EG27" i="39"/>
  <c r="EK27" i="39"/>
  <c r="EG19" i="39"/>
  <c r="EK19" i="39"/>
  <c r="EI117" i="39"/>
  <c r="EK117" i="39"/>
  <c r="EA109" i="39"/>
  <c r="DZ34" i="39"/>
  <c r="ED34" i="39"/>
  <c r="DZ26" i="39"/>
  <c r="ED26" i="39"/>
  <c r="DZ18" i="39"/>
  <c r="ED18" i="39"/>
  <c r="EG116" i="39"/>
  <c r="DZ116" i="39"/>
  <c r="EE115" i="39"/>
  <c r="EF115" i="39"/>
  <c r="EA32" i="39"/>
  <c r="EF32" i="39"/>
  <c r="EA24" i="39"/>
  <c r="EF24" i="39"/>
  <c r="EA14" i="39"/>
  <c r="EF14" i="39"/>
  <c r="EI114" i="39"/>
  <c r="EH114" i="39"/>
  <c r="EH11" i="39"/>
  <c r="EE11" i="39"/>
  <c r="EJ11" i="39"/>
  <c r="EF11" i="39"/>
  <c r="EC115" i="39"/>
  <c r="DZ32" i="39"/>
  <c r="ED32" i="39"/>
  <c r="ED83" i="39"/>
  <c r="EH75" i="39"/>
  <c r="ED67" i="39"/>
  <c r="EA43" i="39"/>
  <c r="EC106" i="39"/>
  <c r="EJ98" i="39"/>
  <c r="EB90" i="39"/>
  <c r="EH90" i="39"/>
  <c r="EI82" i="39"/>
  <c r="DZ82" i="39"/>
  <c r="EA74" i="39"/>
  <c r="EF74" i="39"/>
  <c r="DZ66" i="39"/>
  <c r="EF66" i="39"/>
  <c r="EK58" i="39"/>
  <c r="EC50" i="39"/>
  <c r="EJ42" i="39"/>
  <c r="EG121" i="39"/>
  <c r="EK121" i="39"/>
  <c r="EC105" i="39"/>
  <c r="EI105" i="39"/>
  <c r="EA97" i="39"/>
  <c r="DZ81" i="39"/>
  <c r="EG73" i="39"/>
  <c r="EG65" i="39"/>
  <c r="EC65" i="39"/>
  <c r="EF57" i="39"/>
  <c r="EC57" i="39"/>
  <c r="EE49" i="39"/>
  <c r="EJ49" i="39"/>
  <c r="ED41" i="39"/>
  <c r="EB41" i="39"/>
  <c r="EI33" i="39"/>
  <c r="EA25" i="39"/>
  <c r="EH17" i="39"/>
  <c r="EI120" i="39"/>
  <c r="EG120" i="39"/>
  <c r="ED112" i="39"/>
  <c r="ED53" i="39"/>
  <c r="EB53" i="39"/>
  <c r="ED45" i="39"/>
  <c r="EB45" i="39"/>
  <c r="ED37" i="39"/>
  <c r="EB37" i="39"/>
  <c r="ED29" i="39"/>
  <c r="EB29" i="39"/>
  <c r="ED21" i="39"/>
  <c r="EB21" i="39"/>
  <c r="EA28" i="39"/>
  <c r="EF28" i="39"/>
  <c r="EA20" i="39"/>
  <c r="EF20" i="39"/>
  <c r="EA118" i="39"/>
  <c r="EF118" i="39"/>
  <c r="EK110" i="39"/>
  <c r="DZ35" i="39"/>
  <c r="DZ27" i="39"/>
  <c r="DZ19" i="39"/>
  <c r="EB117" i="39"/>
  <c r="EC109" i="39"/>
  <c r="EI109" i="39"/>
  <c r="EH34" i="39"/>
  <c r="EE34" i="39"/>
  <c r="EH26" i="39"/>
  <c r="EE26" i="39"/>
  <c r="EH18" i="39"/>
  <c r="EE18" i="39"/>
  <c r="EA116" i="39"/>
  <c r="EB116" i="39"/>
  <c r="EG115" i="39"/>
  <c r="EH115" i="39"/>
  <c r="EI32" i="39"/>
  <c r="EG32" i="39"/>
  <c r="EI24" i="39"/>
  <c r="EG24" i="39"/>
  <c r="EI14" i="39"/>
  <c r="EG14" i="39"/>
  <c r="EB114" i="39"/>
  <c r="EJ114" i="39"/>
  <c r="EA11" i="39"/>
  <c r="EI11" i="39"/>
  <c r="EI34" i="39"/>
  <c r="EK116" i="39"/>
  <c r="EH116" i="39"/>
  <c r="EK14" i="39"/>
  <c r="ED14" i="39"/>
  <c r="EG114" i="39"/>
  <c r="DZ114" i="39"/>
  <c r="EB75" i="39"/>
  <c r="EE67" i="39"/>
  <c r="EB43" i="39"/>
  <c r="EK106" i="39"/>
  <c r="EC98" i="39"/>
  <c r="EJ90" i="39"/>
  <c r="EB82" i="39"/>
  <c r="EH82" i="39"/>
  <c r="EI74" i="39"/>
  <c r="DZ74" i="39"/>
  <c r="EH66" i="39"/>
  <c r="EC66" i="39"/>
  <c r="DZ58" i="39"/>
  <c r="ED58" i="39"/>
  <c r="EK50" i="39"/>
  <c r="EC42" i="39"/>
  <c r="DZ121" i="39"/>
  <c r="EK105" i="39"/>
  <c r="EB105" i="39"/>
  <c r="EC97" i="39"/>
  <c r="EI97" i="39"/>
  <c r="EH81" i="39"/>
  <c r="DZ73" i="39"/>
  <c r="DZ65" i="39"/>
  <c r="EG57" i="39"/>
  <c r="EK57" i="39"/>
  <c r="EF49" i="39"/>
  <c r="EK49" i="39"/>
  <c r="EE41" i="39"/>
  <c r="EJ41" i="39"/>
  <c r="ED33" i="39"/>
  <c r="EB33" i="39"/>
  <c r="EI25" i="39"/>
  <c r="EA17" i="39"/>
  <c r="EB120" i="39"/>
  <c r="EG112" i="39"/>
  <c r="EE112" i="39"/>
  <c r="EE53" i="39"/>
  <c r="EJ53" i="39"/>
  <c r="EE45" i="39"/>
  <c r="EJ45" i="39"/>
  <c r="EE37" i="39"/>
  <c r="EJ37" i="39"/>
  <c r="EE29" i="39"/>
  <c r="EJ29" i="39"/>
  <c r="EE21" i="39"/>
  <c r="EJ21" i="39"/>
  <c r="EI28" i="39"/>
  <c r="EG28" i="39"/>
  <c r="EI20" i="39"/>
  <c r="EG20" i="39"/>
  <c r="EI118" i="39"/>
  <c r="EG118" i="39"/>
  <c r="ED110" i="39"/>
  <c r="EH35" i="39"/>
  <c r="EH27" i="39"/>
  <c r="EH19" i="39"/>
  <c r="EJ117" i="39"/>
  <c r="EK109" i="39"/>
  <c r="EB109" i="39"/>
  <c r="EA34" i="39"/>
  <c r="EF34" i="39"/>
  <c r="EA26" i="39"/>
  <c r="EF26" i="39"/>
  <c r="EA18" i="39"/>
  <c r="EF18" i="39"/>
  <c r="EC116" i="39"/>
  <c r="ED116" i="39"/>
  <c r="EA115" i="39"/>
  <c r="EB32" i="39"/>
  <c r="EB24" i="39"/>
  <c r="EB14" i="39"/>
  <c r="EC114" i="39"/>
  <c r="EG34" i="39"/>
  <c r="EJ32" i="39"/>
  <c r="EJ24" i="39"/>
  <c r="EK114" i="39"/>
  <c r="ED11" i="39"/>
  <c r="EB11" i="39"/>
  <c r="EF114" i="39"/>
  <c r="EJ75" i="39"/>
  <c r="EA67" i="39"/>
  <c r="ED59" i="39"/>
  <c r="EC43" i="39"/>
  <c r="ED106" i="39"/>
  <c r="EK98" i="39"/>
  <c r="EC90" i="39"/>
  <c r="EJ82" i="39"/>
  <c r="EB74" i="39"/>
  <c r="EH74" i="39"/>
  <c r="EA66" i="39"/>
  <c r="EG66" i="39"/>
  <c r="EH58" i="39"/>
  <c r="EE58" i="39"/>
  <c r="DZ50" i="39"/>
  <c r="ED50" i="39"/>
  <c r="EK42" i="39"/>
  <c r="EH121" i="39"/>
  <c r="EE105" i="39"/>
  <c r="EJ105" i="39"/>
  <c r="EK97" i="39"/>
  <c r="EB97" i="39"/>
  <c r="EA81" i="39"/>
  <c r="EH73" i="39"/>
  <c r="EH65" i="39"/>
  <c r="DZ57" i="39"/>
  <c r="EG49" i="39"/>
  <c r="EC49" i="39"/>
  <c r="EF41" i="39"/>
  <c r="EC41" i="39"/>
  <c r="EE33" i="39"/>
  <c r="EJ33" i="39"/>
  <c r="ED25" i="39"/>
  <c r="EB25" i="39"/>
  <c r="EI17" i="39"/>
  <c r="EJ120" i="39"/>
  <c r="EA112" i="39"/>
  <c r="EF112" i="39"/>
  <c r="EF53" i="39"/>
  <c r="EC53" i="39"/>
  <c r="EF45" i="39"/>
  <c r="EC45" i="39"/>
  <c r="EF37" i="39"/>
  <c r="EC37" i="39"/>
  <c r="EF29" i="39"/>
  <c r="EC29" i="39"/>
  <c r="EF21" i="39"/>
  <c r="EC21" i="39"/>
  <c r="EB28" i="39"/>
  <c r="EB20" i="39"/>
  <c r="EB118" i="39"/>
  <c r="EG110" i="39"/>
  <c r="EE110" i="39"/>
  <c r="EA35" i="39"/>
  <c r="EA27" i="39"/>
  <c r="EA19" i="39"/>
  <c r="DZ117" i="39"/>
  <c r="EE109" i="39"/>
  <c r="EJ109" i="39"/>
  <c r="EI26" i="39"/>
  <c r="EG26" i="39"/>
  <c r="EI18" i="39"/>
  <c r="EG18" i="39"/>
  <c r="EI115" i="39"/>
  <c r="EJ14" i="39"/>
  <c r="EI116" i="39"/>
  <c r="DZ24" i="39"/>
  <c r="ED24" i="39"/>
  <c r="EK11" i="39"/>
  <c r="EJ36" i="39"/>
  <c r="EE107" i="39"/>
  <c r="EK99" i="39"/>
  <c r="EC91" i="39"/>
  <c r="EJ67" i="39"/>
  <c r="DZ59" i="39"/>
  <c r="EG51" i="39"/>
  <c r="EK43" i="39"/>
  <c r="EG106" i="39"/>
  <c r="EE106" i="39"/>
  <c r="ED98" i="39"/>
  <c r="EK90" i="39"/>
  <c r="EC82" i="39"/>
  <c r="EJ74" i="39"/>
  <c r="EI66" i="39"/>
  <c r="EK66" i="39"/>
  <c r="EA58" i="39"/>
  <c r="EF58" i="39"/>
  <c r="EH50" i="39"/>
  <c r="EE50" i="39"/>
  <c r="DZ42" i="39"/>
  <c r="ED42" i="39"/>
  <c r="EA121" i="39"/>
  <c r="EF105" i="39"/>
  <c r="ED105" i="39"/>
  <c r="EE97" i="39"/>
  <c r="EJ97" i="39"/>
  <c r="EC81" i="39"/>
  <c r="EI81" i="39"/>
  <c r="EA73" i="39"/>
  <c r="ED73" i="39"/>
  <c r="EA65" i="39"/>
  <c r="EH57" i="39"/>
  <c r="DZ49" i="39"/>
  <c r="EG41" i="39"/>
  <c r="EK41" i="39"/>
  <c r="EF33" i="39"/>
  <c r="EK33" i="39"/>
  <c r="EE25" i="39"/>
  <c r="EJ25" i="39"/>
  <c r="ED17" i="39"/>
  <c r="EB17" i="39"/>
  <c r="EC120" i="39"/>
  <c r="EI112" i="39"/>
  <c r="DZ112" i="39"/>
  <c r="EG53" i="39"/>
  <c r="EK53" i="39"/>
  <c r="EG45" i="39"/>
  <c r="EK45" i="39"/>
  <c r="EG37" i="39"/>
  <c r="EK37" i="39"/>
  <c r="EG29" i="39"/>
  <c r="EK29" i="39"/>
  <c r="EG21" i="39"/>
  <c r="EK21" i="39"/>
  <c r="EJ28" i="39"/>
  <c r="EJ20" i="39"/>
  <c r="EJ118" i="39"/>
  <c r="EA110" i="39"/>
  <c r="EF110" i="39"/>
  <c r="EI35" i="39"/>
  <c r="EI27" i="39"/>
  <c r="EI19" i="39"/>
  <c r="ED117" i="39"/>
  <c r="EF109" i="39"/>
  <c r="ED109" i="39"/>
  <c r="EB34" i="39"/>
  <c r="EB26" i="39"/>
  <c r="EB18" i="39"/>
  <c r="EE116" i="39"/>
  <c r="EB115" i="39"/>
  <c r="EC32" i="39"/>
  <c r="EC24" i="39"/>
  <c r="EC14" i="39"/>
  <c r="EE114" i="39"/>
  <c r="EC18" i="39"/>
  <c r="DZ115" i="39"/>
  <c r="EG11" i="39"/>
  <c r="DZ107" i="39"/>
  <c r="EG99" i="39"/>
  <c r="EF91" i="39"/>
  <c r="EE83" i="39"/>
  <c r="EC67" i="39"/>
  <c r="EI59" i="39"/>
  <c r="EA51" i="39"/>
  <c r="ED43" i="39"/>
  <c r="EA106" i="39"/>
  <c r="EF106" i="39"/>
  <c r="EG98" i="39"/>
  <c r="EE98" i="39"/>
  <c r="ED90" i="39"/>
  <c r="EK82" i="39"/>
  <c r="EC74" i="39"/>
  <c r="EB66" i="39"/>
  <c r="EI58" i="39"/>
  <c r="EG58" i="39"/>
  <c r="EA50" i="39"/>
  <c r="EF50" i="39"/>
  <c r="EH42" i="39"/>
  <c r="EE42" i="39"/>
  <c r="EI121" i="39"/>
  <c r="EG105" i="39"/>
  <c r="EF97" i="39"/>
  <c r="ED97" i="39"/>
  <c r="EK81" i="39"/>
  <c r="EB81" i="39"/>
  <c r="EC73" i="39"/>
  <c r="EI73" i="39"/>
  <c r="EI65" i="39"/>
  <c r="EA57" i="39"/>
  <c r="EH49" i="39"/>
  <c r="DZ41" i="39"/>
  <c r="EG33" i="39"/>
  <c r="EC33" i="39"/>
  <c r="EF25" i="39"/>
  <c r="EC25" i="39"/>
  <c r="EE17" i="39"/>
  <c r="EJ17" i="39"/>
  <c r="EK120" i="39"/>
  <c r="EB112" i="39"/>
  <c r="EH112" i="39"/>
  <c r="DZ53" i="39"/>
  <c r="DZ45" i="39"/>
  <c r="DZ37" i="39"/>
  <c r="DZ29" i="39"/>
  <c r="DZ21" i="39"/>
  <c r="EC28" i="39"/>
  <c r="EC20" i="39"/>
  <c r="EC118" i="39"/>
  <c r="EI110" i="39"/>
  <c r="DZ110" i="39"/>
  <c r="ED35" i="39"/>
  <c r="EB35" i="39"/>
  <c r="ED27" i="39"/>
  <c r="EB27" i="39"/>
  <c r="ED19" i="39"/>
  <c r="EB19" i="39"/>
  <c r="EC117" i="39"/>
  <c r="EE117" i="39"/>
  <c r="EG109" i="39"/>
  <c r="EJ34" i="39"/>
  <c r="EJ26" i="39"/>
  <c r="EJ18" i="39"/>
  <c r="EF116" i="39"/>
  <c r="EJ115" i="39"/>
  <c r="EK32" i="39"/>
  <c r="EK24" i="39"/>
  <c r="EC11" i="39"/>
  <c r="DZ14" i="39"/>
  <c r="HF75" i="39"/>
  <c r="HF12" i="39"/>
  <c r="CH29" i="39"/>
  <c r="CP29" i="39"/>
  <c r="CK29" i="39"/>
  <c r="CK25" i="39"/>
  <c r="CP25" i="39"/>
  <c r="CH25" i="39"/>
  <c r="CH21" i="39"/>
  <c r="CP21" i="39"/>
  <c r="CK21" i="39"/>
  <c r="CK17" i="39"/>
  <c r="CH17" i="39"/>
  <c r="CP17" i="39"/>
  <c r="CH14" i="39"/>
  <c r="CP14" i="39"/>
  <c r="CP28" i="39"/>
  <c r="CH28" i="39"/>
  <c r="CK28" i="39"/>
  <c r="CK24" i="39"/>
  <c r="CH24" i="39"/>
  <c r="CP24" i="39"/>
  <c r="CH20" i="39"/>
  <c r="CP20" i="39"/>
  <c r="CK20" i="39"/>
  <c r="CK16" i="39"/>
  <c r="CH16" i="39"/>
  <c r="CP16" i="39"/>
  <c r="CP27" i="39"/>
  <c r="CK27" i="39"/>
  <c r="CH27" i="39"/>
  <c r="CH23" i="39"/>
  <c r="CK23" i="39"/>
  <c r="CP23" i="39"/>
  <c r="CP19" i="39"/>
  <c r="CK19" i="39"/>
  <c r="CH19" i="39"/>
  <c r="CH15" i="39"/>
  <c r="CK15" i="39"/>
  <c r="CP15" i="39"/>
  <c r="CH30" i="39"/>
  <c r="CP30" i="39"/>
  <c r="CK30" i="39"/>
  <c r="CP26" i="39"/>
  <c r="CK26" i="39"/>
  <c r="CH26" i="39"/>
  <c r="CH22" i="39"/>
  <c r="CP22" i="39"/>
  <c r="CK22" i="39"/>
  <c r="CP18" i="39"/>
  <c r="CK18" i="39"/>
  <c r="CH18" i="39"/>
  <c r="GM17" i="39" l="1" a="1"/>
  <c r="GM17" i="39" s="1"/>
  <c r="GN17" i="39" s="1"/>
  <c r="EI52" i="39"/>
  <c r="GM82" i="39" a="1"/>
  <c r="GM82" i="39" s="1"/>
  <c r="GM107" i="39" a="1"/>
  <c r="GM107" i="39" s="1"/>
  <c r="GM33" i="39" a="1"/>
  <c r="GM33" i="39" s="1"/>
  <c r="GN33" i="39" s="1"/>
  <c r="GM48" i="39" a="1"/>
  <c r="GM48" i="39" s="1"/>
  <c r="GM86" i="39" a="1"/>
  <c r="GM86" i="39" s="1"/>
  <c r="GM84" i="39" a="1"/>
  <c r="GM84" i="39" s="1"/>
  <c r="GN84" i="39" s="1"/>
  <c r="GM115" i="39" a="1"/>
  <c r="GM115" i="39" s="1"/>
  <c r="GM87" i="39" a="1"/>
  <c r="GM87" i="39" s="1"/>
  <c r="EI89" i="39"/>
  <c r="DZ9" i="39"/>
  <c r="EF9" i="39"/>
  <c r="EE89" i="39"/>
  <c r="GM89" i="39" a="1"/>
  <c r="GM89" i="39" s="1"/>
  <c r="GM9" i="39" a="1"/>
  <c r="GM9" i="39" s="1"/>
  <c r="EC89" i="39"/>
  <c r="EA89" i="39"/>
  <c r="ED89" i="39"/>
  <c r="EG9" i="39"/>
  <c r="EB89" i="39"/>
  <c r="EA9" i="39"/>
  <c r="EJ9" i="39"/>
  <c r="EJ89" i="39"/>
  <c r="EK89" i="39"/>
  <c r="GK160" i="39"/>
  <c r="HH160" i="39" s="1" a="1"/>
  <c r="HH160" i="39" s="1"/>
  <c r="FB160" i="39"/>
  <c r="FC160" i="39" s="1"/>
  <c r="FD160" i="39" s="1"/>
  <c r="FE160" i="39" s="1"/>
  <c r="FF160" i="39" s="1"/>
  <c r="FG160" i="39" s="1"/>
  <c r="FH160" i="39" s="1"/>
  <c r="FI160" i="39" s="1"/>
  <c r="FJ160" i="39" s="1"/>
  <c r="FK160" i="39" s="1"/>
  <c r="FL160" i="39" s="1"/>
  <c r="GJ160" i="39"/>
  <c r="HG160" i="39" s="1" a="1"/>
  <c r="HG160" i="39" s="1"/>
  <c r="FO160" i="39"/>
  <c r="FP160" i="39" s="1"/>
  <c r="FQ160" i="39" s="1"/>
  <c r="FR160" i="39" s="1"/>
  <c r="FS160" i="39" s="1"/>
  <c r="FT160" i="39" s="1"/>
  <c r="FU160" i="39" s="1"/>
  <c r="FV160" i="39" s="1"/>
  <c r="FW160" i="39" s="1"/>
  <c r="FX160" i="39" s="1"/>
  <c r="FY160" i="39" s="1"/>
  <c r="FZ160" i="39" s="1"/>
  <c r="GM18" i="39" a="1"/>
  <c r="GM18" i="39" s="1"/>
  <c r="HF18" i="39" s="1"/>
  <c r="GM25" i="39" a="1"/>
  <c r="GM25" i="39" s="1"/>
  <c r="EG15" i="39"/>
  <c r="GM16" i="39" a="1"/>
  <c r="GM16" i="39" s="1"/>
  <c r="GM15" i="39" a="1"/>
  <c r="GM15" i="39" s="1"/>
  <c r="ED9" i="39"/>
  <c r="EG89" i="39"/>
  <c r="EI9" i="39"/>
  <c r="EE9" i="39"/>
  <c r="EK9" i="39"/>
  <c r="EC9" i="39"/>
  <c r="EH9" i="39"/>
  <c r="EH89" i="39"/>
  <c r="DZ89" i="39"/>
  <c r="EF89" i="39"/>
  <c r="GM102" i="39" a="1"/>
  <c r="GM102" i="39" s="1"/>
  <c r="GN102" i="39" s="1"/>
  <c r="GM52" i="39" a="1"/>
  <c r="GM52" i="39" s="1"/>
  <c r="GM13" i="39" a="1"/>
  <c r="GM13" i="39" s="1"/>
  <c r="GN13" i="39" s="1"/>
  <c r="GM42" i="39" a="1"/>
  <c r="GM42" i="39" s="1"/>
  <c r="HF42" i="39" s="1"/>
  <c r="GM29" i="39" a="1"/>
  <c r="GM29" i="39" s="1"/>
  <c r="GM11" i="39" a="1"/>
  <c r="GM11" i="39" s="1"/>
  <c r="HF17" i="39" l="1"/>
  <c r="GN82" i="39"/>
  <c r="HF82" i="39"/>
  <c r="GN86" i="39"/>
  <c r="HF86" i="39"/>
  <c r="GN48" i="39"/>
  <c r="HF48" i="39"/>
  <c r="GN107" i="39"/>
  <c r="HF107" i="39"/>
  <c r="HF84" i="39"/>
  <c r="HF115" i="39"/>
  <c r="GN115" i="39"/>
  <c r="GN87" i="39"/>
  <c r="HF87" i="39"/>
  <c r="GN89" i="39"/>
  <c r="HF89" i="39"/>
  <c r="GN18" i="39"/>
  <c r="GN25" i="39"/>
  <c r="HF25" i="39"/>
  <c r="GN16" i="39"/>
  <c r="HF16" i="39"/>
  <c r="GN15" i="39"/>
  <c r="HF15" i="39"/>
  <c r="HF102" i="39"/>
  <c r="GN52" i="39"/>
  <c r="HF52" i="39"/>
  <c r="GN29" i="39"/>
  <c r="GN42" i="39"/>
  <c r="GN11" i="39"/>
  <c r="HF33" i="39"/>
  <c r="HF11" i="39"/>
  <c r="HF49" i="39"/>
  <c r="HF73" i="39"/>
  <c r="HF80" i="39"/>
  <c r="HF108" i="39"/>
  <c r="HF21" i="39"/>
  <c r="HF77" i="39"/>
  <c r="GN9" i="39"/>
  <c r="HF9" i="39"/>
  <c r="HF13" i="39"/>
  <c r="HF29" i="39"/>
  <c r="HF70" i="39"/>
  <c r="HF40" i="39"/>
  <c r="HF69" i="39"/>
  <c r="U152" i="7" l="1"/>
  <c r="AN152" i="7" s="1"/>
  <c r="Q308" i="7" l="1"/>
  <c r="EU82" i="7" l="1"/>
  <c r="Y137" i="7" l="1"/>
  <c r="AG68" i="32" l="1"/>
  <c r="AE8" i="32"/>
  <c r="AF8" i="32"/>
  <c r="AG8" i="32"/>
  <c r="AE9" i="32"/>
  <c r="H26" i="39" s="1" a="1"/>
  <c r="H26" i="39" s="1"/>
  <c r="AF9" i="32"/>
  <c r="AG9" i="32"/>
  <c r="AE10" i="32"/>
  <c r="AF10" i="32"/>
  <c r="AG10" i="32"/>
  <c r="AE13" i="32"/>
  <c r="H22" i="39" s="1" a="1"/>
  <c r="H22" i="39" s="1"/>
  <c r="AF13" i="32"/>
  <c r="AG13" i="32"/>
  <c r="AE14" i="32"/>
  <c r="AF14" i="32"/>
  <c r="AG14" i="32"/>
  <c r="AE15" i="32"/>
  <c r="H24" i="39" s="1" a="1"/>
  <c r="H24" i="39" s="1"/>
  <c r="AF15" i="32"/>
  <c r="AG15" i="32"/>
  <c r="AE16" i="32"/>
  <c r="AF16" i="32"/>
  <c r="AG16" i="32"/>
  <c r="AE17" i="32"/>
  <c r="H30" i="39" s="1" a="1"/>
  <c r="H30" i="39" s="1"/>
  <c r="AF17" i="32"/>
  <c r="AG17" i="32"/>
  <c r="AE32" i="32"/>
  <c r="AF32" i="32"/>
  <c r="AE33" i="32"/>
  <c r="H21" i="39" s="1" a="1"/>
  <c r="H21" i="39" s="1"/>
  <c r="AF33" i="32"/>
  <c r="AG33" i="32"/>
  <c r="AE34" i="32"/>
  <c r="H23" i="39" s="1" a="1"/>
  <c r="H23" i="39" s="1"/>
  <c r="AF34" i="32"/>
  <c r="AG34" i="32"/>
  <c r="AE35" i="32"/>
  <c r="AF35" i="32"/>
  <c r="AG35" i="32"/>
  <c r="AE36" i="32"/>
  <c r="AF36" i="32"/>
  <c r="AG36" i="32"/>
  <c r="AE37" i="32"/>
  <c r="AF37" i="32"/>
  <c r="AG37" i="32"/>
  <c r="AE38" i="32"/>
  <c r="H16" i="39" s="1" a="1"/>
  <c r="H16" i="39" s="1"/>
  <c r="V16" i="39" s="1"/>
  <c r="AF38" i="32"/>
  <c r="AG38" i="32"/>
  <c r="AE39" i="32"/>
  <c r="AF39" i="32"/>
  <c r="AG39" i="32"/>
  <c r="AE40" i="32"/>
  <c r="AF40" i="32"/>
  <c r="AG40" i="32"/>
  <c r="AE41" i="32"/>
  <c r="AF41" i="32"/>
  <c r="AG41" i="32"/>
  <c r="AE42" i="32"/>
  <c r="AF42" i="32"/>
  <c r="AG42" i="32"/>
  <c r="AE43" i="32"/>
  <c r="H20" i="39" s="1" a="1"/>
  <c r="H20" i="39" s="1"/>
  <c r="AF43" i="32"/>
  <c r="AG43" i="32"/>
  <c r="AE44" i="32"/>
  <c r="H29" i="39" s="1" a="1"/>
  <c r="H29" i="39" s="1"/>
  <c r="AF44" i="32"/>
  <c r="AG44" i="32"/>
  <c r="AE45" i="32"/>
  <c r="AF45" i="32"/>
  <c r="AG45" i="32"/>
  <c r="AE46" i="32"/>
  <c r="AF46" i="32"/>
  <c r="AG46" i="32"/>
  <c r="AE47" i="32"/>
  <c r="H27" i="39" s="1" a="1"/>
  <c r="H27" i="39" s="1"/>
  <c r="AF47" i="32"/>
  <c r="AE48" i="32"/>
  <c r="H28" i="39" s="1" a="1"/>
  <c r="H28" i="39" s="1"/>
  <c r="AF48" i="32"/>
  <c r="AG48" i="32"/>
  <c r="AE49" i="32"/>
  <c r="AF49" i="32"/>
  <c r="AG49" i="32"/>
  <c r="AE51" i="32"/>
  <c r="AF51" i="32"/>
  <c r="AG51" i="32"/>
  <c r="AE52" i="32"/>
  <c r="AF52" i="32"/>
  <c r="AG52" i="32"/>
  <c r="AE53" i="32"/>
  <c r="AF53" i="32"/>
  <c r="AG53" i="32"/>
  <c r="AE54" i="32"/>
  <c r="H17" i="39" s="1" a="1"/>
  <c r="H17" i="39" s="1"/>
  <c r="V17" i="39" s="1"/>
  <c r="AF54" i="32"/>
  <c r="AG54" i="32"/>
  <c r="AE55" i="32"/>
  <c r="H18" i="39" s="1" a="1"/>
  <c r="H18" i="39" s="1"/>
  <c r="V18" i="39" s="1"/>
  <c r="AF55" i="32"/>
  <c r="AG55" i="32"/>
  <c r="AE56" i="32"/>
  <c r="AF56" i="32"/>
  <c r="AG56" i="32"/>
  <c r="AE57" i="32"/>
  <c r="AF57" i="32"/>
  <c r="AG57" i="32"/>
  <c r="AE58" i="32"/>
  <c r="AF58" i="32"/>
  <c r="AG58" i="32"/>
  <c r="AE59" i="32"/>
  <c r="AF59" i="32"/>
  <c r="AG59" i="32"/>
  <c r="AE60" i="32"/>
  <c r="AF60" i="32"/>
  <c r="AG60" i="32"/>
  <c r="AE61" i="32"/>
  <c r="AF61" i="32"/>
  <c r="AG61" i="32"/>
  <c r="AE62" i="32"/>
  <c r="AF62" i="32"/>
  <c r="AG62" i="32"/>
  <c r="AE71" i="32"/>
  <c r="AF71" i="32"/>
  <c r="AG71" i="32"/>
  <c r="AE72" i="32"/>
  <c r="AF72" i="32"/>
  <c r="AG72" i="32"/>
  <c r="AE73" i="32"/>
  <c r="AF73" i="32"/>
  <c r="AG73" i="32"/>
  <c r="AE74" i="32"/>
  <c r="AF74" i="32"/>
  <c r="AE75" i="32"/>
  <c r="AF75" i="32"/>
  <c r="AG75" i="32"/>
  <c r="AE76" i="32"/>
  <c r="AF76" i="32"/>
  <c r="AG76" i="32"/>
  <c r="AE77" i="32"/>
  <c r="AF77" i="32"/>
  <c r="AG77" i="32"/>
  <c r="AE78" i="32"/>
  <c r="AF78" i="32"/>
  <c r="AG78" i="32"/>
  <c r="AE79" i="32"/>
  <c r="AF79" i="32"/>
  <c r="AG79" i="32"/>
  <c r="AD80" i="32"/>
  <c r="AE80" i="32"/>
  <c r="AF80" i="32"/>
  <c r="AG80" i="32"/>
  <c r="AE63" i="32"/>
  <c r="AF63" i="32"/>
  <c r="AG63" i="32"/>
  <c r="AE64" i="32"/>
  <c r="AF64" i="32"/>
  <c r="AG64" i="32"/>
  <c r="AE65" i="32"/>
  <c r="AF65" i="32"/>
  <c r="AG65" i="32"/>
  <c r="AE66" i="32"/>
  <c r="AF66" i="32"/>
  <c r="AG66" i="32"/>
  <c r="AE67" i="32"/>
  <c r="AF67" i="32"/>
  <c r="AG67" i="32"/>
  <c r="AE68" i="32"/>
  <c r="AF68" i="32"/>
  <c r="AE7" i="32"/>
  <c r="AF7" i="32"/>
  <c r="AG7" i="32"/>
  <c r="CJ24" i="39" l="1"/>
  <c r="CJ28" i="39"/>
  <c r="FN93" i="39" s="1"/>
  <c r="CJ17" i="39"/>
  <c r="FN56" i="39" s="1"/>
  <c r="CJ23" i="39"/>
  <c r="FN58" i="39" s="1"/>
  <c r="CJ30" i="39"/>
  <c r="FN57" i="39" s="1"/>
  <c r="CJ27" i="39"/>
  <c r="FN104" i="39" s="1"/>
  <c r="CJ26" i="39"/>
  <c r="FN25" i="39" s="1"/>
  <c r="CJ21" i="39"/>
  <c r="FN114" i="39" s="1"/>
  <c r="CJ29" i="39"/>
  <c r="FN14" i="39" s="1"/>
  <c r="CJ16" i="39"/>
  <c r="CJ22" i="39"/>
  <c r="FN81" i="39" s="1"/>
  <c r="CJ18" i="39"/>
  <c r="FN33" i="39" s="1"/>
  <c r="CJ20" i="39"/>
  <c r="FN24" i="39" s="1"/>
  <c r="CS27" i="39"/>
  <c r="CT27" i="39"/>
  <c r="CS30" i="39"/>
  <c r="CT30" i="39"/>
  <c r="CS23" i="39"/>
  <c r="CT23" i="39"/>
  <c r="CS29" i="39"/>
  <c r="CT29" i="39"/>
  <c r="CS16" i="39"/>
  <c r="CT16" i="39"/>
  <c r="CS21" i="39"/>
  <c r="CT21" i="39"/>
  <c r="CS20" i="39"/>
  <c r="CT20" i="39"/>
  <c r="CS22" i="39"/>
  <c r="CT22" i="39"/>
  <c r="CS18" i="39"/>
  <c r="CT18" i="39"/>
  <c r="CS28" i="39"/>
  <c r="CT28" i="39"/>
  <c r="CS26" i="39"/>
  <c r="CT26" i="39"/>
  <c r="CS17" i="39"/>
  <c r="CT17" i="39"/>
  <c r="CS24" i="39"/>
  <c r="CT24" i="39"/>
  <c r="CN23" i="39"/>
  <c r="ES58" i="39" s="1"/>
  <c r="CO23" i="39"/>
  <c r="CO27" i="39"/>
  <c r="CN27" i="39"/>
  <c r="CN30" i="39"/>
  <c r="ES57" i="39" s="1"/>
  <c r="CO30" i="39"/>
  <c r="CN24" i="39"/>
  <c r="CO24" i="39"/>
  <c r="CN26" i="39"/>
  <c r="EV25" i="39" s="1"/>
  <c r="CO26" i="39"/>
  <c r="CN18" i="39"/>
  <c r="CO18" i="39"/>
  <c r="CN16" i="39"/>
  <c r="CO16" i="39"/>
  <c r="CN29" i="39"/>
  <c r="ES14" i="39" s="1"/>
  <c r="CO29" i="39"/>
  <c r="CN20" i="39"/>
  <c r="CO20" i="39"/>
  <c r="CN22" i="39"/>
  <c r="CO22" i="39"/>
  <c r="CN17" i="39"/>
  <c r="ER56" i="39" s="1"/>
  <c r="CO17" i="39"/>
  <c r="CN21" i="39"/>
  <c r="CO21" i="39"/>
  <c r="CN28" i="39"/>
  <c r="CO28" i="39"/>
  <c r="H15" i="39" a="1"/>
  <c r="H15" i="39" s="1"/>
  <c r="V15" i="39" s="1"/>
  <c r="H25" i="39" a="1"/>
  <c r="H25" i="39" s="1"/>
  <c r="H14" i="39" a="1"/>
  <c r="H14" i="39" s="1"/>
  <c r="V14" i="39" s="1"/>
  <c r="DN33" i="39" l="1"/>
  <c r="DM33" i="39"/>
  <c r="DQ33" i="39"/>
  <c r="DV33" i="39"/>
  <c r="DX33" i="39"/>
  <c r="DU33" i="39"/>
  <c r="DR33" i="39"/>
  <c r="DW33" i="39"/>
  <c r="DP33" i="39"/>
  <c r="DT33" i="39"/>
  <c r="DO33" i="39"/>
  <c r="DS33" i="39"/>
  <c r="EQ33" i="39"/>
  <c r="ER33" i="39"/>
  <c r="EU33" i="39"/>
  <c r="EW33" i="39"/>
  <c r="EN33" i="39"/>
  <c r="EX33" i="39"/>
  <c r="EM33" i="39"/>
  <c r="EV33" i="39"/>
  <c r="EP33" i="39"/>
  <c r="EO33" i="39"/>
  <c r="ET33" i="39"/>
  <c r="ES33" i="39"/>
  <c r="DV57" i="39"/>
  <c r="DP57" i="39"/>
  <c r="DR57" i="39"/>
  <c r="DS57" i="39"/>
  <c r="DU57" i="39"/>
  <c r="DQ57" i="39"/>
  <c r="DO57" i="39"/>
  <c r="DT57" i="39"/>
  <c r="DX57" i="39"/>
  <c r="DM57" i="39"/>
  <c r="DW57" i="39"/>
  <c r="DN57" i="39"/>
  <c r="DO14" i="39"/>
  <c r="DU14" i="39"/>
  <c r="DQ14" i="39"/>
  <c r="DW14" i="39"/>
  <c r="DX14" i="39"/>
  <c r="DR14" i="39"/>
  <c r="DN14" i="39"/>
  <c r="DV14" i="39"/>
  <c r="DP14" i="39"/>
  <c r="DT14" i="39"/>
  <c r="DS14" i="39"/>
  <c r="DM14" i="39"/>
  <c r="EW93" i="39"/>
  <c r="EN93" i="39"/>
  <c r="EO93" i="39"/>
  <c r="EX93" i="39"/>
  <c r="EU93" i="39"/>
  <c r="EP93" i="39"/>
  <c r="ES93" i="39"/>
  <c r="ER93" i="39"/>
  <c r="ET93" i="39"/>
  <c r="EM93" i="39"/>
  <c r="EQ93" i="39"/>
  <c r="EV93" i="39"/>
  <c r="DU93" i="39"/>
  <c r="DM93" i="39"/>
  <c r="DQ93" i="39"/>
  <c r="DW93" i="39"/>
  <c r="DP93" i="39"/>
  <c r="DR93" i="39"/>
  <c r="DS93" i="39"/>
  <c r="DN93" i="39"/>
  <c r="DX93" i="39"/>
  <c r="DO93" i="39"/>
  <c r="DV93" i="39"/>
  <c r="DT93" i="39"/>
  <c r="EO104" i="39"/>
  <c r="EM104" i="39"/>
  <c r="EV104" i="39"/>
  <c r="EW104" i="39"/>
  <c r="EP104" i="39"/>
  <c r="ET104" i="39"/>
  <c r="EN104" i="39"/>
  <c r="EX104" i="39"/>
  <c r="ES104" i="39"/>
  <c r="ER104" i="39"/>
  <c r="EU104" i="39"/>
  <c r="EQ104" i="39"/>
  <c r="DQ104" i="39"/>
  <c r="DP104" i="39"/>
  <c r="DT104" i="39"/>
  <c r="DO104" i="39"/>
  <c r="DS104" i="39"/>
  <c r="DU104" i="39"/>
  <c r="DW104" i="39"/>
  <c r="DM104" i="39"/>
  <c r="DX104" i="39"/>
  <c r="DV104" i="39"/>
  <c r="DN104" i="39"/>
  <c r="DR104" i="39"/>
  <c r="DX58" i="39"/>
  <c r="DO58" i="39"/>
  <c r="DU58" i="39"/>
  <c r="DV58" i="39"/>
  <c r="DS58" i="39"/>
  <c r="DR58" i="39"/>
  <c r="DT58" i="39"/>
  <c r="DN58" i="39"/>
  <c r="DW58" i="39"/>
  <c r="DP58" i="39"/>
  <c r="DM58" i="39"/>
  <c r="DQ58" i="39"/>
  <c r="EP81" i="39"/>
  <c r="ET81" i="39"/>
  <c r="EQ81" i="39"/>
  <c r="EU81" i="39"/>
  <c r="EV81" i="39"/>
  <c r="ER81" i="39"/>
  <c r="ES81" i="39"/>
  <c r="DN81" i="39"/>
  <c r="DR81" i="39"/>
  <c r="DU81" i="39"/>
  <c r="DP81" i="39"/>
  <c r="DW81" i="39"/>
  <c r="DT81" i="39"/>
  <c r="DO81" i="39"/>
  <c r="DX81" i="39"/>
  <c r="DQ81" i="39"/>
  <c r="DV81" i="39"/>
  <c r="DM81" i="39"/>
  <c r="DS81" i="39"/>
  <c r="DS114" i="39"/>
  <c r="DT114" i="39"/>
  <c r="DQ114" i="39"/>
  <c r="DW114" i="39"/>
  <c r="DM114" i="39"/>
  <c r="DX114" i="39"/>
  <c r="DR114" i="39"/>
  <c r="DO114" i="39"/>
  <c r="DP114" i="39"/>
  <c r="DV114" i="39"/>
  <c r="DN114" i="39"/>
  <c r="DU114" i="39"/>
  <c r="EP114" i="39"/>
  <c r="EX114" i="39"/>
  <c r="EW114" i="39"/>
  <c r="ER114" i="39"/>
  <c r="EV114" i="39"/>
  <c r="EO114" i="39"/>
  <c r="EM114" i="39"/>
  <c r="ES114" i="39"/>
  <c r="EU114" i="39"/>
  <c r="ET114" i="39"/>
  <c r="EN114" i="39"/>
  <c r="EQ114" i="39"/>
  <c r="DV24" i="39"/>
  <c r="DM24" i="39"/>
  <c r="DW24" i="39"/>
  <c r="DN24" i="39"/>
  <c r="DX24" i="39"/>
  <c r="DO24" i="39"/>
  <c r="DR24" i="39"/>
  <c r="DP24" i="39"/>
  <c r="DQ24" i="39"/>
  <c r="DS24" i="39"/>
  <c r="DU24" i="39"/>
  <c r="DT24" i="39"/>
  <c r="EP24" i="39"/>
  <c r="EM24" i="39"/>
  <c r="EO24" i="39"/>
  <c r="ES24" i="39"/>
  <c r="EU24" i="39"/>
  <c r="EX24" i="39"/>
  <c r="ET24" i="39"/>
  <c r="EQ24" i="39"/>
  <c r="EV24" i="39"/>
  <c r="EN24" i="39"/>
  <c r="ER24" i="39"/>
  <c r="EW24" i="39"/>
  <c r="FN40" i="39"/>
  <c r="DV56" i="39"/>
  <c r="DP56" i="39"/>
  <c r="DR56" i="39"/>
  <c r="DM56" i="39"/>
  <c r="DN56" i="39"/>
  <c r="DO56" i="39"/>
  <c r="DW56" i="39"/>
  <c r="DQ56" i="39"/>
  <c r="DX56" i="39"/>
  <c r="DU56" i="39"/>
  <c r="DT56" i="39"/>
  <c r="DS56" i="39"/>
  <c r="ER40" i="39"/>
  <c r="EU40" i="39"/>
  <c r="EQ40" i="39"/>
  <c r="ET40" i="39"/>
  <c r="EW40" i="39"/>
  <c r="EO40" i="39"/>
  <c r="EX40" i="39"/>
  <c r="ES40" i="39"/>
  <c r="EV40" i="39"/>
  <c r="EP40" i="39"/>
  <c r="EM40" i="39"/>
  <c r="EN40" i="39"/>
  <c r="DW40" i="39"/>
  <c r="DX40" i="39"/>
  <c r="DP40" i="39"/>
  <c r="DS40" i="39"/>
  <c r="DM40" i="39"/>
  <c r="DU40" i="39"/>
  <c r="DN40" i="39"/>
  <c r="DQ40" i="39"/>
  <c r="DT40" i="39"/>
  <c r="DO40" i="39"/>
  <c r="DV40" i="39"/>
  <c r="DR40" i="39"/>
  <c r="FN42" i="39"/>
  <c r="FN32" i="39"/>
  <c r="EW32" i="39"/>
  <c r="EP32" i="39"/>
  <c r="EU32" i="39"/>
  <c r="EO32" i="39"/>
  <c r="ER32" i="39"/>
  <c r="ET32" i="39"/>
  <c r="EN32" i="39"/>
  <c r="EV32" i="39"/>
  <c r="EM32" i="39"/>
  <c r="EX32" i="39"/>
  <c r="ES32" i="39"/>
  <c r="EQ32" i="39"/>
  <c r="DV32" i="39"/>
  <c r="DS32" i="39"/>
  <c r="DX32" i="39"/>
  <c r="DM32" i="39"/>
  <c r="DU32" i="39"/>
  <c r="DQ32" i="39"/>
  <c r="DO32" i="39"/>
  <c r="DN32" i="39"/>
  <c r="DW32" i="39"/>
  <c r="DR32" i="39"/>
  <c r="DP32" i="39"/>
  <c r="DT32" i="39"/>
  <c r="FN13" i="39"/>
  <c r="FN17" i="39"/>
  <c r="DQ17" i="39"/>
  <c r="DS17" i="39"/>
  <c r="DO17" i="39"/>
  <c r="DN17" i="39"/>
  <c r="DT17" i="39"/>
  <c r="DR17" i="39"/>
  <c r="DP17" i="39"/>
  <c r="DV17" i="39"/>
  <c r="DW17" i="39"/>
  <c r="DX17" i="39"/>
  <c r="DM17" i="39"/>
  <c r="DU17" i="39"/>
  <c r="ET13" i="39"/>
  <c r="ET17" i="39"/>
  <c r="CJ15" i="39"/>
  <c r="FN82" i="39" s="1"/>
  <c r="CJ25" i="39"/>
  <c r="FN68" i="39" s="1"/>
  <c r="CJ14" i="39"/>
  <c r="FN52" i="39" s="1"/>
  <c r="FN18" i="39"/>
  <c r="FN75" i="39"/>
  <c r="DP25" i="39"/>
  <c r="DT25" i="39"/>
  <c r="DM25" i="39"/>
  <c r="DU25" i="39"/>
  <c r="DQ25" i="39"/>
  <c r="DW25" i="39"/>
  <c r="DN25" i="39"/>
  <c r="DV25" i="39"/>
  <c r="DO25" i="39"/>
  <c r="DR25" i="39"/>
  <c r="DS25" i="39"/>
  <c r="DX25" i="39"/>
  <c r="FN15" i="39"/>
  <c r="FN97" i="39"/>
  <c r="FN16" i="39"/>
  <c r="EU42" i="39"/>
  <c r="ER42" i="39"/>
  <c r="EP42" i="39"/>
  <c r="EQ42" i="39"/>
  <c r="ET42" i="39"/>
  <c r="EV42" i="39"/>
  <c r="ES42" i="39"/>
  <c r="DX42" i="39"/>
  <c r="DU42" i="39"/>
  <c r="DS42" i="39"/>
  <c r="DM42" i="39"/>
  <c r="DR42" i="39"/>
  <c r="DN42" i="39"/>
  <c r="DW42" i="39"/>
  <c r="DO42" i="39"/>
  <c r="DP42" i="39"/>
  <c r="DQ42" i="39"/>
  <c r="DT42" i="39"/>
  <c r="DV42" i="39"/>
  <c r="DS13" i="39"/>
  <c r="DN13" i="39"/>
  <c r="DP13" i="39"/>
  <c r="DT13" i="39"/>
  <c r="DV13" i="39"/>
  <c r="DX13" i="39"/>
  <c r="DQ13" i="39"/>
  <c r="DM13" i="39"/>
  <c r="DO13" i="39"/>
  <c r="DR13" i="39"/>
  <c r="DU13" i="39"/>
  <c r="DW13" i="39"/>
  <c r="FN11" i="39"/>
  <c r="FN89" i="39"/>
  <c r="CS14" i="39"/>
  <c r="DT52" i="39" s="1"/>
  <c r="CT14" i="39"/>
  <c r="CS25" i="39"/>
  <c r="DM68" i="39" s="1"/>
  <c r="CT25" i="39"/>
  <c r="CS15" i="39"/>
  <c r="CT15" i="39"/>
  <c r="CN14" i="39"/>
  <c r="EV52" i="39" s="1"/>
  <c r="CO14" i="39"/>
  <c r="CN25" i="39"/>
  <c r="ER68" i="39" s="1"/>
  <c r="CO25" i="39"/>
  <c r="CN15" i="39"/>
  <c r="CO15" i="39"/>
  <c r="EA6" i="39"/>
  <c r="I11" i="42" s="1"/>
  <c r="EK6" i="39"/>
  <c r="AM11" i="42" s="1"/>
  <c r="EJ6" i="39"/>
  <c r="AJ11" i="42" s="1"/>
  <c r="ED6" i="39"/>
  <c r="R11" i="42" s="1"/>
  <c r="EC6" i="39"/>
  <c r="O11" i="42" s="1"/>
  <c r="EE6" i="39"/>
  <c r="U11" i="42" s="1"/>
  <c r="EH6" i="39"/>
  <c r="AD11" i="42" s="1"/>
  <c r="DV82" i="39" l="1"/>
  <c r="DS82" i="39"/>
  <c r="DN82" i="39"/>
  <c r="DX82" i="39"/>
  <c r="DU82" i="39"/>
  <c r="DR82" i="39"/>
  <c r="DP82" i="39"/>
  <c r="DW82" i="39"/>
  <c r="DO82" i="39"/>
  <c r="DT82" i="39"/>
  <c r="DM82" i="39"/>
  <c r="DQ82" i="39"/>
  <c r="EU82" i="39"/>
  <c r="EQ82" i="39"/>
  <c r="ER82" i="39"/>
  <c r="EP82" i="39"/>
  <c r="EV82" i="39"/>
  <c r="ET82" i="39"/>
  <c r="ES82" i="39"/>
  <c r="DU68" i="39"/>
  <c r="DP68" i="39"/>
  <c r="EP68" i="39"/>
  <c r="EM68" i="39"/>
  <c r="EM5" i="39" s="1"/>
  <c r="F17" i="42" s="1"/>
  <c r="DX68" i="39"/>
  <c r="DN68" i="39"/>
  <c r="EW68" i="39"/>
  <c r="EW5" i="39" s="1"/>
  <c r="AJ17" i="42" s="1"/>
  <c r="DV68" i="39"/>
  <c r="DS68" i="39"/>
  <c r="EO68" i="39"/>
  <c r="EO5" i="39" s="1"/>
  <c r="L17" i="42" s="1"/>
  <c r="DQ68" i="39"/>
  <c r="EV68" i="39"/>
  <c r="DW68" i="39"/>
  <c r="EU68" i="39"/>
  <c r="DT68" i="39"/>
  <c r="ET68" i="39"/>
  <c r="EN68" i="39"/>
  <c r="EN5" i="39" s="1"/>
  <c r="I17" i="42" s="1"/>
  <c r="DO68" i="39"/>
  <c r="EX68" i="39"/>
  <c r="EX5" i="39" s="1"/>
  <c r="AM17" i="42" s="1"/>
  <c r="EQ68" i="39"/>
  <c r="DR68" i="39"/>
  <c r="ES68" i="39"/>
  <c r="DX115" i="39"/>
  <c r="DM115" i="39"/>
  <c r="DU115" i="39"/>
  <c r="DR115" i="39"/>
  <c r="DS115" i="39"/>
  <c r="DV115" i="39"/>
  <c r="DN115" i="39"/>
  <c r="DT115" i="39"/>
  <c r="DO115" i="39"/>
  <c r="DW115" i="39"/>
  <c r="DP115" i="39"/>
  <c r="DQ115" i="39"/>
  <c r="ER115" i="39"/>
  <c r="EP115" i="39"/>
  <c r="EM115" i="39"/>
  <c r="EV115" i="39"/>
  <c r="ET115" i="39"/>
  <c r="ES115" i="39"/>
  <c r="EO115" i="39"/>
  <c r="EQ115" i="39"/>
  <c r="EU115" i="39"/>
  <c r="EX115" i="39"/>
  <c r="EW115" i="39"/>
  <c r="EN115" i="39"/>
  <c r="FN84" i="39"/>
  <c r="FN5" i="39" s="1"/>
  <c r="C3" i="42" s="1"/>
  <c r="FN115" i="39"/>
  <c r="DX52" i="39"/>
  <c r="DQ52" i="39"/>
  <c r="DO52" i="39"/>
  <c r="DM52" i="39"/>
  <c r="DN52" i="39"/>
  <c r="DP52" i="39"/>
  <c r="DR52" i="39"/>
  <c r="DW52" i="39"/>
  <c r="DS52" i="39"/>
  <c r="DV52" i="39"/>
  <c r="DU52" i="39"/>
  <c r="DV84" i="39"/>
  <c r="DX84" i="39"/>
  <c r="DT84" i="39"/>
  <c r="DN84" i="39"/>
  <c r="DP84" i="39"/>
  <c r="DO84" i="39"/>
  <c r="DW84" i="39"/>
  <c r="DQ84" i="39"/>
  <c r="DR84" i="39"/>
  <c r="DM84" i="39"/>
  <c r="DS84" i="39"/>
  <c r="DU84" i="39"/>
  <c r="ET16" i="39"/>
  <c r="ER84" i="39"/>
  <c r="ER5" i="39" s="1"/>
  <c r="U17" i="42" s="1"/>
  <c r="EU84" i="39"/>
  <c r="ET84" i="39"/>
  <c r="EQ84" i="39"/>
  <c r="EV84" i="39"/>
  <c r="ES84" i="39"/>
  <c r="ES5" i="39" s="1"/>
  <c r="X17" i="42" s="1"/>
  <c r="EP84" i="39"/>
  <c r="DS29" i="39"/>
  <c r="DU29" i="39"/>
  <c r="DO29" i="39"/>
  <c r="DP29" i="39"/>
  <c r="DN29" i="39"/>
  <c r="DR29" i="39"/>
  <c r="DM29" i="39"/>
  <c r="DQ29" i="39"/>
  <c r="DX29" i="39"/>
  <c r="DW29" i="39"/>
  <c r="DV29" i="39"/>
  <c r="DT29" i="39"/>
  <c r="FN100" i="39"/>
  <c r="FN29" i="39"/>
  <c r="FN7" i="39" s="1"/>
  <c r="EQ29" i="39"/>
  <c r="EQ7" i="39" s="1"/>
  <c r="R18" i="42" s="1"/>
  <c r="EO29" i="39"/>
  <c r="EO7" i="39" s="1"/>
  <c r="L18" i="42" s="1"/>
  <c r="ET29" i="39"/>
  <c r="EX29" i="39"/>
  <c r="EX7" i="39" s="1"/>
  <c r="AM18" i="42" s="1"/>
  <c r="ER29" i="39"/>
  <c r="ER7" i="39" s="1"/>
  <c r="U18" i="42" s="1"/>
  <c r="ES29" i="39"/>
  <c r="ES7" i="39" s="1"/>
  <c r="X18" i="42" s="1"/>
  <c r="EU29" i="39"/>
  <c r="EU7" i="39" s="1"/>
  <c r="AD18" i="42" s="1"/>
  <c r="EV29" i="39"/>
  <c r="EV7" i="39" s="1"/>
  <c r="AG18" i="42" s="1"/>
  <c r="EW29" i="39"/>
  <c r="EW7" i="39" s="1"/>
  <c r="AJ18" i="42" s="1"/>
  <c r="EP29" i="39"/>
  <c r="EP7" i="39" s="1"/>
  <c r="O18" i="42" s="1"/>
  <c r="EM29" i="39"/>
  <c r="EM7" i="39" s="1"/>
  <c r="F18" i="42" s="1"/>
  <c r="EN29" i="39"/>
  <c r="EN7" i="39" s="1"/>
  <c r="I18" i="42" s="1"/>
  <c r="FN9" i="39"/>
  <c r="EN100" i="39"/>
  <c r="EQ100" i="39"/>
  <c r="ET100" i="39"/>
  <c r="EX100" i="39"/>
  <c r="EO100" i="39"/>
  <c r="ER100" i="39"/>
  <c r="EW100" i="39"/>
  <c r="EU100" i="39"/>
  <c r="EV100" i="39"/>
  <c r="EM100" i="39"/>
  <c r="ES100" i="39"/>
  <c r="EP100" i="39"/>
  <c r="DS100" i="39"/>
  <c r="DO100" i="39"/>
  <c r="DQ100" i="39"/>
  <c r="DR100" i="39"/>
  <c r="DM100" i="39"/>
  <c r="DX100" i="39"/>
  <c r="DP100" i="39"/>
  <c r="DN100" i="39"/>
  <c r="DU100" i="39"/>
  <c r="DW100" i="39"/>
  <c r="DT100" i="39"/>
  <c r="DV100" i="39"/>
  <c r="EU75" i="39"/>
  <c r="EV75" i="39"/>
  <c r="DM75" i="39"/>
  <c r="DM5" i="39" s="1"/>
  <c r="E17" i="42" s="1"/>
  <c r="DW75" i="39"/>
  <c r="DQ75" i="39"/>
  <c r="DP75" i="39"/>
  <c r="DS75" i="39"/>
  <c r="DO75" i="39"/>
  <c r="DT75" i="39"/>
  <c r="DV75" i="39"/>
  <c r="DR75" i="39"/>
  <c r="DN75" i="39"/>
  <c r="DX75" i="39"/>
  <c r="DU75" i="39"/>
  <c r="ET15" i="39"/>
  <c r="ET18" i="39"/>
  <c r="DQ18" i="39"/>
  <c r="DV18" i="39"/>
  <c r="DN18" i="39"/>
  <c r="DX18" i="39"/>
  <c r="DR18" i="39"/>
  <c r="DU18" i="39"/>
  <c r="DM18" i="39"/>
  <c r="DW18" i="39"/>
  <c r="DP18" i="39"/>
  <c r="DO18" i="39"/>
  <c r="DS18" i="39"/>
  <c r="DT18" i="39"/>
  <c r="DR15" i="39"/>
  <c r="DS15" i="39"/>
  <c r="DP15" i="39"/>
  <c r="DQ15" i="39"/>
  <c r="DU15" i="39"/>
  <c r="DM15" i="39"/>
  <c r="DV15" i="39"/>
  <c r="DW15" i="39"/>
  <c r="DT15" i="39"/>
  <c r="DO15" i="39"/>
  <c r="DX15" i="39"/>
  <c r="DN15" i="39"/>
  <c r="DO16" i="39"/>
  <c r="DW16" i="39"/>
  <c r="DQ16" i="39"/>
  <c r="DS16" i="39"/>
  <c r="DM16" i="39"/>
  <c r="DU16" i="39"/>
  <c r="DT16" i="39"/>
  <c r="DN16" i="39"/>
  <c r="DP16" i="39"/>
  <c r="DV16" i="39"/>
  <c r="DR16" i="39"/>
  <c r="DX16" i="39"/>
  <c r="ES9" i="39"/>
  <c r="EO97" i="39"/>
  <c r="EP97" i="39"/>
  <c r="EN97" i="39"/>
  <c r="EV97" i="39"/>
  <c r="ET97" i="39"/>
  <c r="EM97" i="39"/>
  <c r="EU97" i="39"/>
  <c r="ER97" i="39"/>
  <c r="ES97" i="39"/>
  <c r="EX97" i="39"/>
  <c r="EQ97" i="39"/>
  <c r="EW97" i="39"/>
  <c r="DX11" i="39"/>
  <c r="DP97" i="39"/>
  <c r="DT97" i="39"/>
  <c r="DU97" i="39"/>
  <c r="DV97" i="39"/>
  <c r="DX97" i="39"/>
  <c r="DS97" i="39"/>
  <c r="DM97" i="39"/>
  <c r="DN97" i="39"/>
  <c r="DR97" i="39"/>
  <c r="DQ97" i="39"/>
  <c r="DO97" i="39"/>
  <c r="DW97" i="39"/>
  <c r="DS89" i="39"/>
  <c r="DV11" i="39"/>
  <c r="DU11" i="39"/>
  <c r="DW11" i="39"/>
  <c r="DS11" i="39"/>
  <c r="DT11" i="39"/>
  <c r="DQ11" i="39"/>
  <c r="DR11" i="39"/>
  <c r="DO11" i="39"/>
  <c r="DO7" i="39" s="1"/>
  <c r="K18" i="42" s="1"/>
  <c r="DP11" i="39"/>
  <c r="DN11" i="39"/>
  <c r="DM11" i="39"/>
  <c r="DS9" i="39"/>
  <c r="DP9" i="39"/>
  <c r="DR89" i="39"/>
  <c r="DT9" i="39"/>
  <c r="ET89" i="39"/>
  <c r="EN89" i="39"/>
  <c r="EX9" i="39"/>
  <c r="DX9" i="39"/>
  <c r="EU89" i="39"/>
  <c r="EU9" i="39"/>
  <c r="EM89" i="39"/>
  <c r="DQ9" i="39"/>
  <c r="EW89" i="39"/>
  <c r="EQ89" i="39"/>
  <c r="EM9" i="39"/>
  <c r="DV9" i="39"/>
  <c r="EQ9" i="39"/>
  <c r="EO9" i="39"/>
  <c r="EN9" i="39"/>
  <c r="DW9" i="39"/>
  <c r="ER9" i="39"/>
  <c r="EX89" i="39"/>
  <c r="EW9" i="39"/>
  <c r="DU9" i="39"/>
  <c r="ES89" i="39"/>
  <c r="ET9" i="39"/>
  <c r="EO89" i="39"/>
  <c r="ET11" i="39"/>
  <c r="DO89" i="39"/>
  <c r="EP9" i="39"/>
  <c r="EV9" i="39"/>
  <c r="ER89" i="39"/>
  <c r="DQ89" i="39"/>
  <c r="EP89" i="39"/>
  <c r="EV89" i="39"/>
  <c r="DP89" i="39"/>
  <c r="DN89" i="39"/>
  <c r="DN9" i="39"/>
  <c r="DM9" i="39"/>
  <c r="DR9" i="39"/>
  <c r="DO9" i="39"/>
  <c r="DM89" i="39"/>
  <c r="DW89" i="39"/>
  <c r="DV89" i="39"/>
  <c r="DT89" i="39"/>
  <c r="DX89" i="39"/>
  <c r="DU89" i="39"/>
  <c r="EG6" i="39"/>
  <c r="AA11" i="42" s="1"/>
  <c r="EB6" i="39"/>
  <c r="L11" i="42" s="1"/>
  <c r="EI6" i="39"/>
  <c r="AG11" i="42" s="1"/>
  <c r="DZ6" i="39"/>
  <c r="F11" i="42" s="1"/>
  <c r="DK8" i="39"/>
  <c r="AL12" i="42" s="1"/>
  <c r="DD8" i="39"/>
  <c r="Q12" i="42" s="1"/>
  <c r="DH8" i="39"/>
  <c r="AC12" i="42" s="1"/>
  <c r="DA8" i="39"/>
  <c r="H12" i="42" s="1"/>
  <c r="DC8" i="39"/>
  <c r="N12" i="42" s="1"/>
  <c r="DI8" i="39"/>
  <c r="AF12" i="42" s="1"/>
  <c r="DB8" i="39"/>
  <c r="K12" i="42" s="1"/>
  <c r="DJ8" i="39"/>
  <c r="AI12" i="42" s="1"/>
  <c r="DF8" i="39"/>
  <c r="W12" i="42" s="1"/>
  <c r="DE8" i="39"/>
  <c r="T12" i="42" s="1"/>
  <c r="CZ8" i="39"/>
  <c r="E12" i="42" s="1"/>
  <c r="DG8" i="39"/>
  <c r="Z12" i="42" s="1"/>
  <c r="EZ8" i="39"/>
  <c r="EE4" i="39"/>
  <c r="U10" i="42" s="1"/>
  <c r="EF6" i="39"/>
  <c r="X11" i="42" s="1"/>
  <c r="EI4" i="39"/>
  <c r="AG10" i="42" s="1"/>
  <c r="EB4" i="39"/>
  <c r="L10" i="42" s="1"/>
  <c r="DB4" i="39"/>
  <c r="K10" i="42" s="1"/>
  <c r="CZ6" i="39"/>
  <c r="E11" i="42" s="1"/>
  <c r="DZ4" i="39"/>
  <c r="F10" i="42" s="1"/>
  <c r="EG4" i="39"/>
  <c r="AA10" i="42" s="1"/>
  <c r="DF4" i="39"/>
  <c r="W10" i="42" s="1"/>
  <c r="DD4" i="39"/>
  <c r="Q10" i="42" s="1"/>
  <c r="EK4" i="39"/>
  <c r="AM10" i="42" s="1"/>
  <c r="N10" i="42"/>
  <c r="DA4" i="39"/>
  <c r="H10" i="42" s="1"/>
  <c r="EZ6" i="39"/>
  <c r="EZ4" i="39"/>
  <c r="B3" i="42" s="1"/>
  <c r="EF4" i="39"/>
  <c r="X10" i="42" s="1"/>
  <c r="DE4" i="39"/>
  <c r="T10" i="42" s="1"/>
  <c r="DJ4" i="39"/>
  <c r="AI10" i="42" s="1"/>
  <c r="EH4" i="39"/>
  <c r="AD10" i="42" s="1"/>
  <c r="DG4" i="39"/>
  <c r="Z10" i="42" s="1"/>
  <c r="CZ4" i="39"/>
  <c r="E10" i="42" s="1"/>
  <c r="ED4" i="39"/>
  <c r="R10" i="42" s="1"/>
  <c r="EJ4" i="39"/>
  <c r="AJ10" i="42" s="1"/>
  <c r="DH4" i="39"/>
  <c r="AC10" i="42" s="1"/>
  <c r="EC4" i="39"/>
  <c r="O10" i="42" s="1"/>
  <c r="DI4" i="39"/>
  <c r="AF10" i="42" s="1"/>
  <c r="EA4" i="39"/>
  <c r="I10" i="42" s="1"/>
  <c r="DK4" i="39"/>
  <c r="AL10" i="42" s="1"/>
  <c r="BK83" i="7"/>
  <c r="BK84" i="7"/>
  <c r="BK85" i="7"/>
  <c r="BK86" i="7"/>
  <c r="BK87" i="7"/>
  <c r="BL69" i="7" a="1"/>
  <c r="BL69" i="7" s="1"/>
  <c r="BL70" i="7" a="1"/>
  <c r="BL70" i="7" s="1"/>
  <c r="BK70" i="7" s="1"/>
  <c r="BL71" i="7" a="1"/>
  <c r="BL71" i="7" s="1"/>
  <c r="BK71" i="7" s="1"/>
  <c r="BL72" i="7" a="1"/>
  <c r="BL72" i="7" s="1"/>
  <c r="BK72" i="7" s="1"/>
  <c r="BL73" i="7" a="1"/>
  <c r="BL73" i="7" s="1"/>
  <c r="BK73" i="7" s="1"/>
  <c r="BL74" i="7" a="1"/>
  <c r="BL74" i="7" s="1"/>
  <c r="BK74" i="7" s="1"/>
  <c r="BL75" i="7" a="1"/>
  <c r="BL75" i="7" s="1"/>
  <c r="BK75" i="7" s="1"/>
  <c r="BL76" i="7" a="1"/>
  <c r="BL76" i="7" s="1"/>
  <c r="BK76" i="7" s="1"/>
  <c r="BL77" i="7" a="1"/>
  <c r="BL77" i="7" s="1"/>
  <c r="BK77" i="7" s="1"/>
  <c r="BL78" i="7" a="1"/>
  <c r="BL78" i="7" s="1"/>
  <c r="BK78" i="7" s="1"/>
  <c r="BL79" i="7" a="1"/>
  <c r="BL79" i="7" s="1"/>
  <c r="BK79" i="7" s="1"/>
  <c r="BL80" i="7" a="1"/>
  <c r="BL80" i="7" s="1"/>
  <c r="BK80" i="7" s="1"/>
  <c r="BL81" i="7" a="1"/>
  <c r="BL81" i="7" s="1"/>
  <c r="BK81" i="7" s="1"/>
  <c r="BL68" i="7" a="1"/>
  <c r="BL68" i="7" s="1"/>
  <c r="BK68" i="7" s="1"/>
  <c r="DR5" i="39" l="1"/>
  <c r="T17" i="42" s="1"/>
  <c r="EQ5" i="39"/>
  <c r="R17" i="42" s="1"/>
  <c r="EP5" i="39"/>
  <c r="O17" i="42" s="1"/>
  <c r="DO5" i="39"/>
  <c r="K17" i="42" s="1"/>
  <c r="EV5" i="39"/>
  <c r="AG17" i="42" s="1"/>
  <c r="EU5" i="39"/>
  <c r="AD17" i="42" s="1"/>
  <c r="DN5" i="39"/>
  <c r="H17" i="42" s="1"/>
  <c r="DM7" i="39"/>
  <c r="E18" i="42" s="1"/>
  <c r="DQ7" i="39"/>
  <c r="Q18" i="42" s="1"/>
  <c r="DW5" i="39"/>
  <c r="AI17" i="42" s="1"/>
  <c r="ET5" i="39"/>
  <c r="AA17" i="42" s="1"/>
  <c r="DS5" i="39"/>
  <c r="W17" i="42" s="1"/>
  <c r="DT5" i="39"/>
  <c r="Z17" i="42" s="1"/>
  <c r="DW7" i="39"/>
  <c r="AI18" i="42" s="1"/>
  <c r="DP7" i="39"/>
  <c r="N18" i="42" s="1"/>
  <c r="FN8" i="39"/>
  <c r="C19" i="42" s="1"/>
  <c r="DU7" i="39"/>
  <c r="AC18" i="42" s="1"/>
  <c r="BL83" i="7"/>
  <c r="BZ83" i="7"/>
  <c r="DV7" i="39"/>
  <c r="AF18" i="42" s="1"/>
  <c r="DR7" i="39"/>
  <c r="T18" i="42" s="1"/>
  <c r="ET7" i="39"/>
  <c r="AA18" i="42" s="1"/>
  <c r="DX7" i="39"/>
  <c r="AL18" i="42" s="1"/>
  <c r="DT7" i="39"/>
  <c r="Z18" i="42" s="1"/>
  <c r="DQ5" i="39"/>
  <c r="Q17" i="42" s="1"/>
  <c r="C17" i="42"/>
  <c r="DS7" i="39"/>
  <c r="W18" i="42" s="1"/>
  <c r="DN7" i="39"/>
  <c r="H18" i="42" s="1"/>
  <c r="DU5" i="39"/>
  <c r="AC17" i="42" s="1"/>
  <c r="DS8" i="39"/>
  <c r="W19" i="42" s="1"/>
  <c r="DV5" i="39"/>
  <c r="AF17" i="42" s="1"/>
  <c r="DP5" i="39"/>
  <c r="N17" i="42" s="1"/>
  <c r="DX5" i="39"/>
  <c r="AL17" i="42" s="1"/>
  <c r="DX8" i="39"/>
  <c r="AL19" i="42" s="1"/>
  <c r="B5" i="42"/>
  <c r="C12" i="42"/>
  <c r="C4" i="42"/>
  <c r="C18" i="42"/>
  <c r="B4" i="42"/>
  <c r="C11" i="42"/>
  <c r="DU8" i="39"/>
  <c r="AC19" i="42" s="1"/>
  <c r="DW8" i="39"/>
  <c r="AI19" i="42" s="1"/>
  <c r="DV8" i="39"/>
  <c r="AF19" i="42" s="1"/>
  <c r="DP8" i="39"/>
  <c r="N19" i="42" s="1"/>
  <c r="DT8" i="39"/>
  <c r="Z19" i="42" s="1"/>
  <c r="DR8" i="39"/>
  <c r="T19" i="42" s="1"/>
  <c r="DO8" i="39"/>
  <c r="K19" i="42" s="1"/>
  <c r="DM8" i="39"/>
  <c r="E19" i="42" s="1"/>
  <c r="DQ8" i="39"/>
  <c r="Q19" i="42" s="1"/>
  <c r="DN8" i="39"/>
  <c r="H19" i="42" s="1"/>
  <c r="BL85" i="7"/>
  <c r="HP63" i="39"/>
  <c r="HQ63" i="39" s="1"/>
  <c r="BL87" i="7"/>
  <c r="HP65" i="39"/>
  <c r="HQ65" i="39" s="1"/>
  <c r="BL86" i="7"/>
  <c r="HP64" i="39"/>
  <c r="HQ64" i="39" s="1"/>
  <c r="C10" i="42"/>
  <c r="HP61" i="39"/>
  <c r="BM83" i="7"/>
  <c r="HP62" i="39"/>
  <c r="HQ62" i="39" s="1"/>
  <c r="BL84" i="7"/>
  <c r="BK69" i="7"/>
  <c r="IE9" i="39" s="1"/>
  <c r="C5" i="42" l="1"/>
  <c r="HQ61" i="39"/>
  <c r="HS61" i="39"/>
  <c r="IE7" i="39"/>
  <c r="BJ87" i="7" a="1"/>
  <c r="BJ87" i="7" s="1"/>
  <c r="BH87" i="7" a="1"/>
  <c r="BH87" i="7" s="1"/>
  <c r="BI87" i="7" a="1"/>
  <c r="BI87" i="7" s="1"/>
  <c r="BI86" i="7" a="1"/>
  <c r="BI86" i="7" s="1"/>
  <c r="BJ86" i="7" a="1"/>
  <c r="BJ86" i="7" s="1"/>
  <c r="BH86" i="7" a="1"/>
  <c r="BH86" i="7" s="1"/>
  <c r="BH85" i="7" a="1"/>
  <c r="BH85" i="7" s="1"/>
  <c r="BI85" i="7" a="1"/>
  <c r="BI85" i="7" s="1"/>
  <c r="BJ85" i="7" a="1"/>
  <c r="BJ85" i="7" s="1"/>
  <c r="BH83" i="7" a="1"/>
  <c r="BH83" i="7" s="1"/>
  <c r="BI83" i="7" a="1"/>
  <c r="BI83" i="7" s="1"/>
  <c r="BJ83" i="7" a="1"/>
  <c r="BJ83" i="7" s="1"/>
  <c r="BH84" i="7" a="1"/>
  <c r="BH84" i="7" s="1"/>
  <c r="BI84" i="7" a="1"/>
  <c r="BI84" i="7" s="1"/>
  <c r="BJ84" i="7" a="1"/>
  <c r="BJ84" i="7" s="1"/>
  <c r="B295" i="7" l="1"/>
  <c r="K354" i="7"/>
  <c r="W13" i="7"/>
  <c r="K299" i="7"/>
  <c r="AN66" i="12"/>
  <c r="AN32" i="12"/>
  <c r="AN33" i="12"/>
  <c r="AN34" i="12"/>
  <c r="AN35" i="12"/>
  <c r="AN38" i="12"/>
  <c r="AN39" i="12"/>
  <c r="AN40" i="12"/>
  <c r="AN41" i="12"/>
  <c r="AN42" i="12"/>
  <c r="AN43" i="12"/>
  <c r="AN44" i="12"/>
  <c r="AN45" i="12"/>
  <c r="AN46" i="12"/>
  <c r="AN47" i="12"/>
  <c r="AN48" i="12"/>
  <c r="AN49" i="12"/>
  <c r="AN50" i="12"/>
  <c r="AN51" i="12"/>
  <c r="AN54" i="12"/>
  <c r="AN55" i="12"/>
  <c r="AN60" i="12"/>
  <c r="AN61" i="12"/>
  <c r="AN62" i="12"/>
  <c r="AN63" i="12"/>
  <c r="AN64" i="12"/>
  <c r="AN65" i="12"/>
  <c r="AN67" i="12"/>
  <c r="AN68" i="12"/>
  <c r="AN69" i="12"/>
  <c r="AN70" i="12"/>
  <c r="AN71" i="12"/>
  <c r="AN72" i="12"/>
  <c r="AN73" i="12"/>
  <c r="AN74" i="12"/>
  <c r="AN75" i="12"/>
  <c r="AN76" i="12"/>
  <c r="AN77" i="12"/>
  <c r="AN78" i="12"/>
  <c r="AN79" i="12"/>
  <c r="AN80" i="12"/>
  <c r="AN81" i="12"/>
  <c r="AN82" i="12"/>
  <c r="AN83" i="12"/>
  <c r="AN84" i="12"/>
  <c r="AN85" i="12"/>
  <c r="AN31" i="12"/>
  <c r="Z5" i="7"/>
  <c r="P6" i="7" l="1"/>
  <c r="L351" i="7" s="1"/>
  <c r="N3" i="39"/>
  <c r="Z9" i="7"/>
  <c r="BG13" i="7" s="1"/>
  <c r="V288" i="7" l="1"/>
  <c r="V290" i="7"/>
  <c r="AK289" i="7" l="1"/>
  <c r="AJ289" i="7"/>
  <c r="DP87" i="7"/>
  <c r="DP86" i="7"/>
  <c r="DP85" i="7"/>
  <c r="DP84" i="7"/>
  <c r="DP83" i="7"/>
  <c r="DM87" i="7"/>
  <c r="DM86" i="7"/>
  <c r="DM85" i="7"/>
  <c r="DM83" i="7"/>
  <c r="F102" i="7"/>
  <c r="AL308" i="7"/>
  <c r="BI155" i="7"/>
  <c r="BJ155" i="7" s="1"/>
  <c r="BI154" i="7"/>
  <c r="BJ154" i="7" s="1"/>
  <c r="BI153" i="7"/>
  <c r="BJ153" i="7" s="1"/>
  <c r="BI152" i="7"/>
  <c r="BJ152" i="7" s="1"/>
  <c r="BI151" i="7"/>
  <c r="BJ151" i="7" s="1"/>
  <c r="BI150" i="7"/>
  <c r="BJ150" i="7" s="1"/>
  <c r="BI149" i="7"/>
  <c r="BJ149" i="7" s="1"/>
  <c r="BI148" i="7"/>
  <c r="BJ148" i="7" s="1"/>
  <c r="BI147" i="7"/>
  <c r="BJ147" i="7" s="1"/>
  <c r="BI146" i="7"/>
  <c r="BJ146" i="7" s="1"/>
  <c r="BI145" i="7"/>
  <c r="BJ145" i="7" s="1"/>
  <c r="BI144" i="7"/>
  <c r="BJ144" i="7" s="1"/>
  <c r="BI143" i="7"/>
  <c r="BJ143" i="7" s="1"/>
  <c r="BI142" i="7"/>
  <c r="BJ142" i="7" s="1"/>
  <c r="BI141" i="7"/>
  <c r="BJ141" i="7" s="1"/>
  <c r="BI140" i="7"/>
  <c r="BJ140" i="7" s="1"/>
  <c r="BI139" i="7"/>
  <c r="BJ139" i="7" s="1"/>
  <c r="EB82" i="7"/>
  <c r="EC82" i="7" s="1"/>
  <c r="DZ82" i="7"/>
  <c r="EA82" i="7" s="1"/>
  <c r="DR87" i="7"/>
  <c r="DQ87" i="7"/>
  <c r="DO87" i="7"/>
  <c r="DN87" i="7"/>
  <c r="DR86" i="7"/>
  <c r="DQ86" i="7"/>
  <c r="DO86" i="7"/>
  <c r="DN86" i="7"/>
  <c r="EM86" i="7" s="1"/>
  <c r="EN86" i="7" s="1"/>
  <c r="DR85" i="7"/>
  <c r="DQ85" i="7"/>
  <c r="DO85" i="7"/>
  <c r="DN85" i="7"/>
  <c r="DR84" i="7"/>
  <c r="DQ84" i="7"/>
  <c r="DO84" i="7"/>
  <c r="DN84" i="7"/>
  <c r="EM84" i="7" s="1"/>
  <c r="EN84" i="7" s="1"/>
  <c r="CE87" i="7"/>
  <c r="CD87" i="7"/>
  <c r="CC87" i="7"/>
  <c r="CE86" i="7"/>
  <c r="CD86" i="7"/>
  <c r="CC86" i="7"/>
  <c r="CE85" i="7"/>
  <c r="CD85" i="7"/>
  <c r="CC85" i="7"/>
  <c r="CE84" i="7"/>
  <c r="CD84" i="7"/>
  <c r="CC84" i="7"/>
  <c r="CE83" i="7"/>
  <c r="CD83" i="7"/>
  <c r="CC83" i="7"/>
  <c r="CB87" i="7"/>
  <c r="CB86" i="7"/>
  <c r="CB85" i="7"/>
  <c r="CB84" i="7"/>
  <c r="CB83" i="7"/>
  <c r="BY87" i="7"/>
  <c r="BX87" i="7"/>
  <c r="BW87" i="7"/>
  <c r="BG87" i="7" s="1"/>
  <c r="BY86" i="7"/>
  <c r="BX86" i="7"/>
  <c r="BW86" i="7"/>
  <c r="BG86" i="7" s="1"/>
  <c r="BY85" i="7"/>
  <c r="BX85" i="7"/>
  <c r="BW85" i="7"/>
  <c r="BG85" i="7" s="1"/>
  <c r="BY84" i="7"/>
  <c r="BX84" i="7"/>
  <c r="BW84" i="7"/>
  <c r="BG84" i="7" s="1"/>
  <c r="BY83" i="7"/>
  <c r="BX83" i="7"/>
  <c r="BW83" i="7"/>
  <c r="BG83" i="7" s="1"/>
  <c r="BV87" i="7"/>
  <c r="BF87" i="7" s="1"/>
  <c r="BU87" i="7"/>
  <c r="AA87" i="7" s="1"/>
  <c r="BD87" i="7" s="1"/>
  <c r="BV86" i="7"/>
  <c r="BF86" i="7" s="1"/>
  <c r="BU86" i="7"/>
  <c r="BV85" i="7"/>
  <c r="BF85" i="7" s="1"/>
  <c r="BU85" i="7"/>
  <c r="Z85" i="7" s="1"/>
  <c r="BV84" i="7"/>
  <c r="BF84" i="7" s="1"/>
  <c r="BU84" i="7"/>
  <c r="BV83" i="7"/>
  <c r="BF83" i="7" s="1"/>
  <c r="BU83" i="7"/>
  <c r="AA83" i="7" s="1"/>
  <c r="BD83" i="7" s="1"/>
  <c r="BT87" i="7"/>
  <c r="CW87" i="7" s="1"/>
  <c r="BS87" i="7"/>
  <c r="EV87" i="7" s="1"/>
  <c r="BR87" i="7"/>
  <c r="EU87" i="7" s="1"/>
  <c r="BT86" i="7"/>
  <c r="CW86" i="7" s="1"/>
  <c r="BS86" i="7"/>
  <c r="BR86" i="7"/>
  <c r="EU86" i="7" s="1"/>
  <c r="BT85" i="7"/>
  <c r="CW85" i="7" s="1"/>
  <c r="BS85" i="7"/>
  <c r="BR85" i="7"/>
  <c r="EU85" i="7" s="1"/>
  <c r="BT84" i="7"/>
  <c r="BS84" i="7"/>
  <c r="EV84" i="7" s="1"/>
  <c r="BR84" i="7"/>
  <c r="EU84" i="7" s="1"/>
  <c r="BT83" i="7"/>
  <c r="CW83" i="7" s="1"/>
  <c r="BS83" i="7"/>
  <c r="BR83" i="7"/>
  <c r="EU83" i="7" s="1"/>
  <c r="BO87" i="7"/>
  <c r="BP87" i="7" s="1"/>
  <c r="BO86" i="7"/>
  <c r="BO85" i="7"/>
  <c r="BP85" i="7" s="1"/>
  <c r="BO84" i="7"/>
  <c r="BQ84" i="7" s="1"/>
  <c r="BO83" i="7"/>
  <c r="AR87" i="7"/>
  <c r="DX87" i="7" s="1"/>
  <c r="AR86" i="7"/>
  <c r="AR85" i="7"/>
  <c r="DX85" i="7" s="1"/>
  <c r="AR84" i="7"/>
  <c r="DX84" i="7" s="1"/>
  <c r="AR83" i="7"/>
  <c r="DX83" i="7" s="1"/>
  <c r="AK87" i="7"/>
  <c r="AJ87" i="7"/>
  <c r="AK86" i="7"/>
  <c r="AJ86" i="7"/>
  <c r="AK85" i="7"/>
  <c r="AJ85" i="7"/>
  <c r="AK84" i="7"/>
  <c r="AJ84" i="7"/>
  <c r="AK83" i="7"/>
  <c r="AJ83" i="7"/>
  <c r="DR83" i="7"/>
  <c r="DQ83" i="7"/>
  <c r="DO83" i="7"/>
  <c r="DN83" i="7"/>
  <c r="EM83" i="7" s="1"/>
  <c r="EN83" i="7" s="1"/>
  <c r="AF11" i="14"/>
  <c r="DT87" i="7" s="1"/>
  <c r="AE11" i="14"/>
  <c r="DS87" i="7" s="1"/>
  <c r="AC11" i="14"/>
  <c r="AD11" i="14" s="1"/>
  <c r="A87" i="7" s="1"/>
  <c r="HM65" i="39" s="1"/>
  <c r="AF10" i="14"/>
  <c r="DT86" i="7" s="1"/>
  <c r="AE10" i="14"/>
  <c r="DS86" i="7" s="1"/>
  <c r="AC10" i="14"/>
  <c r="AD10" i="14" s="1"/>
  <c r="A86" i="7" s="1"/>
  <c r="HM64" i="39" s="1"/>
  <c r="DF82" i="7"/>
  <c r="DE82" i="7"/>
  <c r="CZ82" i="7"/>
  <c r="CY82" i="7"/>
  <c r="G15" i="7"/>
  <c r="Q337" i="7"/>
  <c r="Q336" i="7"/>
  <c r="Q335" i="7"/>
  <c r="Q334" i="7"/>
  <c r="Q333" i="7"/>
  <c r="Q332" i="7"/>
  <c r="Q331" i="7"/>
  <c r="Q330" i="7"/>
  <c r="Q329" i="7"/>
  <c r="Q328" i="7"/>
  <c r="Q327" i="7"/>
  <c r="Q326" i="7"/>
  <c r="Q325" i="7"/>
  <c r="Q324" i="7"/>
  <c r="Q323" i="7"/>
  <c r="Q322" i="7"/>
  <c r="Q321" i="7"/>
  <c r="Q320" i="7"/>
  <c r="Q319" i="7"/>
  <c r="Q318" i="7"/>
  <c r="Q317" i="7"/>
  <c r="Q316" i="7"/>
  <c r="Q315" i="7"/>
  <c r="Q314" i="7"/>
  <c r="Q313" i="7"/>
  <c r="Q312" i="7"/>
  <c r="Q311" i="7"/>
  <c r="BN155" i="7"/>
  <c r="BM155" i="7"/>
  <c r="BO155" i="7" s="1"/>
  <c r="AD155" i="7"/>
  <c r="AE155" i="7" s="1"/>
  <c r="Y155" i="7"/>
  <c r="Z155" i="7"/>
  <c r="AB155" i="7" s="1"/>
  <c r="W155" i="7"/>
  <c r="V155" i="7"/>
  <c r="AO155" i="7" s="1"/>
  <c r="U155" i="7"/>
  <c r="S155" i="7"/>
  <c r="AL155" i="7" s="1"/>
  <c r="Q155" i="7"/>
  <c r="R155" i="7" s="1"/>
  <c r="BN154" i="7"/>
  <c r="BM154" i="7"/>
  <c r="BO154" i="7" s="1"/>
  <c r="AD154" i="7"/>
  <c r="AE154" i="7" s="1"/>
  <c r="Y154" i="7"/>
  <c r="Z154" i="7"/>
  <c r="AA154" i="7" s="1"/>
  <c r="W154" i="7"/>
  <c r="AP154" i="7" s="1"/>
  <c r="V154" i="7"/>
  <c r="AO154" i="7" s="1"/>
  <c r="U154" i="7"/>
  <c r="S154" i="7"/>
  <c r="AL154" i="7" s="1"/>
  <c r="Q154" i="7"/>
  <c r="R154" i="7" s="1"/>
  <c r="BN153" i="7"/>
  <c r="BM153" i="7"/>
  <c r="BO153" i="7" s="1"/>
  <c r="AD153" i="7"/>
  <c r="AE153" i="7" s="1"/>
  <c r="Y153" i="7"/>
  <c r="Z153" i="7"/>
  <c r="W153" i="7"/>
  <c r="AP153" i="7" s="1"/>
  <c r="V153" i="7"/>
  <c r="AO153" i="7" s="1"/>
  <c r="U153" i="7"/>
  <c r="AN153" i="7" s="1"/>
  <c r="S153" i="7"/>
  <c r="AL153" i="7" s="1"/>
  <c r="Q153" i="7"/>
  <c r="R153" i="7" s="1"/>
  <c r="BN152" i="7"/>
  <c r="BM152" i="7"/>
  <c r="BO152" i="7" s="1"/>
  <c r="AD152" i="7"/>
  <c r="AE152" i="7" s="1"/>
  <c r="Y152" i="7"/>
  <c r="Z152" i="7"/>
  <c r="AA152" i="7" s="1"/>
  <c r="W152" i="7"/>
  <c r="AP152" i="7" s="1"/>
  <c r="V152" i="7"/>
  <c r="AO152" i="7" s="1"/>
  <c r="AS152" i="7"/>
  <c r="S152" i="7"/>
  <c r="Q152" i="7"/>
  <c r="R152" i="7" s="1"/>
  <c r="BN151" i="7"/>
  <c r="BM151" i="7"/>
  <c r="BO151" i="7" s="1"/>
  <c r="AD151" i="7"/>
  <c r="AE151" i="7" s="1"/>
  <c r="Y151" i="7"/>
  <c r="Z151" i="7"/>
  <c r="AB151" i="7" s="1"/>
  <c r="W151" i="7"/>
  <c r="AP151" i="7" s="1"/>
  <c r="V151" i="7"/>
  <c r="U151" i="7"/>
  <c r="S151" i="7"/>
  <c r="AL151" i="7" s="1"/>
  <c r="AQ151" i="7" s="1"/>
  <c r="Q151" i="7"/>
  <c r="R151" i="7" s="1"/>
  <c r="BN150" i="7"/>
  <c r="BM150" i="7"/>
  <c r="BO150" i="7" s="1"/>
  <c r="AD150" i="7"/>
  <c r="AE150" i="7" s="1"/>
  <c r="Y150" i="7"/>
  <c r="Z150" i="7"/>
  <c r="W150" i="7"/>
  <c r="AP150" i="7" s="1"/>
  <c r="V150" i="7"/>
  <c r="AO150" i="7" s="1"/>
  <c r="U150" i="7"/>
  <c r="S150" i="7"/>
  <c r="AL150" i="7" s="1"/>
  <c r="Q150" i="7"/>
  <c r="R150" i="7" s="1"/>
  <c r="BN149" i="7"/>
  <c r="BM149" i="7"/>
  <c r="BO149" i="7" s="1"/>
  <c r="AD149" i="7"/>
  <c r="AE149" i="7" s="1"/>
  <c r="Y149" i="7"/>
  <c r="Z149" i="7"/>
  <c r="AA149" i="7" s="1"/>
  <c r="W149" i="7"/>
  <c r="AP149" i="7" s="1"/>
  <c r="V149" i="7"/>
  <c r="AO149" i="7" s="1"/>
  <c r="U149" i="7"/>
  <c r="AN149" i="7" s="1"/>
  <c r="S149" i="7"/>
  <c r="Q149" i="7"/>
  <c r="R149" i="7" s="1"/>
  <c r="BN148" i="7"/>
  <c r="BM148" i="7"/>
  <c r="BO148" i="7" s="1"/>
  <c r="AD148" i="7"/>
  <c r="AE148" i="7" s="1"/>
  <c r="Y148" i="7"/>
  <c r="Z148" i="7"/>
  <c r="AA148" i="7" s="1"/>
  <c r="W148" i="7"/>
  <c r="AP148" i="7" s="1"/>
  <c r="V148" i="7"/>
  <c r="AO148" i="7" s="1"/>
  <c r="U148" i="7"/>
  <c r="AN148" i="7" s="1"/>
  <c r="AS148" i="7" s="1"/>
  <c r="S148" i="7"/>
  <c r="Q148" i="7"/>
  <c r="R148" i="7" s="1"/>
  <c r="BN147" i="7"/>
  <c r="BM147" i="7"/>
  <c r="BO147" i="7" s="1"/>
  <c r="AD147" i="7"/>
  <c r="AE147" i="7" s="1"/>
  <c r="Z147" i="7"/>
  <c r="AB147" i="7" s="1"/>
  <c r="Y147" i="7"/>
  <c r="W147" i="7"/>
  <c r="AP147" i="7" s="1"/>
  <c r="V147" i="7"/>
  <c r="AO147" i="7" s="1"/>
  <c r="U147" i="7"/>
  <c r="AN147" i="7" s="1"/>
  <c r="AS147" i="7" s="1"/>
  <c r="S147" i="7"/>
  <c r="AL147" i="7" s="1"/>
  <c r="Q147" i="7"/>
  <c r="R147" i="7" s="1"/>
  <c r="BN146" i="7"/>
  <c r="BM146" i="7"/>
  <c r="BO146" i="7" s="1"/>
  <c r="AD146" i="7"/>
  <c r="AE146" i="7" s="1"/>
  <c r="Y146" i="7"/>
  <c r="Z146" i="7"/>
  <c r="AA146" i="7" s="1"/>
  <c r="W146" i="7"/>
  <c r="AP146" i="7" s="1"/>
  <c r="V146" i="7"/>
  <c r="AO146" i="7" s="1"/>
  <c r="AT146" i="7" s="1"/>
  <c r="U146" i="7"/>
  <c r="S146" i="7"/>
  <c r="AL146" i="7" s="1"/>
  <c r="Q146" i="7"/>
  <c r="R146" i="7" s="1"/>
  <c r="BN145" i="7"/>
  <c r="BM145" i="7"/>
  <c r="BO145" i="7" s="1"/>
  <c r="AD145" i="7"/>
  <c r="AE145" i="7" s="1"/>
  <c r="Y145" i="7"/>
  <c r="Z145" i="7"/>
  <c r="W145" i="7"/>
  <c r="V145" i="7"/>
  <c r="U145" i="7"/>
  <c r="AN145" i="7" s="1"/>
  <c r="S145" i="7"/>
  <c r="AL145" i="7" s="1"/>
  <c r="Q145" i="7"/>
  <c r="R145" i="7" s="1"/>
  <c r="BN144" i="7"/>
  <c r="BM144" i="7"/>
  <c r="BO144" i="7" s="1"/>
  <c r="AD144" i="7"/>
  <c r="AE144" i="7" s="1"/>
  <c r="Y144" i="7"/>
  <c r="Z144" i="7"/>
  <c r="AB144" i="7" s="1"/>
  <c r="W144" i="7"/>
  <c r="AP144" i="7" s="1"/>
  <c r="V144" i="7"/>
  <c r="AO144" i="7" s="1"/>
  <c r="U144" i="7"/>
  <c r="AN144" i="7" s="1"/>
  <c r="S144" i="7"/>
  <c r="Q144" i="7"/>
  <c r="R144" i="7" s="1"/>
  <c r="BN143" i="7"/>
  <c r="BM143" i="7"/>
  <c r="BO143" i="7" s="1"/>
  <c r="AD143" i="7"/>
  <c r="AE143" i="7" s="1"/>
  <c r="Z143" i="7"/>
  <c r="AA143" i="7" s="1"/>
  <c r="Y143" i="7"/>
  <c r="W143" i="7"/>
  <c r="AP143" i="7" s="1"/>
  <c r="V143" i="7"/>
  <c r="AO143" i="7" s="1"/>
  <c r="AT143" i="7" s="1"/>
  <c r="U143" i="7"/>
  <c r="S143" i="7"/>
  <c r="AL143" i="7" s="1"/>
  <c r="Q143" i="7"/>
  <c r="R143" i="7" s="1"/>
  <c r="BN142" i="7"/>
  <c r="BM142" i="7"/>
  <c r="BO142" i="7" s="1"/>
  <c r="AD142" i="7"/>
  <c r="AE142" i="7" s="1"/>
  <c r="Y142" i="7"/>
  <c r="Z142" i="7"/>
  <c r="AB142" i="7" s="1"/>
  <c r="W142" i="7"/>
  <c r="V142" i="7"/>
  <c r="AO142" i="7" s="1"/>
  <c r="AT142" i="7" s="1"/>
  <c r="U142" i="7"/>
  <c r="AN142" i="7" s="1"/>
  <c r="S142" i="7"/>
  <c r="AL142" i="7" s="1"/>
  <c r="Q142" i="7"/>
  <c r="R142" i="7" s="1"/>
  <c r="BN141" i="7"/>
  <c r="BM141" i="7"/>
  <c r="BO141" i="7" s="1"/>
  <c r="AD141" i="7"/>
  <c r="AE141" i="7" s="1"/>
  <c r="Y141" i="7"/>
  <c r="Z141" i="7" s="1"/>
  <c r="AA141" i="7" s="1"/>
  <c r="W141" i="7"/>
  <c r="V141" i="7"/>
  <c r="U141" i="7"/>
  <c r="AN141" i="7" s="1"/>
  <c r="S141" i="7"/>
  <c r="AL141" i="7" s="1"/>
  <c r="Q141" i="7"/>
  <c r="R141" i="7" s="1"/>
  <c r="BN140" i="7"/>
  <c r="BM140" i="7"/>
  <c r="BO140" i="7" s="1"/>
  <c r="AD140" i="7"/>
  <c r="AE140" i="7" s="1"/>
  <c r="Y140" i="7"/>
  <c r="Z140" i="7" s="1"/>
  <c r="AB140" i="7" s="1"/>
  <c r="W140" i="7"/>
  <c r="V140" i="7"/>
  <c r="AO140" i="7" s="1"/>
  <c r="U140" i="7"/>
  <c r="S140" i="7"/>
  <c r="AL140" i="7" s="1"/>
  <c r="Q140" i="7"/>
  <c r="R140" i="7" s="1"/>
  <c r="BN139" i="7"/>
  <c r="BM139" i="7"/>
  <c r="BO139" i="7" s="1"/>
  <c r="AD139" i="7"/>
  <c r="AE139" i="7" s="1"/>
  <c r="Y139" i="7"/>
  <c r="Z139" i="7" s="1"/>
  <c r="W139" i="7"/>
  <c r="V139" i="7"/>
  <c r="AO139" i="7" s="1"/>
  <c r="U139" i="7"/>
  <c r="S139" i="7"/>
  <c r="AL139" i="7" s="1"/>
  <c r="Q139" i="7"/>
  <c r="R139" i="7" s="1"/>
  <c r="BN138" i="7"/>
  <c r="BM138" i="7"/>
  <c r="BO138" i="7" s="1"/>
  <c r="AD138" i="7"/>
  <c r="AE138" i="7" s="1"/>
  <c r="Y138" i="7"/>
  <c r="Z138" i="7" s="1"/>
  <c r="AA138" i="7" s="1"/>
  <c r="W138" i="7"/>
  <c r="V138" i="7"/>
  <c r="U138" i="7"/>
  <c r="S138" i="7"/>
  <c r="AL138" i="7" s="1"/>
  <c r="Q138" i="7"/>
  <c r="R138" i="7" s="1"/>
  <c r="BO130" i="7"/>
  <c r="BI130" i="7"/>
  <c r="BJ130" i="7" s="1"/>
  <c r="BE130" i="7"/>
  <c r="I130" i="7" s="1"/>
  <c r="BD130" i="7"/>
  <c r="AD130" i="7" s="1"/>
  <c r="AE130" i="7" s="1"/>
  <c r="BC130" i="7"/>
  <c r="G130" i="7" s="1"/>
  <c r="BB130" i="7"/>
  <c r="BA130" i="7"/>
  <c r="AZ130" i="7"/>
  <c r="AY130" i="7"/>
  <c r="AW130" i="7"/>
  <c r="BO129" i="7"/>
  <c r="BI129" i="7"/>
  <c r="BJ129" i="7" s="1"/>
  <c r="BE129" i="7"/>
  <c r="I129" i="7" s="1"/>
  <c r="BD129" i="7"/>
  <c r="BC129" i="7"/>
  <c r="G129" i="7" s="1"/>
  <c r="BB129" i="7"/>
  <c r="BA129" i="7"/>
  <c r="AZ129" i="7"/>
  <c r="AY129" i="7"/>
  <c r="AW129" i="7"/>
  <c r="BO128" i="7"/>
  <c r="BI128" i="7"/>
  <c r="BJ128" i="7" s="1"/>
  <c r="BE128" i="7"/>
  <c r="I128" i="7" s="1"/>
  <c r="BD128" i="7"/>
  <c r="AD128" i="7" s="1"/>
  <c r="AE128" i="7" s="1"/>
  <c r="BC128" i="7"/>
  <c r="G128" i="7" s="1"/>
  <c r="BB128" i="7"/>
  <c r="BA128" i="7"/>
  <c r="AZ128" i="7"/>
  <c r="AY128" i="7"/>
  <c r="AW128" i="7"/>
  <c r="BO127" i="7"/>
  <c r="BI127" i="7"/>
  <c r="BJ127" i="7" s="1"/>
  <c r="BE127" i="7"/>
  <c r="I127" i="7" s="1"/>
  <c r="BD127" i="7"/>
  <c r="AD127" i="7" s="1"/>
  <c r="AE127" i="7" s="1"/>
  <c r="BC127" i="7"/>
  <c r="G127" i="7" s="1"/>
  <c r="BB127" i="7"/>
  <c r="BA127" i="7"/>
  <c r="AZ127" i="7"/>
  <c r="AY127" i="7"/>
  <c r="AW127" i="7"/>
  <c r="BO126" i="7"/>
  <c r="BI126" i="7"/>
  <c r="BJ126" i="7" s="1"/>
  <c r="BE126" i="7"/>
  <c r="I126" i="7" s="1"/>
  <c r="BD126" i="7"/>
  <c r="BC126" i="7"/>
  <c r="G126" i="7" s="1"/>
  <c r="BB126" i="7"/>
  <c r="BA126" i="7"/>
  <c r="AZ126" i="7"/>
  <c r="AY126" i="7"/>
  <c r="AW126" i="7"/>
  <c r="BO125" i="7"/>
  <c r="BI125" i="7"/>
  <c r="BJ125" i="7" s="1"/>
  <c r="BE125" i="7"/>
  <c r="I125" i="7" s="1"/>
  <c r="BD125" i="7"/>
  <c r="BC125" i="7"/>
  <c r="G125" i="7" s="1"/>
  <c r="BB125" i="7"/>
  <c r="BA125" i="7"/>
  <c r="AZ125" i="7"/>
  <c r="AY125" i="7"/>
  <c r="AW125" i="7"/>
  <c r="BO124" i="7"/>
  <c r="BI124" i="7"/>
  <c r="BJ124" i="7" s="1"/>
  <c r="BE124" i="7"/>
  <c r="I124" i="7" s="1"/>
  <c r="BD124" i="7"/>
  <c r="AD124" i="7" s="1"/>
  <c r="AE124" i="7" s="1"/>
  <c r="BC124" i="7"/>
  <c r="G124" i="7" s="1"/>
  <c r="BB124" i="7"/>
  <c r="BA124" i="7"/>
  <c r="AZ124" i="7"/>
  <c r="AY124" i="7"/>
  <c r="AW124" i="7"/>
  <c r="BO123" i="7"/>
  <c r="BI123" i="7"/>
  <c r="BJ123" i="7" s="1"/>
  <c r="BE123" i="7"/>
  <c r="I123" i="7" s="1"/>
  <c r="BD123" i="7"/>
  <c r="AD123" i="7" s="1"/>
  <c r="AE123" i="7" s="1"/>
  <c r="BC123" i="7"/>
  <c r="G123" i="7" s="1"/>
  <c r="BB123" i="7"/>
  <c r="BA123" i="7"/>
  <c r="AZ123" i="7"/>
  <c r="AY123" i="7"/>
  <c r="AW123" i="7"/>
  <c r="BO122" i="7"/>
  <c r="BI122" i="7"/>
  <c r="BJ122" i="7" s="1"/>
  <c r="BE122" i="7"/>
  <c r="I122" i="7" s="1"/>
  <c r="BD122" i="7"/>
  <c r="BC122" i="7"/>
  <c r="G122" i="7" s="1"/>
  <c r="BB122" i="7"/>
  <c r="BA122" i="7"/>
  <c r="AZ122" i="7"/>
  <c r="AY122" i="7"/>
  <c r="AW122" i="7"/>
  <c r="BO121" i="7"/>
  <c r="BI121" i="7"/>
  <c r="BJ121" i="7" s="1"/>
  <c r="BE121" i="7"/>
  <c r="I121" i="7" s="1"/>
  <c r="BD121" i="7"/>
  <c r="BC121" i="7"/>
  <c r="G121" i="7" s="1"/>
  <c r="BB121" i="7"/>
  <c r="BA121" i="7"/>
  <c r="AZ121" i="7"/>
  <c r="AY121" i="7"/>
  <c r="AW121" i="7"/>
  <c r="BO120" i="7"/>
  <c r="BI120" i="7"/>
  <c r="BJ120" i="7" s="1"/>
  <c r="BE120" i="7"/>
  <c r="I120" i="7" s="1"/>
  <c r="BD120" i="7"/>
  <c r="AD120" i="7" s="1"/>
  <c r="AE120" i="7" s="1"/>
  <c r="BC120" i="7"/>
  <c r="G120" i="7" s="1"/>
  <c r="BB120" i="7"/>
  <c r="BA120" i="7"/>
  <c r="AZ120" i="7"/>
  <c r="AY120" i="7"/>
  <c r="AW120" i="7"/>
  <c r="BO119" i="7"/>
  <c r="BI119" i="7"/>
  <c r="BJ119" i="7" s="1"/>
  <c r="BE119" i="7"/>
  <c r="I119" i="7" s="1"/>
  <c r="BD119" i="7"/>
  <c r="AD119" i="7" s="1"/>
  <c r="AE119" i="7" s="1"/>
  <c r="BC119" i="7"/>
  <c r="G119" i="7" s="1"/>
  <c r="BB119" i="7"/>
  <c r="BA119" i="7"/>
  <c r="AZ119" i="7"/>
  <c r="AY119" i="7"/>
  <c r="AW119" i="7"/>
  <c r="BO118" i="7"/>
  <c r="BI118" i="7"/>
  <c r="BJ118" i="7" s="1"/>
  <c r="BE118" i="7"/>
  <c r="I118" i="7" s="1"/>
  <c r="BD118" i="7"/>
  <c r="G118" i="7"/>
  <c r="BB118" i="7"/>
  <c r="BA118" i="7"/>
  <c r="AZ118" i="7"/>
  <c r="AY118" i="7"/>
  <c r="AW118" i="7"/>
  <c r="BO117" i="7"/>
  <c r="BI117" i="7"/>
  <c r="BJ117" i="7" s="1"/>
  <c r="BE117" i="7"/>
  <c r="I117" i="7" s="1"/>
  <c r="BD117" i="7"/>
  <c r="AD117" i="7" s="1"/>
  <c r="AE117" i="7" s="1"/>
  <c r="BC117" i="7"/>
  <c r="G117" i="7" s="1"/>
  <c r="BB117" i="7"/>
  <c r="BA117" i="7"/>
  <c r="AZ117" i="7"/>
  <c r="AY117" i="7"/>
  <c r="AW117" i="7"/>
  <c r="BO116" i="7"/>
  <c r="BI116" i="7"/>
  <c r="BJ116" i="7" s="1"/>
  <c r="BE116" i="7"/>
  <c r="I116" i="7" s="1"/>
  <c r="BD116" i="7"/>
  <c r="BC116" i="7"/>
  <c r="G116" i="7" s="1"/>
  <c r="BB116" i="7"/>
  <c r="BA116" i="7"/>
  <c r="AZ116" i="7"/>
  <c r="AY116" i="7"/>
  <c r="AW116" i="7"/>
  <c r="DL84" i="7"/>
  <c r="BE84" i="7"/>
  <c r="BB84" i="7"/>
  <c r="P84" i="7"/>
  <c r="DT78" i="7"/>
  <c r="DS78" i="7"/>
  <c r="DR78" i="7"/>
  <c r="DQ78" i="7"/>
  <c r="DP78" i="7"/>
  <c r="DO78" i="7"/>
  <c r="DN78" i="7"/>
  <c r="EM78" i="7" s="1"/>
  <c r="EN78" i="7" s="1"/>
  <c r="DM78" i="7"/>
  <c r="DL78" i="7"/>
  <c r="CR78" i="7"/>
  <c r="CQ78" i="7"/>
  <c r="CP78" i="7"/>
  <c r="CN78" i="7"/>
  <c r="CI78" i="7"/>
  <c r="CB78" i="7"/>
  <c r="DI78" i="7"/>
  <c r="BE78" i="7"/>
  <c r="BB78" i="7"/>
  <c r="DT77" i="7"/>
  <c r="DS77" i="7"/>
  <c r="DR77" i="7"/>
  <c r="DQ77" i="7"/>
  <c r="DP77" i="7"/>
  <c r="DO77" i="7"/>
  <c r="DN77" i="7"/>
  <c r="EM77" i="7" s="1"/>
  <c r="EN77" i="7" s="1"/>
  <c r="DM77" i="7"/>
  <c r="DL77" i="7"/>
  <c r="CR77" i="7"/>
  <c r="CQ77" i="7"/>
  <c r="CP77" i="7"/>
  <c r="CN77" i="7"/>
  <c r="CI77" i="7"/>
  <c r="CB77" i="7"/>
  <c r="DI77" i="7"/>
  <c r="BE77" i="7"/>
  <c r="BB77" i="7"/>
  <c r="DL85" i="7"/>
  <c r="BE85" i="7"/>
  <c r="BB85" i="7"/>
  <c r="P85" i="7"/>
  <c r="BO115" i="7"/>
  <c r="BO114" i="7"/>
  <c r="BO113" i="7"/>
  <c r="DI82" i="7"/>
  <c r="DG82" i="7"/>
  <c r="Y269" i="7"/>
  <c r="Y268" i="7"/>
  <c r="Y267" i="7"/>
  <c r="Y266" i="7"/>
  <c r="R170" i="7"/>
  <c r="R164" i="7"/>
  <c r="S269" i="7"/>
  <c r="S267" i="7"/>
  <c r="S265" i="7"/>
  <c r="S264" i="7"/>
  <c r="S262" i="7"/>
  <c r="S261" i="7"/>
  <c r="S260" i="7"/>
  <c r="BI115" i="7"/>
  <c r="BJ115" i="7" s="1"/>
  <c r="BI114" i="7"/>
  <c r="BJ114" i="7" s="1"/>
  <c r="BI113" i="7"/>
  <c r="BJ113" i="7" s="1"/>
  <c r="DU82" i="7"/>
  <c r="AF9" i="14"/>
  <c r="DT85" i="7" s="1"/>
  <c r="AE9" i="14"/>
  <c r="DS85" i="7" s="1"/>
  <c r="AF8" i="14"/>
  <c r="DT84" i="7" s="1"/>
  <c r="AE8" i="14"/>
  <c r="DS84" i="7" s="1"/>
  <c r="AF7" i="14"/>
  <c r="DT83" i="7" s="1"/>
  <c r="AE7" i="14"/>
  <c r="DS83" i="7" s="1"/>
  <c r="AC7" i="14"/>
  <c r="AD7" i="14" s="1"/>
  <c r="A83" i="7" s="1"/>
  <c r="HM61" i="39" s="1"/>
  <c r="DT81" i="7"/>
  <c r="DT80" i="7"/>
  <c r="DT79" i="7"/>
  <c r="DT76" i="7"/>
  <c r="DT75" i="7"/>
  <c r="DT74" i="7"/>
  <c r="DT73" i="7"/>
  <c r="DT72" i="7"/>
  <c r="DT71" i="7"/>
  <c r="DT70" i="7"/>
  <c r="DT69" i="7"/>
  <c r="DT68" i="7"/>
  <c r="P261" i="7"/>
  <c r="J261" i="7" s="1"/>
  <c r="R261" i="7" s="1"/>
  <c r="AC280" i="7"/>
  <c r="AB280" i="7"/>
  <c r="AA280" i="7"/>
  <c r="J169" i="7"/>
  <c r="Q169" i="7" s="1"/>
  <c r="R169" i="7" s="1"/>
  <c r="BE115" i="7"/>
  <c r="I115" i="7" s="1"/>
  <c r="BD115" i="7"/>
  <c r="AD115" i="7" s="1"/>
  <c r="AE115" i="7" s="1"/>
  <c r="BC115" i="7"/>
  <c r="G115" i="7" s="1"/>
  <c r="BB115" i="7"/>
  <c r="BA115" i="7"/>
  <c r="AZ115" i="7"/>
  <c r="AY115" i="7"/>
  <c r="AW115" i="7"/>
  <c r="BE114" i="7"/>
  <c r="I114" i="7" s="1"/>
  <c r="BD114" i="7"/>
  <c r="BC114" i="7"/>
  <c r="G114" i="7" s="1"/>
  <c r="BB114" i="7"/>
  <c r="BA114" i="7"/>
  <c r="AZ114" i="7"/>
  <c r="AY114" i="7"/>
  <c r="AW114" i="7"/>
  <c r="BE113" i="7"/>
  <c r="I113" i="7" s="1"/>
  <c r="BD113" i="7"/>
  <c r="H113" i="7" s="1"/>
  <c r="BC113" i="7"/>
  <c r="G113" i="7" s="1"/>
  <c r="BB113" i="7"/>
  <c r="BA113" i="7"/>
  <c r="AZ113" i="7"/>
  <c r="AY113" i="7"/>
  <c r="CX82" i="7"/>
  <c r="DD82" i="7"/>
  <c r="D26" i="12"/>
  <c r="W290" i="7"/>
  <c r="V289" i="7"/>
  <c r="DX82" i="7"/>
  <c r="Q310" i="7"/>
  <c r="Q309" i="7"/>
  <c r="U308" i="7"/>
  <c r="P43" i="7"/>
  <c r="P40" i="7"/>
  <c r="EM82" i="7"/>
  <c r="EN82" i="7" s="1"/>
  <c r="DY82" i="7"/>
  <c r="DL87" i="7"/>
  <c r="DL86" i="7"/>
  <c r="DL83" i="7"/>
  <c r="DL82" i="7"/>
  <c r="EE82" i="7" s="1"/>
  <c r="DL81" i="7"/>
  <c r="DL80" i="7"/>
  <c r="DL79" i="7"/>
  <c r="DL76" i="7"/>
  <c r="DL75" i="7"/>
  <c r="DL74" i="7"/>
  <c r="DL73" i="7"/>
  <c r="DL72" i="7"/>
  <c r="DL71" i="7"/>
  <c r="DL70" i="7"/>
  <c r="DL69" i="7"/>
  <c r="DL68" i="7"/>
  <c r="Z137" i="7"/>
  <c r="AA137" i="7" s="1"/>
  <c r="AD137" i="7"/>
  <c r="AE137" i="7" s="1"/>
  <c r="DS81" i="7"/>
  <c r="DS80" i="7"/>
  <c r="DS79" i="7"/>
  <c r="DS76" i="7"/>
  <c r="DS75" i="7"/>
  <c r="DS74" i="7"/>
  <c r="DS73" i="7"/>
  <c r="DS72" i="7"/>
  <c r="DS71" i="7"/>
  <c r="DS70" i="7"/>
  <c r="DS69" i="7"/>
  <c r="DS68" i="7"/>
  <c r="DW82" i="7"/>
  <c r="CN81" i="7"/>
  <c r="CN80" i="7"/>
  <c r="CN79" i="7"/>
  <c r="CN76" i="7"/>
  <c r="CN75" i="7"/>
  <c r="CN74" i="7"/>
  <c r="CN73" i="7"/>
  <c r="CN72" i="7"/>
  <c r="CN71" i="7"/>
  <c r="CN70" i="7"/>
  <c r="CN69" i="7"/>
  <c r="CN68" i="7"/>
  <c r="CW82" i="7"/>
  <c r="CV82" i="7"/>
  <c r="CU82" i="7"/>
  <c r="DR81" i="7"/>
  <c r="DQ81" i="7"/>
  <c r="DP81" i="7"/>
  <c r="DO81" i="7"/>
  <c r="DN81" i="7"/>
  <c r="EM81" i="7" s="1"/>
  <c r="EN81" i="7" s="1"/>
  <c r="DM81" i="7"/>
  <c r="DR80" i="7"/>
  <c r="DQ80" i="7"/>
  <c r="DP80" i="7"/>
  <c r="DO80" i="7"/>
  <c r="DN80" i="7"/>
  <c r="EM80" i="7" s="1"/>
  <c r="EN80" i="7" s="1"/>
  <c r="DM80" i="7"/>
  <c r="DR79" i="7"/>
  <c r="DQ79" i="7"/>
  <c r="DP79" i="7"/>
  <c r="DO79" i="7"/>
  <c r="DN79" i="7"/>
  <c r="EM79" i="7" s="1"/>
  <c r="EN79" i="7" s="1"/>
  <c r="DR76" i="7"/>
  <c r="DQ76" i="7"/>
  <c r="DP76" i="7"/>
  <c r="DO76" i="7"/>
  <c r="DN76" i="7"/>
  <c r="EM76" i="7" s="1"/>
  <c r="EN76" i="7" s="1"/>
  <c r="DM76" i="7"/>
  <c r="DR75" i="7"/>
  <c r="DQ75" i="7"/>
  <c r="DP75" i="7"/>
  <c r="DO75" i="7"/>
  <c r="DN75" i="7"/>
  <c r="EM75" i="7" s="1"/>
  <c r="EN75" i="7" s="1"/>
  <c r="DM75" i="7"/>
  <c r="DR74" i="7"/>
  <c r="DQ74" i="7"/>
  <c r="DP74" i="7"/>
  <c r="DO74" i="7"/>
  <c r="DN74" i="7"/>
  <c r="EM74" i="7" s="1"/>
  <c r="EN74" i="7" s="1"/>
  <c r="DM74" i="7"/>
  <c r="DR73" i="7"/>
  <c r="DQ73" i="7"/>
  <c r="DP73" i="7"/>
  <c r="DO73" i="7"/>
  <c r="DN73" i="7"/>
  <c r="EM73" i="7" s="1"/>
  <c r="EN73" i="7" s="1"/>
  <c r="DM73" i="7"/>
  <c r="DR72" i="7"/>
  <c r="DQ72" i="7"/>
  <c r="DP72" i="7"/>
  <c r="DO72" i="7"/>
  <c r="DN72" i="7"/>
  <c r="EM72" i="7" s="1"/>
  <c r="EN72" i="7" s="1"/>
  <c r="DM72" i="7"/>
  <c r="DR71" i="7"/>
  <c r="DQ71" i="7"/>
  <c r="DP71" i="7"/>
  <c r="DO71" i="7"/>
  <c r="DN71" i="7"/>
  <c r="EM71" i="7" s="1"/>
  <c r="EN71" i="7" s="1"/>
  <c r="DM71" i="7"/>
  <c r="DR70" i="7"/>
  <c r="DQ70" i="7"/>
  <c r="DP70" i="7"/>
  <c r="DO70" i="7"/>
  <c r="DN70" i="7"/>
  <c r="EM70" i="7" s="1"/>
  <c r="EN70" i="7" s="1"/>
  <c r="DM70" i="7"/>
  <c r="DR69" i="7"/>
  <c r="DQ69" i="7"/>
  <c r="DP69" i="7"/>
  <c r="DO69" i="7"/>
  <c r="DN69" i="7"/>
  <c r="EM69" i="7" s="1"/>
  <c r="EN69" i="7" s="1"/>
  <c r="DM69" i="7"/>
  <c r="DR68" i="7"/>
  <c r="DQ68" i="7"/>
  <c r="DP68" i="7"/>
  <c r="DO68" i="7"/>
  <c r="DN68" i="7"/>
  <c r="EM68" i="7" s="1"/>
  <c r="EN68" i="7" s="1"/>
  <c r="DM68" i="7"/>
  <c r="P262" i="7"/>
  <c r="J262" i="7" s="1"/>
  <c r="R262" i="7" s="1"/>
  <c r="P260" i="7"/>
  <c r="J260" i="7" s="1"/>
  <c r="R260" i="7" s="1"/>
  <c r="Q137" i="7"/>
  <c r="R137" i="7" s="1"/>
  <c r="W137" i="7"/>
  <c r="V137" i="7"/>
  <c r="S137" i="7"/>
  <c r="L88" i="7"/>
  <c r="P257" i="7"/>
  <c r="J257" i="7" s="1"/>
  <c r="R257" i="7" s="1"/>
  <c r="S257" i="7" s="1"/>
  <c r="CS82" i="7"/>
  <c r="AE82" i="7"/>
  <c r="AD82" i="7"/>
  <c r="DB82" i="7" s="1"/>
  <c r="AC82" i="7"/>
  <c r="AB82" i="7"/>
  <c r="DA82" i="7" s="1"/>
  <c r="CT82" i="7"/>
  <c r="BE87" i="7"/>
  <c r="BE86" i="7"/>
  <c r="BE83" i="7"/>
  <c r="BE82" i="7"/>
  <c r="BE81" i="7"/>
  <c r="BE80" i="7"/>
  <c r="BE79" i="7"/>
  <c r="BE76" i="7"/>
  <c r="BE75" i="7"/>
  <c r="BE74" i="7"/>
  <c r="BE73" i="7"/>
  <c r="BE72" i="7"/>
  <c r="BE71" i="7"/>
  <c r="BE70" i="7"/>
  <c r="BE69" i="7"/>
  <c r="BB87" i="7"/>
  <c r="BB86" i="7"/>
  <c r="BB83" i="7"/>
  <c r="BB82" i="7"/>
  <c r="BB81" i="7"/>
  <c r="BB80" i="7"/>
  <c r="BB79" i="7"/>
  <c r="BB76" i="7"/>
  <c r="BB75" i="7"/>
  <c r="BB74" i="7"/>
  <c r="BB73" i="7"/>
  <c r="BB72" i="7"/>
  <c r="BB71" i="7"/>
  <c r="BB70" i="7"/>
  <c r="BB69" i="7"/>
  <c r="BE68" i="7"/>
  <c r="BB68" i="7"/>
  <c r="CR81" i="7"/>
  <c r="CQ81" i="7"/>
  <c r="CP81" i="7"/>
  <c r="CR80" i="7"/>
  <c r="CQ80" i="7"/>
  <c r="CP80" i="7"/>
  <c r="CR79" i="7"/>
  <c r="CQ79" i="7"/>
  <c r="CP79" i="7"/>
  <c r="CR76" i="7"/>
  <c r="CQ76" i="7"/>
  <c r="CP76" i="7"/>
  <c r="CR75" i="7"/>
  <c r="CQ75" i="7"/>
  <c r="CP75" i="7"/>
  <c r="CR74" i="7"/>
  <c r="CQ74" i="7"/>
  <c r="CP74" i="7"/>
  <c r="CR73" i="7"/>
  <c r="CQ73" i="7"/>
  <c r="CP73" i="7"/>
  <c r="CR72" i="7"/>
  <c r="CQ72" i="7"/>
  <c r="CP72" i="7"/>
  <c r="CR71" i="7"/>
  <c r="CQ71" i="7"/>
  <c r="CP71" i="7"/>
  <c r="CR70" i="7"/>
  <c r="CQ70" i="7"/>
  <c r="CP70" i="7"/>
  <c r="CR69" i="7"/>
  <c r="CQ69" i="7"/>
  <c r="CP69" i="7"/>
  <c r="CR68" i="7"/>
  <c r="CQ68" i="7"/>
  <c r="CP68" i="7"/>
  <c r="S5" i="7"/>
  <c r="T5" i="7" s="1"/>
  <c r="U5" i="7" s="1"/>
  <c r="J170" i="7"/>
  <c r="Q170" i="7" s="1"/>
  <c r="J168" i="7"/>
  <c r="R168" i="7"/>
  <c r="P86" i="7"/>
  <c r="AA277" i="7"/>
  <c r="AC277" i="7"/>
  <c r="AC278" i="7"/>
  <c r="AC279" i="7"/>
  <c r="AC281" i="7"/>
  <c r="AB277" i="7"/>
  <c r="AB281" i="7"/>
  <c r="AB279" i="7"/>
  <c r="AB278" i="7"/>
  <c r="K300" i="7"/>
  <c r="D27" i="12"/>
  <c r="BM88" i="7"/>
  <c r="B11" i="7" s="1"/>
  <c r="J167" i="7"/>
  <c r="Q167" i="7" s="1"/>
  <c r="R167" i="7" s="1"/>
  <c r="P258" i="7"/>
  <c r="J258" i="7" s="1"/>
  <c r="P259" i="7"/>
  <c r="J259" i="7" s="1"/>
  <c r="R259" i="7" s="1"/>
  <c r="S259" i="7"/>
  <c r="P263" i="7"/>
  <c r="J263" i="7" s="1"/>
  <c r="R263" i="7" s="1"/>
  <c r="S263" i="7"/>
  <c r="P267" i="7"/>
  <c r="L267" i="7" s="1"/>
  <c r="P268" i="7"/>
  <c r="J268" i="7" s="1"/>
  <c r="P269" i="7"/>
  <c r="L269" i="7" s="1"/>
  <c r="P266" i="7"/>
  <c r="L266" i="7" s="1"/>
  <c r="DI73" i="7"/>
  <c r="DI76" i="7"/>
  <c r="D214" i="7"/>
  <c r="P87" i="7"/>
  <c r="CI68" i="7"/>
  <c r="DX86" i="7"/>
  <c r="AK72" i="7"/>
  <c r="AK73" i="7"/>
  <c r="AK74" i="7"/>
  <c r="AK75" i="7"/>
  <c r="AK76" i="7"/>
  <c r="AK80" i="7"/>
  <c r="DX72" i="7"/>
  <c r="DX73" i="7"/>
  <c r="DX74" i="7"/>
  <c r="DX76" i="7"/>
  <c r="DX80" i="7"/>
  <c r="AJ72" i="7"/>
  <c r="AJ73" i="7"/>
  <c r="AJ74" i="7"/>
  <c r="AJ76" i="7"/>
  <c r="AJ80" i="7"/>
  <c r="CI81" i="7"/>
  <c r="CI80" i="7"/>
  <c r="CI79" i="7"/>
  <c r="CI76" i="7"/>
  <c r="CI75" i="7"/>
  <c r="CI74" i="7"/>
  <c r="CI73" i="7"/>
  <c r="CI72" i="7"/>
  <c r="CI71" i="7"/>
  <c r="CI70" i="7"/>
  <c r="CI69" i="7"/>
  <c r="AA281" i="7"/>
  <c r="AA278" i="7"/>
  <c r="AA279" i="7"/>
  <c r="P284" i="7"/>
  <c r="J284" i="7" s="1"/>
  <c r="CC72" i="7"/>
  <c r="CD72" i="7"/>
  <c r="CE72" i="7"/>
  <c r="CC73" i="7"/>
  <c r="CD73" i="7"/>
  <c r="CE73" i="7"/>
  <c r="CC74" i="7"/>
  <c r="CD74" i="7"/>
  <c r="CE74" i="7"/>
  <c r="CC75" i="7"/>
  <c r="CD75" i="7"/>
  <c r="CE75" i="7"/>
  <c r="CC76" i="7"/>
  <c r="CD76" i="7"/>
  <c r="CE76" i="7"/>
  <c r="CC80" i="7"/>
  <c r="CD80" i="7"/>
  <c r="CE80" i="7"/>
  <c r="AC8" i="14"/>
  <c r="AD8" i="14" s="1"/>
  <c r="A84" i="7" s="1"/>
  <c r="HM62" i="39" s="1"/>
  <c r="AC9" i="14"/>
  <c r="AD9" i="14" s="1"/>
  <c r="A85" i="7" s="1"/>
  <c r="HM63" i="39" s="1"/>
  <c r="CB81" i="7"/>
  <c r="CB80" i="7"/>
  <c r="CB79" i="7"/>
  <c r="CB76" i="7"/>
  <c r="CB75" i="7"/>
  <c r="CB74" i="7"/>
  <c r="CB73" i="7"/>
  <c r="CB72" i="7"/>
  <c r="CB71" i="7"/>
  <c r="CB70" i="7"/>
  <c r="CB69" i="7"/>
  <c r="Q284" i="7"/>
  <c r="L284" i="7" s="1"/>
  <c r="CB68" i="7"/>
  <c r="BR74" i="7"/>
  <c r="EU74" i="7" s="1"/>
  <c r="BR73" i="7"/>
  <c r="EU73" i="7" s="1"/>
  <c r="BR76" i="7"/>
  <c r="EU76" i="7" s="1"/>
  <c r="BR80" i="7"/>
  <c r="EU80" i="7" s="1"/>
  <c r="BR72" i="7"/>
  <c r="EU72" i="7" s="1"/>
  <c r="BO74" i="7"/>
  <c r="BP74" i="7" s="1"/>
  <c r="BO80" i="7"/>
  <c r="BQ80" i="7" s="1"/>
  <c r="BO72" i="7"/>
  <c r="BQ72" i="7" s="1"/>
  <c r="BO76" i="7"/>
  <c r="BO73" i="7"/>
  <c r="BQ73" i="7" s="1"/>
  <c r="BT80" i="7"/>
  <c r="CW80" i="7" s="1"/>
  <c r="BT76" i="7"/>
  <c r="CW76" i="7" s="1"/>
  <c r="BT72" i="7"/>
  <c r="CW72" i="7" s="1"/>
  <c r="BT74" i="7"/>
  <c r="CW74" i="7" s="1"/>
  <c r="BT73" i="7"/>
  <c r="CW73" i="7" s="1"/>
  <c r="BS76" i="7"/>
  <c r="BS72" i="7"/>
  <c r="BS73" i="7"/>
  <c r="BS74" i="7"/>
  <c r="BS80" i="7"/>
  <c r="BU80" i="7"/>
  <c r="AA80" i="7" s="1"/>
  <c r="BD80" i="7" s="1"/>
  <c r="BU74" i="7"/>
  <c r="AA74" i="7" s="1"/>
  <c r="BD74" i="7" s="1"/>
  <c r="BU73" i="7"/>
  <c r="AA73" i="7" s="1"/>
  <c r="BD73" i="7" s="1"/>
  <c r="BU76" i="7"/>
  <c r="BU72" i="7"/>
  <c r="AA72" i="7" s="1"/>
  <c r="BW76" i="7"/>
  <c r="BG76" i="7" s="1"/>
  <c r="BW72" i="7"/>
  <c r="BG72" i="7" s="1"/>
  <c r="BW73" i="7"/>
  <c r="BG73" i="7" s="1"/>
  <c r="BW80" i="7"/>
  <c r="BG80" i="7" s="1"/>
  <c r="BW74" i="7"/>
  <c r="BG74" i="7" s="1"/>
  <c r="BX80" i="7"/>
  <c r="BX76" i="7"/>
  <c r="BX72" i="7"/>
  <c r="BX74" i="7"/>
  <c r="BX73" i="7"/>
  <c r="BY74" i="7"/>
  <c r="BY73" i="7"/>
  <c r="BY80" i="7"/>
  <c r="BY72" i="7"/>
  <c r="BY76" i="7"/>
  <c r="BV74" i="7"/>
  <c r="BF74" i="7" s="1"/>
  <c r="BV73" i="7"/>
  <c r="BF73" i="7" s="1"/>
  <c r="BV80" i="7"/>
  <c r="BF80" i="7" s="1"/>
  <c r="BV76" i="7"/>
  <c r="BF76" i="7" s="1"/>
  <c r="BV72" i="7"/>
  <c r="BF72" i="7" s="1"/>
  <c r="BZ74" i="7"/>
  <c r="BZ73" i="7"/>
  <c r="BZ80" i="7"/>
  <c r="BZ72" i="7"/>
  <c r="BZ76" i="7"/>
  <c r="CA72" i="7"/>
  <c r="CA76" i="7"/>
  <c r="CA73" i="7"/>
  <c r="CA80" i="7"/>
  <c r="CA74" i="7"/>
  <c r="BO75" i="7"/>
  <c r="BR75" i="7"/>
  <c r="EU75" i="7" s="1"/>
  <c r="BS75" i="7"/>
  <c r="BT75" i="7"/>
  <c r="CW75" i="7" s="1"/>
  <c r="BU75" i="7"/>
  <c r="AA75" i="7" s="1"/>
  <c r="BA75" i="7" s="1"/>
  <c r="AJ75" i="7"/>
  <c r="BW75" i="7"/>
  <c r="BG75" i="7" s="1"/>
  <c r="BX75" i="7"/>
  <c r="BY75" i="7"/>
  <c r="DX75" i="7"/>
  <c r="BV75" i="7"/>
  <c r="BF75" i="7" s="1"/>
  <c r="BZ75" i="7"/>
  <c r="CA75" i="7"/>
  <c r="P83" i="7"/>
  <c r="J166" i="7"/>
  <c r="EB75" i="7"/>
  <c r="EM87" i="7"/>
  <c r="EN87" i="7" s="1"/>
  <c r="S268" i="7"/>
  <c r="BR78" i="7"/>
  <c r="EU78" i="7" s="1"/>
  <c r="BO77" i="7"/>
  <c r="BP77" i="7" s="1"/>
  <c r="S316" i="7"/>
  <c r="Z316" i="7" s="1"/>
  <c r="S320" i="7"/>
  <c r="Z320" i="7" s="1"/>
  <c r="S328" i="7"/>
  <c r="Z328" i="7" s="1"/>
  <c r="U329" i="7"/>
  <c r="R325" i="7"/>
  <c r="Y325" i="7" s="1"/>
  <c r="R329" i="7"/>
  <c r="Y329" i="7" s="1"/>
  <c r="R336" i="7"/>
  <c r="Y336" i="7" s="1"/>
  <c r="AB152" i="7"/>
  <c r="AB154" i="7"/>
  <c r="AB143" i="7"/>
  <c r="AC143" i="7" s="1"/>
  <c r="AG143" i="7" s="1"/>
  <c r="AA147" i="7"/>
  <c r="AC147" i="7" s="1"/>
  <c r="T149" i="7"/>
  <c r="AM149" i="7" s="1"/>
  <c r="Z116" i="7"/>
  <c r="BR77" i="7"/>
  <c r="EU77" i="7" s="1"/>
  <c r="BO78" i="7"/>
  <c r="BP78" i="7" s="1"/>
  <c r="EM85" i="7"/>
  <c r="EN85" i="7" s="1"/>
  <c r="BS77" i="7"/>
  <c r="BS78" i="7"/>
  <c r="BT77" i="7"/>
  <c r="CW77" i="7" s="1"/>
  <c r="BT78" i="7"/>
  <c r="CW78" i="7" s="1"/>
  <c r="BU77" i="7"/>
  <c r="AA77" i="7" s="1"/>
  <c r="BD77" i="7" s="1"/>
  <c r="BU78" i="7"/>
  <c r="AA78" i="7" s="1"/>
  <c r="BA78" i="7" s="1"/>
  <c r="AJ77" i="7"/>
  <c r="AJ78" i="7"/>
  <c r="BW77" i="7"/>
  <c r="BG77" i="7" s="1"/>
  <c r="BW78" i="7"/>
  <c r="BG78" i="7" s="1"/>
  <c r="BX77" i="7"/>
  <c r="BX78" i="7"/>
  <c r="BY77" i="7"/>
  <c r="BY78" i="7"/>
  <c r="DX78" i="7"/>
  <c r="DX77" i="7"/>
  <c r="BV78" i="7"/>
  <c r="BF78" i="7" s="1"/>
  <c r="BV77" i="7"/>
  <c r="BF77" i="7" s="1"/>
  <c r="AK78" i="7"/>
  <c r="AK77" i="7"/>
  <c r="BZ78" i="7"/>
  <c r="BZ77" i="7"/>
  <c r="CC77" i="7"/>
  <c r="CC78" i="7"/>
  <c r="CD78" i="7"/>
  <c r="CD77" i="7"/>
  <c r="CA77" i="7"/>
  <c r="CA78" i="7"/>
  <c r="CE77" i="7"/>
  <c r="CE78" i="7"/>
  <c r="DF86" i="7"/>
  <c r="DD86" i="7"/>
  <c r="DU76" i="7"/>
  <c r="DF84" i="7"/>
  <c r="DE84" i="7"/>
  <c r="DF87" i="7"/>
  <c r="DU75" i="7"/>
  <c r="DD84" i="7"/>
  <c r="DU73" i="7"/>
  <c r="DF77" i="7"/>
  <c r="EB78" i="7"/>
  <c r="EB77" i="7"/>
  <c r="DD87" i="7"/>
  <c r="BO81" i="7"/>
  <c r="BP81" i="7" s="1"/>
  <c r="EB76" i="7"/>
  <c r="DG86" i="7"/>
  <c r="EB86" i="7"/>
  <c r="DG84" i="7"/>
  <c r="DF80" i="7"/>
  <c r="V336" i="7"/>
  <c r="AC336" i="7" s="1"/>
  <c r="DE87" i="7"/>
  <c r="DG87" i="7"/>
  <c r="S319" i="7"/>
  <c r="Z319" i="7" s="1"/>
  <c r="S335" i="7"/>
  <c r="Z335" i="7" s="1"/>
  <c r="T151" i="7"/>
  <c r="BR81" i="7"/>
  <c r="EU81" i="7" s="1"/>
  <c r="EB73" i="7"/>
  <c r="DE80" i="7"/>
  <c r="DZ87" i="7"/>
  <c r="Z120" i="7"/>
  <c r="S266" i="7"/>
  <c r="DZ84" i="7"/>
  <c r="DU86" i="7"/>
  <c r="EB74" i="7"/>
  <c r="DE86" i="7"/>
  <c r="DF73" i="7"/>
  <c r="DE77" i="7"/>
  <c r="DE81" i="7"/>
  <c r="DU84" i="7"/>
  <c r="DU80" i="7"/>
  <c r="DF81" i="7"/>
  <c r="DD81" i="7"/>
  <c r="EB81" i="7"/>
  <c r="DG81" i="7"/>
  <c r="DZ81" i="7"/>
  <c r="DU81" i="7"/>
  <c r="BU81" i="7"/>
  <c r="Z81" i="7" s="1"/>
  <c r="DZ86" i="7"/>
  <c r="EB87" i="7"/>
  <c r="EB84" i="7"/>
  <c r="DD80" i="7"/>
  <c r="DU74" i="7"/>
  <c r="DD77" i="7"/>
  <c r="DJ77" i="7" s="1"/>
  <c r="S337" i="7"/>
  <c r="Z337" i="7" s="1"/>
  <c r="S329" i="7"/>
  <c r="Z329" i="7" s="1"/>
  <c r="BT81" i="7"/>
  <c r="CW81" i="7" s="1"/>
  <c r="EB80" i="7"/>
  <c r="DU78" i="7"/>
  <c r="DU87" i="7"/>
  <c r="BS81" i="7"/>
  <c r="AJ81" i="7"/>
  <c r="BW81" i="7"/>
  <c r="BG81" i="7" s="1"/>
  <c r="BX81" i="7"/>
  <c r="BY81" i="7"/>
  <c r="DX81" i="7"/>
  <c r="BV81" i="7"/>
  <c r="BF81" i="7" s="1"/>
  <c r="BZ81" i="7"/>
  <c r="AK81" i="7"/>
  <c r="CD81" i="7"/>
  <c r="CC81" i="7"/>
  <c r="CA81" i="7"/>
  <c r="CE81" i="7"/>
  <c r="DE76" i="7"/>
  <c r="DF76" i="7"/>
  <c r="DZ77" i="7"/>
  <c r="DF75" i="7"/>
  <c r="DE75" i="7"/>
  <c r="DD75" i="7"/>
  <c r="DZ75" i="7"/>
  <c r="DD76" i="7"/>
  <c r="DD74" i="7"/>
  <c r="DJ74" i="7" s="1"/>
  <c r="DZ76" i="7"/>
  <c r="DZ80" i="7"/>
  <c r="DZ74" i="7"/>
  <c r="DG73" i="7"/>
  <c r="DU77" i="7"/>
  <c r="DG78" i="7"/>
  <c r="DG74" i="7"/>
  <c r="DZ73" i="7"/>
  <c r="DD73" i="7"/>
  <c r="DF74" i="7"/>
  <c r="DF78" i="7"/>
  <c r="DG76" i="7"/>
  <c r="DE73" i="7"/>
  <c r="DZ78" i="7"/>
  <c r="DE74" i="7"/>
  <c r="DE78" i="7"/>
  <c r="DD78" i="7"/>
  <c r="DG75" i="7"/>
  <c r="DG80" i="7"/>
  <c r="DG77" i="7"/>
  <c r="AE316" i="7"/>
  <c r="AE320" i="7"/>
  <c r="AE329" i="7"/>
  <c r="AE337" i="7"/>
  <c r="DI71" i="7"/>
  <c r="BO69" i="7"/>
  <c r="BO71" i="7"/>
  <c r="BQ71" i="7" s="1"/>
  <c r="BR69" i="7"/>
  <c r="EU69" i="7" s="1"/>
  <c r="BR71" i="7"/>
  <c r="BS71" i="7"/>
  <c r="CV69" i="7"/>
  <c r="BT69" i="7"/>
  <c r="CW69" i="7" s="1"/>
  <c r="BT71" i="7"/>
  <c r="CW71" i="7" s="1"/>
  <c r="BU71" i="7"/>
  <c r="Z71" i="7" s="1"/>
  <c r="BU69" i="7"/>
  <c r="AA69" i="7" s="1"/>
  <c r="AJ71" i="7"/>
  <c r="AJ69" i="7"/>
  <c r="BW69" i="7"/>
  <c r="BW71" i="7"/>
  <c r="BG71" i="7" s="1"/>
  <c r="BX69" i="7"/>
  <c r="BX71" i="7"/>
  <c r="BY71" i="7"/>
  <c r="BY69" i="7"/>
  <c r="DX69" i="7"/>
  <c r="DX71" i="7"/>
  <c r="BV69" i="7"/>
  <c r="BF69" i="7" s="1"/>
  <c r="BV71" i="7"/>
  <c r="BF71" i="7" s="1"/>
  <c r="BZ69" i="7"/>
  <c r="BZ71" i="7"/>
  <c r="AK69" i="7"/>
  <c r="AK71" i="7"/>
  <c r="CA69" i="7"/>
  <c r="CA71" i="7"/>
  <c r="CC71" i="7"/>
  <c r="CC69" i="7"/>
  <c r="CD69" i="7"/>
  <c r="CD71" i="7"/>
  <c r="CE69" i="7"/>
  <c r="CE71" i="7"/>
  <c r="DI68" i="7"/>
  <c r="H114" i="7" l="1"/>
  <c r="AD114" i="7" s="1"/>
  <c r="AE114" i="7" s="1"/>
  <c r="CV85" i="7"/>
  <c r="EV85" i="7"/>
  <c r="CV84" i="7"/>
  <c r="CV86" i="7"/>
  <c r="EV86" i="7"/>
  <c r="CV83" i="7"/>
  <c r="EV83" i="7"/>
  <c r="CV77" i="7"/>
  <c r="EV77" i="7"/>
  <c r="CV80" i="7"/>
  <c r="EV80" i="7"/>
  <c r="CV76" i="7"/>
  <c r="EV76" i="7"/>
  <c r="CV74" i="7"/>
  <c r="EV74" i="7"/>
  <c r="CV71" i="7"/>
  <c r="EV71" i="7"/>
  <c r="CV75" i="7"/>
  <c r="EV75" i="7"/>
  <c r="CV73" i="7"/>
  <c r="EV73" i="7"/>
  <c r="CV81" i="7"/>
  <c r="EV81" i="7"/>
  <c r="CV78" i="7"/>
  <c r="EV78" i="7"/>
  <c r="CV72" i="7"/>
  <c r="EV72" i="7"/>
  <c r="AD113" i="7"/>
  <c r="AE113" i="7" s="1"/>
  <c r="AL149" i="7"/>
  <c r="AQ149" i="7" s="1"/>
  <c r="U314" i="7"/>
  <c r="AQ314" i="7"/>
  <c r="AI314" i="7"/>
  <c r="AP314" i="7"/>
  <c r="AN314" i="7"/>
  <c r="S318" i="7"/>
  <c r="Z318" i="7" s="1"/>
  <c r="AI318" i="7"/>
  <c r="AQ318" i="7"/>
  <c r="AP318" i="7"/>
  <c r="AN318" i="7"/>
  <c r="T322" i="7"/>
  <c r="AI322" i="7"/>
  <c r="AQ322" i="7"/>
  <c r="AP322" i="7"/>
  <c r="AN322" i="7"/>
  <c r="S326" i="7"/>
  <c r="Z326" i="7" s="1"/>
  <c r="AQ326" i="7"/>
  <c r="AI326" i="7"/>
  <c r="AP326" i="7"/>
  <c r="AN326" i="7"/>
  <c r="R330" i="7"/>
  <c r="Y330" i="7" s="1"/>
  <c r="AI330" i="7"/>
  <c r="AQ330" i="7"/>
  <c r="AP330" i="7"/>
  <c r="AN330" i="7"/>
  <c r="U334" i="7"/>
  <c r="AQ334" i="7"/>
  <c r="AI334" i="7"/>
  <c r="AP334" i="7"/>
  <c r="AN334" i="7"/>
  <c r="AN151" i="7"/>
  <c r="AS151" i="7" s="1"/>
  <c r="AN155" i="7"/>
  <c r="AS155" i="7" s="1"/>
  <c r="U315" i="7"/>
  <c r="AI315" i="7"/>
  <c r="AQ315" i="7"/>
  <c r="AP315" i="7"/>
  <c r="AN315" i="7"/>
  <c r="R319" i="7"/>
  <c r="Y319" i="7" s="1"/>
  <c r="AI319" i="7"/>
  <c r="AQ319" i="7"/>
  <c r="AP319" i="7"/>
  <c r="AN319" i="7"/>
  <c r="S323" i="7"/>
  <c r="Z323" i="7" s="1"/>
  <c r="AI323" i="7"/>
  <c r="AQ323" i="7"/>
  <c r="AP323" i="7"/>
  <c r="AN323" i="7"/>
  <c r="V327" i="7"/>
  <c r="AC327" i="7" s="1"/>
  <c r="AI327" i="7"/>
  <c r="AQ327" i="7"/>
  <c r="AP327" i="7"/>
  <c r="AN327" i="7"/>
  <c r="U331" i="7"/>
  <c r="AI331" i="7"/>
  <c r="AQ331" i="7"/>
  <c r="AP331" i="7"/>
  <c r="AN331" i="7"/>
  <c r="R335" i="7"/>
  <c r="Y335" i="7" s="1"/>
  <c r="AI335" i="7"/>
  <c r="AQ335" i="7"/>
  <c r="AP335" i="7"/>
  <c r="AN335" i="7"/>
  <c r="AB329" i="7"/>
  <c r="X329" i="7"/>
  <c r="AL144" i="7"/>
  <c r="AQ144" i="7" s="1"/>
  <c r="AO145" i="7"/>
  <c r="AT145" i="7" s="1"/>
  <c r="T148" i="7"/>
  <c r="AM148" i="7" s="1"/>
  <c r="AR148" i="7" s="1"/>
  <c r="AL148" i="7"/>
  <c r="AQ148" i="7" s="1"/>
  <c r="AO151" i="7"/>
  <c r="AT151" i="7" s="1"/>
  <c r="T152" i="7"/>
  <c r="AM152" i="7" s="1"/>
  <c r="AR152" i="7" s="1"/>
  <c r="AL152" i="7"/>
  <c r="AQ152" i="7" s="1"/>
  <c r="V316" i="7"/>
  <c r="AC316" i="7" s="1"/>
  <c r="AQ316" i="7"/>
  <c r="AI316" i="7"/>
  <c r="AN316" i="7"/>
  <c r="AP316" i="7"/>
  <c r="U320" i="7"/>
  <c r="AQ320" i="7"/>
  <c r="AI320" i="7"/>
  <c r="AN320" i="7"/>
  <c r="AP320" i="7"/>
  <c r="R324" i="7"/>
  <c r="Y324" i="7" s="1"/>
  <c r="AQ324" i="7"/>
  <c r="AI324" i="7"/>
  <c r="AN324" i="7"/>
  <c r="AP324" i="7"/>
  <c r="V328" i="7"/>
  <c r="AC328" i="7" s="1"/>
  <c r="AQ328" i="7"/>
  <c r="AI328" i="7"/>
  <c r="AN328" i="7"/>
  <c r="AP328" i="7"/>
  <c r="T332" i="7"/>
  <c r="AQ332" i="7"/>
  <c r="AI332" i="7"/>
  <c r="AN332" i="7"/>
  <c r="AP332" i="7"/>
  <c r="U336" i="7"/>
  <c r="AQ336" i="7"/>
  <c r="AI336" i="7"/>
  <c r="AN336" i="7"/>
  <c r="AP336" i="7"/>
  <c r="BC85" i="7"/>
  <c r="AM151" i="7"/>
  <c r="AR151" i="7" s="1"/>
  <c r="AP145" i="7"/>
  <c r="AU145" i="7" s="1"/>
  <c r="AN146" i="7"/>
  <c r="AS146" i="7" s="1"/>
  <c r="AN150" i="7"/>
  <c r="AS150" i="7" s="1"/>
  <c r="AN154" i="7"/>
  <c r="AS154" i="7" s="1"/>
  <c r="AP155" i="7"/>
  <c r="AU155" i="7" s="1"/>
  <c r="T313" i="7"/>
  <c r="AQ313" i="7"/>
  <c r="AI313" i="7"/>
  <c r="AP313" i="7"/>
  <c r="AN313" i="7"/>
  <c r="AE317" i="7"/>
  <c r="AQ317" i="7"/>
  <c r="AI317" i="7"/>
  <c r="AP317" i="7"/>
  <c r="AN317" i="7"/>
  <c r="R321" i="7"/>
  <c r="Y321" i="7" s="1"/>
  <c r="AQ321" i="7"/>
  <c r="AI321" i="7"/>
  <c r="AP321" i="7"/>
  <c r="AN321" i="7"/>
  <c r="V325" i="7"/>
  <c r="AC325" i="7" s="1"/>
  <c r="AQ325" i="7"/>
  <c r="AI325" i="7"/>
  <c r="AP325" i="7"/>
  <c r="AN325" i="7"/>
  <c r="T329" i="7"/>
  <c r="AQ329" i="7"/>
  <c r="AI329" i="7"/>
  <c r="AP329" i="7"/>
  <c r="AN329" i="7"/>
  <c r="V333" i="7"/>
  <c r="AC333" i="7" s="1"/>
  <c r="AQ333" i="7"/>
  <c r="AI333" i="7"/>
  <c r="AP333" i="7"/>
  <c r="AN333" i="7"/>
  <c r="T337" i="7"/>
  <c r="AQ337" i="7"/>
  <c r="AI337" i="7"/>
  <c r="AP337" i="7"/>
  <c r="AN337" i="7"/>
  <c r="F126" i="7"/>
  <c r="S126" i="7" s="1"/>
  <c r="AL126" i="7" s="1"/>
  <c r="AQ126" i="7" s="1"/>
  <c r="M126" i="7"/>
  <c r="W126" i="7" s="1"/>
  <c r="AP126" i="7" s="1"/>
  <c r="AU126" i="7" s="1"/>
  <c r="J126" i="7"/>
  <c r="U126" i="7" s="1"/>
  <c r="BP126" i="7" s="1"/>
  <c r="K126" i="7"/>
  <c r="V126" i="7" s="1"/>
  <c r="AO126" i="7" s="1"/>
  <c r="AT126" i="7" s="1"/>
  <c r="F119" i="7"/>
  <c r="M119" i="7" s="1"/>
  <c r="W119" i="7" s="1"/>
  <c r="AP119" i="7" s="1"/>
  <c r="AU119" i="7" s="1"/>
  <c r="F123" i="7"/>
  <c r="Q123" i="7" s="1"/>
  <c r="R123" i="7" s="1"/>
  <c r="M123" i="7"/>
  <c r="W123" i="7" s="1"/>
  <c r="AP123" i="7" s="1"/>
  <c r="AU123" i="7" s="1"/>
  <c r="K123" i="7"/>
  <c r="V123" i="7" s="1"/>
  <c r="AO123" i="7" s="1"/>
  <c r="J123" i="7"/>
  <c r="U123" i="7" s="1"/>
  <c r="AN123" i="7" s="1"/>
  <c r="F125" i="7"/>
  <c r="S125" i="7" s="1"/>
  <c r="AL125" i="7" s="1"/>
  <c r="AQ125" i="7" s="1"/>
  <c r="M125" i="7"/>
  <c r="W125" i="7" s="1"/>
  <c r="AP125" i="7" s="1"/>
  <c r="AU125" i="7" s="1"/>
  <c r="K125" i="7"/>
  <c r="V125" i="7" s="1"/>
  <c r="AO125" i="7" s="1"/>
  <c r="AT125" i="7" s="1"/>
  <c r="J125" i="7"/>
  <c r="U125" i="7" s="1"/>
  <c r="AN125" i="7" s="1"/>
  <c r="AS125" i="7" s="1"/>
  <c r="F128" i="7"/>
  <c r="S128" i="7" s="1"/>
  <c r="AL128" i="7" s="1"/>
  <c r="M128" i="7"/>
  <c r="W128" i="7" s="1"/>
  <c r="AP128" i="7" s="1"/>
  <c r="AU128" i="7" s="1"/>
  <c r="K128" i="7"/>
  <c r="V128" i="7" s="1"/>
  <c r="AO128" i="7" s="1"/>
  <c r="AT128" i="7" s="1"/>
  <c r="J128" i="7"/>
  <c r="U128" i="7" s="1"/>
  <c r="AN128" i="7" s="1"/>
  <c r="AS128" i="7" s="1"/>
  <c r="F130" i="7"/>
  <c r="S130" i="7" s="1"/>
  <c r="AL130" i="7" s="1"/>
  <c r="AQ130" i="7" s="1"/>
  <c r="J130" i="7"/>
  <c r="U130" i="7" s="1"/>
  <c r="BP130" i="7" s="1"/>
  <c r="M130" i="7"/>
  <c r="W130" i="7" s="1"/>
  <c r="AP130" i="7" s="1"/>
  <c r="AU130" i="7" s="1"/>
  <c r="K130" i="7"/>
  <c r="V130" i="7" s="1"/>
  <c r="AO130" i="7" s="1"/>
  <c r="AT130" i="7" s="1"/>
  <c r="F116" i="7"/>
  <c r="S116" i="7" s="1"/>
  <c r="AL116" i="7" s="1"/>
  <c r="AQ116" i="7" s="1"/>
  <c r="K116" i="7"/>
  <c r="V116" i="7" s="1"/>
  <c r="AO116" i="7" s="1"/>
  <c r="AT116" i="7" s="1"/>
  <c r="M116" i="7"/>
  <c r="W116" i="7" s="1"/>
  <c r="AP116" i="7" s="1"/>
  <c r="AU116" i="7" s="1"/>
  <c r="J116" i="7"/>
  <c r="U116" i="7" s="1"/>
  <c r="F118" i="7"/>
  <c r="S118" i="7" s="1"/>
  <c r="T118" i="7" s="1"/>
  <c r="AM118" i="7" s="1"/>
  <c r="F120" i="7"/>
  <c r="S120" i="7" s="1"/>
  <c r="AL120" i="7" s="1"/>
  <c r="K120" i="7"/>
  <c r="V120" i="7" s="1"/>
  <c r="AO120" i="7" s="1"/>
  <c r="AT120" i="7" s="1"/>
  <c r="J120" i="7"/>
  <c r="U120" i="7" s="1"/>
  <c r="BP120" i="7" s="1"/>
  <c r="M120" i="7"/>
  <c r="W120" i="7" s="1"/>
  <c r="AP120" i="7" s="1"/>
  <c r="AU120" i="7" s="1"/>
  <c r="F122" i="7"/>
  <c r="S122" i="7" s="1"/>
  <c r="T122" i="7" s="1"/>
  <c r="AM122" i="7" s="1"/>
  <c r="M122" i="7"/>
  <c r="W122" i="7" s="1"/>
  <c r="AP122" i="7" s="1"/>
  <c r="AU122" i="7" s="1"/>
  <c r="K122" i="7"/>
  <c r="V122" i="7" s="1"/>
  <c r="AO122" i="7" s="1"/>
  <c r="J122" i="7"/>
  <c r="U122" i="7" s="1"/>
  <c r="F124" i="7"/>
  <c r="S124" i="7" s="1"/>
  <c r="T124" i="7" s="1"/>
  <c r="M124" i="7"/>
  <c r="W124" i="7" s="1"/>
  <c r="AP124" i="7" s="1"/>
  <c r="AU124" i="7" s="1"/>
  <c r="K124" i="7"/>
  <c r="J124" i="7"/>
  <c r="U124" i="7" s="1"/>
  <c r="F127" i="7"/>
  <c r="S127" i="7" s="1"/>
  <c r="AL127" i="7" s="1"/>
  <c r="AQ127" i="7" s="1"/>
  <c r="M127" i="7"/>
  <c r="W127" i="7" s="1"/>
  <c r="AP127" i="7" s="1"/>
  <c r="AU127" i="7" s="1"/>
  <c r="K127" i="7"/>
  <c r="V127" i="7" s="1"/>
  <c r="AO127" i="7" s="1"/>
  <c r="AT127" i="7" s="1"/>
  <c r="J127" i="7"/>
  <c r="U127" i="7" s="1"/>
  <c r="AN127" i="7" s="1"/>
  <c r="AS127" i="7" s="1"/>
  <c r="AO141" i="7"/>
  <c r="AT141" i="7" s="1"/>
  <c r="AP141" i="7"/>
  <c r="AU141" i="7" s="1"/>
  <c r="AP142" i="7"/>
  <c r="AU142" i="7" s="1"/>
  <c r="AN143" i="7"/>
  <c r="AS143" i="7" s="1"/>
  <c r="F117" i="7"/>
  <c r="J117" i="7" s="1"/>
  <c r="U117" i="7" s="1"/>
  <c r="BP117" i="7" s="1"/>
  <c r="M117" i="7"/>
  <c r="W117" i="7" s="1"/>
  <c r="AP117" i="7" s="1"/>
  <c r="AU117" i="7" s="1"/>
  <c r="K117" i="7"/>
  <c r="V117" i="7" s="1"/>
  <c r="AO117" i="7" s="1"/>
  <c r="AT117" i="7" s="1"/>
  <c r="F115" i="7"/>
  <c r="J115" i="7" s="1"/>
  <c r="U115" i="7" s="1"/>
  <c r="AN139" i="7"/>
  <c r="F121" i="7"/>
  <c r="Y121" i="7" s="1"/>
  <c r="Z121" i="7" s="1"/>
  <c r="AA121" i="7" s="1"/>
  <c r="AN138" i="7"/>
  <c r="AS138" i="7" s="1"/>
  <c r="F114" i="7"/>
  <c r="J114" i="7" s="1"/>
  <c r="U114" i="7" s="1"/>
  <c r="F129" i="7"/>
  <c r="S129" i="7" s="1"/>
  <c r="T129" i="7" s="1"/>
  <c r="M129" i="7"/>
  <c r="W129" i="7" s="1"/>
  <c r="AP129" i="7" s="1"/>
  <c r="BC71" i="7"/>
  <c r="AP139" i="7"/>
  <c r="AU139" i="7" s="1"/>
  <c r="AO138" i="7"/>
  <c r="AT138" i="7" s="1"/>
  <c r="AP138" i="7"/>
  <c r="AU138" i="7" s="1"/>
  <c r="AD26" i="12"/>
  <c r="Q26" i="12"/>
  <c r="X26" i="12"/>
  <c r="AE26" i="12"/>
  <c r="R26" i="12"/>
  <c r="I26" i="12"/>
  <c r="AH26" i="12"/>
  <c r="AF26" i="12"/>
  <c r="J26" i="12"/>
  <c r="AG26" i="12"/>
  <c r="W26" i="12"/>
  <c r="AG27" i="12"/>
  <c r="W27" i="12"/>
  <c r="AE27" i="12"/>
  <c r="AH27" i="12"/>
  <c r="X27" i="12"/>
  <c r="Q27" i="12"/>
  <c r="AF27" i="12"/>
  <c r="R27" i="12"/>
  <c r="AD27" i="12"/>
  <c r="F27" i="12"/>
  <c r="Z27" i="12"/>
  <c r="G27" i="12"/>
  <c r="AA27" i="12"/>
  <c r="H27" i="12"/>
  <c r="H29" i="12" s="1"/>
  <c r="S27" i="12"/>
  <c r="AB27" i="12"/>
  <c r="I27" i="12"/>
  <c r="T27" i="12"/>
  <c r="AK27" i="12"/>
  <c r="J27" i="12"/>
  <c r="U27" i="12"/>
  <c r="M27" i="12"/>
  <c r="K27" i="12"/>
  <c r="V27" i="12"/>
  <c r="N27" i="12"/>
  <c r="L27" i="12"/>
  <c r="O27" i="12"/>
  <c r="P27" i="12"/>
  <c r="Y27" i="12"/>
  <c r="E27" i="12"/>
  <c r="AA120" i="7"/>
  <c r="V124" i="7"/>
  <c r="AO124" i="7" s="1"/>
  <c r="AT124" i="7" s="1"/>
  <c r="AL309" i="7"/>
  <c r="AL310" i="7" s="1"/>
  <c r="AL311" i="7" s="1"/>
  <c r="AL312" i="7" s="1"/>
  <c r="AL313" i="7" s="1"/>
  <c r="K26" i="12"/>
  <c r="Y26" i="12"/>
  <c r="E26" i="12"/>
  <c r="E35" i="12" s="1"/>
  <c r="L26" i="12"/>
  <c r="Z26" i="12"/>
  <c r="H26" i="12"/>
  <c r="G26" i="12"/>
  <c r="AK26" i="12"/>
  <c r="AA26" i="12"/>
  <c r="P26" i="12"/>
  <c r="T26" i="12"/>
  <c r="F26" i="12"/>
  <c r="S26" i="12"/>
  <c r="AB26" i="12"/>
  <c r="O26" i="12"/>
  <c r="U26" i="12"/>
  <c r="M26" i="12"/>
  <c r="V26" i="12"/>
  <c r="N26" i="12"/>
  <c r="AT140" i="7"/>
  <c r="AN140" i="7"/>
  <c r="AS140" i="7" s="1"/>
  <c r="AP140" i="7"/>
  <c r="AU140" i="7" s="1"/>
  <c r="AB149" i="7"/>
  <c r="R310" i="7"/>
  <c r="Y310" i="7" s="1"/>
  <c r="V312" i="7"/>
  <c r="AC312" i="7" s="1"/>
  <c r="AP312" i="7"/>
  <c r="T311" i="7"/>
  <c r="AA311" i="7" s="1"/>
  <c r="AQ311" i="7"/>
  <c r="AI311" i="7"/>
  <c r="AP311" i="7"/>
  <c r="AN311" i="7"/>
  <c r="R309" i="7"/>
  <c r="Y309" i="7" s="1"/>
  <c r="AB308" i="7"/>
  <c r="AK308" i="7" s="1"/>
  <c r="X308" i="7"/>
  <c r="BG69" i="7"/>
  <c r="CU71" i="7"/>
  <c r="EU71" i="7"/>
  <c r="F113" i="7"/>
  <c r="AU74" i="7"/>
  <c r="AT74" i="7"/>
  <c r="AS74" i="7"/>
  <c r="AW81" i="7"/>
  <c r="AV81" i="7"/>
  <c r="AX81" i="7"/>
  <c r="AU78" i="7"/>
  <c r="AS78" i="7"/>
  <c r="AT78" i="7"/>
  <c r="J269" i="7"/>
  <c r="AS81" i="7"/>
  <c r="AT81" i="7"/>
  <c r="AU81" i="7"/>
  <c r="AU87" i="7"/>
  <c r="AS87" i="7"/>
  <c r="AT87" i="7"/>
  <c r="AX78" i="7"/>
  <c r="AV78" i="7"/>
  <c r="AW78" i="7"/>
  <c r="AX87" i="7"/>
  <c r="AV87" i="7"/>
  <c r="AW87" i="7"/>
  <c r="AE330" i="7"/>
  <c r="G91" i="31"/>
  <c r="H91" i="31" s="1"/>
  <c r="I91" i="31" s="1"/>
  <c r="J91" i="31" s="1"/>
  <c r="K91" i="31" s="1"/>
  <c r="AS77" i="7"/>
  <c r="AT77" i="7"/>
  <c r="AU77" i="7"/>
  <c r="AV85" i="7"/>
  <c r="AW85" i="7"/>
  <c r="AX85" i="7"/>
  <c r="S322" i="7"/>
  <c r="Z322" i="7" s="1"/>
  <c r="AV74" i="7"/>
  <c r="AW74" i="7"/>
  <c r="AX74" i="7"/>
  <c r="AU85" i="7"/>
  <c r="AT85" i="7"/>
  <c r="DE85" i="7" s="1"/>
  <c r="AS85" i="7"/>
  <c r="AW77" i="7"/>
  <c r="AV77" i="7"/>
  <c r="AX77" i="7"/>
  <c r="V73" i="7"/>
  <c r="X73" i="7"/>
  <c r="Y73" i="7" s="1"/>
  <c r="R73" i="7" s="1"/>
  <c r="CJ73" i="7" s="1"/>
  <c r="S334" i="7"/>
  <c r="Z334" i="7" s="1"/>
  <c r="R326" i="7"/>
  <c r="Y326" i="7" s="1"/>
  <c r="U74" i="7"/>
  <c r="X74" i="7"/>
  <c r="Y74" i="7" s="1"/>
  <c r="R74" i="7" s="1"/>
  <c r="CJ74" i="7" s="1"/>
  <c r="V74" i="7"/>
  <c r="W80" i="7"/>
  <c r="S80" i="7" s="1"/>
  <c r="V80" i="7"/>
  <c r="X80" i="7"/>
  <c r="Y80" i="7" s="1"/>
  <c r="R80" i="7" s="1"/>
  <c r="CJ80" i="7" s="1"/>
  <c r="X78" i="7"/>
  <c r="Y78" i="7" s="1"/>
  <c r="R78" i="7" s="1"/>
  <c r="CJ78" i="7" s="1"/>
  <c r="V78" i="7"/>
  <c r="AE322" i="7"/>
  <c r="T326" i="7"/>
  <c r="V326" i="7"/>
  <c r="AC326" i="7" s="1"/>
  <c r="U326" i="7"/>
  <c r="U73" i="7"/>
  <c r="T73" i="7" s="1"/>
  <c r="U80" i="7"/>
  <c r="X75" i="7"/>
  <c r="Y75" i="7" s="1"/>
  <c r="R75" i="7" s="1"/>
  <c r="CJ75" i="7" s="1"/>
  <c r="V75" i="7"/>
  <c r="V81" i="7"/>
  <c r="X81" i="7"/>
  <c r="Y81" i="7" s="1"/>
  <c r="R81" i="7" s="1"/>
  <c r="CJ81" i="7" s="1"/>
  <c r="W74" i="7"/>
  <c r="S74" i="7" s="1"/>
  <c r="U322" i="7"/>
  <c r="V334" i="7"/>
  <c r="AC334" i="7" s="1"/>
  <c r="Z87" i="7"/>
  <c r="V76" i="7"/>
  <c r="X76" i="7"/>
  <c r="V77" i="7"/>
  <c r="X77" i="7"/>
  <c r="Y77" i="7" s="1"/>
  <c r="R77" i="7" s="1"/>
  <c r="CJ77" i="7" s="1"/>
  <c r="AE334" i="7"/>
  <c r="EC80" i="7"/>
  <c r="AQ147" i="7"/>
  <c r="AB141" i="7"/>
  <c r="AC141" i="7" s="1"/>
  <c r="AG141" i="7" s="1"/>
  <c r="AF141" i="7" s="1"/>
  <c r="AH141" i="7" s="1"/>
  <c r="T143" i="7"/>
  <c r="AM143" i="7" s="1"/>
  <c r="V315" i="7"/>
  <c r="AC315" i="7" s="1"/>
  <c r="T331" i="7"/>
  <c r="AB148" i="7"/>
  <c r="AC148" i="7" s="1"/>
  <c r="AG148" i="7" s="1"/>
  <c r="R311" i="7"/>
  <c r="Y311" i="7" s="1"/>
  <c r="T334" i="7"/>
  <c r="EC74" i="7"/>
  <c r="S327" i="7"/>
  <c r="Z327" i="7" s="1"/>
  <c r="AE315" i="7"/>
  <c r="V331" i="7"/>
  <c r="AC331" i="7" s="1"/>
  <c r="S331" i="7"/>
  <c r="Z331" i="7" s="1"/>
  <c r="R334" i="7"/>
  <c r="Y334" i="7" s="1"/>
  <c r="EC86" i="7"/>
  <c r="AS149" i="7"/>
  <c r="R328" i="7"/>
  <c r="Y328" i="7" s="1"/>
  <c r="V335" i="7"/>
  <c r="AC335" i="7" s="1"/>
  <c r="T308" i="7"/>
  <c r="AE325" i="7"/>
  <c r="EA78" i="7"/>
  <c r="AB138" i="7"/>
  <c r="AC138" i="7" s="1"/>
  <c r="AG138" i="7" s="1"/>
  <c r="AF138" i="7" s="1"/>
  <c r="AH138" i="7" s="1"/>
  <c r="R333" i="7"/>
  <c r="Y333" i="7" s="1"/>
  <c r="R317" i="7"/>
  <c r="Y317" i="7" s="1"/>
  <c r="T333" i="7"/>
  <c r="S324" i="7"/>
  <c r="Z324" i="7" s="1"/>
  <c r="T320" i="7"/>
  <c r="EH82" i="7"/>
  <c r="BQ87" i="7"/>
  <c r="G53" i="31"/>
  <c r="H53" i="31" s="1"/>
  <c r="I53" i="31" s="1"/>
  <c r="J53" i="31" s="1"/>
  <c r="K53" i="31" s="1"/>
  <c r="AG81" i="7"/>
  <c r="S317" i="7"/>
  <c r="Z317" i="7" s="1"/>
  <c r="G82" i="31"/>
  <c r="H82" i="31" s="1"/>
  <c r="I82" i="31" s="1"/>
  <c r="J82" i="31" s="1"/>
  <c r="K82" i="31" s="1"/>
  <c r="G71" i="31"/>
  <c r="H71" i="31" s="1"/>
  <c r="I71" i="31" s="1"/>
  <c r="J71" i="31" s="1"/>
  <c r="K71" i="31" s="1"/>
  <c r="AE333" i="7"/>
  <c r="EC78" i="7"/>
  <c r="AQ77" i="7"/>
  <c r="V329" i="7"/>
  <c r="AC329" i="7" s="1"/>
  <c r="U333" i="7"/>
  <c r="DI81" i="7"/>
  <c r="V320" i="7"/>
  <c r="AC320" i="7" s="1"/>
  <c r="S308" i="7"/>
  <c r="Z308" i="7" s="1"/>
  <c r="S325" i="7"/>
  <c r="Z325" i="7" s="1"/>
  <c r="EC84" i="7"/>
  <c r="V337" i="7"/>
  <c r="AC337" i="7" s="1"/>
  <c r="G7" i="31"/>
  <c r="H7" i="31" s="1"/>
  <c r="I7" i="31" s="1"/>
  <c r="J7" i="31" s="1"/>
  <c r="K7" i="31" s="1"/>
  <c r="G45" i="31"/>
  <c r="H45" i="31" s="1"/>
  <c r="I45" i="31" s="1"/>
  <c r="J45" i="31" s="1"/>
  <c r="K45" i="31" s="1"/>
  <c r="L268" i="7"/>
  <c r="R268" i="7" s="1"/>
  <c r="G85" i="31"/>
  <c r="H85" i="31" s="1"/>
  <c r="I85" i="31" s="1"/>
  <c r="J85" i="31" s="1"/>
  <c r="K85" i="31" s="1"/>
  <c r="Z83" i="7"/>
  <c r="R308" i="7"/>
  <c r="Y308" i="7" s="1"/>
  <c r="AE328" i="7"/>
  <c r="EA74" i="7"/>
  <c r="T319" i="7"/>
  <c r="EC87" i="7"/>
  <c r="J266" i="7"/>
  <c r="R266" i="7" s="1"/>
  <c r="T318" i="7"/>
  <c r="U319" i="7"/>
  <c r="T314" i="7"/>
  <c r="AS142" i="7"/>
  <c r="U311" i="7"/>
  <c r="AZ85" i="7"/>
  <c r="CK85" i="7" s="1"/>
  <c r="AT154" i="7"/>
  <c r="AU151" i="7"/>
  <c r="R337" i="7"/>
  <c r="Y337" i="7" s="1"/>
  <c r="U328" i="7"/>
  <c r="U337" i="7"/>
  <c r="R331" i="7"/>
  <c r="Y331" i="7" s="1"/>
  <c r="T325" i="7"/>
  <c r="V319" i="7"/>
  <c r="AC319" i="7" s="1"/>
  <c r="R315" i="7"/>
  <c r="Y315" i="7" s="1"/>
  <c r="AU154" i="7"/>
  <c r="T330" i="7"/>
  <c r="S330" i="7"/>
  <c r="Z330" i="7" s="1"/>
  <c r="T315" i="7"/>
  <c r="G55" i="31"/>
  <c r="H55" i="31" s="1"/>
  <c r="I55" i="31" s="1"/>
  <c r="J55" i="31" s="1"/>
  <c r="K55" i="31" s="1"/>
  <c r="G29" i="31"/>
  <c r="H29" i="31" s="1"/>
  <c r="I29" i="31" s="1"/>
  <c r="J29" i="31" s="1"/>
  <c r="K29" i="31" s="1"/>
  <c r="G18" i="31"/>
  <c r="H18" i="31" s="1"/>
  <c r="I18" i="31" s="1"/>
  <c r="J18" i="31" s="1"/>
  <c r="K18" i="31" s="1"/>
  <c r="G47" i="31"/>
  <c r="H47" i="31" s="1"/>
  <c r="I47" i="31" s="1"/>
  <c r="J47" i="31" s="1"/>
  <c r="K47" i="31" s="1"/>
  <c r="G36" i="31"/>
  <c r="H36" i="31" s="1"/>
  <c r="I36" i="31" s="1"/>
  <c r="J36" i="31" s="1"/>
  <c r="K36" i="31" s="1"/>
  <c r="G72" i="31"/>
  <c r="H72" i="31" s="1"/>
  <c r="I72" i="31" s="1"/>
  <c r="J72" i="31" s="1"/>
  <c r="K72" i="31" s="1"/>
  <c r="G22" i="31"/>
  <c r="H22" i="31" s="1"/>
  <c r="I22" i="31" s="1"/>
  <c r="J22" i="31" s="1"/>
  <c r="K22" i="31" s="1"/>
  <c r="AA282" i="7"/>
  <c r="E275" i="7" s="1"/>
  <c r="AB282" i="7"/>
  <c r="BQ85" i="7"/>
  <c r="U330" i="7"/>
  <c r="BP84" i="7"/>
  <c r="ES84" i="7" s="1"/>
  <c r="U325" i="7"/>
  <c r="V330" i="7"/>
  <c r="AC330" i="7" s="1"/>
  <c r="G35" i="31"/>
  <c r="H35" i="31" s="1"/>
  <c r="I35" i="31" s="1"/>
  <c r="J35" i="31" s="1"/>
  <c r="K35" i="31" s="1"/>
  <c r="G83" i="31"/>
  <c r="H83" i="31" s="1"/>
  <c r="I83" i="31" s="1"/>
  <c r="J83" i="31" s="1"/>
  <c r="K83" i="31" s="1"/>
  <c r="G94" i="31"/>
  <c r="H94" i="31" s="1"/>
  <c r="I94" i="31" s="1"/>
  <c r="J94" i="31" s="1"/>
  <c r="K94" i="31" s="1"/>
  <c r="AC282" i="7"/>
  <c r="V308" i="7"/>
  <c r="AC308" i="7" s="1"/>
  <c r="AE331" i="7"/>
  <c r="AE326" i="7"/>
  <c r="AE319" i="7"/>
  <c r="AE311" i="7"/>
  <c r="S315" i="7"/>
  <c r="Z315" i="7" s="1"/>
  <c r="T147" i="7"/>
  <c r="AS144" i="7"/>
  <c r="S311" i="7"/>
  <c r="Z311" i="7" s="1"/>
  <c r="AC78" i="7"/>
  <c r="AU153" i="7"/>
  <c r="AA144" i="7"/>
  <c r="V311" i="7"/>
  <c r="AC311" i="7" s="1"/>
  <c r="V322" i="7"/>
  <c r="AC322" i="7" s="1"/>
  <c r="T328" i="7"/>
  <c r="ED82" i="7"/>
  <c r="EF82" i="7" s="1"/>
  <c r="AG73" i="7"/>
  <c r="G96" i="31"/>
  <c r="H96" i="31" s="1"/>
  <c r="I96" i="31" s="1"/>
  <c r="J96" i="31" s="1"/>
  <c r="K96" i="31" s="1"/>
  <c r="G26" i="31"/>
  <c r="H26" i="31" s="1"/>
  <c r="I26" i="31" s="1"/>
  <c r="J26" i="31" s="1"/>
  <c r="K26" i="31" s="1"/>
  <c r="G70" i="31"/>
  <c r="H70" i="31" s="1"/>
  <c r="I70" i="31" s="1"/>
  <c r="J70" i="31" s="1"/>
  <c r="K70" i="31" s="1"/>
  <c r="AA85" i="7"/>
  <c r="HO63" i="39" s="1"/>
  <c r="ET82" i="7"/>
  <c r="W78" i="7"/>
  <c r="S78" i="7" s="1"/>
  <c r="AA155" i="7"/>
  <c r="AC155" i="7" s="1"/>
  <c r="AG155" i="7" s="1"/>
  <c r="AF155" i="7" s="1"/>
  <c r="AH155" i="7" s="1"/>
  <c r="T309" i="7"/>
  <c r="AC149" i="7"/>
  <c r="AG149" i="7" s="1"/>
  <c r="AF149" i="7" s="1"/>
  <c r="AH149" i="7" s="1"/>
  <c r="AE336" i="7"/>
  <c r="AE332" i="7"/>
  <c r="AE324" i="7"/>
  <c r="AE314" i="7"/>
  <c r="DJ78" i="7"/>
  <c r="AC81" i="7"/>
  <c r="S313" i="7"/>
  <c r="Z313" i="7" s="1"/>
  <c r="AU148" i="7"/>
  <c r="T144" i="7"/>
  <c r="U323" i="7"/>
  <c r="AG78" i="7"/>
  <c r="AT150" i="7"/>
  <c r="AQ145" i="7"/>
  <c r="AS145" i="7"/>
  <c r="AB146" i="7"/>
  <c r="AC146" i="7" s="1"/>
  <c r="R320" i="7"/>
  <c r="Y320" i="7" s="1"/>
  <c r="R313" i="7"/>
  <c r="Y313" i="7" s="1"/>
  <c r="R327" i="7"/>
  <c r="Y327" i="7" s="1"/>
  <c r="V323" i="7"/>
  <c r="AC323" i="7" s="1"/>
  <c r="U327" i="7"/>
  <c r="BA83" i="7"/>
  <c r="CL83" i="7" s="1"/>
  <c r="AS141" i="7"/>
  <c r="U78" i="7"/>
  <c r="T78" i="7" s="1"/>
  <c r="U316" i="7"/>
  <c r="T335" i="7"/>
  <c r="AC76" i="7"/>
  <c r="ES82" i="7"/>
  <c r="BP155" i="7"/>
  <c r="AE327" i="7"/>
  <c r="AE323" i="7"/>
  <c r="AE313" i="7"/>
  <c r="AF143" i="7"/>
  <c r="AH143" i="7" s="1"/>
  <c r="S333" i="7"/>
  <c r="Z333" i="7" s="1"/>
  <c r="DJ81" i="7"/>
  <c r="AT139" i="7"/>
  <c r="T327" i="7"/>
  <c r="T316" i="7"/>
  <c r="AN78" i="7"/>
  <c r="AM78" i="7"/>
  <c r="AU149" i="7"/>
  <c r="AT152" i="7"/>
  <c r="AU147" i="7"/>
  <c r="T145" i="7"/>
  <c r="R316" i="7"/>
  <c r="Y316" i="7" s="1"/>
  <c r="R323" i="7"/>
  <c r="Y323" i="7" s="1"/>
  <c r="T323" i="7"/>
  <c r="W73" i="7"/>
  <c r="S73" i="7" s="1"/>
  <c r="J267" i="7"/>
  <c r="R267" i="7" s="1"/>
  <c r="BP138" i="7"/>
  <c r="EC81" i="7"/>
  <c r="EA77" i="7"/>
  <c r="ET87" i="7"/>
  <c r="ES87" i="7"/>
  <c r="ES78" i="7"/>
  <c r="ET78" i="7"/>
  <c r="ES77" i="7"/>
  <c r="ET77" i="7"/>
  <c r="ES85" i="7"/>
  <c r="ET85" i="7"/>
  <c r="ES81" i="7"/>
  <c r="ET81" i="7"/>
  <c r="ES74" i="7"/>
  <c r="ET74" i="7"/>
  <c r="AA116" i="7"/>
  <c r="AD116" i="7"/>
  <c r="AE116" i="7" s="1"/>
  <c r="AB116" i="7"/>
  <c r="D33" i="12"/>
  <c r="D34" i="12"/>
  <c r="D35" i="12"/>
  <c r="R258" i="7"/>
  <c r="S258" i="7" s="1"/>
  <c r="S270" i="7" s="1"/>
  <c r="AD122" i="7"/>
  <c r="AE122" i="7" s="1"/>
  <c r="AT155" i="7"/>
  <c r="AD125" i="7"/>
  <c r="AE125" i="7" s="1"/>
  <c r="AE335" i="7"/>
  <c r="DJ73" i="7"/>
  <c r="S309" i="7"/>
  <c r="Z309" i="7" s="1"/>
  <c r="AB137" i="7"/>
  <c r="AC137" i="7" s="1"/>
  <c r="AG137" i="7" s="1"/>
  <c r="AF137" i="7" s="1"/>
  <c r="AH137" i="7" s="1"/>
  <c r="EA87" i="7"/>
  <c r="EC73" i="7"/>
  <c r="T154" i="7"/>
  <c r="AC73" i="7"/>
  <c r="U335" i="7"/>
  <c r="T324" i="7"/>
  <c r="AU152" i="7"/>
  <c r="AS153" i="7"/>
  <c r="AA151" i="7"/>
  <c r="AC151" i="7" s="1"/>
  <c r="AG151" i="7" s="1"/>
  <c r="AF151" i="7" s="1"/>
  <c r="AH151" i="7" s="1"/>
  <c r="AG147" i="7"/>
  <c r="AF147" i="7" s="1"/>
  <c r="AH147" i="7" s="1"/>
  <c r="AT144" i="7"/>
  <c r="AA142" i="7"/>
  <c r="AC142" i="7" s="1"/>
  <c r="AA140" i="7"/>
  <c r="AC140" i="7" s="1"/>
  <c r="AG140" i="7" s="1"/>
  <c r="AF140" i="7" s="1"/>
  <c r="AH140" i="7" s="1"/>
  <c r="R332" i="7"/>
  <c r="Y332" i="7" s="1"/>
  <c r="U332" i="7"/>
  <c r="U312" i="7"/>
  <c r="AQ312" i="7" s="1"/>
  <c r="T321" i="7"/>
  <c r="U318" i="7"/>
  <c r="U309" i="7"/>
  <c r="U76" i="7"/>
  <c r="T76" i="7" s="1"/>
  <c r="AO73" i="7"/>
  <c r="AP73" i="7"/>
  <c r="BP140" i="7"/>
  <c r="R322" i="7"/>
  <c r="Y322" i="7" s="1"/>
  <c r="AE318" i="7"/>
  <c r="S321" i="7"/>
  <c r="Z321" i="7" s="1"/>
  <c r="V332" i="7"/>
  <c r="AC332" i="7" s="1"/>
  <c r="R318" i="7"/>
  <c r="Y318" i="7" s="1"/>
  <c r="EC77" i="7"/>
  <c r="R312" i="7"/>
  <c r="Y312" i="7" s="1"/>
  <c r="V321" i="7"/>
  <c r="AC321" i="7" s="1"/>
  <c r="U321" i="7"/>
  <c r="AG76" i="7"/>
  <c r="AB120" i="7"/>
  <c r="BP146" i="7"/>
  <c r="AD121" i="7"/>
  <c r="AE121" i="7" s="1"/>
  <c r="T137" i="7"/>
  <c r="AE321" i="7"/>
  <c r="V309" i="7"/>
  <c r="AC309" i="7" s="1"/>
  <c r="DJ76" i="7"/>
  <c r="T142" i="7"/>
  <c r="V318" i="7"/>
  <c r="AC318" i="7" s="1"/>
  <c r="AQ143" i="7"/>
  <c r="S332" i="7"/>
  <c r="Z332" i="7" s="1"/>
  <c r="S312" i="7"/>
  <c r="Z312" i="7" s="1"/>
  <c r="AQ154" i="7"/>
  <c r="AQ142" i="7"/>
  <c r="T312" i="7"/>
  <c r="EC75" i="7"/>
  <c r="Y270" i="7"/>
  <c r="BA74" i="7"/>
  <c r="CL74" i="7" s="1"/>
  <c r="BP73" i="7"/>
  <c r="AX73" i="7" s="1"/>
  <c r="BQ74" i="7"/>
  <c r="CU80" i="7"/>
  <c r="BP72" i="7"/>
  <c r="AX72" i="7" s="1"/>
  <c r="Z74" i="7"/>
  <c r="BC74" i="7" s="1"/>
  <c r="AH74" i="7" s="1"/>
  <c r="CU73" i="7"/>
  <c r="BD75" i="7"/>
  <c r="Z75" i="7"/>
  <c r="AZ75" i="7" s="1"/>
  <c r="BD78" i="7"/>
  <c r="CU77" i="7"/>
  <c r="CU76" i="7"/>
  <c r="Z73" i="7"/>
  <c r="BP80" i="7"/>
  <c r="AT80" i="7" s="1"/>
  <c r="CU78" i="7"/>
  <c r="DH78" i="7"/>
  <c r="CU75" i="7"/>
  <c r="AR149" i="7"/>
  <c r="AD126" i="7"/>
  <c r="AE126" i="7" s="1"/>
  <c r="AQ138" i="7"/>
  <c r="T138" i="7"/>
  <c r="AU143" i="7"/>
  <c r="AU146" i="7"/>
  <c r="AT147" i="7"/>
  <c r="AT148" i="7"/>
  <c r="CV87" i="7"/>
  <c r="Z86" i="7"/>
  <c r="HO64" i="39" s="1"/>
  <c r="AA86" i="7"/>
  <c r="BD86" i="7" s="1"/>
  <c r="AQ139" i="7"/>
  <c r="T139" i="7"/>
  <c r="AQ150" i="7"/>
  <c r="T150" i="7"/>
  <c r="DI69" i="7"/>
  <c r="U75" i="7"/>
  <c r="T75" i="7" s="1"/>
  <c r="W75" i="7"/>
  <c r="S75" i="7" s="1"/>
  <c r="U81" i="7"/>
  <c r="T81" i="7" s="1"/>
  <c r="W81" i="7"/>
  <c r="S81" i="7" s="1"/>
  <c r="AC152" i="7"/>
  <c r="AG152" i="7" s="1"/>
  <c r="AF152" i="7" s="1"/>
  <c r="AH152" i="7" s="1"/>
  <c r="AT153" i="7"/>
  <c r="AQ155" i="7"/>
  <c r="T155" i="7"/>
  <c r="AM155" i="7" s="1"/>
  <c r="DJ75" i="7"/>
  <c r="DH75" i="7"/>
  <c r="AA150" i="7"/>
  <c r="AB150" i="7"/>
  <c r="BC81" i="7"/>
  <c r="AZ81" i="7"/>
  <c r="DI75" i="7"/>
  <c r="AL75" i="7"/>
  <c r="AM75" i="7"/>
  <c r="AC75" i="7"/>
  <c r="AG75" i="7"/>
  <c r="AN75" i="7"/>
  <c r="AD118" i="7"/>
  <c r="AE118" i="7" s="1"/>
  <c r="EA76" i="7"/>
  <c r="BP141" i="7"/>
  <c r="BP152" i="7"/>
  <c r="BP139" i="7"/>
  <c r="BP147" i="7"/>
  <c r="BP151" i="7"/>
  <c r="Z77" i="7"/>
  <c r="CU69" i="7"/>
  <c r="BQ77" i="7"/>
  <c r="BA80" i="7"/>
  <c r="CL80" i="7" s="1"/>
  <c r="BA77" i="7"/>
  <c r="AP74" i="7"/>
  <c r="AA81" i="7"/>
  <c r="BD72" i="7"/>
  <c r="AP72" i="7" s="1"/>
  <c r="BA72" i="7"/>
  <c r="AM72" i="7" s="1"/>
  <c r="AA71" i="7"/>
  <c r="BA71" i="7" s="1"/>
  <c r="AM71" i="7" s="1"/>
  <c r="CU74" i="7"/>
  <c r="CU72" i="7"/>
  <c r="Z69" i="7"/>
  <c r="BP71" i="7"/>
  <c r="AV71" i="7" s="1"/>
  <c r="AO77" i="7"/>
  <c r="Z72" i="7"/>
  <c r="HO44" i="39" s="1"/>
  <c r="Z80" i="7"/>
  <c r="AQ73" i="7"/>
  <c r="DH73" i="7"/>
  <c r="BA73" i="7"/>
  <c r="DH74" i="7"/>
  <c r="Z78" i="7"/>
  <c r="BQ81" i="7"/>
  <c r="D29" i="12"/>
  <c r="D28" i="12"/>
  <c r="AA84" i="7"/>
  <c r="Z84" i="7"/>
  <c r="DH76" i="7"/>
  <c r="CU81" i="7"/>
  <c r="Z76" i="7"/>
  <c r="AA76" i="7"/>
  <c r="BQ78" i="7"/>
  <c r="EA80" i="7"/>
  <c r="EA86" i="7"/>
  <c r="DH81" i="7"/>
  <c r="DH84" i="7"/>
  <c r="EA84" i="7"/>
  <c r="BA87" i="7"/>
  <c r="W76" i="7"/>
  <c r="S76" i="7" s="1"/>
  <c r="AB139" i="7"/>
  <c r="AA139" i="7"/>
  <c r="AQ146" i="7"/>
  <c r="T146" i="7"/>
  <c r="AM146" i="7" s="1"/>
  <c r="AU150" i="7"/>
  <c r="V324" i="7"/>
  <c r="AC324" i="7" s="1"/>
  <c r="U324" i="7"/>
  <c r="Q168" i="7"/>
  <c r="P168" i="7"/>
  <c r="BP149" i="7"/>
  <c r="T336" i="7"/>
  <c r="S336" i="7"/>
  <c r="Z336" i="7" s="1"/>
  <c r="BP76" i="7"/>
  <c r="ET76" i="7" s="1"/>
  <c r="BQ76" i="7"/>
  <c r="AQ141" i="7"/>
  <c r="T141" i="7"/>
  <c r="R314" i="7"/>
  <c r="Y314" i="7" s="1"/>
  <c r="S314" i="7"/>
  <c r="Z314" i="7" s="1"/>
  <c r="V314" i="7"/>
  <c r="AC314" i="7" s="1"/>
  <c r="T317" i="7"/>
  <c r="U317" i="7"/>
  <c r="V317" i="7"/>
  <c r="AC317" i="7" s="1"/>
  <c r="DH80" i="7"/>
  <c r="AC144" i="7"/>
  <c r="AG144" i="7" s="1"/>
  <c r="AF144" i="7" s="1"/>
  <c r="AH144" i="7" s="1"/>
  <c r="BP75" i="7"/>
  <c r="ES75" i="7" s="1"/>
  <c r="BQ75" i="7"/>
  <c r="DI79" i="7"/>
  <c r="DI74" i="7"/>
  <c r="AG74" i="7"/>
  <c r="AC74" i="7"/>
  <c r="U310" i="7"/>
  <c r="T310" i="7"/>
  <c r="V310" i="7"/>
  <c r="AC310" i="7" s="1"/>
  <c r="S310" i="7"/>
  <c r="Z310" i="7" s="1"/>
  <c r="AQ153" i="7"/>
  <c r="T153" i="7"/>
  <c r="AM153" i="7" s="1"/>
  <c r="AA153" i="7"/>
  <c r="AB153" i="7"/>
  <c r="EA75" i="7"/>
  <c r="EA81" i="7"/>
  <c r="BP148" i="7"/>
  <c r="R269" i="7"/>
  <c r="EC76" i="7"/>
  <c r="BP144" i="7"/>
  <c r="BP150" i="7"/>
  <c r="BP143" i="7"/>
  <c r="AU144" i="7"/>
  <c r="BP154" i="7"/>
  <c r="AL78" i="7"/>
  <c r="BP69" i="7"/>
  <c r="ES69" i="7" s="1"/>
  <c r="BQ69" i="7"/>
  <c r="AG80" i="7"/>
  <c r="AC80" i="7"/>
  <c r="DJ80" i="7"/>
  <c r="DI80" i="7"/>
  <c r="DI70" i="7"/>
  <c r="EA73" i="7"/>
  <c r="AD129" i="7"/>
  <c r="AE129" i="7" s="1"/>
  <c r="BQ83" i="7"/>
  <c r="BP83" i="7"/>
  <c r="ET83" i="7" s="1"/>
  <c r="BP86" i="7"/>
  <c r="AS86" i="7" s="1"/>
  <c r="BQ86" i="7"/>
  <c r="CW84" i="7"/>
  <c r="BA69" i="7"/>
  <c r="BD69" i="7"/>
  <c r="AP77" i="7"/>
  <c r="W288" i="7"/>
  <c r="X288" i="7"/>
  <c r="W293" i="7"/>
  <c r="AZ71" i="7"/>
  <c r="DH77" i="7"/>
  <c r="AC154" i="7"/>
  <c r="DH86" i="7"/>
  <c r="DH87" i="7"/>
  <c r="DJ82" i="7"/>
  <c r="DH82" i="7"/>
  <c r="DI72" i="7"/>
  <c r="G68" i="31"/>
  <c r="H68" i="31" s="1"/>
  <c r="I68" i="31" s="1"/>
  <c r="J68" i="31" s="1"/>
  <c r="K68" i="31" s="1"/>
  <c r="G61" i="31"/>
  <c r="H61" i="31" s="1"/>
  <c r="I61" i="31" s="1"/>
  <c r="J61" i="31" s="1"/>
  <c r="K61" i="31" s="1"/>
  <c r="G87" i="31"/>
  <c r="H87" i="31" s="1"/>
  <c r="I87" i="31" s="1"/>
  <c r="J87" i="31" s="1"/>
  <c r="K87" i="31" s="1"/>
  <c r="G24" i="31"/>
  <c r="H24" i="31" s="1"/>
  <c r="I24" i="31" s="1"/>
  <c r="J24" i="31" s="1"/>
  <c r="K24" i="31" s="1"/>
  <c r="G66" i="31"/>
  <c r="H66" i="31" s="1"/>
  <c r="I66" i="31" s="1"/>
  <c r="J66" i="31" s="1"/>
  <c r="K66" i="31" s="1"/>
  <c r="G9" i="31"/>
  <c r="H9" i="31" s="1"/>
  <c r="I9" i="31" s="1"/>
  <c r="J9" i="31" s="1"/>
  <c r="K9" i="31" s="1"/>
  <c r="G39" i="31"/>
  <c r="H39" i="31" s="1"/>
  <c r="I39" i="31" s="1"/>
  <c r="J39" i="31" s="1"/>
  <c r="K39" i="31" s="1"/>
  <c r="G38" i="31"/>
  <c r="H38" i="31" s="1"/>
  <c r="I38" i="31" s="1"/>
  <c r="J38" i="31" s="1"/>
  <c r="K38" i="31" s="1"/>
  <c r="G63" i="31"/>
  <c r="H63" i="31" s="1"/>
  <c r="I63" i="31" s="1"/>
  <c r="J63" i="31" s="1"/>
  <c r="K63" i="31" s="1"/>
  <c r="G76" i="31"/>
  <c r="H76" i="31" s="1"/>
  <c r="I76" i="31" s="1"/>
  <c r="J76" i="31" s="1"/>
  <c r="K76" i="31" s="1"/>
  <c r="G33" i="31"/>
  <c r="H33" i="31" s="1"/>
  <c r="I33" i="31" s="1"/>
  <c r="J33" i="31" s="1"/>
  <c r="K33" i="31" s="1"/>
  <c r="G54" i="31"/>
  <c r="H54" i="31" s="1"/>
  <c r="I54" i="31" s="1"/>
  <c r="J54" i="31" s="1"/>
  <c r="K54" i="31" s="1"/>
  <c r="G43" i="31"/>
  <c r="H43" i="31" s="1"/>
  <c r="I43" i="31" s="1"/>
  <c r="J43" i="31" s="1"/>
  <c r="K43" i="31" s="1"/>
  <c r="G49" i="31"/>
  <c r="H49" i="31" s="1"/>
  <c r="I49" i="31" s="1"/>
  <c r="J49" i="31" s="1"/>
  <c r="K49" i="31" s="1"/>
  <c r="G73" i="31"/>
  <c r="H73" i="31" s="1"/>
  <c r="I73" i="31" s="1"/>
  <c r="J73" i="31" s="1"/>
  <c r="K73" i="31" s="1"/>
  <c r="G3" i="31"/>
  <c r="H3" i="31" s="1"/>
  <c r="I3" i="31" s="1"/>
  <c r="J3" i="31" s="1"/>
  <c r="K3" i="31" s="1"/>
  <c r="G11" i="31"/>
  <c r="H11" i="31" s="1"/>
  <c r="I11" i="31" s="1"/>
  <c r="J11" i="31" s="1"/>
  <c r="K11" i="31" s="1"/>
  <c r="G23" i="31"/>
  <c r="H23" i="31" s="1"/>
  <c r="I23" i="31" s="1"/>
  <c r="J23" i="31" s="1"/>
  <c r="K23" i="31" s="1"/>
  <c r="G10" i="31"/>
  <c r="H10" i="31" s="1"/>
  <c r="I10" i="31" s="1"/>
  <c r="J10" i="31" s="1"/>
  <c r="K10" i="31" s="1"/>
  <c r="G78" i="31"/>
  <c r="H78" i="31" s="1"/>
  <c r="I78" i="31" s="1"/>
  <c r="J78" i="31" s="1"/>
  <c r="K78" i="31" s="1"/>
  <c r="G58" i="31"/>
  <c r="H58" i="31" s="1"/>
  <c r="I58" i="31" s="1"/>
  <c r="J58" i="31" s="1"/>
  <c r="K58" i="31" s="1"/>
  <c r="G14" i="31"/>
  <c r="H14" i="31" s="1"/>
  <c r="I14" i="31" s="1"/>
  <c r="J14" i="31" s="1"/>
  <c r="K14" i="31" s="1"/>
  <c r="G86" i="31"/>
  <c r="H86" i="31" s="1"/>
  <c r="I86" i="31" s="1"/>
  <c r="J86" i="31" s="1"/>
  <c r="K86" i="31" s="1"/>
  <c r="G8" i="31"/>
  <c r="H8" i="31" s="1"/>
  <c r="I8" i="31" s="1"/>
  <c r="J8" i="31" s="1"/>
  <c r="K8" i="31" s="1"/>
  <c r="G64" i="31"/>
  <c r="H64" i="31" s="1"/>
  <c r="I64" i="31" s="1"/>
  <c r="J64" i="31" s="1"/>
  <c r="K64" i="31" s="1"/>
  <c r="G37" i="31"/>
  <c r="H37" i="31" s="1"/>
  <c r="I37" i="31" s="1"/>
  <c r="J37" i="31" s="1"/>
  <c r="K37" i="31" s="1"/>
  <c r="G5" i="31"/>
  <c r="H5" i="31" s="1"/>
  <c r="I5" i="31" s="1"/>
  <c r="J5" i="31" s="1"/>
  <c r="K5" i="31" s="1"/>
  <c r="G46" i="31"/>
  <c r="H46" i="31" s="1"/>
  <c r="I46" i="31" s="1"/>
  <c r="J46" i="31" s="1"/>
  <c r="K46" i="31" s="1"/>
  <c r="G6" i="31"/>
  <c r="H6" i="31" s="1"/>
  <c r="I6" i="31" s="1"/>
  <c r="J6" i="31" s="1"/>
  <c r="K6" i="31" s="1"/>
  <c r="G4" i="31"/>
  <c r="H4" i="31" s="1"/>
  <c r="I4" i="31" s="1"/>
  <c r="J4" i="31" s="1"/>
  <c r="K4" i="31" s="1"/>
  <c r="G44" i="31"/>
  <c r="H44" i="31" s="1"/>
  <c r="I44" i="31" s="1"/>
  <c r="J44" i="31" s="1"/>
  <c r="K44" i="31" s="1"/>
  <c r="G62" i="31"/>
  <c r="H62" i="31" s="1"/>
  <c r="I62" i="31" s="1"/>
  <c r="J62" i="31" s="1"/>
  <c r="K62" i="31" s="1"/>
  <c r="G56" i="31"/>
  <c r="H56" i="31" s="1"/>
  <c r="I56" i="31" s="1"/>
  <c r="J56" i="31" s="1"/>
  <c r="K56" i="31" s="1"/>
  <c r="G15" i="31"/>
  <c r="H15" i="31" s="1"/>
  <c r="I15" i="31" s="1"/>
  <c r="J15" i="31" s="1"/>
  <c r="K15" i="31" s="1"/>
  <c r="G12" i="31"/>
  <c r="H12" i="31" s="1"/>
  <c r="I12" i="31" s="1"/>
  <c r="J12" i="31" s="1"/>
  <c r="K12" i="31" s="1"/>
  <c r="G42" i="31"/>
  <c r="H42" i="31" s="1"/>
  <c r="I42" i="31" s="1"/>
  <c r="J42" i="31" s="1"/>
  <c r="K42" i="31" s="1"/>
  <c r="G79" i="31"/>
  <c r="H79" i="31" s="1"/>
  <c r="I79" i="31" s="1"/>
  <c r="J79" i="31" s="1"/>
  <c r="K79" i="31" s="1"/>
  <c r="G52" i="31"/>
  <c r="H52" i="31" s="1"/>
  <c r="I52" i="31" s="1"/>
  <c r="J52" i="31" s="1"/>
  <c r="K52" i="31" s="1"/>
  <c r="G31" i="31"/>
  <c r="H31" i="31" s="1"/>
  <c r="I31" i="31" s="1"/>
  <c r="J31" i="31" s="1"/>
  <c r="K31" i="31" s="1"/>
  <c r="G77" i="31"/>
  <c r="H77" i="31" s="1"/>
  <c r="I77" i="31" s="1"/>
  <c r="J77" i="31" s="1"/>
  <c r="K77" i="31" s="1"/>
  <c r="G41" i="31"/>
  <c r="H41" i="31" s="1"/>
  <c r="I41" i="31" s="1"/>
  <c r="J41" i="31" s="1"/>
  <c r="K41" i="31" s="1"/>
  <c r="G92" i="31"/>
  <c r="H92" i="31" s="1"/>
  <c r="I92" i="31" s="1"/>
  <c r="J92" i="31" s="1"/>
  <c r="K92" i="31" s="1"/>
  <c r="G40" i="31"/>
  <c r="H40" i="31" s="1"/>
  <c r="I40" i="31" s="1"/>
  <c r="J40" i="31" s="1"/>
  <c r="K40" i="31" s="1"/>
  <c r="G25" i="31"/>
  <c r="H25" i="31" s="1"/>
  <c r="I25" i="31" s="1"/>
  <c r="J25" i="31" s="1"/>
  <c r="K25" i="31" s="1"/>
  <c r="G74" i="31"/>
  <c r="H74" i="31" s="1"/>
  <c r="I74" i="31" s="1"/>
  <c r="J74" i="31" s="1"/>
  <c r="K74" i="31" s="1"/>
  <c r="G2" i="31"/>
  <c r="H2" i="31" s="1"/>
  <c r="I2" i="31" s="1"/>
  <c r="J2" i="31" s="1"/>
  <c r="K2" i="31" s="1"/>
  <c r="G81" i="31"/>
  <c r="H81" i="31" s="1"/>
  <c r="I81" i="31" s="1"/>
  <c r="J81" i="31" s="1"/>
  <c r="K81" i="31" s="1"/>
  <c r="G17" i="31"/>
  <c r="H17" i="31" s="1"/>
  <c r="I17" i="31" s="1"/>
  <c r="J17" i="31" s="1"/>
  <c r="K17" i="31" s="1"/>
  <c r="G32" i="31"/>
  <c r="H32" i="31" s="1"/>
  <c r="I32" i="31" s="1"/>
  <c r="J32" i="31" s="1"/>
  <c r="K32" i="31" s="1"/>
  <c r="G28" i="31"/>
  <c r="H28" i="31" s="1"/>
  <c r="I28" i="31" s="1"/>
  <c r="J28" i="31" s="1"/>
  <c r="K28" i="31" s="1"/>
  <c r="G90" i="31"/>
  <c r="H90" i="31" s="1"/>
  <c r="I90" i="31" s="1"/>
  <c r="J90" i="31" s="1"/>
  <c r="K90" i="31" s="1"/>
  <c r="G59" i="31"/>
  <c r="H59" i="31" s="1"/>
  <c r="I59" i="31" s="1"/>
  <c r="J59" i="31" s="1"/>
  <c r="K59" i="31" s="1"/>
  <c r="G34" i="31"/>
  <c r="H34" i="31" s="1"/>
  <c r="I34" i="31" s="1"/>
  <c r="J34" i="31" s="1"/>
  <c r="K34" i="31" s="1"/>
  <c r="G50" i="31"/>
  <c r="H50" i="31" s="1"/>
  <c r="I50" i="31" s="1"/>
  <c r="J50" i="31" s="1"/>
  <c r="K50" i="31" s="1"/>
  <c r="G67" i="31"/>
  <c r="H67" i="31" s="1"/>
  <c r="I67" i="31" s="1"/>
  <c r="J67" i="31" s="1"/>
  <c r="K67" i="31" s="1"/>
  <c r="G57" i="31"/>
  <c r="H57" i="31" s="1"/>
  <c r="I57" i="31" s="1"/>
  <c r="J57" i="31" s="1"/>
  <c r="K57" i="31" s="1"/>
  <c r="U313" i="7"/>
  <c r="X313" i="7" s="1"/>
  <c r="G60" i="31"/>
  <c r="H60" i="31" s="1"/>
  <c r="I60" i="31" s="1"/>
  <c r="J60" i="31" s="1"/>
  <c r="K60" i="31" s="1"/>
  <c r="G97" i="31"/>
  <c r="H97" i="31" s="1"/>
  <c r="I97" i="31" s="1"/>
  <c r="J97" i="31" s="1"/>
  <c r="K97" i="31" s="1"/>
  <c r="G75" i="31"/>
  <c r="H75" i="31" s="1"/>
  <c r="I75" i="31" s="1"/>
  <c r="J75" i="31" s="1"/>
  <c r="K75" i="31" s="1"/>
  <c r="G13" i="31"/>
  <c r="H13" i="31" s="1"/>
  <c r="I13" i="31" s="1"/>
  <c r="J13" i="31" s="1"/>
  <c r="K13" i="31" s="1"/>
  <c r="G89" i="31"/>
  <c r="H89" i="31" s="1"/>
  <c r="I89" i="31" s="1"/>
  <c r="J89" i="31" s="1"/>
  <c r="K89" i="31" s="1"/>
  <c r="G27" i="31"/>
  <c r="H27" i="31" s="1"/>
  <c r="I27" i="31" s="1"/>
  <c r="J27" i="31" s="1"/>
  <c r="K27" i="31" s="1"/>
  <c r="G21" i="31"/>
  <c r="H21" i="31" s="1"/>
  <c r="I21" i="31" s="1"/>
  <c r="J21" i="31" s="1"/>
  <c r="K21" i="31" s="1"/>
  <c r="G51" i="31"/>
  <c r="H51" i="31" s="1"/>
  <c r="I51" i="31" s="1"/>
  <c r="J51" i="31" s="1"/>
  <c r="K51" i="31" s="1"/>
  <c r="G95" i="31"/>
  <c r="H95" i="31" s="1"/>
  <c r="I95" i="31" s="1"/>
  <c r="J95" i="31" s="1"/>
  <c r="K95" i="31" s="1"/>
  <c r="AA145" i="7"/>
  <c r="AB145" i="7"/>
  <c r="AG72" i="7"/>
  <c r="V313" i="7"/>
  <c r="AC313" i="7" s="1"/>
  <c r="AC72" i="7"/>
  <c r="G65" i="31"/>
  <c r="H65" i="31" s="1"/>
  <c r="I65" i="31" s="1"/>
  <c r="J65" i="31" s="1"/>
  <c r="K65" i="31" s="1"/>
  <c r="G16" i="31"/>
  <c r="H16" i="31" s="1"/>
  <c r="I16" i="31" s="1"/>
  <c r="J16" i="31" s="1"/>
  <c r="K16" i="31" s="1"/>
  <c r="G20" i="31"/>
  <c r="H20" i="31" s="1"/>
  <c r="I20" i="31" s="1"/>
  <c r="J20" i="31" s="1"/>
  <c r="K20" i="31" s="1"/>
  <c r="G48" i="31"/>
  <c r="H48" i="31" s="1"/>
  <c r="I48" i="31" s="1"/>
  <c r="J48" i="31" s="1"/>
  <c r="K48" i="31" s="1"/>
  <c r="G30" i="31"/>
  <c r="H30" i="31" s="1"/>
  <c r="I30" i="31" s="1"/>
  <c r="J30" i="31" s="1"/>
  <c r="K30" i="31" s="1"/>
  <c r="G93" i="31"/>
  <c r="H93" i="31" s="1"/>
  <c r="I93" i="31" s="1"/>
  <c r="J93" i="31" s="1"/>
  <c r="K93" i="31" s="1"/>
  <c r="G19" i="31"/>
  <c r="H19" i="31" s="1"/>
  <c r="I19" i="31" s="1"/>
  <c r="J19" i="31" s="1"/>
  <c r="K19" i="31" s="1"/>
  <c r="G88" i="31"/>
  <c r="H88" i="31" s="1"/>
  <c r="I88" i="31" s="1"/>
  <c r="J88" i="31" s="1"/>
  <c r="K88" i="31" s="1"/>
  <c r="G80" i="31"/>
  <c r="H80" i="31" s="1"/>
  <c r="I80" i="31" s="1"/>
  <c r="J80" i="31" s="1"/>
  <c r="K80" i="31" s="1"/>
  <c r="G84" i="31"/>
  <c r="H84" i="31" s="1"/>
  <c r="I84" i="31" s="1"/>
  <c r="J84" i="31" s="1"/>
  <c r="K84" i="31" s="1"/>
  <c r="G69" i="31"/>
  <c r="H69" i="31" s="1"/>
  <c r="I69" i="31" s="1"/>
  <c r="J69" i="31" s="1"/>
  <c r="K69" i="31" s="1"/>
  <c r="AQ140" i="7"/>
  <c r="T140" i="7"/>
  <c r="AM140" i="7" s="1"/>
  <c r="BP153" i="7"/>
  <c r="BP142" i="7"/>
  <c r="BP145" i="7"/>
  <c r="AT149" i="7"/>
  <c r="AS83" i="7" l="1"/>
  <c r="HO52" i="39"/>
  <c r="HT52" i="39" s="1"/>
  <c r="HO17" i="39"/>
  <c r="HR64" i="39"/>
  <c r="HT64" i="39"/>
  <c r="HT63" i="39"/>
  <c r="HR63" i="39"/>
  <c r="HT44" i="39"/>
  <c r="HX44" i="39"/>
  <c r="K119" i="7"/>
  <c r="V119" i="7" s="1"/>
  <c r="Y119" i="7"/>
  <c r="Z119" i="7" s="1"/>
  <c r="J119" i="7"/>
  <c r="U119" i="7" s="1"/>
  <c r="AN119" i="7" s="1"/>
  <c r="AS119" i="7" s="1"/>
  <c r="K118" i="7"/>
  <c r="V118" i="7" s="1"/>
  <c r="M118" i="7"/>
  <c r="W118" i="7" s="1"/>
  <c r="AP118" i="7" s="1"/>
  <c r="AU118" i="7" s="1"/>
  <c r="J118" i="7"/>
  <c r="U118" i="7" s="1"/>
  <c r="BP118" i="7" s="1"/>
  <c r="BP125" i="7"/>
  <c r="BP128" i="7"/>
  <c r="AN130" i="7"/>
  <c r="AS130" i="7" s="1"/>
  <c r="AN126" i="7"/>
  <c r="AS126" i="7" s="1"/>
  <c r="Q114" i="7"/>
  <c r="R114" i="7" s="1"/>
  <c r="S115" i="7"/>
  <c r="AL115" i="7" s="1"/>
  <c r="AQ115" i="7" s="1"/>
  <c r="Q120" i="7"/>
  <c r="R120" i="7" s="1"/>
  <c r="Y120" i="7"/>
  <c r="Y115" i="7"/>
  <c r="Z115" i="7" s="1"/>
  <c r="AB115" i="7" s="1"/>
  <c r="Q121" i="7"/>
  <c r="R121" i="7" s="1"/>
  <c r="Y114" i="7"/>
  <c r="Z114" i="7" s="1"/>
  <c r="AA114" i="7" s="1"/>
  <c r="Q115" i="7"/>
  <c r="R115" i="7" s="1"/>
  <c r="K114" i="7"/>
  <c r="V114" i="7" s="1"/>
  <c r="AO114" i="7" s="1"/>
  <c r="Y122" i="7"/>
  <c r="Z122" i="7" s="1"/>
  <c r="AA122" i="7" s="1"/>
  <c r="T127" i="7"/>
  <c r="AM127" i="7" s="1"/>
  <c r="Y116" i="7"/>
  <c r="AN117" i="7"/>
  <c r="AS117" i="7" s="1"/>
  <c r="S123" i="7"/>
  <c r="T123" i="7" s="1"/>
  <c r="AM123" i="7" s="1"/>
  <c r="AR123" i="7" s="1"/>
  <c r="Q127" i="7"/>
  <c r="R127" i="7" s="1"/>
  <c r="Y118" i="7"/>
  <c r="Z118" i="7" s="1"/>
  <c r="Y127" i="7"/>
  <c r="Z127" i="7" s="1"/>
  <c r="AB127" i="7" s="1"/>
  <c r="Q129" i="7"/>
  <c r="R129" i="7" s="1"/>
  <c r="Y117" i="7"/>
  <c r="Z117" i="7" s="1"/>
  <c r="AB117" i="7" s="1"/>
  <c r="S119" i="7"/>
  <c r="AL119" i="7" s="1"/>
  <c r="BP127" i="7"/>
  <c r="Q122" i="7"/>
  <c r="R122" i="7" s="1"/>
  <c r="Q117" i="7"/>
  <c r="R117" i="7" s="1"/>
  <c r="S114" i="7"/>
  <c r="T114" i="7" s="1"/>
  <c r="AM114" i="7" s="1"/>
  <c r="AR114" i="7" s="1"/>
  <c r="M114" i="7"/>
  <c r="W114" i="7" s="1"/>
  <c r="AP114" i="7" s="1"/>
  <c r="AU114" i="7" s="1"/>
  <c r="Y124" i="7"/>
  <c r="Z124" i="7" s="1"/>
  <c r="AA124" i="7" s="1"/>
  <c r="T126" i="7"/>
  <c r="AM126" i="7" s="1"/>
  <c r="AR126" i="7" s="1"/>
  <c r="T128" i="7"/>
  <c r="AM128" i="7" s="1"/>
  <c r="T130" i="7"/>
  <c r="AM130" i="7" s="1"/>
  <c r="Q118" i="7"/>
  <c r="R118" i="7" s="1"/>
  <c r="Q126" i="7"/>
  <c r="R126" i="7" s="1"/>
  <c r="Q125" i="7"/>
  <c r="R125" i="7" s="1"/>
  <c r="Q116" i="7"/>
  <c r="R116" i="7" s="1"/>
  <c r="Q128" i="7"/>
  <c r="R128" i="7" s="1"/>
  <c r="Y126" i="7"/>
  <c r="Z126" i="7" s="1"/>
  <c r="AB126" i="7" s="1"/>
  <c r="Y123" i="7"/>
  <c r="Z123" i="7" s="1"/>
  <c r="AB123" i="7" s="1"/>
  <c r="AL118" i="7"/>
  <c r="AQ118" i="7" s="1"/>
  <c r="AL122" i="7"/>
  <c r="AQ122" i="7" s="1"/>
  <c r="Q119" i="7"/>
  <c r="R119" i="7" s="1"/>
  <c r="Q130" i="7"/>
  <c r="R130" i="7" s="1"/>
  <c r="Q124" i="7"/>
  <c r="R124" i="7" s="1"/>
  <c r="T116" i="7"/>
  <c r="AM116" i="7" s="1"/>
  <c r="Y125" i="7"/>
  <c r="Z125" i="7" s="1"/>
  <c r="AB125" i="7" s="1"/>
  <c r="T125" i="7"/>
  <c r="AM125" i="7" s="1"/>
  <c r="AA336" i="7"/>
  <c r="W336" i="7"/>
  <c r="AB335" i="7"/>
  <c r="X335" i="7"/>
  <c r="AA315" i="7"/>
  <c r="W315" i="7"/>
  <c r="AB337" i="7"/>
  <c r="X337" i="7"/>
  <c r="AA314" i="7"/>
  <c r="W314" i="7"/>
  <c r="BC87" i="7"/>
  <c r="HO65" i="39"/>
  <c r="AA326" i="7"/>
  <c r="W326" i="7"/>
  <c r="AB324" i="7"/>
  <c r="X324" i="7"/>
  <c r="AB321" i="7"/>
  <c r="X321" i="7"/>
  <c r="AA321" i="7"/>
  <c r="W321" i="7"/>
  <c r="AA316" i="7"/>
  <c r="W316" i="7"/>
  <c r="AB330" i="7"/>
  <c r="X330" i="7"/>
  <c r="AB328" i="7"/>
  <c r="X328" i="7"/>
  <c r="AB319" i="7"/>
  <c r="X319" i="7"/>
  <c r="AA319" i="7"/>
  <c r="W319" i="7"/>
  <c r="AA333" i="7"/>
  <c r="W333" i="7"/>
  <c r="Y128" i="7"/>
  <c r="Z128" i="7" s="1"/>
  <c r="AA331" i="7"/>
  <c r="W331" i="7"/>
  <c r="W311" i="7"/>
  <c r="AA337" i="7"/>
  <c r="W337" i="7"/>
  <c r="AB331" i="7"/>
  <c r="X331" i="7"/>
  <c r="AB315" i="7"/>
  <c r="X315" i="7"/>
  <c r="AA322" i="7"/>
  <c r="W322" i="7"/>
  <c r="AB317" i="7"/>
  <c r="X317" i="7"/>
  <c r="AB332" i="7"/>
  <c r="X332" i="7"/>
  <c r="AM154" i="7"/>
  <c r="AR154" i="7" s="1"/>
  <c r="AA323" i="7"/>
  <c r="W323" i="7"/>
  <c r="AM145" i="7"/>
  <c r="AR145" i="7" s="1"/>
  <c r="AA327" i="7"/>
  <c r="W327" i="7"/>
  <c r="AA335" i="7"/>
  <c r="W335" i="7"/>
  <c r="AB323" i="7"/>
  <c r="X323" i="7"/>
  <c r="AA330" i="7"/>
  <c r="W330" i="7"/>
  <c r="AA325" i="7"/>
  <c r="W325" i="7"/>
  <c r="AA318" i="7"/>
  <c r="W318" i="7"/>
  <c r="AB333" i="7"/>
  <c r="X333" i="7"/>
  <c r="AA334" i="7"/>
  <c r="W334" i="7"/>
  <c r="AB322" i="7"/>
  <c r="X322" i="7"/>
  <c r="AB326" i="7"/>
  <c r="X326" i="7"/>
  <c r="AQ128" i="7"/>
  <c r="AB336" i="7"/>
  <c r="X336" i="7"/>
  <c r="AB320" i="7"/>
  <c r="X320" i="7"/>
  <c r="AB334" i="7"/>
  <c r="X334" i="7"/>
  <c r="AA317" i="7"/>
  <c r="W317" i="7"/>
  <c r="AM150" i="7"/>
  <c r="AR150" i="7" s="1"/>
  <c r="AB318" i="7"/>
  <c r="X318" i="7"/>
  <c r="AA324" i="7"/>
  <c r="W324" i="7"/>
  <c r="AB316" i="7"/>
  <c r="X316" i="7"/>
  <c r="AB327" i="7"/>
  <c r="X327" i="7"/>
  <c r="AM144" i="7"/>
  <c r="AR144" i="7" s="1"/>
  <c r="AA328" i="7"/>
  <c r="W328" i="7"/>
  <c r="AM147" i="7"/>
  <c r="AR147" i="7" s="1"/>
  <c r="AB325" i="7"/>
  <c r="X325" i="7"/>
  <c r="AZ87" i="7"/>
  <c r="CK87" i="7" s="1"/>
  <c r="AA320" i="7"/>
  <c r="W320" i="7"/>
  <c r="Y130" i="7"/>
  <c r="Z130" i="7" s="1"/>
  <c r="AA329" i="7"/>
  <c r="W329" i="7"/>
  <c r="AA313" i="7"/>
  <c r="W313" i="7"/>
  <c r="AA332" i="7"/>
  <c r="W332" i="7"/>
  <c r="AB314" i="7"/>
  <c r="X314" i="7"/>
  <c r="AL124" i="7"/>
  <c r="AQ124" i="7" s="1"/>
  <c r="AM142" i="7"/>
  <c r="AR142" i="7" s="1"/>
  <c r="AM141" i="7"/>
  <c r="AR141" i="7" s="1"/>
  <c r="AR143" i="7"/>
  <c r="AS139" i="7"/>
  <c r="S117" i="7"/>
  <c r="AZ84" i="7"/>
  <c r="HO62" i="39"/>
  <c r="AL129" i="7"/>
  <c r="AQ129" i="7" s="1"/>
  <c r="Y129" i="7"/>
  <c r="Z129" i="7" s="1"/>
  <c r="AB129" i="7" s="1"/>
  <c r="DD85" i="7"/>
  <c r="DF85" i="7"/>
  <c r="M115" i="7"/>
  <c r="W115" i="7" s="1"/>
  <c r="AP115" i="7" s="1"/>
  <c r="AU115" i="7" s="1"/>
  <c r="K115" i="7"/>
  <c r="V115" i="7" s="1"/>
  <c r="AO115" i="7" s="1"/>
  <c r="AT115" i="7" s="1"/>
  <c r="BC77" i="7"/>
  <c r="AF77" i="7" s="1"/>
  <c r="AG77" i="7" s="1"/>
  <c r="HO7" i="39"/>
  <c r="U77" i="7"/>
  <c r="T77" i="7" s="1"/>
  <c r="W77" i="7"/>
  <c r="S77" i="7" s="1"/>
  <c r="HO15" i="39"/>
  <c r="HO31" i="39"/>
  <c r="J121" i="7"/>
  <c r="U121" i="7" s="1"/>
  <c r="BP121" i="7" s="1"/>
  <c r="M121" i="7"/>
  <c r="W121" i="7" s="1"/>
  <c r="AP121" i="7" s="1"/>
  <c r="AU121" i="7" s="1"/>
  <c r="K121" i="7"/>
  <c r="V121" i="7" s="1"/>
  <c r="AO121" i="7" s="1"/>
  <c r="AT121" i="7" s="1"/>
  <c r="AB121" i="7"/>
  <c r="AC121" i="7" s="1"/>
  <c r="AG121" i="7" s="1"/>
  <c r="AF121" i="7" s="1"/>
  <c r="AH121" i="7" s="1"/>
  <c r="S121" i="7"/>
  <c r="J129" i="7"/>
  <c r="U129" i="7" s="1"/>
  <c r="K129" i="7"/>
  <c r="V129" i="7" s="1"/>
  <c r="AU129" i="7"/>
  <c r="M113" i="7"/>
  <c r="W113" i="7" s="1"/>
  <c r="J113" i="7"/>
  <c r="U113" i="7" s="1"/>
  <c r="K113" i="7"/>
  <c r="V113" i="7" s="1"/>
  <c r="HO32" i="39"/>
  <c r="AM124" i="7"/>
  <c r="AR124" i="7" s="1"/>
  <c r="AM139" i="7"/>
  <c r="AR139" i="7" s="1"/>
  <c r="AM138" i="7"/>
  <c r="AR138" i="7" s="1"/>
  <c r="AS123" i="7"/>
  <c r="AT122" i="7"/>
  <c r="AN120" i="7"/>
  <c r="AS120" i="7" s="1"/>
  <c r="BP123" i="7"/>
  <c r="BP122" i="7"/>
  <c r="AT123" i="7"/>
  <c r="X28" i="12"/>
  <c r="X29" i="12"/>
  <c r="AF34" i="12"/>
  <c r="AF33" i="12"/>
  <c r="AF35" i="12"/>
  <c r="J29" i="12"/>
  <c r="J28" i="12"/>
  <c r="AH28" i="12"/>
  <c r="AH29" i="12"/>
  <c r="AH34" i="12"/>
  <c r="AH35" i="12"/>
  <c r="AH33" i="12"/>
  <c r="AE28" i="12"/>
  <c r="AE29" i="12"/>
  <c r="I33" i="12"/>
  <c r="HS7" i="39" s="1" a="1"/>
  <c r="HS7" i="39" s="1"/>
  <c r="I34" i="12"/>
  <c r="HS8" i="39" s="1" a="1"/>
  <c r="HS8" i="39" s="1"/>
  <c r="I35" i="12"/>
  <c r="HS9" i="39" s="1" a="1"/>
  <c r="HS9" i="39" s="1"/>
  <c r="HT9" i="39" s="1"/>
  <c r="W28" i="12"/>
  <c r="W29" i="12"/>
  <c r="R33" i="12"/>
  <c r="R35" i="12"/>
  <c r="R34" i="12"/>
  <c r="I29" i="12"/>
  <c r="I28" i="12"/>
  <c r="AD29" i="12"/>
  <c r="AD28" i="12"/>
  <c r="AG28" i="12"/>
  <c r="AG29" i="12"/>
  <c r="AE33" i="12"/>
  <c r="BD33" i="12" s="1"/>
  <c r="HW7" i="39" s="1" a="1"/>
  <c r="HW7" i="39" s="1"/>
  <c r="AE35" i="12"/>
  <c r="BD35" i="12" s="1"/>
  <c r="HW9" i="39" s="1" a="1"/>
  <c r="HW9" i="39" s="1"/>
  <c r="HX9" i="39" s="1"/>
  <c r="AE34" i="12"/>
  <c r="BD34" i="12" s="1"/>
  <c r="HW8" i="39" s="1" a="1"/>
  <c r="HW8" i="39" s="1"/>
  <c r="R29" i="12"/>
  <c r="R28" i="12"/>
  <c r="W33" i="12"/>
  <c r="W34" i="12"/>
  <c r="W35" i="12"/>
  <c r="X33" i="12"/>
  <c r="X34" i="12"/>
  <c r="X35" i="12"/>
  <c r="AF28" i="12"/>
  <c r="AF29" i="12"/>
  <c r="AG33" i="12"/>
  <c r="AG34" i="12"/>
  <c r="AG35" i="12"/>
  <c r="Q34" i="12"/>
  <c r="Q35" i="12"/>
  <c r="Q33" i="12"/>
  <c r="Q28" i="12"/>
  <c r="Q29" i="12"/>
  <c r="J33" i="12"/>
  <c r="J35" i="12"/>
  <c r="J34" i="12"/>
  <c r="AD33" i="12"/>
  <c r="BC33" i="12" s="1"/>
  <c r="AD35" i="12"/>
  <c r="BC35" i="12" s="1"/>
  <c r="AD34" i="12"/>
  <c r="BC34" i="12" s="1"/>
  <c r="H28" i="12"/>
  <c r="H31" i="12" s="1"/>
  <c r="HQ5" i="39" s="1" a="1"/>
  <c r="HQ5" i="39" s="1"/>
  <c r="E33" i="12"/>
  <c r="E34" i="12"/>
  <c r="BP124" i="7"/>
  <c r="AN124" i="7"/>
  <c r="AC120" i="7"/>
  <c r="AG120" i="7" s="1"/>
  <c r="AF120" i="7" s="1"/>
  <c r="AH120" i="7" s="1"/>
  <c r="AN122" i="7"/>
  <c r="AM129" i="7"/>
  <c r="AR129" i="7" s="1"/>
  <c r="Y113" i="7"/>
  <c r="Z113" i="7" s="1"/>
  <c r="AB113" i="7" s="1"/>
  <c r="AL314" i="7"/>
  <c r="HO61" i="39"/>
  <c r="H34" i="12"/>
  <c r="H33" i="12"/>
  <c r="H35" i="12"/>
  <c r="X72" i="7"/>
  <c r="Y72" i="7" s="1"/>
  <c r="R72" i="7" s="1"/>
  <c r="CJ72" i="7" s="1"/>
  <c r="V72" i="7"/>
  <c r="BC72" i="7"/>
  <c r="W72" i="7" s="1"/>
  <c r="S72" i="7" s="1"/>
  <c r="AZ73" i="7"/>
  <c r="AB73" i="7" s="1"/>
  <c r="BP116" i="7"/>
  <c r="AN116" i="7"/>
  <c r="AS116" i="7" s="1"/>
  <c r="AN115" i="7"/>
  <c r="AS115" i="7" s="1"/>
  <c r="AN114" i="7"/>
  <c r="AS114" i="7" s="1"/>
  <c r="AA310" i="7"/>
  <c r="W310" i="7"/>
  <c r="AB310" i="7"/>
  <c r="AK310" i="7" s="1"/>
  <c r="X310" i="7"/>
  <c r="AB312" i="7"/>
  <c r="X312" i="7"/>
  <c r="AA312" i="7"/>
  <c r="W312" i="7"/>
  <c r="AB311" i="7"/>
  <c r="AK311" i="7" s="1"/>
  <c r="X311" i="7"/>
  <c r="Z339" i="7"/>
  <c r="L45" i="7" s="1"/>
  <c r="AC339" i="7"/>
  <c r="AB309" i="7"/>
  <c r="AK309" i="7" s="1"/>
  <c r="X309" i="7"/>
  <c r="AA309" i="7"/>
  <c r="W309" i="7"/>
  <c r="AA308" i="7"/>
  <c r="W308" i="7"/>
  <c r="DW74" i="7"/>
  <c r="T74" i="7"/>
  <c r="BP114" i="7"/>
  <c r="U71" i="7"/>
  <c r="T71" i="7" s="1"/>
  <c r="BP115" i="7"/>
  <c r="Q113" i="7"/>
  <c r="R113" i="7" s="1"/>
  <c r="S113" i="7"/>
  <c r="AW83" i="7"/>
  <c r="J80" i="7"/>
  <c r="DV80" i="7" s="1"/>
  <c r="EE80" i="7" s="1"/>
  <c r="DW80" i="7"/>
  <c r="AU80" i="7"/>
  <c r="AW71" i="7"/>
  <c r="AS69" i="7"/>
  <c r="V69" i="7"/>
  <c r="AX80" i="7"/>
  <c r="AU84" i="7"/>
  <c r="AT73" i="7"/>
  <c r="AX84" i="7"/>
  <c r="AW73" i="7"/>
  <c r="AT76" i="7"/>
  <c r="AS72" i="7"/>
  <c r="AW75" i="7"/>
  <c r="AV76" i="7"/>
  <c r="AS75" i="7"/>
  <c r="J74" i="7"/>
  <c r="DV74" i="7" s="1"/>
  <c r="EE74" i="7" s="1"/>
  <c r="AT84" i="7"/>
  <c r="AX86" i="7"/>
  <c r="AW80" i="7"/>
  <c r="AT83" i="7"/>
  <c r="AS73" i="7"/>
  <c r="AW84" i="7"/>
  <c r="AV83" i="7"/>
  <c r="DD83" i="7" s="1"/>
  <c r="AV69" i="7"/>
  <c r="AS76" i="7"/>
  <c r="AU72" i="7"/>
  <c r="DF72" i="7" s="1"/>
  <c r="AU86" i="7"/>
  <c r="AW72" i="7"/>
  <c r="AU71" i="7"/>
  <c r="AP78" i="7"/>
  <c r="AS84" i="7"/>
  <c r="AV86" i="7"/>
  <c r="AV80" i="7"/>
  <c r="AU69" i="7"/>
  <c r="AS80" i="7"/>
  <c r="AX83" i="7"/>
  <c r="AV73" i="7"/>
  <c r="AX69" i="7"/>
  <c r="AU76" i="7"/>
  <c r="AX75" i="7"/>
  <c r="AT86" i="7"/>
  <c r="AX76" i="7"/>
  <c r="AV72" i="7"/>
  <c r="AU75" i="7"/>
  <c r="AT71" i="7"/>
  <c r="AX71" i="7"/>
  <c r="AW86" i="7"/>
  <c r="AU83" i="7"/>
  <c r="AU73" i="7"/>
  <c r="AT69" i="7"/>
  <c r="AV84" i="7"/>
  <c r="AW69" i="7"/>
  <c r="AT72" i="7"/>
  <c r="AV75" i="7"/>
  <c r="AW76" i="7"/>
  <c r="AT75" i="7"/>
  <c r="AS71" i="7"/>
  <c r="DD71" i="7" s="1"/>
  <c r="T80" i="7"/>
  <c r="X69" i="7"/>
  <c r="EI82" i="7"/>
  <c r="EK82" i="7" s="1"/>
  <c r="EL82" i="7"/>
  <c r="EP82" i="7" s="1"/>
  <c r="EO82" i="7" s="1"/>
  <c r="AC150" i="7"/>
  <c r="AG150" i="7" s="1"/>
  <c r="AF150" i="7" s="1"/>
  <c r="AH150" i="7" s="1"/>
  <c r="AL73" i="7"/>
  <c r="BA86" i="7"/>
  <c r="CL86" i="7" s="1"/>
  <c r="J73" i="7"/>
  <c r="DV73" i="7" s="1"/>
  <c r="EE73" i="7" s="1"/>
  <c r="DW78" i="7"/>
  <c r="DW73" i="7"/>
  <c r="EG82" i="7"/>
  <c r="ET84" i="7"/>
  <c r="AM77" i="7"/>
  <c r="K77" i="7"/>
  <c r="Q77" i="7" s="1"/>
  <c r="K74" i="7"/>
  <c r="Q74" i="7" s="1"/>
  <c r="P283" i="7"/>
  <c r="J283" i="7" s="1"/>
  <c r="BD85" i="7"/>
  <c r="BA85" i="7"/>
  <c r="AD282" i="7"/>
  <c r="DY77" i="7"/>
  <c r="BC83" i="7"/>
  <c r="AZ83" i="7"/>
  <c r="Y339" i="7"/>
  <c r="J45" i="7" s="1"/>
  <c r="ED74" i="7"/>
  <c r="EL74" i="7" s="1"/>
  <c r="EP74" i="7" s="1"/>
  <c r="EO74" i="7" s="1"/>
  <c r="DY74" i="7"/>
  <c r="K73" i="7"/>
  <c r="Q73" i="7" s="1"/>
  <c r="DY73" i="7"/>
  <c r="AG146" i="7"/>
  <c r="AF146" i="7" s="1"/>
  <c r="AH146" i="7" s="1"/>
  <c r="ED73" i="7"/>
  <c r="EL73" i="7" s="1"/>
  <c r="EP73" i="7" s="1"/>
  <c r="EO73" i="7" s="1"/>
  <c r="R339" i="7"/>
  <c r="J44" i="7" s="1"/>
  <c r="AF148" i="7"/>
  <c r="AH148" i="7" s="1"/>
  <c r="ED80" i="7"/>
  <c r="EL80" i="7" s="1"/>
  <c r="EP80" i="7" s="1"/>
  <c r="EO80" i="7" s="1"/>
  <c r="DY80" i="7"/>
  <c r="J78" i="7"/>
  <c r="DV78" i="7" s="1"/>
  <c r="EH78" i="7" s="1"/>
  <c r="AB75" i="7"/>
  <c r="K80" i="7"/>
  <c r="Q80" i="7" s="1"/>
  <c r="BC84" i="7"/>
  <c r="CK84" i="7" s="1"/>
  <c r="CL78" i="7"/>
  <c r="ET69" i="7"/>
  <c r="ES80" i="7"/>
  <c r="ES86" i="7"/>
  <c r="ES76" i="7"/>
  <c r="ES71" i="7"/>
  <c r="ES83" i="7"/>
  <c r="ET73" i="7"/>
  <c r="ET72" i="7"/>
  <c r="ET75" i="7"/>
  <c r="ES73" i="7"/>
  <c r="ES72" i="7"/>
  <c r="ET80" i="7"/>
  <c r="ET86" i="7"/>
  <c r="ET71" i="7"/>
  <c r="AR118" i="7"/>
  <c r="AC116" i="7"/>
  <c r="AG116" i="7" s="1"/>
  <c r="AF116" i="7" s="1"/>
  <c r="AH116" i="7" s="1"/>
  <c r="L264" i="7"/>
  <c r="L265" i="7"/>
  <c r="R265" i="7" s="1"/>
  <c r="S339" i="7"/>
  <c r="L44" i="7" s="1"/>
  <c r="AE75" i="7"/>
  <c r="U339" i="7"/>
  <c r="H44" i="7" s="1"/>
  <c r="DY78" i="7"/>
  <c r="K78" i="7"/>
  <c r="Q78" i="7" s="1"/>
  <c r="ED78" i="7"/>
  <c r="EL78" i="7" s="1"/>
  <c r="EP78" i="7" s="1"/>
  <c r="EO78" i="7" s="1"/>
  <c r="AO75" i="7"/>
  <c r="AM74" i="7"/>
  <c r="AL71" i="7"/>
  <c r="AP75" i="7"/>
  <c r="CL77" i="7"/>
  <c r="AO78" i="7"/>
  <c r="AQ78" i="7"/>
  <c r="AD75" i="7"/>
  <c r="AZ77" i="7"/>
  <c r="BC73" i="7"/>
  <c r="AF73" i="7" s="1"/>
  <c r="DW81" i="7"/>
  <c r="BC75" i="7"/>
  <c r="CS75" i="7" s="1"/>
  <c r="AZ74" i="7"/>
  <c r="AB74" i="7" s="1"/>
  <c r="CL75" i="7"/>
  <c r="AQ75" i="7"/>
  <c r="D31" i="12"/>
  <c r="BO70" i="7" s="1"/>
  <c r="K75" i="7"/>
  <c r="Q75" i="7" s="1"/>
  <c r="DY75" i="7"/>
  <c r="J81" i="7"/>
  <c r="DV81" i="7" s="1"/>
  <c r="EE81" i="7" s="1"/>
  <c r="CK81" i="7"/>
  <c r="AL77" i="7"/>
  <c r="ED75" i="7"/>
  <c r="EL75" i="7" s="1"/>
  <c r="EP75" i="7" s="1"/>
  <c r="AZ72" i="7"/>
  <c r="AB72" i="7" s="1"/>
  <c r="ED81" i="7"/>
  <c r="DW75" i="7"/>
  <c r="J75" i="7"/>
  <c r="DV75" i="7" s="1"/>
  <c r="EH75" i="7" s="1"/>
  <c r="DY81" i="7"/>
  <c r="K81" i="7"/>
  <c r="Q81" i="7" s="1"/>
  <c r="AC153" i="7"/>
  <c r="AG153" i="7" s="1"/>
  <c r="AF153" i="7" s="1"/>
  <c r="AH153" i="7" s="1"/>
  <c r="AR155" i="7"/>
  <c r="AG142" i="7"/>
  <c r="AF142" i="7" s="1"/>
  <c r="AH142" i="7" s="1"/>
  <c r="BC86" i="7"/>
  <c r="AZ86" i="7"/>
  <c r="AN71" i="7"/>
  <c r="BD71" i="7"/>
  <c r="AO71" i="7" s="1"/>
  <c r="BA81" i="7"/>
  <c r="BD81" i="7"/>
  <c r="CL72" i="7"/>
  <c r="AN77" i="7"/>
  <c r="AM73" i="7"/>
  <c r="CL73" i="7"/>
  <c r="BC69" i="7"/>
  <c r="AZ69" i="7"/>
  <c r="AZ80" i="7"/>
  <c r="AD80" i="7" s="1"/>
  <c r="BC80" i="7"/>
  <c r="AH80" i="7" s="1"/>
  <c r="AZ78" i="7"/>
  <c r="BC78" i="7"/>
  <c r="AN73" i="7"/>
  <c r="CL87" i="7"/>
  <c r="BD76" i="7"/>
  <c r="BA76" i="7"/>
  <c r="BC76" i="7"/>
  <c r="AZ76" i="7"/>
  <c r="BD84" i="7"/>
  <c r="BA84" i="7"/>
  <c r="E28" i="12"/>
  <c r="E29" i="12"/>
  <c r="AN72" i="7"/>
  <c r="AR153" i="7"/>
  <c r="AO74" i="7"/>
  <c r="AF74" i="7"/>
  <c r="AL74" i="7"/>
  <c r="AC139" i="7"/>
  <c r="AG139" i="7" s="1"/>
  <c r="AF139" i="7" s="1"/>
  <c r="AH139" i="7" s="1"/>
  <c r="J76" i="7"/>
  <c r="DV76" i="7" s="1"/>
  <c r="EE76" i="7" s="1"/>
  <c r="ED76" i="7"/>
  <c r="DW76" i="7"/>
  <c r="AQ74" i="7"/>
  <c r="AN74" i="7"/>
  <c r="AI74" i="7"/>
  <c r="AR146" i="7"/>
  <c r="K76" i="7"/>
  <c r="Q76" i="7" s="1"/>
  <c r="DY76" i="7"/>
  <c r="Y76" i="7"/>
  <c r="R76" i="7" s="1"/>
  <c r="CJ76" i="7" s="1"/>
  <c r="T339" i="7"/>
  <c r="G44" i="7" s="1"/>
  <c r="AO80" i="7"/>
  <c r="AL80" i="7"/>
  <c r="AR140" i="7"/>
  <c r="AC145" i="7"/>
  <c r="K98" i="31"/>
  <c r="L98" i="31" s="1"/>
  <c r="C13" i="7" s="1"/>
  <c r="AD71" i="7"/>
  <c r="CK71" i="7"/>
  <c r="AB71" i="7"/>
  <c r="AE71" i="7"/>
  <c r="V339" i="7"/>
  <c r="I44" i="7" s="1"/>
  <c r="AP69" i="7"/>
  <c r="AO69" i="7"/>
  <c r="AQ69" i="7"/>
  <c r="AQ72" i="7"/>
  <c r="AL69" i="7"/>
  <c r="AN69" i="7"/>
  <c r="CL69" i="7"/>
  <c r="AM69" i="7"/>
  <c r="AP80" i="7"/>
  <c r="AM80" i="7"/>
  <c r="T120" i="7"/>
  <c r="AM120" i="7" s="1"/>
  <c r="AG154" i="7"/>
  <c r="AF154" i="7" s="1"/>
  <c r="AH154" i="7" s="1"/>
  <c r="AB313" i="7"/>
  <c r="AK313" i="7" s="1"/>
  <c r="AO72" i="7"/>
  <c r="AR122" i="7"/>
  <c r="AQ80" i="7"/>
  <c r="AN80" i="7"/>
  <c r="AL72" i="7"/>
  <c r="F33" i="12"/>
  <c r="F35" i="12"/>
  <c r="F34" i="12"/>
  <c r="J31" i="12" l="1"/>
  <c r="BQ70" i="7"/>
  <c r="BP70" i="7"/>
  <c r="HX52" i="39"/>
  <c r="DE83" i="7"/>
  <c r="DF83" i="7"/>
  <c r="HT17" i="39"/>
  <c r="HX17" i="39"/>
  <c r="HQ7" i="39" a="1"/>
  <c r="HQ7" i="39" s="1"/>
  <c r="HU7" i="39" a="1"/>
  <c r="HU7" i="39" s="1"/>
  <c r="BE33" i="12"/>
  <c r="BF33" i="12" s="1"/>
  <c r="HQ8" i="39" a="1"/>
  <c r="HQ8" i="39" s="1"/>
  <c r="HU8" i="39" a="1"/>
  <c r="HU8" i="39" s="1"/>
  <c r="BE34" i="12"/>
  <c r="BF34" i="12" s="1"/>
  <c r="HQ9" i="39" a="1"/>
  <c r="HQ9" i="39" s="1"/>
  <c r="HU9" i="39" a="1"/>
  <c r="HU9" i="39" s="1"/>
  <c r="BE35" i="12"/>
  <c r="BF35" i="12" s="1"/>
  <c r="HT61" i="39"/>
  <c r="HR61" i="39"/>
  <c r="HT62" i="39"/>
  <c r="HR62" i="39"/>
  <c r="HR65" i="39"/>
  <c r="HT65" i="39"/>
  <c r="HT32" i="39"/>
  <c r="HX32" i="39"/>
  <c r="HT31" i="39"/>
  <c r="HX31" i="39"/>
  <c r="HT7" i="39"/>
  <c r="HX7" i="39"/>
  <c r="HT15" i="39"/>
  <c r="HX15" i="39"/>
  <c r="AO113" i="7"/>
  <c r="AB119" i="7"/>
  <c r="AA119" i="7"/>
  <c r="BP119" i="7"/>
  <c r="AO119" i="7"/>
  <c r="AT119" i="7" s="1"/>
  <c r="AA118" i="7"/>
  <c r="AB118" i="7"/>
  <c r="AN118" i="7"/>
  <c r="AS118" i="7" s="1"/>
  <c r="AO118" i="7"/>
  <c r="AT118" i="7" s="1"/>
  <c r="AT114" i="7"/>
  <c r="T115" i="7"/>
  <c r="AM115" i="7" s="1"/>
  <c r="AA115" i="7"/>
  <c r="AC115" i="7" s="1"/>
  <c r="AG115" i="7" s="1"/>
  <c r="AR127" i="7"/>
  <c r="AB124" i="7"/>
  <c r="AC124" i="7" s="1"/>
  <c r="AG124" i="7" s="1"/>
  <c r="AR116" i="7"/>
  <c r="AN121" i="7"/>
  <c r="AS121" i="7" s="1"/>
  <c r="AA126" i="7"/>
  <c r="AC126" i="7" s="1"/>
  <c r="AG126" i="7" s="1"/>
  <c r="AF126" i="7" s="1"/>
  <c r="AH126" i="7" s="1"/>
  <c r="AQ119" i="7"/>
  <c r="AL114" i="7"/>
  <c r="AQ114" i="7" s="1"/>
  <c r="AB114" i="7"/>
  <c r="AC114" i="7" s="1"/>
  <c r="AG114" i="7" s="1"/>
  <c r="AF114" i="7" s="1"/>
  <c r="AH114" i="7" s="1"/>
  <c r="AA117" i="7"/>
  <c r="AC117" i="7" s="1"/>
  <c r="AG117" i="7" s="1"/>
  <c r="AF117" i="7" s="1"/>
  <c r="AH117" i="7" s="1"/>
  <c r="AA127" i="7"/>
  <c r="AC127" i="7" s="1"/>
  <c r="AG127" i="7" s="1"/>
  <c r="AF127" i="7" s="1"/>
  <c r="AH127" i="7" s="1"/>
  <c r="AB122" i="7"/>
  <c r="AC122" i="7" s="1"/>
  <c r="AG122" i="7" s="1"/>
  <c r="AF122" i="7" s="1"/>
  <c r="AH122" i="7" s="1"/>
  <c r="AR125" i="7"/>
  <c r="AR128" i="7"/>
  <c r="AA123" i="7"/>
  <c r="AC123" i="7" s="1"/>
  <c r="AG123" i="7" s="1"/>
  <c r="AF123" i="7" s="1"/>
  <c r="AH123" i="7" s="1"/>
  <c r="T119" i="7"/>
  <c r="AM119" i="7" s="1"/>
  <c r="AR119" i="7" s="1"/>
  <c r="R156" i="7"/>
  <c r="R178" i="7" s="1"/>
  <c r="AR130" i="7"/>
  <c r="AL123" i="7"/>
  <c r="AQ123" i="7" s="1"/>
  <c r="AA125" i="7"/>
  <c r="AC125" i="7" s="1"/>
  <c r="AG125" i="7" s="1"/>
  <c r="AF125" i="7" s="1"/>
  <c r="AH125" i="7" s="1"/>
  <c r="BO68" i="7"/>
  <c r="BP68" i="7" s="1"/>
  <c r="BO79" i="7"/>
  <c r="W31" i="12"/>
  <c r="AH77" i="7"/>
  <c r="AD31" i="12"/>
  <c r="J77" i="7"/>
  <c r="DV77" i="7" s="1"/>
  <c r="EE77" i="7" s="1"/>
  <c r="EJ82" i="7"/>
  <c r="AB130" i="7"/>
  <c r="AA130" i="7"/>
  <c r="U156" i="7"/>
  <c r="G40" i="7" s="1"/>
  <c r="AB128" i="7"/>
  <c r="AA128" i="7"/>
  <c r="AA129" i="7"/>
  <c r="AC129" i="7" s="1"/>
  <c r="AG129" i="7" s="1"/>
  <c r="AF129" i="7" s="1"/>
  <c r="AH129" i="7" s="1"/>
  <c r="T117" i="7"/>
  <c r="AL117" i="7"/>
  <c r="AQ117" i="7" s="1"/>
  <c r="AI77" i="7"/>
  <c r="CK77" i="7"/>
  <c r="BP129" i="7"/>
  <c r="AN129" i="7"/>
  <c r="AS129" i="7" s="1"/>
  <c r="AO129" i="7"/>
  <c r="AT129" i="7" s="1"/>
  <c r="DW77" i="7"/>
  <c r="ED77" i="7"/>
  <c r="EL77" i="7" s="1"/>
  <c r="EP77" i="7" s="1"/>
  <c r="EO77" i="7" s="1"/>
  <c r="AL121" i="7"/>
  <c r="AQ121" i="7" s="1"/>
  <c r="T121" i="7"/>
  <c r="AG31" i="12"/>
  <c r="AE31" i="12"/>
  <c r="BD31" i="12" s="1"/>
  <c r="HW5" i="39" s="1" a="1"/>
  <c r="HW5" i="39" s="1"/>
  <c r="Q31" i="12"/>
  <c r="I31" i="12"/>
  <c r="HS5" i="39" s="1" a="1"/>
  <c r="HS5" i="39" s="1"/>
  <c r="AH31" i="12"/>
  <c r="AN309" i="7"/>
  <c r="AE309" i="7"/>
  <c r="AB339" i="7"/>
  <c r="AI309" i="7"/>
  <c r="AF31" i="12"/>
  <c r="R31" i="12"/>
  <c r="X31" i="12"/>
  <c r="AR79" i="7" s="1" a="1"/>
  <c r="AR79" i="7" s="1"/>
  <c r="DX79" i="7" s="1"/>
  <c r="AS122" i="7"/>
  <c r="AS124" i="7"/>
  <c r="Y156" i="7"/>
  <c r="AA113" i="7"/>
  <c r="AC113" i="7" s="1"/>
  <c r="AG113" i="7" s="1"/>
  <c r="AF113" i="7" s="1"/>
  <c r="AH113" i="7" s="1"/>
  <c r="AL315" i="7"/>
  <c r="AK314" i="7"/>
  <c r="K72" i="7"/>
  <c r="Q72" i="7" s="1"/>
  <c r="AE73" i="7"/>
  <c r="AD73" i="7"/>
  <c r="DY72" i="7"/>
  <c r="DE72" i="7"/>
  <c r="DE71" i="7"/>
  <c r="DD72" i="7"/>
  <c r="EB72" i="7"/>
  <c r="EC72" i="7" s="1"/>
  <c r="AH72" i="7"/>
  <c r="AI72" i="7"/>
  <c r="AF72" i="7"/>
  <c r="DG72" i="7" s="1"/>
  <c r="U72" i="7"/>
  <c r="EH80" i="7"/>
  <c r="AL113" i="7"/>
  <c r="AQ113" i="7" s="1"/>
  <c r="AN113" i="7"/>
  <c r="AP113" i="7"/>
  <c r="W156" i="7"/>
  <c r="AK312" i="7"/>
  <c r="X339" i="7"/>
  <c r="AA339" i="7"/>
  <c r="CX69" i="7"/>
  <c r="Q156" i="7"/>
  <c r="CX71" i="7"/>
  <c r="DF71" i="7"/>
  <c r="AH69" i="7"/>
  <c r="AF69" i="7"/>
  <c r="AC71" i="7"/>
  <c r="DD69" i="7"/>
  <c r="DF69" i="7"/>
  <c r="EB69" i="7"/>
  <c r="EC69" i="7" s="1"/>
  <c r="DE69" i="7"/>
  <c r="V71" i="7"/>
  <c r="W71" i="7"/>
  <c r="X71" i="7"/>
  <c r="Y71" i="7" s="1"/>
  <c r="R71" i="7" s="1"/>
  <c r="CJ71" i="7" s="1"/>
  <c r="S156" i="7"/>
  <c r="T113" i="7"/>
  <c r="V156" i="7"/>
  <c r="EH73" i="7"/>
  <c r="F44" i="7"/>
  <c r="P44" i="7" s="1"/>
  <c r="EH74" i="7"/>
  <c r="P282" i="7"/>
  <c r="J282" i="7" s="1"/>
  <c r="P291" i="7" s="1"/>
  <c r="J291" i="7" s="1"/>
  <c r="EG80" i="7"/>
  <c r="CL85" i="7"/>
  <c r="CK83" i="7"/>
  <c r="EI74" i="7"/>
  <c r="EK74" i="7" s="1"/>
  <c r="EG74" i="7"/>
  <c r="EF74" i="7"/>
  <c r="EE78" i="7"/>
  <c r="EG78" i="7" s="1"/>
  <c r="AE69" i="7"/>
  <c r="U69" i="7"/>
  <c r="W69" i="7"/>
  <c r="S69" i="7" s="1"/>
  <c r="EI73" i="7"/>
  <c r="EK73" i="7" s="1"/>
  <c r="EI80" i="7"/>
  <c r="EJ80" i="7" s="1"/>
  <c r="AD77" i="7"/>
  <c r="AE74" i="7"/>
  <c r="AR115" i="7"/>
  <c r="AF124" i="7"/>
  <c r="AH124" i="7" s="1"/>
  <c r="EI78" i="7"/>
  <c r="EJ78" i="7" s="1"/>
  <c r="CS71" i="7"/>
  <c r="CK75" i="7"/>
  <c r="AI75" i="7"/>
  <c r="AF75" i="7"/>
  <c r="DA75" i="7" s="1"/>
  <c r="AH75" i="7"/>
  <c r="DB75" i="7" s="1"/>
  <c r="AQ120" i="7"/>
  <c r="Q283" i="7"/>
  <c r="R264" i="7"/>
  <c r="CS73" i="7"/>
  <c r="AI73" i="7"/>
  <c r="AH73" i="7"/>
  <c r="CL71" i="7"/>
  <c r="DA73" i="7"/>
  <c r="CK73" i="7"/>
  <c r="CS74" i="7"/>
  <c r="EO75" i="7"/>
  <c r="EH81" i="7"/>
  <c r="EI81" i="7"/>
  <c r="EJ81" i="7" s="1"/>
  <c r="EF80" i="7"/>
  <c r="AE77" i="7"/>
  <c r="CS77" i="7"/>
  <c r="AB77" i="7"/>
  <c r="CK74" i="7"/>
  <c r="AD74" i="7"/>
  <c r="DB74" i="7" s="1"/>
  <c r="EG81" i="7"/>
  <c r="AF80" i="7"/>
  <c r="E31" i="12"/>
  <c r="BR70" i="7" s="1"/>
  <c r="AI71" i="7"/>
  <c r="AI80" i="7"/>
  <c r="AH71" i="7"/>
  <c r="DB71" i="7" s="1"/>
  <c r="EE75" i="7"/>
  <c r="EF75" i="7" s="1"/>
  <c r="AE72" i="7"/>
  <c r="AE80" i="7"/>
  <c r="CS72" i="7"/>
  <c r="EI75" i="7"/>
  <c r="CK72" i="7"/>
  <c r="AD72" i="7"/>
  <c r="EL81" i="7"/>
  <c r="EF81" i="7"/>
  <c r="CK86" i="7"/>
  <c r="AD69" i="7"/>
  <c r="AB69" i="7"/>
  <c r="AC69" i="7" s="1"/>
  <c r="AP71" i="7"/>
  <c r="AF71" i="7"/>
  <c r="DG71" i="7" s="1"/>
  <c r="DH71" i="7" s="1"/>
  <c r="DJ71" i="7" s="1"/>
  <c r="AQ71" i="7"/>
  <c r="AM81" i="7"/>
  <c r="CL81" i="7"/>
  <c r="AN81" i="7"/>
  <c r="AB81" i="7"/>
  <c r="AL81" i="7"/>
  <c r="AE81" i="7"/>
  <c r="CS81" i="7"/>
  <c r="AD81" i="7"/>
  <c r="AH81" i="7"/>
  <c r="AP81" i="7"/>
  <c r="AO81" i="7"/>
  <c r="AF81" i="7"/>
  <c r="AI81" i="7"/>
  <c r="AQ81" i="7"/>
  <c r="CS69" i="7"/>
  <c r="AB80" i="7"/>
  <c r="AI69" i="7"/>
  <c r="DB80" i="7"/>
  <c r="CS80" i="7"/>
  <c r="CK80" i="7"/>
  <c r="CK69" i="7"/>
  <c r="AH78" i="7"/>
  <c r="AI78" i="7"/>
  <c r="AF78" i="7"/>
  <c r="AE78" i="7"/>
  <c r="CK78" i="7"/>
  <c r="AD78" i="7"/>
  <c r="CS78" i="7"/>
  <c r="AB78" i="7"/>
  <c r="EG76" i="7"/>
  <c r="EF73" i="7"/>
  <c r="EG73" i="7"/>
  <c r="CL84" i="7"/>
  <c r="AQ76" i="7"/>
  <c r="AO76" i="7"/>
  <c r="AP76" i="7"/>
  <c r="AD76" i="7"/>
  <c r="CK76" i="7"/>
  <c r="AE76" i="7"/>
  <c r="AB76" i="7"/>
  <c r="CS76" i="7"/>
  <c r="F28" i="12"/>
  <c r="F29" i="12"/>
  <c r="AI76" i="7"/>
  <c r="AF76" i="7"/>
  <c r="AH76" i="7"/>
  <c r="AL76" i="7"/>
  <c r="AN76" i="7"/>
  <c r="CL76" i="7"/>
  <c r="AM76" i="7"/>
  <c r="EL76" i="7"/>
  <c r="EF76" i="7"/>
  <c r="DA74" i="7"/>
  <c r="EI76" i="7"/>
  <c r="EH76" i="7"/>
  <c r="AG145" i="7"/>
  <c r="AF145" i="7" s="1"/>
  <c r="AH145" i="7" s="1"/>
  <c r="G33" i="12"/>
  <c r="G34" i="12"/>
  <c r="G35" i="12"/>
  <c r="O165" i="7"/>
  <c r="J165" i="7" s="1"/>
  <c r="O164" i="7"/>
  <c r="Q164" i="7" s="1"/>
  <c r="O166" i="7"/>
  <c r="Q166" i="7" s="1"/>
  <c r="R166" i="7" s="1"/>
  <c r="EU70" i="7" l="1"/>
  <c r="AC119" i="7"/>
  <c r="AG119" i="7" s="1"/>
  <c r="AF119" i="7" s="1"/>
  <c r="AH119" i="7" s="1"/>
  <c r="BC31" i="12"/>
  <c r="BE31" i="12" s="1"/>
  <c r="BF31" i="12" s="1"/>
  <c r="AC118" i="7"/>
  <c r="AG118" i="7" s="1"/>
  <c r="AF118" i="7" s="1"/>
  <c r="AH118" i="7" s="1"/>
  <c r="DB77" i="7"/>
  <c r="BQ79" i="7"/>
  <c r="BP79" i="7"/>
  <c r="BR68" i="7"/>
  <c r="EU68" i="7" s="1"/>
  <c r="BR79" i="7"/>
  <c r="EH77" i="7"/>
  <c r="EF77" i="7"/>
  <c r="EG77" i="7"/>
  <c r="EI77" i="7"/>
  <c r="EJ77" i="7" s="1"/>
  <c r="AC130" i="7"/>
  <c r="AG130" i="7" s="1"/>
  <c r="AF130" i="7" s="1"/>
  <c r="AH130" i="7" s="1"/>
  <c r="AC128" i="7"/>
  <c r="AG128" i="7" s="1"/>
  <c r="AF128" i="7" s="1"/>
  <c r="AH128" i="7" s="1"/>
  <c r="ID7" i="39"/>
  <c r="AM117" i="7"/>
  <c r="AR117" i="7" s="1"/>
  <c r="DA77" i="7"/>
  <c r="AC77" i="7"/>
  <c r="J164" i="7"/>
  <c r="F38" i="7" s="1"/>
  <c r="AM121" i="7"/>
  <c r="AR121" i="7" s="1"/>
  <c r="DA72" i="7"/>
  <c r="DB72" i="7"/>
  <c r="DH72" i="7"/>
  <c r="DJ72" i="7" s="1"/>
  <c r="DB73" i="7"/>
  <c r="AL316" i="7"/>
  <c r="AK315" i="7"/>
  <c r="T72" i="7"/>
  <c r="ED72" i="7"/>
  <c r="DW72" i="7"/>
  <c r="J72" i="7"/>
  <c r="DV72" i="7" s="1"/>
  <c r="AM113" i="7"/>
  <c r="AR113" i="7" s="1"/>
  <c r="AU113" i="7"/>
  <c r="Q178" i="7"/>
  <c r="S178" i="7" s="1"/>
  <c r="DB69" i="7"/>
  <c r="T156" i="7"/>
  <c r="BP113" i="7"/>
  <c r="EB71" i="7"/>
  <c r="EC71" i="7" s="1"/>
  <c r="AG69" i="7"/>
  <c r="DG69" i="7"/>
  <c r="DH69" i="7" s="1"/>
  <c r="DJ69" i="7" s="1"/>
  <c r="S71" i="7"/>
  <c r="J71" i="7"/>
  <c r="DV71" i="7" s="1"/>
  <c r="ED71" i="7"/>
  <c r="DW71" i="7"/>
  <c r="K71" i="7"/>
  <c r="Q71" i="7" s="1"/>
  <c r="DY71" i="7"/>
  <c r="DA71" i="7"/>
  <c r="AG71" i="7"/>
  <c r="AT113" i="7"/>
  <c r="EJ73" i="7"/>
  <c r="EF78" i="7"/>
  <c r="EJ74" i="7"/>
  <c r="T69" i="7"/>
  <c r="J69" i="7"/>
  <c r="DV69" i="7" s="1"/>
  <c r="DW69" i="7"/>
  <c r="EK80" i="7"/>
  <c r="EK78" i="7"/>
  <c r="AR120" i="7"/>
  <c r="DB78" i="7"/>
  <c r="EK81" i="7"/>
  <c r="L283" i="7"/>
  <c r="Q282" i="7"/>
  <c r="L282" i="7" s="1"/>
  <c r="Q291" i="7" s="1"/>
  <c r="L293" i="7" s="1"/>
  <c r="L53" i="7" s="1"/>
  <c r="EG75" i="7"/>
  <c r="DA78" i="7"/>
  <c r="DA80" i="7"/>
  <c r="F31" i="12"/>
  <c r="EK75" i="7"/>
  <c r="EJ75" i="7"/>
  <c r="EP81" i="7"/>
  <c r="EO81" i="7" s="1"/>
  <c r="DA69" i="7"/>
  <c r="DB81" i="7"/>
  <c r="DA81" i="7"/>
  <c r="DB76" i="7"/>
  <c r="DA76" i="7"/>
  <c r="G28" i="12"/>
  <c r="G29" i="12"/>
  <c r="EJ76" i="7"/>
  <c r="EK76" i="7"/>
  <c r="EP76" i="7"/>
  <c r="EO76" i="7" s="1"/>
  <c r="AF115" i="7"/>
  <c r="P165" i="7"/>
  <c r="Q165" i="7"/>
  <c r="R165" i="7" s="1"/>
  <c r="R171" i="7" s="1"/>
  <c r="BS68" i="7" l="1"/>
  <c r="EV68" i="7" s="1"/>
  <c r="IE6" i="39" s="1"/>
  <c r="BS70" i="7"/>
  <c r="EK77" i="7"/>
  <c r="IE8" i="39"/>
  <c r="AG156" i="7"/>
  <c r="AC156" i="7"/>
  <c r="HU5" i="39" a="1"/>
  <c r="HU5" i="39" s="1"/>
  <c r="ID8" i="39"/>
  <c r="ID5" i="39"/>
  <c r="ID6" i="39"/>
  <c r="EU79" i="7"/>
  <c r="CV68" i="7"/>
  <c r="BS79" i="7"/>
  <c r="EV79" i="7" s="1"/>
  <c r="L38" i="7"/>
  <c r="P38" i="7"/>
  <c r="AL317" i="7"/>
  <c r="AK316" i="7"/>
  <c r="DU72" i="7"/>
  <c r="DZ72" i="7"/>
  <c r="EA72" i="7" s="1"/>
  <c r="EE72" i="7"/>
  <c r="EG72" i="7" s="1"/>
  <c r="EH72" i="7"/>
  <c r="EI72" i="7"/>
  <c r="AS113" i="7"/>
  <c r="DZ71" i="7"/>
  <c r="EA71" i="7" s="1"/>
  <c r="DU71" i="7"/>
  <c r="DZ69" i="7"/>
  <c r="EA69" i="7" s="1"/>
  <c r="EI71" i="7"/>
  <c r="EH71" i="7"/>
  <c r="EE71" i="7"/>
  <c r="G31" i="12"/>
  <c r="BT70" i="7" s="1"/>
  <c r="CW70" i="7" s="1"/>
  <c r="AH115" i="7"/>
  <c r="AF156" i="7"/>
  <c r="CV70" i="7" l="1"/>
  <c r="EV70" i="7"/>
  <c r="IE5" i="39" s="1"/>
  <c r="AH156" i="7"/>
  <c r="BT68" i="7"/>
  <c r="CW68" i="7" s="1"/>
  <c r="BT79" i="7"/>
  <c r="CV79" i="7"/>
  <c r="CV88" i="7" s="1"/>
  <c r="K99" i="7" s="1"/>
  <c r="EU88" i="7"/>
  <c r="AL318" i="7"/>
  <c r="AK317" i="7"/>
  <c r="EF72" i="7"/>
  <c r="EJ72" i="7"/>
  <c r="EK72" i="7"/>
  <c r="EK71" i="7"/>
  <c r="EG71" i="7"/>
  <c r="EF71" i="7"/>
  <c r="EJ71" i="7"/>
  <c r="H45" i="7" l="1"/>
  <c r="D104" i="7"/>
  <c r="CW79" i="7"/>
  <c r="CW88" i="7" s="1"/>
  <c r="M99" i="7" s="1"/>
  <c r="AL319" i="7"/>
  <c r="AK318" i="7"/>
  <c r="EL72" i="7"/>
  <c r="EP72" i="7" s="1"/>
  <c r="EO72" i="7" s="1"/>
  <c r="EL71" i="7"/>
  <c r="EP71" i="7" s="1"/>
  <c r="EO71" i="7" s="1"/>
  <c r="K33" i="12"/>
  <c r="K35" i="12"/>
  <c r="K34" i="12"/>
  <c r="I45" i="7" l="1"/>
  <c r="D105" i="7"/>
  <c r="AL320" i="7"/>
  <c r="AK319" i="7"/>
  <c r="K29" i="12"/>
  <c r="K28" i="12"/>
  <c r="P34" i="12"/>
  <c r="P33" i="12"/>
  <c r="P35" i="12"/>
  <c r="L33" i="12"/>
  <c r="L34" i="12"/>
  <c r="L35" i="12"/>
  <c r="AL321" i="7" l="1"/>
  <c r="AK320" i="7"/>
  <c r="K31" i="12"/>
  <c r="BU70" i="7" s="1"/>
  <c r="L28" i="12"/>
  <c r="L29" i="12"/>
  <c r="P29" i="12"/>
  <c r="P28" i="12"/>
  <c r="S34" i="12"/>
  <c r="S35" i="12"/>
  <c r="S33" i="12"/>
  <c r="Z70" i="7" l="1"/>
  <c r="AA70" i="7"/>
  <c r="BU68" i="7"/>
  <c r="AA68" i="7" s="1"/>
  <c r="BA68" i="7" s="1"/>
  <c r="BU79" i="7"/>
  <c r="AL322" i="7"/>
  <c r="AK321" i="7"/>
  <c r="P31" i="12"/>
  <c r="L31" i="12"/>
  <c r="AJ70" i="7" s="1"/>
  <c r="S29" i="12"/>
  <c r="S28" i="12"/>
  <c r="T35" i="12"/>
  <c r="T33" i="12"/>
  <c r="T34" i="12"/>
  <c r="BA70" i="7" l="1"/>
  <c r="BD70" i="7"/>
  <c r="AZ70" i="7"/>
  <c r="BC70" i="7"/>
  <c r="BD68" i="7"/>
  <c r="Z68" i="7"/>
  <c r="AJ68" i="7"/>
  <c r="AJ79" i="7"/>
  <c r="AA79" i="7"/>
  <c r="Z79" i="7"/>
  <c r="HO33" i="39"/>
  <c r="HO35" i="39"/>
  <c r="HO6" i="39"/>
  <c r="HO30" i="39"/>
  <c r="HO8" i="39"/>
  <c r="HO14" i="39"/>
  <c r="AL323" i="7"/>
  <c r="AK322" i="7"/>
  <c r="S31" i="12"/>
  <c r="BW70" i="7" s="1"/>
  <c r="BG70" i="7" s="1"/>
  <c r="X70" i="7" s="1"/>
  <c r="T29" i="12"/>
  <c r="T28" i="12"/>
  <c r="U33" i="12"/>
  <c r="U35" i="12"/>
  <c r="U34" i="12"/>
  <c r="CK70" i="7" l="1"/>
  <c r="V70" i="7"/>
  <c r="BC68" i="7"/>
  <c r="HO16" i="39"/>
  <c r="AZ68" i="7"/>
  <c r="BQ68" i="7"/>
  <c r="BQ88" i="7" s="1"/>
  <c r="V291" i="7" s="1"/>
  <c r="G295" i="7" s="1"/>
  <c r="HO51" i="39"/>
  <c r="HX51" i="39" s="1"/>
  <c r="HO49" i="39"/>
  <c r="HX35" i="39"/>
  <c r="HO4" i="39"/>
  <c r="HT8" i="39"/>
  <c r="HX8" i="39"/>
  <c r="HT33" i="39"/>
  <c r="HX33" i="39"/>
  <c r="HT14" i="39"/>
  <c r="HX14" i="39"/>
  <c r="HT30" i="39"/>
  <c r="HX30" i="39"/>
  <c r="HT6" i="39"/>
  <c r="HX6" i="39"/>
  <c r="BW99" i="39"/>
  <c r="BW103" i="39" s="1"/>
  <c r="BW107" i="39" s="1"/>
  <c r="HT35" i="39"/>
  <c r="II7" i="39" s="1"/>
  <c r="IK7" i="39" s="1"/>
  <c r="HO5" i="39"/>
  <c r="BC79" i="7"/>
  <c r="AZ79" i="7"/>
  <c r="BA79" i="7"/>
  <c r="BD79" i="7"/>
  <c r="BW68" i="7"/>
  <c r="BW79" i="7"/>
  <c r="AL324" i="7"/>
  <c r="AK323" i="7"/>
  <c r="T31" i="12"/>
  <c r="BX70" i="7" s="1"/>
  <c r="U28" i="12"/>
  <c r="U29" i="12"/>
  <c r="V35" i="12"/>
  <c r="V33" i="12"/>
  <c r="V34" i="12"/>
  <c r="CK68" i="7" l="1"/>
  <c r="HT16" i="39"/>
  <c r="HX16" i="39"/>
  <c r="HT51" i="39"/>
  <c r="HX49" i="39"/>
  <c r="BX99" i="39"/>
  <c r="BX103" i="39" s="1"/>
  <c r="HT49" i="39"/>
  <c r="II8" i="39"/>
  <c r="IK8" i="39" s="1"/>
  <c r="HX5" i="39"/>
  <c r="HV4" i="39"/>
  <c r="HT4" i="39"/>
  <c r="HX4" i="39"/>
  <c r="HR4" i="39"/>
  <c r="BW109" i="39"/>
  <c r="R102" i="39" s="1"/>
  <c r="F98" i="39"/>
  <c r="P98" i="39" s="1"/>
  <c r="HT5" i="39"/>
  <c r="II5" i="39" s="1"/>
  <c r="BX68" i="7"/>
  <c r="BX79" i="7"/>
  <c r="CK79" i="7"/>
  <c r="CK88" i="7" s="1"/>
  <c r="CK89" i="7" s="1"/>
  <c r="AJ92" i="7" s="1"/>
  <c r="CK91" i="7"/>
  <c r="AA99" i="7" s="1"/>
  <c r="AL325" i="7"/>
  <c r="AK324" i="7"/>
  <c r="U31" i="12"/>
  <c r="BY70" i="7" s="1"/>
  <c r="V29" i="12"/>
  <c r="V28" i="12"/>
  <c r="Y34" i="12"/>
  <c r="Y35" i="12"/>
  <c r="Y33" i="12"/>
  <c r="BX107" i="39" l="1"/>
  <c r="BX109" i="39"/>
  <c r="N98" i="39"/>
  <c r="CF100" i="39" s="1"/>
  <c r="IF5" i="39" s="1"/>
  <c r="BY68" i="7"/>
  <c r="BG68" i="7" s="1"/>
  <c r="BY79" i="7"/>
  <c r="BG79" i="7" s="1"/>
  <c r="AL326" i="7"/>
  <c r="AK325" i="7"/>
  <c r="V68" i="7"/>
  <c r="X68" i="7"/>
  <c r="V31" i="12"/>
  <c r="Z28" i="12"/>
  <c r="Y29" i="12"/>
  <c r="Y28" i="12"/>
  <c r="AA34" i="12"/>
  <c r="AA33" i="12"/>
  <c r="AA35" i="12"/>
  <c r="Z34" i="12"/>
  <c r="Z35" i="12"/>
  <c r="Z33" i="12"/>
  <c r="AR68" i="7" l="1" a="1"/>
  <c r="AR68" i="7" s="1"/>
  <c r="DX68" i="7" s="1"/>
  <c r="AR70" i="7" a="1"/>
  <c r="AR70" i="7" s="1"/>
  <c r="DX70" i="7" s="1"/>
  <c r="R103" i="39"/>
  <c r="P104" i="39"/>
  <c r="CF104" i="39"/>
  <c r="IG5" i="39" s="1"/>
  <c r="N104" i="39"/>
  <c r="X79" i="7"/>
  <c r="Y79" i="7" s="1"/>
  <c r="R79" i="7" s="1"/>
  <c r="CJ79" i="7" s="1"/>
  <c r="V79" i="7"/>
  <c r="AL327" i="7"/>
  <c r="AK326" i="7"/>
  <c r="Y31" i="12"/>
  <c r="BV70" i="7" s="1"/>
  <c r="BF70" i="7" s="1"/>
  <c r="AA29" i="12"/>
  <c r="AA28" i="12"/>
  <c r="Z29" i="12"/>
  <c r="M33" i="12"/>
  <c r="M35" i="12"/>
  <c r="M34" i="12"/>
  <c r="N34" i="12"/>
  <c r="N35" i="12"/>
  <c r="N33" i="12"/>
  <c r="AB33" i="12"/>
  <c r="AB34" i="12"/>
  <c r="AB35" i="12"/>
  <c r="W70" i="7" l="1"/>
  <c r="S70" i="7" s="1"/>
  <c r="U70" i="7"/>
  <c r="AE70" i="7"/>
  <c r="AM70" i="7"/>
  <c r="AH70" i="7"/>
  <c r="DB70" i="7" s="1"/>
  <c r="AI70" i="7"/>
  <c r="AQ70" i="7"/>
  <c r="AP70" i="7"/>
  <c r="AD70" i="7"/>
  <c r="AN70" i="7"/>
  <c r="CL70" i="7"/>
  <c r="IK5" i="39"/>
  <c r="II6" i="39"/>
  <c r="BV68" i="7"/>
  <c r="BF68" i="7" s="1"/>
  <c r="U68" i="7" s="1"/>
  <c r="T68" i="7" s="1"/>
  <c r="BV79" i="7"/>
  <c r="BF79" i="7" s="1"/>
  <c r="EB79" i="7"/>
  <c r="EC79" i="7" s="1"/>
  <c r="DY79" i="7"/>
  <c r="K79" i="7"/>
  <c r="Q79" i="7" s="1"/>
  <c r="AL328" i="7"/>
  <c r="AK327" i="7"/>
  <c r="Z31" i="12"/>
  <c r="AK70" i="7" s="1"/>
  <c r="AA31" i="12"/>
  <c r="BZ70" i="7" s="1"/>
  <c r="AB29" i="12"/>
  <c r="AB28" i="12"/>
  <c r="N29" i="12"/>
  <c r="N28" i="12"/>
  <c r="M29" i="12"/>
  <c r="M28" i="12"/>
  <c r="O34" i="12"/>
  <c r="O35" i="12"/>
  <c r="O33" i="12"/>
  <c r="T70" i="7" l="1"/>
  <c r="DW70" i="7"/>
  <c r="J70" i="7"/>
  <c r="DV70" i="7" s="1"/>
  <c r="AF70" i="7"/>
  <c r="CS70" i="7"/>
  <c r="AB70" i="7"/>
  <c r="AC70" i="7" s="1"/>
  <c r="IK6" i="39"/>
  <c r="IK9" i="39" s="1"/>
  <c r="GU7" i="39" s="1"/>
  <c r="II9" i="39"/>
  <c r="GU5" i="39" s="1"/>
  <c r="W68" i="7"/>
  <c r="S68" i="7" s="1"/>
  <c r="AQ68" i="7"/>
  <c r="AP68" i="7"/>
  <c r="AD68" i="7"/>
  <c r="AH68" i="7"/>
  <c r="AK68" i="7"/>
  <c r="AK79" i="7"/>
  <c r="AM79" i="7"/>
  <c r="AE79" i="7"/>
  <c r="AD79" i="7"/>
  <c r="AH79" i="7"/>
  <c r="AP79" i="7"/>
  <c r="W79" i="7"/>
  <c r="S79" i="7" s="1"/>
  <c r="AI79" i="7"/>
  <c r="CL79" i="7"/>
  <c r="U79" i="7"/>
  <c r="AN79" i="7"/>
  <c r="AQ79" i="7"/>
  <c r="AI68" i="7"/>
  <c r="AE68" i="7"/>
  <c r="AN68" i="7"/>
  <c r="AM68" i="7"/>
  <c r="CL68" i="7"/>
  <c r="BZ68" i="7"/>
  <c r="AB68" i="7" s="1"/>
  <c r="BZ79" i="7"/>
  <c r="AB31" i="12"/>
  <c r="AL329" i="7"/>
  <c r="AK328" i="7"/>
  <c r="M31" i="12"/>
  <c r="CC70" i="7" s="1"/>
  <c r="N31" i="12"/>
  <c r="CD70" i="7" s="1"/>
  <c r="O28" i="12"/>
  <c r="O29" i="12"/>
  <c r="CL88" i="7" l="1"/>
  <c r="CL89" i="7" s="1"/>
  <c r="DG70" i="7"/>
  <c r="DZ70" i="7"/>
  <c r="EA70" i="7" s="1"/>
  <c r="DA70" i="7"/>
  <c r="AG70" i="7"/>
  <c r="ES70" i="7"/>
  <c r="AX70" i="7"/>
  <c r="AT70" i="7"/>
  <c r="AU70" i="7"/>
  <c r="AV70" i="7"/>
  <c r="AS70" i="7"/>
  <c r="ET70" i="7"/>
  <c r="AW70" i="7"/>
  <c r="CA79" i="7"/>
  <c r="AO79" i="7" s="1"/>
  <c r="CA70" i="7"/>
  <c r="J68" i="7"/>
  <c r="DV68" i="7" s="1"/>
  <c r="EE68" i="7" s="1"/>
  <c r="ED68" i="7"/>
  <c r="CA68" i="7"/>
  <c r="CU68" i="7" s="1"/>
  <c r="DW68" i="7"/>
  <c r="DB79" i="7"/>
  <c r="AK92" i="7"/>
  <c r="AF68" i="7"/>
  <c r="CS68" i="7"/>
  <c r="DB68" i="7"/>
  <c r="CC68" i="7"/>
  <c r="CC79" i="7"/>
  <c r="AB79" i="7"/>
  <c r="AC79" i="7" s="1"/>
  <c r="CS79" i="7"/>
  <c r="AF79" i="7"/>
  <c r="CD68" i="7"/>
  <c r="CD79" i="7"/>
  <c r="T79" i="7"/>
  <c r="J79" i="7"/>
  <c r="DV79" i="7" s="1"/>
  <c r="EH79" i="7" s="1"/>
  <c r="DW79" i="7"/>
  <c r="ED79" i="7"/>
  <c r="AL330" i="7"/>
  <c r="AK329" i="7"/>
  <c r="AC68" i="7"/>
  <c r="O31" i="12"/>
  <c r="CE70" i="7" s="1"/>
  <c r="CU79" i="7" l="1"/>
  <c r="CU70" i="7"/>
  <c r="AO70" i="7"/>
  <c r="AL70" i="7"/>
  <c r="AL79" i="7"/>
  <c r="AO68" i="7"/>
  <c r="AL68" i="7"/>
  <c r="DZ68" i="7"/>
  <c r="EA68" i="7" s="1"/>
  <c r="AG68" i="7"/>
  <c r="DG68" i="7"/>
  <c r="DA79" i="7"/>
  <c r="DA68" i="7"/>
  <c r="EE79" i="7"/>
  <c r="EG79" i="7" s="1"/>
  <c r="EI79" i="7"/>
  <c r="CE68" i="7"/>
  <c r="AS68" i="7" s="1"/>
  <c r="CE79" i="7"/>
  <c r="DZ79" i="7"/>
  <c r="EA79" i="7" s="1"/>
  <c r="DU79" i="7"/>
  <c r="DG79" i="7"/>
  <c r="AG79" i="7"/>
  <c r="AL331" i="7"/>
  <c r="AK330" i="7"/>
  <c r="ET68" i="7"/>
  <c r="AX68" i="7"/>
  <c r="AT68" i="7"/>
  <c r="AU68" i="7"/>
  <c r="AW68" i="7"/>
  <c r="AV68" i="7"/>
  <c r="ES68" i="7"/>
  <c r="EF79" i="7" l="1"/>
  <c r="DD68" i="7"/>
  <c r="EJ79" i="7"/>
  <c r="EK79" i="7"/>
  <c r="AT79" i="7"/>
  <c r="AT90" i="7" s="1"/>
  <c r="AW79" i="7"/>
  <c r="AX79" i="7"/>
  <c r="AS79" i="7"/>
  <c r="ET79" i="7"/>
  <c r="ET88" i="7" s="1"/>
  <c r="ES79" i="7"/>
  <c r="ES88" i="7" s="1"/>
  <c r="AU79" i="7"/>
  <c r="DF79" i="7" s="1"/>
  <c r="AV79" i="7"/>
  <c r="AL332" i="7"/>
  <c r="AK331" i="7"/>
  <c r="DE79" i="7" l="1"/>
  <c r="EL79" i="7"/>
  <c r="EP79" i="7" s="1"/>
  <c r="EO79" i="7" s="1"/>
  <c r="DD79" i="7"/>
  <c r="DH79" i="7" s="1"/>
  <c r="DJ79" i="7" s="1"/>
  <c r="AL333" i="7"/>
  <c r="AK332" i="7"/>
  <c r="Y69" i="7"/>
  <c r="R69" i="7" s="1"/>
  <c r="CJ69" i="7" s="1"/>
  <c r="Y70" i="7"/>
  <c r="R70" i="7" s="1"/>
  <c r="CJ70" i="7" s="1"/>
  <c r="AL334" i="7" l="1"/>
  <c r="AK333" i="7"/>
  <c r="DD70" i="7"/>
  <c r="DH70" i="7" s="1"/>
  <c r="DJ70" i="7" s="1"/>
  <c r="EB70" i="7"/>
  <c r="EC70" i="7" s="1"/>
  <c r="DY70" i="7"/>
  <c r="K70" i="7"/>
  <c r="Q70" i="7" s="1"/>
  <c r="ED70" i="7"/>
  <c r="EI70" i="7" s="1"/>
  <c r="EE70" i="7"/>
  <c r="EH70" i="7"/>
  <c r="CY81" i="7"/>
  <c r="CT81" i="7"/>
  <c r="CY79" i="7"/>
  <c r="CZ78" i="7"/>
  <c r="CZ79" i="7"/>
  <c r="CY83" i="7"/>
  <c r="CY73" i="7"/>
  <c r="CY87" i="7"/>
  <c r="K69" i="7"/>
  <c r="DY69" i="7"/>
  <c r="DU69" i="7" s="1"/>
  <c r="ED69" i="7"/>
  <c r="EH69" i="7"/>
  <c r="EE69" i="7"/>
  <c r="CX74" i="7"/>
  <c r="CZ72" i="7"/>
  <c r="CZ77" i="7"/>
  <c r="CZ85" i="7"/>
  <c r="CZ86" i="7"/>
  <c r="CZ70" i="7"/>
  <c r="CT72" i="7"/>
  <c r="CZ75" i="7"/>
  <c r="CY74" i="7"/>
  <c r="CY85" i="7"/>
  <c r="CY71" i="7"/>
  <c r="CX78" i="7"/>
  <c r="CX68" i="7"/>
  <c r="CX73" i="7"/>
  <c r="CT75" i="7"/>
  <c r="CZ73" i="7"/>
  <c r="CZ81" i="7"/>
  <c r="CZ87" i="7"/>
  <c r="CZ84" i="7"/>
  <c r="CT77" i="7"/>
  <c r="CZ76" i="7"/>
  <c r="CZ83" i="7"/>
  <c r="CT80" i="7"/>
  <c r="CZ80" i="7"/>
  <c r="CT76" i="7"/>
  <c r="CY78" i="7"/>
  <c r="CZ74" i="7"/>
  <c r="CY77" i="7"/>
  <c r="CY80" i="7"/>
  <c r="CY86" i="7"/>
  <c r="Y68" i="7"/>
  <c r="R68" i="7" s="1"/>
  <c r="CZ69" i="7"/>
  <c r="CZ71" i="7"/>
  <c r="DE68" i="7"/>
  <c r="CX70" i="7"/>
  <c r="CT70" i="7"/>
  <c r="CY76" i="7"/>
  <c r="CT74" i="7"/>
  <c r="CT71" i="7"/>
  <c r="CY72" i="7"/>
  <c r="CY69" i="7"/>
  <c r="CY84" i="7"/>
  <c r="CX79" i="7"/>
  <c r="CT79" i="7"/>
  <c r="DU70" i="7" l="1"/>
  <c r="EK70" i="7"/>
  <c r="AL335" i="7"/>
  <c r="AK334" i="7"/>
  <c r="EJ70" i="7"/>
  <c r="EG70" i="7"/>
  <c r="CX81" i="7"/>
  <c r="CY68" i="7"/>
  <c r="CY70" i="7"/>
  <c r="DE70" i="7"/>
  <c r="DE88" i="7" s="1"/>
  <c r="AS90" i="7"/>
  <c r="AW90" i="7"/>
  <c r="AX90" i="7"/>
  <c r="CZ68" i="7"/>
  <c r="CZ88" i="7" s="1"/>
  <c r="M95" i="7" s="1"/>
  <c r="I42" i="7" s="1"/>
  <c r="AU90" i="7"/>
  <c r="DF70" i="7"/>
  <c r="AV90" i="7"/>
  <c r="EF70" i="7"/>
  <c r="EL70" i="7"/>
  <c r="EP70" i="7" s="1"/>
  <c r="EO70" i="7" s="1"/>
  <c r="Q69" i="7"/>
  <c r="K68" i="7"/>
  <c r="AT88" i="7"/>
  <c r="CT68" i="7"/>
  <c r="CY75" i="7"/>
  <c r="CX76" i="7"/>
  <c r="CX72" i="7"/>
  <c r="DF68" i="7"/>
  <c r="EG69" i="7"/>
  <c r="EF69" i="7"/>
  <c r="EI69" i="7"/>
  <c r="EJ69" i="7" s="1"/>
  <c r="CT69" i="7"/>
  <c r="CX75" i="7"/>
  <c r="AW88" i="7"/>
  <c r="CT78" i="7"/>
  <c r="CX80" i="7"/>
  <c r="AS88" i="7"/>
  <c r="CT73" i="7"/>
  <c r="AU88" i="7"/>
  <c r="CX77" i="7"/>
  <c r="AV88" i="7"/>
  <c r="AX88" i="7"/>
  <c r="DY68" i="7"/>
  <c r="EB68" i="7"/>
  <c r="EI68" i="7"/>
  <c r="EH68" i="7"/>
  <c r="EG68" i="7" l="1"/>
  <c r="AL336" i="7"/>
  <c r="AK335" i="7"/>
  <c r="J94" i="7"/>
  <c r="DF88" i="7"/>
  <c r="M93" i="7" s="1"/>
  <c r="M92" i="7" s="1"/>
  <c r="K94" i="7"/>
  <c r="AW92" i="7"/>
  <c r="CY88" i="7"/>
  <c r="K95" i="7" s="1"/>
  <c r="H42" i="7" s="1"/>
  <c r="DH68" i="7"/>
  <c r="DJ68" i="7" s="1"/>
  <c r="AT92" i="7"/>
  <c r="AV92" i="7"/>
  <c r="H35" i="7"/>
  <c r="K93" i="7"/>
  <c r="AX92" i="7"/>
  <c r="AU92" i="7"/>
  <c r="AS92" i="7"/>
  <c r="Q68" i="7"/>
  <c r="EK69" i="7"/>
  <c r="EL69" i="7" s="1"/>
  <c r="EP69" i="7" s="1"/>
  <c r="EO69" i="7" s="1"/>
  <c r="CJ68" i="7"/>
  <c r="EK68" i="7"/>
  <c r="EF68" i="7"/>
  <c r="EC68" i="7"/>
  <c r="DU68" i="7"/>
  <c r="AL337" i="7" l="1"/>
  <c r="AK337" i="7" s="1"/>
  <c r="AK336" i="7"/>
  <c r="L93" i="7"/>
  <c r="I35" i="7"/>
  <c r="K92" i="7"/>
  <c r="EJ68" i="7"/>
  <c r="EL68" i="7" s="1"/>
  <c r="EP68" i="7" l="1"/>
  <c r="EO68" i="7" s="1"/>
  <c r="AK339" i="7" l="1"/>
  <c r="BZ85" i="7" l="1"/>
  <c r="AE84" i="7"/>
  <c r="BZ84" i="7"/>
  <c r="BZ86" i="7"/>
  <c r="DI84" i="7"/>
  <c r="CR84" i="7"/>
  <c r="CQ84" i="7"/>
  <c r="CI84" i="7"/>
  <c r="DJ84" i="7"/>
  <c r="CP84" i="7"/>
  <c r="CA84" i="7"/>
  <c r="AO84" i="7" s="1"/>
  <c r="CA87" i="7"/>
  <c r="CU87" i="7" s="1"/>
  <c r="BZ87" i="7"/>
  <c r="CQ85" i="7"/>
  <c r="CP85" i="7"/>
  <c r="CR85" i="7"/>
  <c r="CI85" i="7"/>
  <c r="AF85" i="7"/>
  <c r="AG85" i="7"/>
  <c r="DJ85" i="7"/>
  <c r="AC85" i="7"/>
  <c r="DI85" i="7"/>
  <c r="CA85" i="7"/>
  <c r="AD85" i="7"/>
  <c r="DJ86" i="7"/>
  <c r="AC86" i="7"/>
  <c r="CI86" i="7"/>
  <c r="DI86" i="7"/>
  <c r="CP86" i="7"/>
  <c r="AG86" i="7"/>
  <c r="CR86" i="7"/>
  <c r="CQ86" i="7"/>
  <c r="AI86" i="7"/>
  <c r="AQ87" i="7"/>
  <c r="CA86" i="7"/>
  <c r="AL86" i="7" s="1"/>
  <c r="AH87" i="7"/>
  <c r="CP87" i="7"/>
  <c r="CI87" i="7"/>
  <c r="AG87" i="7"/>
  <c r="CQ87" i="7"/>
  <c r="AC87" i="7"/>
  <c r="DJ87" i="7"/>
  <c r="CR87" i="7"/>
  <c r="DI87" i="7"/>
  <c r="AD86" i="7"/>
  <c r="AN85" i="7"/>
  <c r="BM84" i="7"/>
  <c r="CN84" i="7" s="1"/>
  <c r="BM87" i="7"/>
  <c r="CN87" i="7" s="1"/>
  <c r="BM86" i="7"/>
  <c r="CN86" i="7" s="1"/>
  <c r="BM85" i="7"/>
  <c r="CN85" i="7" s="1"/>
  <c r="U84" i="7" l="1"/>
  <c r="X84" i="7"/>
  <c r="Y84" i="7" s="1"/>
  <c r="R84" i="7" s="1"/>
  <c r="CJ84" i="7" s="1"/>
  <c r="V84" i="7"/>
  <c r="V86" i="7"/>
  <c r="X86" i="7"/>
  <c r="Y86" i="7" s="1"/>
  <c r="R86" i="7" s="1"/>
  <c r="CJ86" i="7" s="1"/>
  <c r="X87" i="7"/>
  <c r="Y87" i="7" s="1"/>
  <c r="R87" i="7" s="1"/>
  <c r="CJ87" i="7" s="1"/>
  <c r="V87" i="7"/>
  <c r="X85" i="7"/>
  <c r="Y85" i="7" s="1"/>
  <c r="R85" i="7" s="1"/>
  <c r="CJ85" i="7" s="1"/>
  <c r="V85" i="7"/>
  <c r="AQ85" i="7"/>
  <c r="AQ84" i="7"/>
  <c r="W86" i="7"/>
  <c r="S86" i="7" s="1"/>
  <c r="W84" i="7"/>
  <c r="S84" i="7" s="1"/>
  <c r="AP87" i="7"/>
  <c r="AO86" i="7"/>
  <c r="CT86" i="7" s="1"/>
  <c r="CS87" i="7"/>
  <c r="AM87" i="7"/>
  <c r="AD87" i="7"/>
  <c r="DB87" i="7" s="1"/>
  <c r="CU86" i="7"/>
  <c r="AE87" i="7"/>
  <c r="W85" i="7"/>
  <c r="S85" i="7" s="1"/>
  <c r="U85" i="7"/>
  <c r="T84" i="7"/>
  <c r="AL85" i="7"/>
  <c r="CU85" i="7"/>
  <c r="AO85" i="7"/>
  <c r="U86" i="7"/>
  <c r="AI85" i="7"/>
  <c r="AE85" i="7"/>
  <c r="AI87" i="7"/>
  <c r="AE86" i="7"/>
  <c r="AP85" i="7"/>
  <c r="AF84" i="7"/>
  <c r="AG84" i="7" s="1"/>
  <c r="CX84" i="7"/>
  <c r="CS84" i="7"/>
  <c r="AB84" i="7"/>
  <c r="AC84" i="7" s="1"/>
  <c r="AN86" i="7"/>
  <c r="AH84" i="7"/>
  <c r="AM84" i="7"/>
  <c r="AD84" i="7"/>
  <c r="AP84" i="7"/>
  <c r="CS85" i="7"/>
  <c r="AH85" i="7"/>
  <c r="DB85" i="7" s="1"/>
  <c r="AM85" i="7"/>
  <c r="AB87" i="7"/>
  <c r="AF87" i="7"/>
  <c r="CX87" i="7"/>
  <c r="AH86" i="7"/>
  <c r="DB86" i="7" s="1"/>
  <c r="AM86" i="7"/>
  <c r="U87" i="7"/>
  <c r="AP86" i="7"/>
  <c r="AN87" i="7"/>
  <c r="AQ86" i="7"/>
  <c r="AF86" i="7"/>
  <c r="AB86" i="7"/>
  <c r="CS86" i="7"/>
  <c r="CX86" i="7"/>
  <c r="W87" i="7"/>
  <c r="S87" i="7" s="1"/>
  <c r="AL84" i="7"/>
  <c r="CT84" i="7" s="1"/>
  <c r="CU84" i="7"/>
  <c r="AI84" i="7"/>
  <c r="AN84" i="7"/>
  <c r="AB85" i="7"/>
  <c r="DA85" i="7" s="1"/>
  <c r="AL87" i="7"/>
  <c r="AO87" i="7"/>
  <c r="CX85" i="7"/>
  <c r="EB85" i="7" l="1"/>
  <c r="EC85" i="7" s="1"/>
  <c r="DG85" i="7"/>
  <c r="DH85" i="7" s="1"/>
  <c r="DA86" i="7"/>
  <c r="DW84" i="7"/>
  <c r="J84" i="7"/>
  <c r="DV84" i="7" s="1"/>
  <c r="EE84" i="7" s="1"/>
  <c r="ED84" i="7"/>
  <c r="DW85" i="7"/>
  <c r="J85" i="7"/>
  <c r="DV85" i="7" s="1"/>
  <c r="EE85" i="7" s="1"/>
  <c r="ED85" i="7"/>
  <c r="T85" i="7"/>
  <c r="CT87" i="7"/>
  <c r="DB84" i="7"/>
  <c r="ED86" i="7"/>
  <c r="DW86" i="7"/>
  <c r="J86" i="7"/>
  <c r="DV86" i="7" s="1"/>
  <c r="EE86" i="7" s="1"/>
  <c r="T86" i="7"/>
  <c r="J87" i="7"/>
  <c r="DV87" i="7" s="1"/>
  <c r="EH87" i="7" s="1"/>
  <c r="DW87" i="7"/>
  <c r="ED87" i="7"/>
  <c r="T87" i="7"/>
  <c r="DY87" i="7"/>
  <c r="K87" i="7"/>
  <c r="Q87" i="7" s="1"/>
  <c r="DY85" i="7"/>
  <c r="K85" i="7"/>
  <c r="Q85" i="7" s="1"/>
  <c r="DA87" i="7"/>
  <c r="K86" i="7"/>
  <c r="Q86" i="7" s="1"/>
  <c r="DY86" i="7"/>
  <c r="DA84" i="7"/>
  <c r="DY84" i="7"/>
  <c r="K84" i="7"/>
  <c r="Q84" i="7" s="1"/>
  <c r="CT85" i="7"/>
  <c r="DU85" i="7" l="1"/>
  <c r="DZ85" i="7"/>
  <c r="EA85" i="7" s="1"/>
  <c r="EH84" i="7"/>
  <c r="EI87" i="7"/>
  <c r="EJ87" i="7" s="1"/>
  <c r="EI84" i="7"/>
  <c r="EJ84" i="7" s="1"/>
  <c r="EF84" i="7"/>
  <c r="EE87" i="7"/>
  <c r="EG87" i="7" s="1"/>
  <c r="EH86" i="7"/>
  <c r="EH85" i="7"/>
  <c r="EL84" i="7"/>
  <c r="EP84" i="7" s="1"/>
  <c r="EO84" i="7" s="1"/>
  <c r="EG86" i="7"/>
  <c r="EG84" i="7"/>
  <c r="EG85" i="7"/>
  <c r="EF85" i="7"/>
  <c r="EL85" i="7"/>
  <c r="EI86" i="7"/>
  <c r="EK86" i="7" s="1"/>
  <c r="EL87" i="7"/>
  <c r="EF86" i="7"/>
  <c r="EL86" i="7"/>
  <c r="EI85" i="7"/>
  <c r="EJ85" i="7" s="1"/>
  <c r="EK87" i="7" l="1"/>
  <c r="EK84" i="7"/>
  <c r="EF87" i="7"/>
  <c r="EK85" i="7"/>
  <c r="EJ86" i="7"/>
  <c r="EP85" i="7"/>
  <c r="EO85" i="7" s="1"/>
  <c r="EP86" i="7"/>
  <c r="EO86" i="7" s="1"/>
  <c r="EP87" i="7"/>
  <c r="EO87" i="7" s="1"/>
  <c r="AH83" i="7"/>
  <c r="AH90" i="7" s="1"/>
  <c r="AE83" i="7"/>
  <c r="CA83" i="7"/>
  <c r="CI83" i="7"/>
  <c r="CP83" i="7"/>
  <c r="CR83" i="7"/>
  <c r="CQ83" i="7"/>
  <c r="DI83" i="7"/>
  <c r="CU83" i="7" l="1"/>
  <c r="CU88" i="7" s="1"/>
  <c r="J99" i="7" s="1"/>
  <c r="D103" i="7" s="1"/>
  <c r="DD88" i="7"/>
  <c r="CN83" i="7"/>
  <c r="X83" i="7" s="1"/>
  <c r="Y83" i="7" s="1"/>
  <c r="AO83" i="7"/>
  <c r="AO88" i="7" s="1"/>
  <c r="CS83" i="7"/>
  <c r="CS88" i="7" s="1"/>
  <c r="AE92" i="7"/>
  <c r="AE88" i="7"/>
  <c r="AH92" i="7"/>
  <c r="AH88" i="7"/>
  <c r="AL83" i="7"/>
  <c r="AL90" i="7" s="1"/>
  <c r="AN83" i="7"/>
  <c r="AB83" i="7"/>
  <c r="AD83" i="7"/>
  <c r="AD90" i="7" s="1"/>
  <c r="CX83" i="7"/>
  <c r="CX88" i="7" s="1"/>
  <c r="J95" i="7" s="1"/>
  <c r="AQ83" i="7"/>
  <c r="AF83" i="7"/>
  <c r="AI83" i="7"/>
  <c r="AM83" i="7"/>
  <c r="AP83" i="7"/>
  <c r="G35" i="7" l="1"/>
  <c r="J93" i="7"/>
  <c r="AF88" i="7"/>
  <c r="AF90" i="7"/>
  <c r="W102" i="7"/>
  <c r="AB90" i="7"/>
  <c r="V83" i="7"/>
  <c r="EB83" i="7" s="1"/>
  <c r="EC83" i="7" s="1"/>
  <c r="EC88" i="7" s="1"/>
  <c r="U83" i="7"/>
  <c r="DW83" i="7" s="1"/>
  <c r="W83" i="7"/>
  <c r="W88" i="7" s="1"/>
  <c r="DG83" i="7"/>
  <c r="DH83" i="7" s="1"/>
  <c r="DJ83" i="7" s="1"/>
  <c r="DJ88" i="7" s="1"/>
  <c r="DJ89" i="7" s="1"/>
  <c r="T35" i="7" s="1"/>
  <c r="AO90" i="7"/>
  <c r="AO92" i="7" s="1"/>
  <c r="X101" i="7"/>
  <c r="W101" i="7"/>
  <c r="HR36" i="39"/>
  <c r="HV36" i="39"/>
  <c r="HR32" i="39"/>
  <c r="HV32" i="39"/>
  <c r="HR37" i="39"/>
  <c r="HV37" i="39"/>
  <c r="HR52" i="39"/>
  <c r="HV52" i="39"/>
  <c r="HR46" i="39"/>
  <c r="HV46" i="39"/>
  <c r="HR8" i="39"/>
  <c r="HV8" i="39"/>
  <c r="HR48" i="39"/>
  <c r="HV48" i="39"/>
  <c r="HR19" i="39"/>
  <c r="HV19" i="39"/>
  <c r="HR6" i="39"/>
  <c r="HV6" i="39"/>
  <c r="HR27" i="39"/>
  <c r="HV27" i="39"/>
  <c r="HR44" i="39"/>
  <c r="HV44" i="39"/>
  <c r="HR20" i="39"/>
  <c r="HV20" i="39"/>
  <c r="HR42" i="39"/>
  <c r="HV42" i="39"/>
  <c r="HR34" i="39"/>
  <c r="HV34" i="39"/>
  <c r="HR49" i="39"/>
  <c r="HV49" i="39"/>
  <c r="HR40" i="39"/>
  <c r="HV40" i="39"/>
  <c r="HR11" i="39"/>
  <c r="HV11" i="39"/>
  <c r="HR26" i="39"/>
  <c r="HV26" i="39"/>
  <c r="HR43" i="39"/>
  <c r="HV43" i="39"/>
  <c r="HR41" i="39"/>
  <c r="HV41" i="39"/>
  <c r="HR47" i="39"/>
  <c r="HV47" i="39"/>
  <c r="HR14" i="39"/>
  <c r="HV14" i="39"/>
  <c r="HR38" i="39"/>
  <c r="HV38" i="39"/>
  <c r="HR24" i="39"/>
  <c r="HV24" i="39"/>
  <c r="HR18" i="39"/>
  <c r="HV18" i="39"/>
  <c r="HR35" i="39"/>
  <c r="HV35" i="39"/>
  <c r="HR31" i="39"/>
  <c r="HV31" i="39"/>
  <c r="HR29" i="39"/>
  <c r="HV29" i="39"/>
  <c r="HR5" i="39"/>
  <c r="HV5" i="39"/>
  <c r="HR28" i="39"/>
  <c r="HV28" i="39"/>
  <c r="HR30" i="39"/>
  <c r="HV30" i="39"/>
  <c r="HR10" i="39"/>
  <c r="HV10" i="39"/>
  <c r="HR25" i="39"/>
  <c r="HV25" i="39"/>
  <c r="HR23" i="39"/>
  <c r="HV23" i="39"/>
  <c r="HR21" i="39"/>
  <c r="HV21" i="39"/>
  <c r="HR53" i="39"/>
  <c r="HV53" i="39"/>
  <c r="HR39" i="39"/>
  <c r="HV39" i="39"/>
  <c r="HR50" i="39"/>
  <c r="HV50" i="39"/>
  <c r="HR17" i="39"/>
  <c r="HV17" i="39"/>
  <c r="HR15" i="39"/>
  <c r="HV15" i="39"/>
  <c r="HR13" i="39"/>
  <c r="HV13" i="39"/>
  <c r="HR16" i="39"/>
  <c r="HV16" i="39"/>
  <c r="HR51" i="39"/>
  <c r="HV51" i="39"/>
  <c r="HR33" i="39"/>
  <c r="HV33" i="39"/>
  <c r="HR45" i="39"/>
  <c r="HV45" i="39"/>
  <c r="HR12" i="39"/>
  <c r="HV12" i="39"/>
  <c r="HR22" i="39"/>
  <c r="HV22" i="39"/>
  <c r="HR9" i="39"/>
  <c r="HV9" i="39"/>
  <c r="HR7" i="39"/>
  <c r="HV7" i="39"/>
  <c r="AG83" i="7"/>
  <c r="W103" i="7"/>
  <c r="AC83" i="7"/>
  <c r="W104" i="7"/>
  <c r="X102" i="7"/>
  <c r="X103" i="7"/>
  <c r="G45" i="7"/>
  <c r="D101" i="7"/>
  <c r="X104" i="7"/>
  <c r="CS90" i="7"/>
  <c r="AD92" i="7"/>
  <c r="AD88" i="7"/>
  <c r="AP88" i="7"/>
  <c r="AP90" i="7"/>
  <c r="AQ88" i="7"/>
  <c r="AQ90" i="7"/>
  <c r="AN88" i="7"/>
  <c r="AN90" i="7"/>
  <c r="J92" i="7"/>
  <c r="G42" i="7"/>
  <c r="AL88" i="7"/>
  <c r="CT83" i="7"/>
  <c r="DB83" i="7"/>
  <c r="DB88" i="7" s="1"/>
  <c r="K96" i="7" s="1"/>
  <c r="K97" i="7" s="1"/>
  <c r="AM88" i="7"/>
  <c r="AM90" i="7"/>
  <c r="AI92" i="7"/>
  <c r="AI88" i="7"/>
  <c r="R83" i="7"/>
  <c r="Y88" i="7"/>
  <c r="DA83" i="7"/>
  <c r="DA88" i="7" s="1"/>
  <c r="J96" i="7" s="1"/>
  <c r="J97" i="7" s="1"/>
  <c r="AF92" i="7"/>
  <c r="AB92" i="7"/>
  <c r="AB88" i="7"/>
  <c r="Z102" i="7" l="1"/>
  <c r="DY83" i="7"/>
  <c r="S83" i="7"/>
  <c r="S88" i="7" s="1"/>
  <c r="T83" i="7"/>
  <c r="T88" i="7" s="1"/>
  <c r="T90" i="7" s="1"/>
  <c r="AF290" i="7" s="1"/>
  <c r="AK290" i="7" s="1"/>
  <c r="U88" i="7"/>
  <c r="EB88" i="7"/>
  <c r="IH5" i="39"/>
  <c r="IJ5" i="39" s="1"/>
  <c r="CA100" i="39"/>
  <c r="CA104" i="39" s="1"/>
  <c r="GG171" i="39"/>
  <c r="GI171" i="39" s="1"/>
  <c r="EW171" i="39" s="1"/>
  <c r="EW8" i="39" s="1"/>
  <c r="AJ19" i="42" s="1"/>
  <c r="IH6" i="39"/>
  <c r="IJ6" i="39" s="1"/>
  <c r="GF171" i="39"/>
  <c r="ED83" i="7"/>
  <c r="ED88" i="7" s="1"/>
  <c r="K83" i="7"/>
  <c r="Q91" i="7" s="1"/>
  <c r="L238" i="7" s="1"/>
  <c r="J83" i="7"/>
  <c r="F93" i="7" s="1"/>
  <c r="DU83" i="7"/>
  <c r="DU88" i="7" s="1"/>
  <c r="CB100" i="39"/>
  <c r="CB104" i="39" s="1"/>
  <c r="CC100" i="39"/>
  <c r="CC104" i="39" s="1"/>
  <c r="CD100" i="39"/>
  <c r="CD104" i="39" s="1"/>
  <c r="IH8" i="39"/>
  <c r="IJ8" i="39" s="1"/>
  <c r="IH7" i="39"/>
  <c r="IJ7" i="39" s="1"/>
  <c r="Z101" i="7"/>
  <c r="Z103" i="7"/>
  <c r="Z104" i="7"/>
  <c r="AC92" i="7"/>
  <c r="AC88" i="7"/>
  <c r="AG92" i="7"/>
  <c r="AG88" i="7"/>
  <c r="AQ92" i="7"/>
  <c r="AL92" i="7"/>
  <c r="DW88" i="7"/>
  <c r="E238" i="7"/>
  <c r="E240" i="7" s="1"/>
  <c r="S90" i="7"/>
  <c r="AE290" i="7" s="1"/>
  <c r="R88" i="7"/>
  <c r="CJ83" i="7"/>
  <c r="AM92" i="7"/>
  <c r="DX88" i="7"/>
  <c r="DY88" i="7"/>
  <c r="AN92" i="7"/>
  <c r="AP92" i="7"/>
  <c r="CT88" i="7"/>
  <c r="CT90" i="7"/>
  <c r="AF292" i="7" l="1"/>
  <c r="AK292" i="7" s="1"/>
  <c r="K88" i="7"/>
  <c r="H92" i="7" s="1"/>
  <c r="H93" i="7"/>
  <c r="Q83" i="7"/>
  <c r="R91" i="7" s="1"/>
  <c r="L240" i="7" s="1"/>
  <c r="EV171" i="39"/>
  <c r="EV8" i="39" s="1"/>
  <c r="AG19" i="42" s="1"/>
  <c r="EP171" i="39"/>
  <c r="EP8" i="39" s="1"/>
  <c r="O19" i="42" s="1"/>
  <c r="ES171" i="39"/>
  <c r="ES8" i="39" s="1"/>
  <c r="X19" i="42" s="1"/>
  <c r="EQ171" i="39"/>
  <c r="EQ8" i="39" s="1"/>
  <c r="R19" i="42" s="1"/>
  <c r="DV83" i="7"/>
  <c r="DZ83" i="7" s="1"/>
  <c r="DZ88" i="7" s="1"/>
  <c r="J88" i="7"/>
  <c r="F92" i="7" s="1"/>
  <c r="F95" i="7" s="1"/>
  <c r="GH171" i="39"/>
  <c r="DZ171" i="39" s="1"/>
  <c r="DZ8" i="39" s="1"/>
  <c r="F12" i="42" s="1"/>
  <c r="EM171" i="39"/>
  <c r="EM8" i="39" s="1"/>
  <c r="F19" i="42" s="1"/>
  <c r="EN171" i="39"/>
  <c r="EN8" i="39" s="1"/>
  <c r="I19" i="42" s="1"/>
  <c r="ET171" i="39"/>
  <c r="ET8" i="39" s="1"/>
  <c r="AA19" i="42" s="1"/>
  <c r="EX171" i="39"/>
  <c r="EX8" i="39" s="1"/>
  <c r="AM19" i="42" s="1"/>
  <c r="ER171" i="39"/>
  <c r="ER8" i="39" s="1"/>
  <c r="U19" i="42" s="1"/>
  <c r="EU171" i="39"/>
  <c r="EU8" i="39" s="1"/>
  <c r="AD19" i="42" s="1"/>
  <c r="EO171" i="39"/>
  <c r="EO8" i="39" s="1"/>
  <c r="L19" i="42" s="1"/>
  <c r="GL171" i="39"/>
  <c r="GO171" i="39" s="1"/>
  <c r="CC105" i="39"/>
  <c r="L244" i="7"/>
  <c r="AA101" i="7"/>
  <c r="EF171" i="39"/>
  <c r="EF8" i="39" s="1"/>
  <c r="X12" i="42" s="1"/>
  <c r="AA103" i="7"/>
  <c r="AA102" i="7"/>
  <c r="AA104" i="7"/>
  <c r="IH9" i="39"/>
  <c r="V292" i="7"/>
  <c r="J98" i="7"/>
  <c r="AX95" i="7"/>
  <c r="AW95" i="7"/>
  <c r="AR92" i="7" a="1"/>
  <c r="AR92" i="7" s="1"/>
  <c r="L242" i="7" s="1"/>
  <c r="AU95" i="7"/>
  <c r="AT95" i="7"/>
  <c r="AV95" i="7"/>
  <c r="K98" i="7"/>
  <c r="AO95" i="7"/>
  <c r="DX89" i="7"/>
  <c r="AL95" i="7"/>
  <c r="AS95" i="7"/>
  <c r="AG290" i="7"/>
  <c r="AL290" i="7" s="1"/>
  <c r="AJ290" i="7"/>
  <c r="H95" i="7"/>
  <c r="H97" i="7" s="1"/>
  <c r="AE292" i="7"/>
  <c r="DW91" i="7"/>
  <c r="L245" i="7" l="1"/>
  <c r="EE83" i="7"/>
  <c r="DV88" i="7"/>
  <c r="DV89" i="7" s="1"/>
  <c r="EI83" i="7"/>
  <c r="EK83" i="7" s="1"/>
  <c r="EH83" i="7"/>
  <c r="EH88" i="7" s="1"/>
  <c r="Y157" i="7" s="1"/>
  <c r="Y158" i="7" s="1"/>
  <c r="Y159" i="7" s="1"/>
  <c r="EK171" i="39"/>
  <c r="EK8" i="39" s="1"/>
  <c r="AM12" i="42" s="1"/>
  <c r="EA171" i="39"/>
  <c r="EA8" i="39" s="1"/>
  <c r="I12" i="42" s="1"/>
  <c r="EI171" i="39"/>
  <c r="EI8" i="39" s="1"/>
  <c r="AG12" i="42" s="1"/>
  <c r="EC171" i="39"/>
  <c r="EC8" i="39" s="1"/>
  <c r="O12" i="42" s="1"/>
  <c r="EH171" i="39"/>
  <c r="EH8" i="39" s="1"/>
  <c r="AD12" i="42" s="1"/>
  <c r="EA83" i="7"/>
  <c r="EA88" i="7" s="1"/>
  <c r="R157" i="7" s="1"/>
  <c r="R176" i="7" s="1"/>
  <c r="R179" i="7" s="1"/>
  <c r="HI171" i="39"/>
  <c r="GW171" i="39" s="1"/>
  <c r="EJ171" i="39"/>
  <c r="EJ8" i="39" s="1"/>
  <c r="AJ12" i="42" s="1"/>
  <c r="EE171" i="39"/>
  <c r="EE8" i="39" s="1"/>
  <c r="U12" i="42" s="1"/>
  <c r="ED171" i="39"/>
  <c r="ED8" i="39" s="1"/>
  <c r="R12" i="42" s="1"/>
  <c r="EG171" i="39"/>
  <c r="EG8" i="39" s="1"/>
  <c r="AA12" i="42" s="1"/>
  <c r="EB171" i="39"/>
  <c r="EB8" i="39" s="1"/>
  <c r="L12" i="42" s="1"/>
  <c r="L246" i="7"/>
  <c r="L243" i="7"/>
  <c r="R104" i="39"/>
  <c r="Q157" i="7"/>
  <c r="DZ89" i="7"/>
  <c r="IJ9" i="39"/>
  <c r="Y99" i="7" a="1"/>
  <c r="Y99" i="7" s="1"/>
  <c r="W99" i="7" s="1"/>
  <c r="E245" i="7" s="1"/>
  <c r="GU4" i="39"/>
  <c r="W294" i="7"/>
  <c r="W295" i="7" s="1"/>
  <c r="W296" i="7" s="1"/>
  <c r="X290" i="7"/>
  <c r="X293" i="7" s="1"/>
  <c r="AJ308" i="7"/>
  <c r="AF308" i="7"/>
  <c r="AE308" i="7" s="1"/>
  <c r="AP308" i="7"/>
  <c r="AJ292" i="7"/>
  <c r="AG292" i="7"/>
  <c r="EE88" i="7"/>
  <c r="EG88" i="7" s="1"/>
  <c r="GM171" i="39" s="1"/>
  <c r="EG83" i="7"/>
  <c r="EF83" i="7"/>
  <c r="EF88" i="7" s="1"/>
  <c r="DV95" i="7"/>
  <c r="F96" i="7"/>
  <c r="DV91" i="7" l="1"/>
  <c r="DV92" i="7" s="1"/>
  <c r="EJ83" i="7"/>
  <c r="R158" i="7"/>
  <c r="EA89" i="7"/>
  <c r="X294" i="7"/>
  <c r="X295" i="7" s="1"/>
  <c r="X296" i="7" s="1"/>
  <c r="Y293" i="7"/>
  <c r="GN171" i="39"/>
  <c r="EL83" i="7"/>
  <c r="EP83" i="7" s="1"/>
  <c r="EP88" i="7" s="1"/>
  <c r="AG157" i="7" s="1"/>
  <c r="AG158" i="7" s="1"/>
  <c r="AG159" i="7" s="1"/>
  <c r="T159" i="7" s="1"/>
  <c r="L39" i="7" s="1"/>
  <c r="Q176" i="7"/>
  <c r="Q158" i="7"/>
  <c r="GU6" i="39"/>
  <c r="AI308" i="7"/>
  <c r="AQ308" i="7"/>
  <c r="AN308" i="7"/>
  <c r="AJ309" i="7"/>
  <c r="F45" i="7"/>
  <c r="P45" i="7" s="1"/>
  <c r="AF309" i="7"/>
  <c r="AL292" i="7"/>
  <c r="AE294" i="7"/>
  <c r="AC94" i="7"/>
  <c r="AG94" i="7"/>
  <c r="AE94" i="7"/>
  <c r="AH94" i="7"/>
  <c r="AB94" i="7"/>
  <c r="AD94" i="7"/>
  <c r="AI94" i="7"/>
  <c r="AF94" i="7"/>
  <c r="E242" i="7"/>
  <c r="DW95" i="7"/>
  <c r="J42" i="7" s="1"/>
  <c r="L35" i="7"/>
  <c r="T157" i="7"/>
  <c r="T158" i="7" s="1"/>
  <c r="J35" i="7"/>
  <c r="S157" i="7"/>
  <c r="EL88" i="7" l="1"/>
  <c r="AC157" i="7" s="1"/>
  <c r="AC158" i="7" s="1"/>
  <c r="AC159" i="7" s="1"/>
  <c r="EO83" i="7"/>
  <c r="EO88" i="7" s="1"/>
  <c r="AF157" i="7" s="1"/>
  <c r="AF158" i="7" s="1"/>
  <c r="AF159" i="7" s="1"/>
  <c r="S159" i="7" s="1"/>
  <c r="J39" i="7" s="1"/>
  <c r="F39" i="7" s="1"/>
  <c r="GW165" i="39"/>
  <c r="GX165" i="39" s="1"/>
  <c r="GW122" i="39"/>
  <c r="GX122" i="39" s="1"/>
  <c r="GW169" i="39"/>
  <c r="GX169" i="39" s="1"/>
  <c r="Q179" i="7"/>
  <c r="S176" i="7"/>
  <c r="AF310" i="7"/>
  <c r="AF311" i="7" s="1"/>
  <c r="AF312" i="7" s="1"/>
  <c r="AP309" i="7"/>
  <c r="AJ310" i="7"/>
  <c r="AI310" i="7" s="1"/>
  <c r="AQ309" i="7"/>
  <c r="GP171" i="39"/>
  <c r="GT171" i="39" s="1"/>
  <c r="HF171" i="39" s="1"/>
  <c r="E241" i="7"/>
  <c r="AN310" i="7"/>
  <c r="AE310" i="7"/>
  <c r="AQ310" i="7"/>
  <c r="AP310" i="7"/>
  <c r="W339" i="7"/>
  <c r="S158" i="7"/>
  <c r="E244" i="7"/>
  <c r="F35" i="7"/>
  <c r="DX95" i="7"/>
  <c r="L42" i="7" s="1"/>
  <c r="E243" i="7"/>
  <c r="AH157" i="7" l="1"/>
  <c r="AH158" i="7"/>
  <c r="P39" i="7"/>
  <c r="GQ171" i="39"/>
  <c r="GR171" i="39" s="1"/>
  <c r="H187" i="7"/>
  <c r="H188" i="7" s="1"/>
  <c r="S179" i="7"/>
  <c r="H189" i="7" s="1"/>
  <c r="AP339" i="7"/>
  <c r="AJ311" i="7"/>
  <c r="AJ312" i="7" s="1"/>
  <c r="AJ313" i="7" s="1"/>
  <c r="AJ314" i="7" s="1"/>
  <c r="AJ315" i="7" s="1"/>
  <c r="AJ316" i="7" s="1"/>
  <c r="AJ317" i="7" s="1"/>
  <c r="AJ318" i="7" s="1"/>
  <c r="AJ319" i="7" s="1"/>
  <c r="AJ320" i="7" s="1"/>
  <c r="AJ321" i="7" s="1"/>
  <c r="AJ322" i="7" s="1"/>
  <c r="AJ323" i="7" s="1"/>
  <c r="AJ324" i="7" s="1"/>
  <c r="AJ325" i="7" s="1"/>
  <c r="AJ326" i="7" s="1"/>
  <c r="AJ327" i="7" s="1"/>
  <c r="AJ328" i="7" s="1"/>
  <c r="AJ329" i="7" s="1"/>
  <c r="AJ330" i="7" s="1"/>
  <c r="AJ331" i="7" s="1"/>
  <c r="AJ332" i="7" s="1"/>
  <c r="AJ333" i="7" s="1"/>
  <c r="AJ334" i="7" s="1"/>
  <c r="AJ335" i="7" s="1"/>
  <c r="AJ336" i="7" s="1"/>
  <c r="AJ337" i="7" s="1"/>
  <c r="AQ339" i="7"/>
  <c r="AI312" i="7"/>
  <c r="AI339" i="7" s="1"/>
  <c r="AF313" i="7"/>
  <c r="AF314" i="7" s="1"/>
  <c r="AF315" i="7" s="1"/>
  <c r="AF316" i="7" s="1"/>
  <c r="AF317" i="7" s="1"/>
  <c r="AF318" i="7" s="1"/>
  <c r="AF319" i="7" s="1"/>
  <c r="AF320" i="7" s="1"/>
  <c r="AF321" i="7" s="1"/>
  <c r="AF322" i="7" s="1"/>
  <c r="AF323" i="7" s="1"/>
  <c r="AF324" i="7" s="1"/>
  <c r="AF325" i="7" s="1"/>
  <c r="AF326" i="7" s="1"/>
  <c r="AF327" i="7" s="1"/>
  <c r="AF328" i="7" s="1"/>
  <c r="AF329" i="7" s="1"/>
  <c r="AF330" i="7" s="1"/>
  <c r="AF331" i="7" s="1"/>
  <c r="AF332" i="7" s="1"/>
  <c r="AF333" i="7" s="1"/>
  <c r="AF334" i="7" s="1"/>
  <c r="AF335" i="7" s="1"/>
  <c r="AF336" i="7" s="1"/>
  <c r="AF337" i="7" s="1"/>
  <c r="AE312" i="7"/>
  <c r="AE339" i="7" s="1"/>
  <c r="AN312" i="7"/>
  <c r="AN339" i="7" s="1"/>
  <c r="P35" i="7"/>
  <c r="F42" i="7"/>
  <c r="GS171" i="39" l="1"/>
  <c r="S229" i="7"/>
  <c r="J238" i="7" s="1"/>
  <c r="J242" i="7" s="1"/>
  <c r="H179" i="7"/>
  <c r="H190" i="7"/>
  <c r="H191" i="7" s="1"/>
  <c r="GZ152" i="39"/>
  <c r="HA162" i="39"/>
  <c r="J239" i="7" l="1"/>
  <c r="G180" i="7"/>
  <c r="GZ159" i="39"/>
  <c r="HA159" i="39"/>
  <c r="HA150" i="39"/>
  <c r="GZ150" i="39"/>
  <c r="HA152" i="39"/>
  <c r="GZ162" i="39"/>
  <c r="GZ132" i="39"/>
  <c r="HA132" i="39"/>
  <c r="GZ136" i="39"/>
  <c r="HA136" i="39"/>
  <c r="K229" i="7"/>
  <c r="T229" i="7"/>
  <c r="J240" i="7" l="1"/>
  <c r="J241" i="7" l="1"/>
  <c r="GJ152" i="39" l="1"/>
  <c r="HD152" i="39"/>
  <c r="HE152" i="39" s="1"/>
  <c r="HG152" i="39" l="1" a="1"/>
  <c r="HG152" i="39" s="1"/>
  <c r="HH152" i="39" a="1"/>
  <c r="HH152" i="39" s="1"/>
  <c r="HD162" i="39"/>
  <c r="HD136" i="39"/>
  <c r="HD132" i="39" l="1"/>
  <c r="HE132" i="39" s="1"/>
  <c r="GJ162" i="39"/>
  <c r="HE162" i="39"/>
  <c r="GJ132" i="39"/>
  <c r="HE136" i="39"/>
  <c r="GJ136" i="39"/>
  <c r="GJ128" i="39"/>
  <c r="HG128" i="39" s="1" a="1"/>
  <c r="HG128" i="39" s="1"/>
  <c r="GJ129" i="39"/>
  <c r="HG129" i="39" s="1" a="1"/>
  <c r="HG129" i="39" s="1"/>
  <c r="HG162" i="39" l="1" a="1"/>
  <c r="HG162" i="39" s="1"/>
  <c r="HH162" i="39" a="1"/>
  <c r="HH162" i="39" s="1"/>
  <c r="HG136" i="39" a="1"/>
  <c r="HG136" i="39" s="1"/>
  <c r="HH136" i="39" a="1"/>
  <c r="HH136" i="39" s="1"/>
  <c r="HG132" i="39" a="1"/>
  <c r="HG132" i="39" s="1"/>
  <c r="HH132" i="39" a="1"/>
  <c r="HH132" i="39" s="1"/>
  <c r="HD159" i="39"/>
  <c r="HD150" i="39"/>
  <c r="GJ159" i="39" l="1"/>
  <c r="HE159" i="39"/>
  <c r="GJ150" i="39"/>
  <c r="HG159" i="39" l="1" a="1"/>
  <c r="HG159" i="39" s="1"/>
  <c r="HH159" i="39" a="1"/>
  <c r="HH159" i="39" s="1"/>
  <c r="HE150" i="39"/>
  <c r="HG150" i="39" l="1" a="1"/>
  <c r="HG150" i="39" s="1"/>
  <c r="HH150" i="39" a="1"/>
  <c r="HH150" i="39" s="1"/>
  <c r="GZ122" i="39"/>
  <c r="HA165" i="39"/>
  <c r="GZ165" i="39"/>
  <c r="DD6" i="39" l="1"/>
  <c r="Q11" i="42" s="1"/>
  <c r="DA6" i="39" l="1"/>
  <c r="H11" i="42" s="1"/>
  <c r="GZ169" i="39" l="1"/>
  <c r="DB6" i="39"/>
  <c r="K11" i="42" s="1"/>
  <c r="DC6" i="39" l="1"/>
  <c r="N11" i="42" s="1"/>
  <c r="DE6" i="39" l="1"/>
  <c r="T11" i="42" s="1"/>
  <c r="DF6" i="39" l="1"/>
  <c r="W11" i="42" s="1"/>
  <c r="DG6" i="39" l="1"/>
  <c r="Z11" i="42" s="1"/>
  <c r="DH6" i="39" l="1"/>
  <c r="AC11" i="42" s="1"/>
  <c r="DI6" i="39" l="1"/>
  <c r="AF11" i="42" s="1"/>
  <c r="DJ6" i="39" l="1"/>
  <c r="AI11" i="42" s="1"/>
  <c r="DK6" i="39" l="1"/>
  <c r="AL11" i="42" s="1"/>
  <c r="HA122" i="39" l="1"/>
  <c r="HA169" i="39"/>
  <c r="HC165" i="39" l="1"/>
  <c r="GK165" i="39" s="1"/>
  <c r="HC169" i="39"/>
  <c r="GK169" i="39" s="1"/>
  <c r="HC122" i="39"/>
  <c r="GK122" i="39" s="1"/>
  <c r="FA169" i="39" l="1"/>
  <c r="FB169" i="39" s="1"/>
  <c r="FC169" i="39" s="1"/>
  <c r="FD169" i="39" s="1"/>
  <c r="FE169" i="39" s="1"/>
  <c r="FF169" i="39" s="1"/>
  <c r="FG169" i="39" s="1"/>
  <c r="FH169" i="39" s="1"/>
  <c r="FI169" i="39" s="1"/>
  <c r="FJ169" i="39" s="1"/>
  <c r="FK169" i="39" s="1"/>
  <c r="FL169" i="39" s="1"/>
  <c r="FO169" i="39"/>
  <c r="FP169" i="39" s="1"/>
  <c r="FQ169" i="39" s="1"/>
  <c r="FR169" i="39" s="1"/>
  <c r="FS169" i="39" s="1"/>
  <c r="FT169" i="39" s="1"/>
  <c r="FU169" i="39" s="1"/>
  <c r="FV169" i="39" s="1"/>
  <c r="FW169" i="39" s="1"/>
  <c r="FX169" i="39" s="1"/>
  <c r="FY169" i="39" s="1"/>
  <c r="FZ169" i="39" s="1"/>
  <c r="FA122" i="39"/>
  <c r="FB122" i="39" s="1"/>
  <c r="FC122" i="39" s="1"/>
  <c r="FD122" i="39" s="1"/>
  <c r="FE122" i="39" s="1"/>
  <c r="FF122" i="39" s="1"/>
  <c r="FG122" i="39" s="1"/>
  <c r="FH122" i="39" s="1"/>
  <c r="FI122" i="39" s="1"/>
  <c r="FJ122" i="39" s="1"/>
  <c r="FK122" i="39" s="1"/>
  <c r="FL122" i="39" s="1"/>
  <c r="FO122" i="39"/>
  <c r="FP122" i="39" s="1"/>
  <c r="FQ122" i="39" s="1"/>
  <c r="FR122" i="39" s="1"/>
  <c r="FS122" i="39" s="1"/>
  <c r="FT122" i="39" s="1"/>
  <c r="FU122" i="39" s="1"/>
  <c r="FV122" i="39" s="1"/>
  <c r="FW122" i="39" s="1"/>
  <c r="FX122" i="39" s="1"/>
  <c r="FY122" i="39" s="1"/>
  <c r="FZ122" i="39" s="1"/>
  <c r="FA165" i="39"/>
  <c r="FB165" i="39" s="1"/>
  <c r="FC165" i="39" s="1"/>
  <c r="FD165" i="39" s="1"/>
  <c r="FE165" i="39" s="1"/>
  <c r="FF165" i="39" s="1"/>
  <c r="FG165" i="39" s="1"/>
  <c r="FH165" i="39" s="1"/>
  <c r="FI165" i="39" s="1"/>
  <c r="FJ165" i="39" s="1"/>
  <c r="FK165" i="39" s="1"/>
  <c r="FL165" i="39" s="1"/>
  <c r="FO165" i="39"/>
  <c r="FP165" i="39" s="1"/>
  <c r="FQ165" i="39" s="1"/>
  <c r="FR165" i="39" s="1"/>
  <c r="FS165" i="39" s="1"/>
  <c r="FT165" i="39" s="1"/>
  <c r="FU165" i="39" s="1"/>
  <c r="FV165" i="39" s="1"/>
  <c r="FW165" i="39" s="1"/>
  <c r="FX165" i="39" s="1"/>
  <c r="FY165" i="39" s="1"/>
  <c r="FZ165" i="39" s="1"/>
  <c r="HD122" i="39"/>
  <c r="GJ122" i="39"/>
  <c r="GJ169" i="39"/>
  <c r="HD169" i="39"/>
  <c r="GJ165" i="39"/>
  <c r="HD165" i="39"/>
  <c r="HE165" i="39" l="1"/>
  <c r="HE169" i="39"/>
  <c r="HE122" i="39"/>
  <c r="HG122" i="39" l="1" a="1"/>
  <c r="HG122" i="39" s="1"/>
  <c r="HH122" i="39" a="1"/>
  <c r="HH122" i="39" s="1"/>
  <c r="HG169" i="39" a="1"/>
  <c r="HG169" i="39" s="1"/>
  <c r="HH169" i="39" a="1"/>
  <c r="HH169" i="39" s="1"/>
  <c r="HG165" i="39" a="1"/>
  <c r="HG165" i="39" s="1"/>
  <c r="HH165" i="39" a="1"/>
  <c r="HH165" i="39" s="1"/>
  <c r="AX137" i="7" a="1"/>
  <c r="AX137" i="7" s="1"/>
  <c r="GO16" i="39" l="1"/>
  <c r="GP16" i="39" s="1" a="1"/>
  <c r="GP16" i="39" s="1"/>
  <c r="GO15" i="39"/>
  <c r="GP15" i="39" s="1" a="1"/>
  <c r="GP15" i="39" s="1"/>
  <c r="GF16" i="39"/>
  <c r="GG16" i="39"/>
  <c r="GF15" i="39"/>
  <c r="GG15" i="39"/>
  <c r="GB15" i="39"/>
  <c r="GB16" i="39"/>
  <c r="GC15" i="39"/>
  <c r="GC16" i="39"/>
  <c r="GF11" i="39"/>
  <c r="GO91" i="39"/>
  <c r="GP91" i="39" s="1" a="1"/>
  <c r="GP91" i="39" s="1"/>
  <c r="GG87" i="39"/>
  <c r="GF71" i="39"/>
  <c r="GO47" i="39"/>
  <c r="GP47" i="39" s="1" a="1"/>
  <c r="GP47" i="39" s="1"/>
  <c r="GF113" i="39"/>
  <c r="GF10" i="39"/>
  <c r="GF106" i="39"/>
  <c r="GG98" i="39"/>
  <c r="GO94" i="39"/>
  <c r="GP94" i="39" s="1" a="1"/>
  <c r="GP94" i="39" s="1"/>
  <c r="GF90" i="39"/>
  <c r="GG82" i="39"/>
  <c r="GO78" i="39"/>
  <c r="GP78" i="39" s="1" a="1"/>
  <c r="GP78" i="39" s="1"/>
  <c r="GF74" i="39"/>
  <c r="GG66" i="39"/>
  <c r="GO62" i="39"/>
  <c r="GP62" i="39" s="1" a="1"/>
  <c r="GP62" i="39" s="1"/>
  <c r="GF58" i="39"/>
  <c r="GG50" i="39"/>
  <c r="GO46" i="39"/>
  <c r="GP46" i="39" s="1" a="1"/>
  <c r="GP46" i="39" s="1"/>
  <c r="GF42" i="39"/>
  <c r="GG34" i="39"/>
  <c r="GO30" i="39"/>
  <c r="GP30" i="39" s="1" a="1"/>
  <c r="GP30" i="39" s="1"/>
  <c r="GF26" i="39"/>
  <c r="GG18" i="39"/>
  <c r="GF120" i="39"/>
  <c r="GG116" i="39"/>
  <c r="GO121" i="39"/>
  <c r="GP121" i="39" s="1" a="1"/>
  <c r="GP121" i="39" s="1"/>
  <c r="GG99" i="39"/>
  <c r="GF83" i="39"/>
  <c r="GO63" i="39"/>
  <c r="GP63" i="39" s="1" a="1"/>
  <c r="GP63" i="39" s="1"/>
  <c r="GF51" i="39"/>
  <c r="GG39" i="39"/>
  <c r="GO23" i="39"/>
  <c r="GP23" i="39" s="1" a="1"/>
  <c r="GP23" i="39" s="1"/>
  <c r="GG13" i="39"/>
  <c r="GG109" i="39"/>
  <c r="GO105" i="39"/>
  <c r="GP105" i="39" s="1" a="1"/>
  <c r="GP105" i="39" s="1"/>
  <c r="GF101" i="39"/>
  <c r="GG97" i="39"/>
  <c r="GO89" i="39"/>
  <c r="GP89" i="39" s="1" a="1"/>
  <c r="GP89" i="39" s="1"/>
  <c r="GF85" i="39"/>
  <c r="GG81" i="39"/>
  <c r="GO73" i="39"/>
  <c r="GP73" i="39" s="1" a="1"/>
  <c r="GP73" i="39" s="1"/>
  <c r="GF69" i="39"/>
  <c r="GG65" i="39"/>
  <c r="GO57" i="39"/>
  <c r="GP57" i="39" s="1" a="1"/>
  <c r="GP57" i="39" s="1"/>
  <c r="GF53" i="39"/>
  <c r="GG49" i="39"/>
  <c r="GO41" i="39"/>
  <c r="GP41" i="39" s="1" a="1"/>
  <c r="GP41" i="39" s="1"/>
  <c r="GG37" i="39"/>
  <c r="GG33" i="39"/>
  <c r="GG25" i="39"/>
  <c r="GO21" i="39"/>
  <c r="GP21" i="39" s="1" a="1"/>
  <c r="GP21" i="39" s="1"/>
  <c r="GF17" i="39"/>
  <c r="GO115" i="39"/>
  <c r="GP115" i="39" s="1" a="1"/>
  <c r="GP115" i="39" s="1"/>
  <c r="GG111" i="39"/>
  <c r="GF107" i="39"/>
  <c r="GO79" i="39"/>
  <c r="GP79" i="39" s="1" a="1"/>
  <c r="GP79" i="39" s="1"/>
  <c r="GG67" i="39"/>
  <c r="GF55" i="39"/>
  <c r="GO31" i="39"/>
  <c r="GP31" i="39" s="1" a="1"/>
  <c r="GP31" i="39" s="1"/>
  <c r="GF27" i="39"/>
  <c r="GG19" i="39"/>
  <c r="GG12" i="39"/>
  <c r="GF108" i="39"/>
  <c r="GG104" i="39"/>
  <c r="GO96" i="39"/>
  <c r="GP96" i="39" s="1" a="1"/>
  <c r="GP96" i="39" s="1"/>
  <c r="GF92" i="39"/>
  <c r="GG88" i="39"/>
  <c r="GO80" i="39"/>
  <c r="GP80" i="39" s="1" a="1"/>
  <c r="GP80" i="39" s="1"/>
  <c r="GF76" i="39"/>
  <c r="GG72" i="39"/>
  <c r="GO64" i="39"/>
  <c r="GP64" i="39" s="1" a="1"/>
  <c r="GP64" i="39" s="1"/>
  <c r="GF60" i="39"/>
  <c r="GG56" i="39"/>
  <c r="GG48" i="39"/>
  <c r="GO40" i="39"/>
  <c r="GP40" i="39" s="1" a="1"/>
  <c r="GP40" i="39" s="1"/>
  <c r="GF36" i="39"/>
  <c r="GG32" i="39"/>
  <c r="GG24" i="39"/>
  <c r="GO20" i="39"/>
  <c r="GP20" i="39" s="1" a="1"/>
  <c r="GP20" i="39" s="1"/>
  <c r="GF14" i="39"/>
  <c r="GG114" i="39"/>
  <c r="GO110" i="39"/>
  <c r="GP110" i="39" s="1" a="1"/>
  <c r="GP110" i="39" s="1"/>
  <c r="GO103" i="39"/>
  <c r="GP103" i="39" s="1" a="1"/>
  <c r="GP103" i="39" s="1"/>
  <c r="GG91" i="39"/>
  <c r="GF87" i="39"/>
  <c r="GO59" i="39"/>
  <c r="GP59" i="39" s="1" a="1"/>
  <c r="GP59" i="39" s="1"/>
  <c r="GF47" i="39"/>
  <c r="GG113" i="39"/>
  <c r="GO102" i="39"/>
  <c r="GP102" i="39" s="1" a="1"/>
  <c r="GP102" i="39" s="1"/>
  <c r="GF98" i="39"/>
  <c r="GF94" i="39"/>
  <c r="GO86" i="39"/>
  <c r="GP86" i="39" s="1" a="1"/>
  <c r="GP86" i="39" s="1"/>
  <c r="GO82" i="39"/>
  <c r="GP82" i="39" s="1" a="1"/>
  <c r="GP82" i="39" s="1"/>
  <c r="GF78" i="39"/>
  <c r="GO70" i="39"/>
  <c r="GP70" i="39" s="1" a="1"/>
  <c r="GP70" i="39" s="1"/>
  <c r="GO66" i="39"/>
  <c r="GP66" i="39" s="1" a="1"/>
  <c r="GP66" i="39" s="1"/>
  <c r="GF62" i="39"/>
  <c r="GO54" i="39"/>
  <c r="GP54" i="39" s="1" a="1"/>
  <c r="GP54" i="39" s="1"/>
  <c r="GO50" i="39"/>
  <c r="GP50" i="39" s="1" a="1"/>
  <c r="GP50" i="39" s="1"/>
  <c r="GF46" i="39"/>
  <c r="GO38" i="39"/>
  <c r="GP38" i="39" s="1" a="1"/>
  <c r="GP38" i="39" s="1"/>
  <c r="GO34" i="39"/>
  <c r="GP34" i="39" s="1" a="1"/>
  <c r="GP34" i="39" s="1"/>
  <c r="GF30" i="39"/>
  <c r="GO22" i="39"/>
  <c r="GP22" i="39" s="1" a="1"/>
  <c r="GP22" i="39" s="1"/>
  <c r="GO18" i="39"/>
  <c r="GP18" i="39" s="1" a="1"/>
  <c r="GP18" i="39" s="1"/>
  <c r="GG120" i="39"/>
  <c r="GO112" i="39"/>
  <c r="GP112" i="39" s="1" a="1"/>
  <c r="GP112" i="39" s="1"/>
  <c r="GF121" i="39"/>
  <c r="GF99" i="39"/>
  <c r="GO75" i="39"/>
  <c r="GP75" i="39" s="1" a="1"/>
  <c r="GP75" i="39" s="1"/>
  <c r="GG63" i="39"/>
  <c r="GG51" i="39"/>
  <c r="GO35" i="39"/>
  <c r="GP35" i="39" s="1" a="1"/>
  <c r="GP35" i="39" s="1"/>
  <c r="GF23" i="39"/>
  <c r="GF13" i="39"/>
  <c r="GG9" i="39"/>
  <c r="GF105" i="39"/>
  <c r="GG101" i="39"/>
  <c r="GO93" i="39"/>
  <c r="GP93" i="39" s="1" a="1"/>
  <c r="GP93" i="39" s="1"/>
  <c r="GF89" i="39"/>
  <c r="GG85" i="39"/>
  <c r="GO77" i="39"/>
  <c r="GP77" i="39" s="1" a="1"/>
  <c r="GP77" i="39" s="1"/>
  <c r="GF73" i="39"/>
  <c r="GG69" i="39"/>
  <c r="GO61" i="39"/>
  <c r="GP61" i="39" s="1" a="1"/>
  <c r="GP61" i="39" s="1"/>
  <c r="GF57" i="39"/>
  <c r="GG53" i="39"/>
  <c r="GO45" i="39"/>
  <c r="GP45" i="39" s="1" a="1"/>
  <c r="GP45" i="39" s="1"/>
  <c r="GF41" i="39"/>
  <c r="GF37" i="39"/>
  <c r="GO29" i="39"/>
  <c r="GP29" i="39" s="1" a="1"/>
  <c r="GP29" i="39" s="1"/>
  <c r="GO25" i="39"/>
  <c r="GP25" i="39" s="1" a="1"/>
  <c r="GP25" i="39" s="1"/>
  <c r="GF21" i="39"/>
  <c r="GO119" i="39"/>
  <c r="GP119" i="39" s="1" a="1"/>
  <c r="GP119" i="39" s="1"/>
  <c r="GG115" i="39"/>
  <c r="GF111" i="39"/>
  <c r="GO95" i="39"/>
  <c r="GP95" i="39" s="1" a="1"/>
  <c r="GP95" i="39" s="1"/>
  <c r="GG79" i="39"/>
  <c r="GF67" i="39"/>
  <c r="GO43" i="39"/>
  <c r="GP43" i="39" s="1" a="1"/>
  <c r="GP43" i="39" s="1"/>
  <c r="GF31" i="39"/>
  <c r="GG27" i="39"/>
  <c r="GO117" i="39"/>
  <c r="GP117" i="39" s="1" a="1"/>
  <c r="GP117" i="39" s="1"/>
  <c r="GO12" i="39"/>
  <c r="GP12" i="39" s="1" a="1"/>
  <c r="GP12" i="39" s="1"/>
  <c r="GG108" i="39"/>
  <c r="GO100" i="39"/>
  <c r="GP100" i="39" s="1" a="1"/>
  <c r="GP100" i="39" s="1"/>
  <c r="GF96" i="39"/>
  <c r="GG92" i="39"/>
  <c r="GO84" i="39"/>
  <c r="GP84" i="39" s="1" a="1"/>
  <c r="GP84" i="39" s="1"/>
  <c r="GF80" i="39"/>
  <c r="GG76" i="39"/>
  <c r="GO68" i="39"/>
  <c r="GP68" i="39" s="1" a="1"/>
  <c r="GP68" i="39" s="1"/>
  <c r="GF64" i="39"/>
  <c r="GG60" i="39"/>
  <c r="GO52" i="39"/>
  <c r="GP52" i="39" s="1" a="1"/>
  <c r="GP52" i="39" s="1"/>
  <c r="GO44" i="39"/>
  <c r="GP44" i="39" s="1" a="1"/>
  <c r="GP44" i="39" s="1"/>
  <c r="GF40" i="39"/>
  <c r="GG36" i="39"/>
  <c r="GO28" i="39"/>
  <c r="GP28" i="39" s="1" a="1"/>
  <c r="GP28" i="39" s="1"/>
  <c r="GO24" i="39"/>
  <c r="GP24" i="39" s="1" a="1"/>
  <c r="GP24" i="39" s="1"/>
  <c r="GF20" i="39"/>
  <c r="GO118" i="39"/>
  <c r="GP118" i="39" s="1" a="1"/>
  <c r="GP118" i="39" s="1"/>
  <c r="GO114" i="39"/>
  <c r="GP114" i="39" s="1" a="1"/>
  <c r="GP114" i="39" s="1"/>
  <c r="GF110" i="39"/>
  <c r="GG11" i="39"/>
  <c r="GG103" i="39"/>
  <c r="GF91" i="39"/>
  <c r="GO71" i="39"/>
  <c r="GP71" i="39" s="1" a="1"/>
  <c r="GP71" i="39" s="1"/>
  <c r="GG59" i="39"/>
  <c r="GG47" i="39"/>
  <c r="GG10" i="39"/>
  <c r="GG106" i="39"/>
  <c r="GG102" i="39"/>
  <c r="GO98" i="39"/>
  <c r="GP98" i="39" s="1" a="1"/>
  <c r="GP98" i="39" s="1"/>
  <c r="GG90" i="39"/>
  <c r="GG86" i="39"/>
  <c r="GF82" i="39"/>
  <c r="GG74" i="39"/>
  <c r="GG70" i="39"/>
  <c r="GF66" i="39"/>
  <c r="GG58" i="39"/>
  <c r="GG54" i="39"/>
  <c r="GF50" i="39"/>
  <c r="GG42" i="39"/>
  <c r="GG38" i="39"/>
  <c r="GF34" i="39"/>
  <c r="GG26" i="39"/>
  <c r="GG22" i="39"/>
  <c r="GF18" i="39"/>
  <c r="GO116" i="39"/>
  <c r="GP116" i="39" s="1" a="1"/>
  <c r="GP116" i="39" s="1"/>
  <c r="GF112" i="39"/>
  <c r="GG121" i="39"/>
  <c r="GO83" i="39"/>
  <c r="GP83" i="39" s="1" a="1"/>
  <c r="GP83" i="39" s="1"/>
  <c r="GG75" i="39"/>
  <c r="GF63" i="39"/>
  <c r="GO39" i="39"/>
  <c r="GP39" i="39" s="1" a="1"/>
  <c r="GP39" i="39" s="1"/>
  <c r="GF35" i="39"/>
  <c r="GG23" i="39"/>
  <c r="GO109" i="39"/>
  <c r="GP109" i="39" s="1" a="1"/>
  <c r="GP109" i="39" s="1"/>
  <c r="GO9" i="39"/>
  <c r="GP9" i="39" s="1" a="1"/>
  <c r="GP9" i="39" s="1"/>
  <c r="GG105" i="39"/>
  <c r="GO97" i="39"/>
  <c r="GP97" i="39" s="1" a="1"/>
  <c r="GP97" i="39" s="1"/>
  <c r="GF93" i="39"/>
  <c r="GG89" i="39"/>
  <c r="GO81" i="39"/>
  <c r="GP81" i="39" s="1" a="1"/>
  <c r="GP81" i="39" s="1"/>
  <c r="GF77" i="39"/>
  <c r="GG73" i="39"/>
  <c r="GO65" i="39"/>
  <c r="GP65" i="39" s="1" a="1"/>
  <c r="GP65" i="39" s="1"/>
  <c r="GF61" i="39"/>
  <c r="GG57" i="39"/>
  <c r="GO49" i="39"/>
  <c r="GP49" i="39" s="1" a="1"/>
  <c r="GP49" i="39" s="1"/>
  <c r="GF45" i="39"/>
  <c r="GG41" i="39"/>
  <c r="GO33" i="39"/>
  <c r="GP33" i="39" s="1" a="1"/>
  <c r="GP33" i="39" s="1"/>
  <c r="GG29" i="39"/>
  <c r="GF25" i="39"/>
  <c r="GG17" i="39"/>
  <c r="GG119" i="39"/>
  <c r="GF115" i="39"/>
  <c r="GO107" i="39"/>
  <c r="GP107" i="39" s="1" a="1"/>
  <c r="GP107" i="39" s="1"/>
  <c r="GG95" i="39"/>
  <c r="GF79" i="39"/>
  <c r="GO55" i="39"/>
  <c r="GP55" i="39" s="1" a="1"/>
  <c r="GP55" i="39" s="1"/>
  <c r="GF43" i="39"/>
  <c r="GG31" i="39"/>
  <c r="GO19" i="39"/>
  <c r="GP19" i="39" s="1" a="1"/>
  <c r="GP19" i="39" s="1"/>
  <c r="GF117" i="39"/>
  <c r="GF12" i="39"/>
  <c r="GO104" i="39"/>
  <c r="GP104" i="39" s="1" a="1"/>
  <c r="GP104" i="39" s="1"/>
  <c r="GF100" i="39"/>
  <c r="GG96" i="39"/>
  <c r="GO88" i="39"/>
  <c r="GP88" i="39" s="1" a="1"/>
  <c r="GP88" i="39" s="1"/>
  <c r="GF84" i="39"/>
  <c r="GG80" i="39"/>
  <c r="GO72" i="39"/>
  <c r="GP72" i="39" s="1" a="1"/>
  <c r="GP72" i="39" s="1"/>
  <c r="GF68" i="39"/>
  <c r="GG64" i="39"/>
  <c r="GO56" i="39"/>
  <c r="GP56" i="39" s="1" a="1"/>
  <c r="GP56" i="39" s="1"/>
  <c r="GO48" i="39"/>
  <c r="GP48" i="39" s="1" a="1"/>
  <c r="GP48" i="39" s="1"/>
  <c r="GF44" i="39"/>
  <c r="GG40" i="39"/>
  <c r="GO32" i="39"/>
  <c r="GP32" i="39" s="1" a="1"/>
  <c r="GP32" i="39" s="1"/>
  <c r="GF28" i="39"/>
  <c r="GF24" i="39"/>
  <c r="GG14" i="39"/>
  <c r="GG118" i="39"/>
  <c r="GF114" i="39"/>
  <c r="GO11" i="39"/>
  <c r="GP11" i="39" s="1" a="1"/>
  <c r="GP11" i="39" s="1"/>
  <c r="GF103" i="39"/>
  <c r="GO87" i="39"/>
  <c r="GP87" i="39" s="1" a="1"/>
  <c r="GP87" i="39" s="1"/>
  <c r="GG71" i="39"/>
  <c r="GF59" i="39"/>
  <c r="GO113" i="39"/>
  <c r="GP113" i="39" s="1" a="1"/>
  <c r="GP113" i="39" s="1"/>
  <c r="GO10" i="39"/>
  <c r="GP10" i="39" s="1" a="1"/>
  <c r="GP10" i="39" s="1"/>
  <c r="GO106" i="39"/>
  <c r="GP106" i="39" s="1" a="1"/>
  <c r="GP106" i="39" s="1"/>
  <c r="GF102" i="39"/>
  <c r="GG94" i="39"/>
  <c r="GO90" i="39"/>
  <c r="GP90" i="39" s="1" a="1"/>
  <c r="GP90" i="39" s="1"/>
  <c r="GF86" i="39"/>
  <c r="GG78" i="39"/>
  <c r="GO74" i="39"/>
  <c r="GP74" i="39" s="1" a="1"/>
  <c r="GP74" i="39" s="1"/>
  <c r="GF70" i="39"/>
  <c r="GG62" i="39"/>
  <c r="GO58" i="39"/>
  <c r="GP58" i="39" s="1" a="1"/>
  <c r="GP58" i="39" s="1"/>
  <c r="GF54" i="39"/>
  <c r="GG46" i="39"/>
  <c r="GO42" i="39"/>
  <c r="GP42" i="39" s="1" a="1"/>
  <c r="GP42" i="39" s="1"/>
  <c r="GF38" i="39"/>
  <c r="GG30" i="39"/>
  <c r="GO26" i="39"/>
  <c r="GP26" i="39" s="1" a="1"/>
  <c r="GP26" i="39" s="1"/>
  <c r="GF22" i="39"/>
  <c r="GO120" i="39"/>
  <c r="GP120" i="39" s="1" a="1"/>
  <c r="GP120" i="39" s="1"/>
  <c r="GF116" i="39"/>
  <c r="GG112" i="39"/>
  <c r="GO99" i="39"/>
  <c r="GP99" i="39" s="1" a="1"/>
  <c r="GP99" i="39" s="1"/>
  <c r="GG83" i="39"/>
  <c r="GF75" i="39"/>
  <c r="GO51" i="39"/>
  <c r="GP51" i="39" s="1" a="1"/>
  <c r="GP51" i="39" s="1"/>
  <c r="GF39" i="39"/>
  <c r="GG35" i="39"/>
  <c r="GO13" i="39"/>
  <c r="GP13" i="39" s="1" a="1"/>
  <c r="GP13" i="39" s="1"/>
  <c r="GF109" i="39"/>
  <c r="GF9" i="39"/>
  <c r="GO101" i="39"/>
  <c r="GP101" i="39" s="1" a="1"/>
  <c r="GP101" i="39" s="1"/>
  <c r="GF97" i="39"/>
  <c r="GG93" i="39"/>
  <c r="GO85" i="39"/>
  <c r="GP85" i="39" s="1" a="1"/>
  <c r="GP85" i="39" s="1"/>
  <c r="GF81" i="39"/>
  <c r="GG77" i="39"/>
  <c r="GO69" i="39"/>
  <c r="GP69" i="39" s="1" a="1"/>
  <c r="GP69" i="39" s="1"/>
  <c r="GF65" i="39"/>
  <c r="GG61" i="39"/>
  <c r="GO53" i="39"/>
  <c r="GP53" i="39" s="1" a="1"/>
  <c r="GP53" i="39" s="1"/>
  <c r="GF49" i="39"/>
  <c r="GG45" i="39"/>
  <c r="GO37" i="39"/>
  <c r="GP37" i="39" s="1" a="1"/>
  <c r="GP37" i="39" s="1"/>
  <c r="GF33" i="39"/>
  <c r="GF29" i="39"/>
  <c r="GG21" i="39"/>
  <c r="GO17" i="39"/>
  <c r="GP17" i="39" s="1" a="1"/>
  <c r="GP17" i="39" s="1"/>
  <c r="GF119" i="39"/>
  <c r="GO111" i="39"/>
  <c r="GP111" i="39" s="1" a="1"/>
  <c r="GP111" i="39" s="1"/>
  <c r="GG107" i="39"/>
  <c r="GF95" i="39"/>
  <c r="GO67" i="39"/>
  <c r="GP67" i="39" s="1" a="1"/>
  <c r="GP67" i="39" s="1"/>
  <c r="GG55" i="39"/>
  <c r="GG43" i="39"/>
  <c r="GO27" i="39"/>
  <c r="GP27" i="39" s="1" a="1"/>
  <c r="GP27" i="39" s="1"/>
  <c r="GF19" i="39"/>
  <c r="GG117" i="39"/>
  <c r="GO108" i="39"/>
  <c r="GP108" i="39" s="1" a="1"/>
  <c r="GP108" i="39" s="1"/>
  <c r="GF104" i="39"/>
  <c r="GG100" i="39"/>
  <c r="GO92" i="39"/>
  <c r="GP92" i="39" s="1" a="1"/>
  <c r="GP92" i="39" s="1"/>
  <c r="GF88" i="39"/>
  <c r="GG84" i="39"/>
  <c r="GO76" i="39"/>
  <c r="GP76" i="39" s="1" a="1"/>
  <c r="GP76" i="39" s="1"/>
  <c r="GF72" i="39"/>
  <c r="GG68" i="39"/>
  <c r="GO60" i="39"/>
  <c r="GP60" i="39" s="1" a="1"/>
  <c r="GP60" i="39" s="1"/>
  <c r="GF56" i="39"/>
  <c r="GF48" i="39"/>
  <c r="GG44" i="39"/>
  <c r="GO36" i="39"/>
  <c r="GP36" i="39" s="1" a="1"/>
  <c r="GP36" i="39" s="1"/>
  <c r="GF32" i="39"/>
  <c r="GG28" i="39"/>
  <c r="GG20" i="39"/>
  <c r="GO14" i="39"/>
  <c r="GP14" i="39" s="1" a="1"/>
  <c r="GP14" i="39" s="1"/>
  <c r="GF118" i="39"/>
  <c r="GG110" i="39"/>
  <c r="GF52" i="39"/>
  <c r="GB11" i="39"/>
  <c r="GH11" i="39" s="1"/>
  <c r="GG52" i="39"/>
  <c r="AY137" i="7" a="1"/>
  <c r="AY137" i="7" s="1"/>
  <c r="AW137" i="7" s="1"/>
  <c r="BN137" i="7" s="1"/>
  <c r="GC82" i="39"/>
  <c r="GC50" i="39"/>
  <c r="GC116" i="39"/>
  <c r="GI116" i="39" s="1"/>
  <c r="GC41" i="39"/>
  <c r="GC115" i="39"/>
  <c r="GI115" i="39" s="1"/>
  <c r="GC96" i="39"/>
  <c r="GC32" i="39"/>
  <c r="GI32" i="39" s="1"/>
  <c r="GC31" i="39"/>
  <c r="GC28" i="39"/>
  <c r="GC99" i="39"/>
  <c r="GC35" i="39"/>
  <c r="GC39" i="39"/>
  <c r="GC94" i="39"/>
  <c r="GC54" i="39"/>
  <c r="GI54" i="39" s="1"/>
  <c r="GC22" i="39"/>
  <c r="GI22" i="39" s="1"/>
  <c r="GC93" i="39"/>
  <c r="GI93" i="39" s="1"/>
  <c r="GC53" i="39"/>
  <c r="GI53" i="39" s="1"/>
  <c r="GC21" i="39"/>
  <c r="GC100" i="39"/>
  <c r="GI100" i="39" s="1"/>
  <c r="GC44" i="39"/>
  <c r="GC119" i="39"/>
  <c r="GC114" i="39"/>
  <c r="GC73" i="39"/>
  <c r="GB119" i="39"/>
  <c r="GC40" i="39"/>
  <c r="GB107" i="39"/>
  <c r="GB69" i="39"/>
  <c r="GH69" i="39" s="1"/>
  <c r="GB53" i="39"/>
  <c r="GB102" i="39"/>
  <c r="GB77" i="39"/>
  <c r="GH77" i="39" s="1"/>
  <c r="GB29" i="39"/>
  <c r="GB59" i="39"/>
  <c r="GC106" i="39"/>
  <c r="GC34" i="39"/>
  <c r="GI34" i="39" s="1"/>
  <c r="GB121" i="39"/>
  <c r="GH121" i="39" s="1"/>
  <c r="GC57" i="39"/>
  <c r="GI57" i="39" s="1"/>
  <c r="GC88" i="39"/>
  <c r="GI88" i="39" s="1"/>
  <c r="GC56" i="39"/>
  <c r="GC24" i="39"/>
  <c r="GI24" i="39" s="1"/>
  <c r="GC92" i="39"/>
  <c r="GC105" i="39"/>
  <c r="GC91" i="39"/>
  <c r="GI91" i="39" s="1"/>
  <c r="GC59" i="39"/>
  <c r="GI59" i="39" s="1"/>
  <c r="GC27" i="39"/>
  <c r="GI27" i="39" s="1"/>
  <c r="GC118" i="39"/>
  <c r="GI118" i="39" s="1"/>
  <c r="GC86" i="39"/>
  <c r="GC46" i="39"/>
  <c r="GC12" i="39"/>
  <c r="GI12" i="39" s="1"/>
  <c r="GC117" i="39"/>
  <c r="GI117" i="39" s="1"/>
  <c r="GC85" i="39"/>
  <c r="GC45" i="39"/>
  <c r="GC87" i="39"/>
  <c r="GI87" i="39" s="1"/>
  <c r="GC84" i="39"/>
  <c r="GC36" i="39"/>
  <c r="GI36" i="39" s="1"/>
  <c r="GC67" i="39"/>
  <c r="GI67" i="39" s="1"/>
  <c r="GC71" i="39"/>
  <c r="GC74" i="39"/>
  <c r="GI74" i="39" s="1"/>
  <c r="GC33" i="39"/>
  <c r="GB85" i="39"/>
  <c r="GB71" i="39"/>
  <c r="GB10" i="39"/>
  <c r="GH10" i="39" s="1"/>
  <c r="GB94" i="39"/>
  <c r="GB61" i="39"/>
  <c r="GH61" i="39" s="1"/>
  <c r="GB37" i="39"/>
  <c r="GH37" i="39" s="1"/>
  <c r="GB108" i="39"/>
  <c r="GH108" i="39" s="1"/>
  <c r="GB100" i="39"/>
  <c r="GH100" i="39" s="1"/>
  <c r="GC98" i="39"/>
  <c r="GI98" i="39" s="1"/>
  <c r="GC66" i="39"/>
  <c r="GI66" i="39" s="1"/>
  <c r="GC25" i="39"/>
  <c r="GI25" i="39" s="1"/>
  <c r="GC49" i="39"/>
  <c r="GI49" i="39" s="1"/>
  <c r="GC80" i="39"/>
  <c r="GI80" i="39" s="1"/>
  <c r="GC48" i="39"/>
  <c r="GI48" i="39" s="1"/>
  <c r="GC14" i="39"/>
  <c r="GC113" i="39"/>
  <c r="GI113" i="39" s="1"/>
  <c r="GB120" i="39"/>
  <c r="GH120" i="39" s="1"/>
  <c r="GC69" i="39"/>
  <c r="GC83" i="39"/>
  <c r="GC51" i="39"/>
  <c r="GI51" i="39" s="1"/>
  <c r="GC19" i="39"/>
  <c r="GI19" i="39" s="1"/>
  <c r="GC110" i="39"/>
  <c r="GI110" i="39" s="1"/>
  <c r="GC78" i="39"/>
  <c r="GC38" i="39"/>
  <c r="GC111" i="39"/>
  <c r="GI111" i="39" s="1"/>
  <c r="GC109" i="39"/>
  <c r="GI109" i="39" s="1"/>
  <c r="GC77" i="39"/>
  <c r="GC37" i="39"/>
  <c r="GI37" i="39" s="1"/>
  <c r="GC68" i="39"/>
  <c r="GC20" i="39"/>
  <c r="GC95" i="39"/>
  <c r="GC43" i="39"/>
  <c r="GC23" i="39"/>
  <c r="GI23" i="39" s="1"/>
  <c r="GC26" i="39"/>
  <c r="GC121" i="39"/>
  <c r="GC17" i="39"/>
  <c r="GC103" i="39"/>
  <c r="GI103" i="39" s="1"/>
  <c r="GC120" i="39"/>
  <c r="GI120" i="39" s="1"/>
  <c r="GB86" i="39"/>
  <c r="GB63" i="39"/>
  <c r="GB83" i="39"/>
  <c r="GH83" i="39" s="1"/>
  <c r="GB44" i="39"/>
  <c r="GB36" i="39"/>
  <c r="GB28" i="39"/>
  <c r="GC90" i="39"/>
  <c r="GC58" i="39"/>
  <c r="GC18" i="39"/>
  <c r="GI18" i="39" s="1"/>
  <c r="GC65" i="39"/>
  <c r="GC104" i="39"/>
  <c r="GI104" i="39" s="1"/>
  <c r="GC72" i="39"/>
  <c r="GI72" i="39" s="1"/>
  <c r="GC70" i="39"/>
  <c r="GI70" i="39" s="1"/>
  <c r="GC112" i="39"/>
  <c r="GI112" i="39" s="1"/>
  <c r="GC97" i="39"/>
  <c r="GI97" i="39" s="1"/>
  <c r="GC76" i="39"/>
  <c r="GC107" i="39"/>
  <c r="GI107" i="39" s="1"/>
  <c r="GC75" i="39"/>
  <c r="GI75" i="39" s="1"/>
  <c r="GC79" i="39"/>
  <c r="GI79" i="39" s="1"/>
  <c r="GC102" i="39"/>
  <c r="GC62" i="39"/>
  <c r="GI62" i="39" s="1"/>
  <c r="GC30" i="39"/>
  <c r="GC55" i="39"/>
  <c r="GI55" i="39" s="1"/>
  <c r="GC101" i="39"/>
  <c r="GI101" i="39" s="1"/>
  <c r="GC61" i="39"/>
  <c r="GC29" i="39"/>
  <c r="GC108" i="39"/>
  <c r="GI108" i="39" s="1"/>
  <c r="GC60" i="39"/>
  <c r="GI60" i="39" s="1"/>
  <c r="GC10" i="39"/>
  <c r="GI10" i="39" s="1"/>
  <c r="GC47" i="39"/>
  <c r="GI47" i="39" s="1"/>
  <c r="GC81" i="39"/>
  <c r="GI81" i="39" s="1"/>
  <c r="GC63" i="39"/>
  <c r="GC64" i="39"/>
  <c r="GB95" i="39"/>
  <c r="GH95" i="39" s="1"/>
  <c r="GB31" i="39"/>
  <c r="GB78" i="39"/>
  <c r="GH78" i="39" s="1"/>
  <c r="GB93" i="39"/>
  <c r="GH93" i="39" s="1"/>
  <c r="GB45" i="39"/>
  <c r="GH45" i="39" s="1"/>
  <c r="GB111" i="39"/>
  <c r="GH111" i="39" s="1"/>
  <c r="GB43" i="39"/>
  <c r="GB101" i="39"/>
  <c r="GB21" i="39"/>
  <c r="GB19" i="39"/>
  <c r="GB103" i="39"/>
  <c r="GB79" i="39"/>
  <c r="GH79" i="39" s="1"/>
  <c r="GB99" i="39"/>
  <c r="GB97" i="39"/>
  <c r="GH97" i="39" s="1"/>
  <c r="GB12" i="39"/>
  <c r="GB113" i="39"/>
  <c r="GB91" i="39"/>
  <c r="GB112" i="39"/>
  <c r="GB23" i="39"/>
  <c r="GH23" i="39" s="1"/>
  <c r="GB57" i="39"/>
  <c r="GH57" i="39" s="1"/>
  <c r="GB33" i="39"/>
  <c r="GB17" i="39"/>
  <c r="GH17" i="39" s="1"/>
  <c r="GB92" i="39"/>
  <c r="GH92" i="39" s="1"/>
  <c r="GB76" i="39"/>
  <c r="GB20" i="39"/>
  <c r="GB118" i="39"/>
  <c r="GH118" i="39" s="1"/>
  <c r="GB110" i="39"/>
  <c r="GB39" i="39"/>
  <c r="GH39" i="39" s="1"/>
  <c r="GB106" i="39"/>
  <c r="GB98" i="39"/>
  <c r="GH98" i="39" s="1"/>
  <c r="GB90" i="39"/>
  <c r="GH90" i="39" s="1"/>
  <c r="GB82" i="39"/>
  <c r="GB74" i="39"/>
  <c r="GB66" i="39"/>
  <c r="GH66" i="39" s="1"/>
  <c r="GB58" i="39"/>
  <c r="GB50" i="39"/>
  <c r="GH50" i="39" s="1"/>
  <c r="GB55" i="39"/>
  <c r="GH55" i="39" s="1"/>
  <c r="GB105" i="39"/>
  <c r="GH105" i="39" s="1"/>
  <c r="GB81" i="39"/>
  <c r="GB73" i="39"/>
  <c r="GB65" i="39"/>
  <c r="GB49" i="39"/>
  <c r="GH49" i="39" s="1"/>
  <c r="GB41" i="39"/>
  <c r="GB25" i="39"/>
  <c r="GB47" i="39"/>
  <c r="GB60" i="39"/>
  <c r="GH60" i="39" s="1"/>
  <c r="GB116" i="39"/>
  <c r="GB35" i="39"/>
  <c r="GB117" i="39"/>
  <c r="GB96" i="39"/>
  <c r="GB64" i="39"/>
  <c r="GB32" i="39"/>
  <c r="GB51" i="39"/>
  <c r="GH51" i="39" s="1"/>
  <c r="GB27" i="39"/>
  <c r="GH27" i="39" s="1"/>
  <c r="GB70" i="39"/>
  <c r="GH70" i="39" s="1"/>
  <c r="GB62" i="39"/>
  <c r="GB54" i="39"/>
  <c r="GB46" i="39"/>
  <c r="GH46" i="39" s="1"/>
  <c r="GB38" i="39"/>
  <c r="GB30" i="39"/>
  <c r="GH30" i="39" s="1"/>
  <c r="GB22" i="39"/>
  <c r="GB87" i="39"/>
  <c r="GH87" i="39" s="1"/>
  <c r="GB84" i="39"/>
  <c r="GB68" i="39"/>
  <c r="GB34" i="39"/>
  <c r="GH34" i="39" s="1"/>
  <c r="GB26" i="39"/>
  <c r="GH26" i="39" s="1"/>
  <c r="GB18" i="39"/>
  <c r="GB75" i="39"/>
  <c r="GB104" i="39"/>
  <c r="GH104" i="39" s="1"/>
  <c r="GB88" i="39"/>
  <c r="GB80" i="39"/>
  <c r="GH80" i="39" s="1"/>
  <c r="GB72" i="39"/>
  <c r="GH72" i="39" s="1"/>
  <c r="GB56" i="39"/>
  <c r="GB48" i="39"/>
  <c r="GH48" i="39" s="1"/>
  <c r="GB40" i="39"/>
  <c r="GB24" i="39"/>
  <c r="GB14" i="39"/>
  <c r="GH14" i="39" s="1"/>
  <c r="GB114" i="39"/>
  <c r="GB67" i="39"/>
  <c r="GB115" i="39"/>
  <c r="GB109" i="39"/>
  <c r="GH109" i="39" s="1"/>
  <c r="GB9" i="39"/>
  <c r="GB89" i="39"/>
  <c r="GC11" i="39"/>
  <c r="GC9" i="39"/>
  <c r="GI9" i="39" s="1"/>
  <c r="GC89" i="39"/>
  <c r="GI89" i="39" s="1"/>
  <c r="GB52" i="39"/>
  <c r="GC13" i="39"/>
  <c r="GB42" i="39"/>
  <c r="GC42" i="39"/>
  <c r="GI42" i="39" s="1"/>
  <c r="GC52" i="39"/>
  <c r="GB13" i="39"/>
  <c r="GH13" i="39" s="1"/>
  <c r="E156" i="7"/>
  <c r="AO137" i="7"/>
  <c r="AL137" i="7"/>
  <c r="AM137" i="7"/>
  <c r="BI137" i="7"/>
  <c r="BJ137" i="7" s="1"/>
  <c r="BJ156" i="7" s="1"/>
  <c r="BM137" i="7"/>
  <c r="BO137" i="7" s="1"/>
  <c r="BP137" i="7" s="1"/>
  <c r="BP156" i="7" s="1"/>
  <c r="BP157" i="7" s="1"/>
  <c r="T36" i="7" s="1"/>
  <c r="AN137" i="7"/>
  <c r="AP137" i="7"/>
  <c r="GI46" i="39" l="1"/>
  <c r="GH29" i="39"/>
  <c r="GI119" i="39"/>
  <c r="GI86" i="39"/>
  <c r="GH42" i="39"/>
  <c r="HI42" i="39" s="1"/>
  <c r="GH115" i="39"/>
  <c r="HI115" i="39" s="1"/>
  <c r="GH73" i="39"/>
  <c r="HI73" i="39" s="1"/>
  <c r="GY73" i="39" s="1"/>
  <c r="GH31" i="39"/>
  <c r="HI31" i="39" s="1"/>
  <c r="GY31" i="39" s="1"/>
  <c r="GH15" i="39"/>
  <c r="HI15" i="39" s="1"/>
  <c r="GH19" i="39"/>
  <c r="GH86" i="39"/>
  <c r="HI86" i="39" s="1"/>
  <c r="GI82" i="39"/>
  <c r="GI15" i="39"/>
  <c r="GH16" i="39"/>
  <c r="HI16" i="39" s="1"/>
  <c r="GI28" i="39"/>
  <c r="GH54" i="39"/>
  <c r="HI54" i="39" s="1"/>
  <c r="GY54" i="39" s="1"/>
  <c r="GH74" i="39"/>
  <c r="HI74" i="39" s="1"/>
  <c r="GY74" i="39" s="1"/>
  <c r="GH20" i="39"/>
  <c r="HI20" i="39" s="1"/>
  <c r="GY20" i="39" s="1"/>
  <c r="GH33" i="39"/>
  <c r="HI33" i="39" s="1"/>
  <c r="GH99" i="39"/>
  <c r="HI99" i="39" s="1"/>
  <c r="GY99" i="39" s="1"/>
  <c r="GH21" i="39"/>
  <c r="GI30" i="39"/>
  <c r="GI17" i="39"/>
  <c r="GI38" i="39"/>
  <c r="GI33" i="39"/>
  <c r="GI85" i="39"/>
  <c r="GI56" i="39"/>
  <c r="GI114" i="39"/>
  <c r="GI50" i="39"/>
  <c r="GI13" i="39"/>
  <c r="GH68" i="39"/>
  <c r="HI68" i="39" s="1"/>
  <c r="GH62" i="39"/>
  <c r="HI62" i="39" s="1"/>
  <c r="GY62" i="39" s="1"/>
  <c r="GH32" i="39"/>
  <c r="HI32" i="39" s="1"/>
  <c r="GY32" i="39" s="1"/>
  <c r="GH35" i="39"/>
  <c r="HI35" i="39" s="1"/>
  <c r="GY35" i="39" s="1"/>
  <c r="GH25" i="39"/>
  <c r="HI25" i="39" s="1"/>
  <c r="GH82" i="39"/>
  <c r="HI82" i="39" s="1"/>
  <c r="GH76" i="39"/>
  <c r="HI76" i="39" s="1"/>
  <c r="GY76" i="39" s="1"/>
  <c r="GH113" i="39"/>
  <c r="HI113" i="39" s="1"/>
  <c r="GH101" i="39"/>
  <c r="HI101" i="39" s="1"/>
  <c r="GY101" i="39" s="1"/>
  <c r="GI64" i="39"/>
  <c r="GI61" i="39"/>
  <c r="GH36" i="39"/>
  <c r="HI36" i="39" s="1"/>
  <c r="GY36" i="39" s="1"/>
  <c r="GI121" i="39"/>
  <c r="GI95" i="39"/>
  <c r="GI77" i="39"/>
  <c r="GI78" i="39"/>
  <c r="GI83" i="39"/>
  <c r="GI14" i="39"/>
  <c r="GI84" i="39"/>
  <c r="GI105" i="39"/>
  <c r="GI106" i="39"/>
  <c r="GH102" i="39"/>
  <c r="HI102" i="39" s="1"/>
  <c r="GI40" i="39"/>
  <c r="GI94" i="39"/>
  <c r="GI16" i="39"/>
  <c r="GH56" i="39"/>
  <c r="HI56" i="39" s="1"/>
  <c r="GI11" i="39"/>
  <c r="GH24" i="39"/>
  <c r="HI24" i="39" s="1"/>
  <c r="GH75" i="39"/>
  <c r="HI75" i="39" s="1"/>
  <c r="GI52" i="39"/>
  <c r="GH89" i="39"/>
  <c r="HI89" i="39" s="1"/>
  <c r="GH40" i="39"/>
  <c r="HI40" i="39" s="1"/>
  <c r="GY40" i="39" s="1"/>
  <c r="GH18" i="39"/>
  <c r="HI18" i="39" s="1"/>
  <c r="GH84" i="39"/>
  <c r="HI84" i="39" s="1"/>
  <c r="GH38" i="39"/>
  <c r="HI38" i="39" s="1"/>
  <c r="GY38" i="39" s="1"/>
  <c r="GH64" i="39"/>
  <c r="HI64" i="39" s="1"/>
  <c r="GY64" i="39" s="1"/>
  <c r="GH116" i="39"/>
  <c r="HI116" i="39" s="1"/>
  <c r="GH41" i="39"/>
  <c r="HI41" i="39" s="1"/>
  <c r="GH81" i="39"/>
  <c r="HI81" i="39" s="1"/>
  <c r="GH58" i="39"/>
  <c r="HI58" i="39" s="1"/>
  <c r="GH110" i="39"/>
  <c r="HI110" i="39" s="1"/>
  <c r="GH12" i="39"/>
  <c r="HI12" i="39" s="1"/>
  <c r="GH103" i="39"/>
  <c r="HI103" i="39" s="1"/>
  <c r="GY103" i="39" s="1"/>
  <c r="GH43" i="39"/>
  <c r="HI43" i="39" s="1"/>
  <c r="GY43" i="39" s="1"/>
  <c r="GI102" i="39"/>
  <c r="GI58" i="39"/>
  <c r="GH44" i="39"/>
  <c r="HI44" i="39" s="1"/>
  <c r="GY44" i="39" s="1"/>
  <c r="GI69" i="39"/>
  <c r="GI92" i="39"/>
  <c r="GH59" i="39"/>
  <c r="HI59" i="39" s="1"/>
  <c r="GH53" i="39"/>
  <c r="HI53" i="39" s="1"/>
  <c r="GY53" i="39" s="1"/>
  <c r="GH119" i="39"/>
  <c r="HI119" i="39" s="1"/>
  <c r="GI31" i="39"/>
  <c r="GI41" i="39"/>
  <c r="GQ15" i="39"/>
  <c r="GR15" i="39" s="1"/>
  <c r="GS15" i="39" s="1"/>
  <c r="GT15" i="39"/>
  <c r="GQ16" i="39"/>
  <c r="GR16" i="39" s="1"/>
  <c r="GS16" i="39" s="1"/>
  <c r="GT16" i="39"/>
  <c r="GI35" i="39"/>
  <c r="GI63" i="39"/>
  <c r="GI26" i="39"/>
  <c r="GI20" i="39"/>
  <c r="GH71" i="39"/>
  <c r="HI71" i="39" s="1"/>
  <c r="GY71" i="39" s="1"/>
  <c r="GI71" i="39"/>
  <c r="GI44" i="39"/>
  <c r="GI39" i="39"/>
  <c r="GH52" i="39"/>
  <c r="HI52" i="39" s="1"/>
  <c r="GH67" i="39"/>
  <c r="HI67" i="39" s="1"/>
  <c r="GY67" i="39" s="1"/>
  <c r="GI76" i="39"/>
  <c r="GH9" i="39"/>
  <c r="GH114" i="39"/>
  <c r="HI114" i="39" s="1"/>
  <c r="GH88" i="39"/>
  <c r="HI88" i="39" s="1"/>
  <c r="GY88" i="39" s="1"/>
  <c r="GH96" i="39"/>
  <c r="HI96" i="39" s="1"/>
  <c r="GY96" i="39" s="1"/>
  <c r="GH112" i="39"/>
  <c r="HI112" i="39" s="1"/>
  <c r="GI90" i="39"/>
  <c r="GI68" i="39"/>
  <c r="GH85" i="39"/>
  <c r="HI85" i="39" s="1"/>
  <c r="GY85" i="39" s="1"/>
  <c r="GI45" i="39"/>
  <c r="GI73" i="39"/>
  <c r="GH22" i="39"/>
  <c r="HI22" i="39" s="1"/>
  <c r="GY22" i="39" s="1"/>
  <c r="GH117" i="39"/>
  <c r="HI117" i="39" s="1"/>
  <c r="GH47" i="39"/>
  <c r="HI47" i="39" s="1"/>
  <c r="GY47" i="39" s="1"/>
  <c r="GH65" i="39"/>
  <c r="HI65" i="39" s="1"/>
  <c r="GY65" i="39" s="1"/>
  <c r="GH106" i="39"/>
  <c r="HI106" i="39" s="1"/>
  <c r="GY106" i="39" s="1"/>
  <c r="GH91" i="39"/>
  <c r="HI91" i="39" s="1"/>
  <c r="GY91" i="39" s="1"/>
  <c r="GI29" i="39"/>
  <c r="GI65" i="39"/>
  <c r="GH28" i="39"/>
  <c r="HI28" i="39" s="1"/>
  <c r="GY28" i="39" s="1"/>
  <c r="GH63" i="39"/>
  <c r="HI63" i="39" s="1"/>
  <c r="GY63" i="39" s="1"/>
  <c r="GI43" i="39"/>
  <c r="GH94" i="39"/>
  <c r="HI94" i="39" s="1"/>
  <c r="GY94" i="39" s="1"/>
  <c r="GH107" i="39"/>
  <c r="HI107" i="39" s="1"/>
  <c r="GI21" i="39"/>
  <c r="GI99" i="39"/>
  <c r="GI96" i="39"/>
  <c r="GF8" i="39"/>
  <c r="GG7" i="39"/>
  <c r="D27" i="42" s="1"/>
  <c r="GG5" i="39"/>
  <c r="D24" i="42" s="1"/>
  <c r="GF6" i="39"/>
  <c r="D26" i="42" s="1"/>
  <c r="GC7" i="39"/>
  <c r="GQ30" i="39"/>
  <c r="GR30" i="39" s="1"/>
  <c r="GQ47" i="39"/>
  <c r="GR47" i="39" s="1"/>
  <c r="GQ35" i="39"/>
  <c r="GR35" i="39" s="1"/>
  <c r="GQ99" i="39"/>
  <c r="GR99" i="39" s="1"/>
  <c r="GS99" i="39"/>
  <c r="GT99" i="39"/>
  <c r="GQ112" i="39"/>
  <c r="GR112" i="39" s="1"/>
  <c r="GQ87" i="39"/>
  <c r="GR87" i="39" s="1"/>
  <c r="GS87" i="39" s="1"/>
  <c r="GT87" i="39"/>
  <c r="GQ17" i="39"/>
  <c r="GR17" i="39" s="1"/>
  <c r="GS17" i="39" s="1"/>
  <c r="GT17" i="39"/>
  <c r="GQ49" i="39"/>
  <c r="GR49" i="39" s="1"/>
  <c r="GS49" i="39"/>
  <c r="GT49" i="39"/>
  <c r="GQ58" i="39"/>
  <c r="GR58" i="39" s="1"/>
  <c r="GQ90" i="39"/>
  <c r="GR90" i="39" s="1"/>
  <c r="GT90" i="39"/>
  <c r="GS90" i="39"/>
  <c r="GQ110" i="39"/>
  <c r="GR110" i="39" s="1"/>
  <c r="GQ89" i="39"/>
  <c r="GR89" i="39" s="1"/>
  <c r="GS89" i="39" s="1"/>
  <c r="GT89" i="39"/>
  <c r="GQ121" i="39"/>
  <c r="GR121" i="39" s="1"/>
  <c r="GQ43" i="39"/>
  <c r="GR43" i="39" s="1"/>
  <c r="GQ113" i="39"/>
  <c r="GR113" i="39" s="1"/>
  <c r="GQ104" i="39"/>
  <c r="GR104" i="39" s="1"/>
  <c r="GQ62" i="39"/>
  <c r="GR62" i="39" s="1"/>
  <c r="GT62" i="39"/>
  <c r="GS62" i="39"/>
  <c r="GQ32" i="39"/>
  <c r="GR32" i="39" s="1"/>
  <c r="GQ64" i="39"/>
  <c r="GR64" i="39" s="1"/>
  <c r="GS64" i="39"/>
  <c r="GT64" i="39"/>
  <c r="GQ96" i="39"/>
  <c r="GR96" i="39" s="1"/>
  <c r="GQ34" i="39"/>
  <c r="GR34" i="39" s="1"/>
  <c r="GS34" i="39"/>
  <c r="GT34" i="39"/>
  <c r="GT52" i="39"/>
  <c r="GQ92" i="39"/>
  <c r="GR92" i="39" s="1"/>
  <c r="GQ107" i="39"/>
  <c r="GR107" i="39" s="1"/>
  <c r="GS107" i="39"/>
  <c r="GT107" i="39"/>
  <c r="GQ111" i="39"/>
  <c r="GR111" i="39" s="1"/>
  <c r="GQ69" i="39"/>
  <c r="GR69" i="39" s="1"/>
  <c r="GT69" i="39"/>
  <c r="GS69" i="39"/>
  <c r="HI37" i="39"/>
  <c r="GY37" i="39" s="1"/>
  <c r="GQ20" i="39"/>
  <c r="GR20" i="39" s="1"/>
  <c r="GT20" i="39"/>
  <c r="GS20" i="39"/>
  <c r="GQ93" i="39"/>
  <c r="GR93" i="39" s="1"/>
  <c r="GS93" i="39" s="1"/>
  <c r="GT93" i="39"/>
  <c r="GQ11" i="39"/>
  <c r="GR11" i="39" s="1"/>
  <c r="GT11" i="39"/>
  <c r="GQ46" i="39"/>
  <c r="GR46" i="39" s="1"/>
  <c r="GQ63" i="39"/>
  <c r="GR63" i="39" s="1"/>
  <c r="GQ51" i="39"/>
  <c r="GR51" i="39" s="1"/>
  <c r="GQ25" i="39"/>
  <c r="GR25" i="39" s="1"/>
  <c r="GS25" i="39" s="1"/>
  <c r="GT25" i="39"/>
  <c r="GQ57" i="39"/>
  <c r="GR57" i="39" s="1"/>
  <c r="GQ66" i="39"/>
  <c r="GR66" i="39" s="1"/>
  <c r="GQ98" i="39"/>
  <c r="GR98" i="39" s="1"/>
  <c r="GS98" i="39"/>
  <c r="GT98" i="39"/>
  <c r="GQ118" i="39"/>
  <c r="GR118" i="39" s="1"/>
  <c r="GQ23" i="39"/>
  <c r="GR23" i="39" s="1"/>
  <c r="GT23" i="39"/>
  <c r="GS23" i="39"/>
  <c r="GQ12" i="39"/>
  <c r="GR12" i="39" s="1"/>
  <c r="GS12" i="39" s="1"/>
  <c r="GT12" i="39"/>
  <c r="GQ59" i="39"/>
  <c r="GR59" i="39" s="1"/>
  <c r="GQ60" i="39"/>
  <c r="GR60" i="39" s="1"/>
  <c r="GT60" i="39"/>
  <c r="GS60" i="39"/>
  <c r="GQ39" i="39"/>
  <c r="GR39" i="39" s="1"/>
  <c r="GQ114" i="39"/>
  <c r="GR114" i="39" s="1"/>
  <c r="GQ40" i="39"/>
  <c r="GR40" i="39" s="1"/>
  <c r="GQ72" i="39"/>
  <c r="GR72" i="39" s="1"/>
  <c r="GQ116" i="39"/>
  <c r="GR116" i="39" s="1"/>
  <c r="GT116" i="39"/>
  <c r="GS116" i="39"/>
  <c r="HI111" i="39"/>
  <c r="GQ81" i="39"/>
  <c r="GR81" i="39" s="1"/>
  <c r="GS81" i="39" s="1"/>
  <c r="GT81" i="39"/>
  <c r="GQ68" i="39"/>
  <c r="GR68" i="39" s="1"/>
  <c r="GQ100" i="39"/>
  <c r="GR100" i="39" s="1"/>
  <c r="GQ29" i="39"/>
  <c r="GR29" i="39" s="1"/>
  <c r="GQ37" i="39"/>
  <c r="GR37" i="39" s="1"/>
  <c r="GC5" i="39"/>
  <c r="GQ117" i="39"/>
  <c r="GR117" i="39" s="1"/>
  <c r="GT117" i="39"/>
  <c r="GS117" i="39"/>
  <c r="GQ36" i="39"/>
  <c r="GR36" i="39" s="1"/>
  <c r="GQ77" i="39"/>
  <c r="GR77" i="39" s="1"/>
  <c r="GQ78" i="39"/>
  <c r="GR78" i="39" s="1"/>
  <c r="GT78" i="39"/>
  <c r="GS78" i="39"/>
  <c r="HI109" i="39"/>
  <c r="GQ120" i="39"/>
  <c r="GR120" i="39" s="1"/>
  <c r="GQ54" i="39"/>
  <c r="GR54" i="39" s="1"/>
  <c r="GT13" i="39"/>
  <c r="GQ79" i="39"/>
  <c r="GR79" i="39" s="1"/>
  <c r="GT79" i="39"/>
  <c r="GS79" i="39"/>
  <c r="GQ105" i="39"/>
  <c r="GR105" i="39" s="1"/>
  <c r="GT105" i="39"/>
  <c r="GS105" i="39"/>
  <c r="GQ67" i="39"/>
  <c r="GR67" i="39" s="1"/>
  <c r="GT67" i="39"/>
  <c r="GS67" i="39"/>
  <c r="GQ33" i="39"/>
  <c r="GR33" i="39" s="1"/>
  <c r="GS33" i="39" s="1"/>
  <c r="GT33" i="39"/>
  <c r="GQ65" i="39"/>
  <c r="GR65" i="39" s="1"/>
  <c r="GS65" i="39"/>
  <c r="GT65" i="39"/>
  <c r="GT42" i="39"/>
  <c r="GQ74" i="39"/>
  <c r="GR74" i="39" s="1"/>
  <c r="GQ106" i="39"/>
  <c r="GR106" i="39" s="1"/>
  <c r="GQ55" i="39"/>
  <c r="GR55" i="39" s="1"/>
  <c r="GS55" i="39"/>
  <c r="GT55" i="39"/>
  <c r="GQ44" i="39"/>
  <c r="GR44" i="39" s="1"/>
  <c r="GT44" i="39"/>
  <c r="GS44" i="39"/>
  <c r="GQ75" i="39"/>
  <c r="GR75" i="39" s="1"/>
  <c r="GS75" i="39" s="1"/>
  <c r="GT75" i="39"/>
  <c r="HI118" i="39"/>
  <c r="GQ71" i="39"/>
  <c r="GR71" i="39" s="1"/>
  <c r="GQ14" i="39"/>
  <c r="GR14" i="39" s="1"/>
  <c r="GQ48" i="39"/>
  <c r="GR48" i="39" s="1"/>
  <c r="GQ80" i="39"/>
  <c r="GR80" i="39" s="1"/>
  <c r="GQ18" i="39"/>
  <c r="GR18" i="39" s="1"/>
  <c r="GQ28" i="39"/>
  <c r="GR28" i="39" s="1"/>
  <c r="GS28" i="39"/>
  <c r="GT28" i="39"/>
  <c r="GQ119" i="39"/>
  <c r="GR119" i="39" s="1"/>
  <c r="GS119" i="39"/>
  <c r="GT119" i="39"/>
  <c r="GQ10" i="39"/>
  <c r="GR10" i="39" s="1"/>
  <c r="GS10" i="39"/>
  <c r="GT10" i="39"/>
  <c r="GQ97" i="39"/>
  <c r="GR97" i="39" s="1"/>
  <c r="GS97" i="39"/>
  <c r="GT97" i="39"/>
  <c r="GQ76" i="39"/>
  <c r="GR76" i="39" s="1"/>
  <c r="GQ108" i="39"/>
  <c r="GR108" i="39" s="1"/>
  <c r="GQ85" i="39"/>
  <c r="GR85" i="39" s="1"/>
  <c r="GT85" i="39"/>
  <c r="GS85" i="39"/>
  <c r="GQ45" i="39"/>
  <c r="GR45" i="39" s="1"/>
  <c r="GS45" i="39"/>
  <c r="GT45" i="39"/>
  <c r="GQ21" i="39"/>
  <c r="GR21" i="39" s="1"/>
  <c r="GS21" i="39" s="1"/>
  <c r="GT21" i="39"/>
  <c r="GQ102" i="39"/>
  <c r="GR102" i="39" s="1"/>
  <c r="GT102" i="39"/>
  <c r="HI121" i="39"/>
  <c r="GQ109" i="39"/>
  <c r="GR109" i="39" s="1"/>
  <c r="GC8" i="39"/>
  <c r="GQ22" i="39"/>
  <c r="GR22" i="39" s="1"/>
  <c r="GQ70" i="39"/>
  <c r="GR70" i="39" s="1"/>
  <c r="GQ31" i="39"/>
  <c r="GR31" i="39" s="1"/>
  <c r="GQ95" i="39"/>
  <c r="GR95" i="39" s="1"/>
  <c r="GQ19" i="39"/>
  <c r="GR19" i="39" s="1"/>
  <c r="GQ83" i="39"/>
  <c r="GR83" i="39" s="1"/>
  <c r="GQ115" i="39"/>
  <c r="GR115" i="39" s="1"/>
  <c r="GS115" i="39" s="1"/>
  <c r="GT115" i="39"/>
  <c r="GQ41" i="39"/>
  <c r="GR41" i="39" s="1"/>
  <c r="GQ73" i="39"/>
  <c r="GR73" i="39" s="1"/>
  <c r="GS73" i="39"/>
  <c r="GT73" i="39"/>
  <c r="GQ50" i="39"/>
  <c r="GR50" i="39" s="1"/>
  <c r="GQ82" i="39"/>
  <c r="GR82" i="39" s="1"/>
  <c r="GQ103" i="39"/>
  <c r="GR103" i="39" s="1"/>
  <c r="GQ27" i="39"/>
  <c r="GR27" i="39" s="1"/>
  <c r="GQ91" i="39"/>
  <c r="GR91" i="39" s="1"/>
  <c r="GQ38" i="39"/>
  <c r="GR38" i="39" s="1"/>
  <c r="GT38" i="39"/>
  <c r="GS38" i="39"/>
  <c r="GQ24" i="39"/>
  <c r="GR24" i="39" s="1"/>
  <c r="GQ56" i="39"/>
  <c r="GR56" i="39" s="1"/>
  <c r="GS56" i="39" s="1"/>
  <c r="GT56" i="39"/>
  <c r="GQ88" i="39"/>
  <c r="GR88" i="39" s="1"/>
  <c r="GQ26" i="39"/>
  <c r="GR26" i="39" s="1"/>
  <c r="GT26" i="39"/>
  <c r="GS26" i="39"/>
  <c r="GQ101" i="39"/>
  <c r="GR101" i="39" s="1"/>
  <c r="GT101" i="39"/>
  <c r="GS101" i="39"/>
  <c r="GQ86" i="39"/>
  <c r="GR86" i="39" s="1"/>
  <c r="GS86" i="39" s="1"/>
  <c r="GT86" i="39"/>
  <c r="GQ84" i="39"/>
  <c r="GR84" i="39" s="1"/>
  <c r="GS84" i="39" s="1"/>
  <c r="GT84" i="39"/>
  <c r="HI83" i="39"/>
  <c r="GY83" i="39" s="1"/>
  <c r="GQ94" i="39"/>
  <c r="GR94" i="39" s="1"/>
  <c r="HI120" i="39"/>
  <c r="GQ61" i="39"/>
  <c r="GR61" i="39" s="1"/>
  <c r="HI10" i="39"/>
  <c r="GY10" i="39" s="1"/>
  <c r="GQ53" i="39"/>
  <c r="GR53" i="39" s="1"/>
  <c r="HI55" i="39"/>
  <c r="GY55" i="39" s="1"/>
  <c r="HI104" i="39"/>
  <c r="HI27" i="39"/>
  <c r="GY27" i="39" s="1"/>
  <c r="HI108" i="39"/>
  <c r="GY108" i="39" s="1"/>
  <c r="HI80" i="39"/>
  <c r="GY80" i="39" s="1"/>
  <c r="HI70" i="39"/>
  <c r="GY70" i="39" s="1"/>
  <c r="AN156" i="7"/>
  <c r="G37" i="7" s="1"/>
  <c r="AS137" i="7"/>
  <c r="AS156" i="7" s="1"/>
  <c r="G36" i="7" s="1"/>
  <c r="HI93" i="39"/>
  <c r="HI13" i="39"/>
  <c r="HI60" i="39"/>
  <c r="GY60" i="39" s="1"/>
  <c r="HI92" i="39"/>
  <c r="GY92" i="39" s="1"/>
  <c r="GB8" i="39"/>
  <c r="GE8" i="39"/>
  <c r="HI57" i="39"/>
  <c r="HI72" i="39"/>
  <c r="GY72" i="39" s="1"/>
  <c r="HI87" i="39"/>
  <c r="HI11" i="39"/>
  <c r="GB6" i="39"/>
  <c r="GE6" i="39"/>
  <c r="HI105" i="39"/>
  <c r="GY105" i="39" s="1"/>
  <c r="HI30" i="39"/>
  <c r="GY30" i="39" s="1"/>
  <c r="GF4" i="39"/>
  <c r="D23" i="42" s="1"/>
  <c r="AU137" i="7"/>
  <c r="AU156" i="7" s="1"/>
  <c r="I36" i="7" s="1"/>
  <c r="AP156" i="7"/>
  <c r="I37" i="7" s="1"/>
  <c r="AR137" i="7"/>
  <c r="AR156" i="7" s="1"/>
  <c r="L36" i="7" s="1"/>
  <c r="AM156" i="7"/>
  <c r="L37" i="7" s="1"/>
  <c r="HI39" i="39"/>
  <c r="GY39" i="39" s="1"/>
  <c r="HI48" i="39"/>
  <c r="HI49" i="39"/>
  <c r="GY49" i="39" s="1"/>
  <c r="GB4" i="39"/>
  <c r="GE4" i="39"/>
  <c r="HI77" i="39"/>
  <c r="GY77" i="39" s="1"/>
  <c r="AL156" i="7"/>
  <c r="J37" i="7" s="1"/>
  <c r="AQ137" i="7"/>
  <c r="AQ156" i="7" s="1"/>
  <c r="J36" i="7" s="1"/>
  <c r="HI90" i="39"/>
  <c r="GY90" i="39" s="1"/>
  <c r="HI45" i="39"/>
  <c r="GY45" i="39" s="1"/>
  <c r="HI26" i="39"/>
  <c r="GY26" i="39" s="1"/>
  <c r="HI23" i="39"/>
  <c r="GY23" i="39" s="1"/>
  <c r="HI34" i="39"/>
  <c r="GY34" i="39" s="1"/>
  <c r="HI79" i="39"/>
  <c r="GY79" i="39" s="1"/>
  <c r="GQ9" i="39"/>
  <c r="HI29" i="39"/>
  <c r="AT137" i="7"/>
  <c r="AT156" i="7" s="1"/>
  <c r="H36" i="7" s="1"/>
  <c r="AO156" i="7"/>
  <c r="H37" i="7" s="1"/>
  <c r="HI14" i="39"/>
  <c r="HI100" i="39"/>
  <c r="HI95" i="39"/>
  <c r="GY95" i="39" s="1"/>
  <c r="HI17" i="39"/>
  <c r="HI19" i="39"/>
  <c r="HI50" i="39"/>
  <c r="GY50" i="39" s="1"/>
  <c r="HI98" i="39"/>
  <c r="GY98" i="39" s="1"/>
  <c r="E157" i="7"/>
  <c r="HI51" i="39"/>
  <c r="GY51" i="39" s="1"/>
  <c r="HI78" i="39"/>
  <c r="GY78" i="39" s="1"/>
  <c r="HI97" i="39"/>
  <c r="GY97" i="39" s="1"/>
  <c r="HI66" i="39"/>
  <c r="GY66" i="39" s="1"/>
  <c r="HI69" i="39"/>
  <c r="GY69" i="39" s="1"/>
  <c r="HI46" i="39"/>
  <c r="GY46" i="39" s="1"/>
  <c r="HI61" i="39"/>
  <c r="GY61" i="39" s="1"/>
  <c r="HI21" i="39"/>
  <c r="GI5" i="39" l="1"/>
  <c r="GH6" i="39"/>
  <c r="HI6" i="39" s="1"/>
  <c r="HI7" i="39" s="1"/>
  <c r="GR9" i="39"/>
  <c r="GS9" i="39" s="1"/>
  <c r="GS11" i="39"/>
  <c r="GS102" i="39"/>
  <c r="GW102" i="39" s="1"/>
  <c r="GI8" i="39"/>
  <c r="GQ42" i="39"/>
  <c r="GR42" i="39" s="1"/>
  <c r="GS88" i="39"/>
  <c r="GT88" i="39"/>
  <c r="GS91" i="39"/>
  <c r="GW91" i="39" s="1"/>
  <c r="GT91" i="39"/>
  <c r="GS103" i="39"/>
  <c r="GT103" i="39"/>
  <c r="GT50" i="39"/>
  <c r="GS50" i="39"/>
  <c r="GW50" i="39" s="1"/>
  <c r="GI7" i="39"/>
  <c r="GS108" i="39"/>
  <c r="GT108" i="39"/>
  <c r="GW119" i="39"/>
  <c r="GX119" i="39" s="1"/>
  <c r="GS80" i="39"/>
  <c r="HC80" i="39" s="1"/>
  <c r="GT80" i="39"/>
  <c r="GT14" i="39"/>
  <c r="GS14" i="39"/>
  <c r="GY118" i="39"/>
  <c r="GT120" i="39"/>
  <c r="GS120" i="39"/>
  <c r="HC120" i="39" s="1"/>
  <c r="GS36" i="39"/>
  <c r="GW36" i="39" s="1"/>
  <c r="GT36" i="39"/>
  <c r="GS29" i="39"/>
  <c r="GT29" i="39"/>
  <c r="GT68" i="39"/>
  <c r="GS68" i="39"/>
  <c r="HC116" i="39"/>
  <c r="HD116" i="39" s="1"/>
  <c r="HE116" i="39" s="1"/>
  <c r="GS59" i="39"/>
  <c r="GT59" i="39"/>
  <c r="GS118" i="39"/>
  <c r="GW118" i="39" s="1"/>
  <c r="GX118" i="39" s="1"/>
  <c r="GT118" i="39"/>
  <c r="GT92" i="39"/>
  <c r="GS92" i="39"/>
  <c r="HC92" i="39" s="1"/>
  <c r="GS32" i="39"/>
  <c r="GT32" i="39"/>
  <c r="GS110" i="39"/>
  <c r="HC110" i="39" s="1"/>
  <c r="GT110" i="39"/>
  <c r="GT35" i="39"/>
  <c r="GS35" i="39"/>
  <c r="HC35" i="39" s="1"/>
  <c r="GT30" i="39"/>
  <c r="GS30" i="39"/>
  <c r="HC30" i="39" s="1"/>
  <c r="GS61" i="39"/>
  <c r="GW61" i="39" s="1"/>
  <c r="GT61" i="39"/>
  <c r="GS24" i="39"/>
  <c r="GT24" i="39"/>
  <c r="GS41" i="39"/>
  <c r="GT41" i="39"/>
  <c r="GT19" i="39"/>
  <c r="GS19" i="39"/>
  <c r="GS31" i="39"/>
  <c r="GW31" i="39" s="1"/>
  <c r="GT31" i="39"/>
  <c r="GS22" i="39"/>
  <c r="HC22" i="39" s="1"/>
  <c r="GT22" i="39"/>
  <c r="GS109" i="39"/>
  <c r="HC109" i="39" s="1"/>
  <c r="GT109" i="39"/>
  <c r="GS74" i="39"/>
  <c r="HC74" i="39" s="1"/>
  <c r="GT74" i="39"/>
  <c r="GY116" i="39"/>
  <c r="GW116" i="39"/>
  <c r="GX116" i="39" s="1"/>
  <c r="GY117" i="39"/>
  <c r="GW117" i="39"/>
  <c r="GX117" i="39" s="1"/>
  <c r="HC117" i="39"/>
  <c r="HD117" i="39" s="1"/>
  <c r="HE117" i="39" s="1"/>
  <c r="GT77" i="39"/>
  <c r="GS77" i="39"/>
  <c r="GW77" i="39" s="1"/>
  <c r="GT72" i="39"/>
  <c r="GS72" i="39"/>
  <c r="HC72" i="39" s="1"/>
  <c r="GS114" i="39"/>
  <c r="GT114" i="39"/>
  <c r="GT39" i="39"/>
  <c r="GS39" i="39"/>
  <c r="GW39" i="39" s="1"/>
  <c r="GS66" i="39"/>
  <c r="GW66" i="39" s="1"/>
  <c r="GT66" i="39"/>
  <c r="GS51" i="39"/>
  <c r="GW51" i="39" s="1"/>
  <c r="GT51" i="39"/>
  <c r="GS63" i="39"/>
  <c r="GW63" i="39" s="1"/>
  <c r="GT63" i="39"/>
  <c r="GQ52" i="39"/>
  <c r="GR52" i="39" s="1"/>
  <c r="GT104" i="39"/>
  <c r="GS104" i="39"/>
  <c r="GS43" i="39"/>
  <c r="HC43" i="39" s="1"/>
  <c r="GT43" i="39"/>
  <c r="GT58" i="39"/>
  <c r="GS58" i="39"/>
  <c r="GS53" i="39"/>
  <c r="GW53" i="39" s="1"/>
  <c r="GT53" i="39"/>
  <c r="GY120" i="39"/>
  <c r="GT94" i="39"/>
  <c r="GS94" i="39"/>
  <c r="GT27" i="39"/>
  <c r="GS27" i="39"/>
  <c r="HC27" i="39" s="1"/>
  <c r="GT82" i="39"/>
  <c r="GS82" i="39"/>
  <c r="GT76" i="39"/>
  <c r="GS76" i="39"/>
  <c r="HC76" i="39" s="1"/>
  <c r="GS18" i="39"/>
  <c r="GT18" i="39"/>
  <c r="GS48" i="39"/>
  <c r="GT48" i="39"/>
  <c r="GT71" i="39"/>
  <c r="GS71" i="39"/>
  <c r="GW71" i="39" s="1"/>
  <c r="GT54" i="39"/>
  <c r="GS54" i="39"/>
  <c r="GY109" i="39"/>
  <c r="GT37" i="39"/>
  <c r="GS37" i="39"/>
  <c r="HC37" i="39" s="1"/>
  <c r="GT100" i="39"/>
  <c r="GS100" i="39"/>
  <c r="GW100" i="39" s="1"/>
  <c r="GY110" i="39"/>
  <c r="GS47" i="39"/>
  <c r="GW47" i="39" s="1"/>
  <c r="GT47" i="39"/>
  <c r="GY119" i="39"/>
  <c r="HC119" i="39"/>
  <c r="GY113" i="39"/>
  <c r="GW115" i="39"/>
  <c r="GX115" i="39" s="1"/>
  <c r="GS83" i="39"/>
  <c r="GT83" i="39"/>
  <c r="GT95" i="39"/>
  <c r="GS95" i="39"/>
  <c r="HC95" i="39" s="1"/>
  <c r="GS70" i="39"/>
  <c r="HC70" i="39" s="1"/>
  <c r="GT70" i="39"/>
  <c r="GY121" i="39"/>
  <c r="GS106" i="39"/>
  <c r="HC106" i="39" s="1"/>
  <c r="GT106" i="39"/>
  <c r="GQ13" i="39"/>
  <c r="GY111" i="39"/>
  <c r="GS40" i="39"/>
  <c r="HC40" i="39" s="1"/>
  <c r="GT40" i="39"/>
  <c r="GY112" i="39"/>
  <c r="GS57" i="39"/>
  <c r="GT57" i="39"/>
  <c r="GT46" i="39"/>
  <c r="GS46" i="39"/>
  <c r="HC46" i="39" s="1"/>
  <c r="GS111" i="39"/>
  <c r="GW111" i="39" s="1"/>
  <c r="GX111" i="39" s="1"/>
  <c r="GT111" i="39"/>
  <c r="GS96" i="39"/>
  <c r="HC96" i="39" s="1"/>
  <c r="GT96" i="39"/>
  <c r="GT113" i="39"/>
  <c r="GS113" i="39"/>
  <c r="GS121" i="39"/>
  <c r="HC121" i="39" s="1"/>
  <c r="GT121" i="39"/>
  <c r="GS112" i="39"/>
  <c r="GT112" i="39"/>
  <c r="G34" i="7"/>
  <c r="G41" i="7" s="1"/>
  <c r="AH308" i="7" s="1"/>
  <c r="L34" i="7"/>
  <c r="L41" i="7" s="1"/>
  <c r="L46" i="7" s="1"/>
  <c r="L47" i="7" s="1"/>
  <c r="H34" i="7"/>
  <c r="S46" i="7" s="1"/>
  <c r="L342" i="7" s="1"/>
  <c r="I34" i="7"/>
  <c r="I41" i="7" s="1"/>
  <c r="I46" i="7" s="1"/>
  <c r="GW73" i="39"/>
  <c r="J34" i="7"/>
  <c r="J41" i="7" s="1"/>
  <c r="F36" i="7"/>
  <c r="IJ10" i="39"/>
  <c r="GV6" i="39" s="1"/>
  <c r="IH10" i="39"/>
  <c r="GV4" i="39" s="1"/>
  <c r="GW86" i="39" s="1"/>
  <c r="HC20" i="39"/>
  <c r="GW99" i="39"/>
  <c r="HC23" i="39"/>
  <c r="GW10" i="39"/>
  <c r="T261" i="7"/>
  <c r="T269" i="7" s="1"/>
  <c r="HC97" i="39"/>
  <c r="F37" i="7"/>
  <c r="P37" i="7" s="1"/>
  <c r="HC105" i="39"/>
  <c r="GW93" i="39"/>
  <c r="GW78" i="39"/>
  <c r="HC62" i="39"/>
  <c r="GW25" i="39"/>
  <c r="HC85" i="39"/>
  <c r="HC64" i="39"/>
  <c r="HC44" i="39"/>
  <c r="GW101" i="39"/>
  <c r="GW69" i="39"/>
  <c r="HC28" i="39"/>
  <c r="HC65" i="39"/>
  <c r="GW90" i="39"/>
  <c r="GT9" i="39"/>
  <c r="GW38" i="39"/>
  <c r="HC49" i="39"/>
  <c r="GW26" i="39"/>
  <c r="GH4" i="39"/>
  <c r="HI4" i="39" s="1"/>
  <c r="HI5" i="39" s="1"/>
  <c r="HC79" i="39"/>
  <c r="HC45" i="39"/>
  <c r="GW145" i="39" l="1"/>
  <c r="GX145" i="39" s="1"/>
  <c r="GW144" i="39"/>
  <c r="GX144" i="39" s="1"/>
  <c r="GW148" i="39"/>
  <c r="GX148" i="39" s="1"/>
  <c r="GW155" i="39"/>
  <c r="GX155" i="39" s="1"/>
  <c r="GW142" i="39"/>
  <c r="GX142" i="39" s="1"/>
  <c r="GW151" i="39"/>
  <c r="GX151" i="39" s="1"/>
  <c r="GW17" i="39"/>
  <c r="GW146" i="39"/>
  <c r="GX146" i="39" s="1"/>
  <c r="GW33" i="39"/>
  <c r="GW41" i="39"/>
  <c r="GX41" i="39" s="1"/>
  <c r="GW68" i="39"/>
  <c r="GW19" i="39"/>
  <c r="GW15" i="39"/>
  <c r="GX15" i="39" s="1"/>
  <c r="GW16" i="39"/>
  <c r="GX16" i="39" s="1"/>
  <c r="GW29" i="39"/>
  <c r="GX29" i="39" s="1"/>
  <c r="T34" i="7"/>
  <c r="U34" i="7" s="1"/>
  <c r="GR13" i="39"/>
  <c r="GS13" i="39" s="1"/>
  <c r="GW13" i="39" s="1"/>
  <c r="GX13" i="39" s="1"/>
  <c r="GS42" i="39"/>
  <c r="GW42" i="39" s="1"/>
  <c r="GX42" i="39" s="1"/>
  <c r="GS52" i="39"/>
  <c r="GW52" i="39" s="1"/>
  <c r="GX52" i="39" s="1"/>
  <c r="GW114" i="39"/>
  <c r="GX114" i="39" s="1"/>
  <c r="G206" i="7"/>
  <c r="GW110" i="39"/>
  <c r="GX110" i="39" s="1"/>
  <c r="H41" i="7"/>
  <c r="H46" i="7" s="1"/>
  <c r="H47" i="7" s="1"/>
  <c r="FO121" i="39"/>
  <c r="FP121" i="39" s="1"/>
  <c r="FQ121" i="39" s="1"/>
  <c r="FR121" i="39" s="1"/>
  <c r="FS121" i="39" s="1"/>
  <c r="FT121" i="39" s="1"/>
  <c r="FU121" i="39" s="1"/>
  <c r="FV121" i="39" s="1"/>
  <c r="FW121" i="39" s="1"/>
  <c r="FX121" i="39" s="1"/>
  <c r="FY121" i="39" s="1"/>
  <c r="FZ121" i="39" s="1"/>
  <c r="FA121" i="39"/>
  <c r="FB121" i="39" s="1"/>
  <c r="FC121" i="39" s="1"/>
  <c r="FD121" i="39" s="1"/>
  <c r="FE121" i="39" s="1"/>
  <c r="FF121" i="39" s="1"/>
  <c r="FG121" i="39" s="1"/>
  <c r="FH121" i="39" s="1"/>
  <c r="FI121" i="39" s="1"/>
  <c r="FJ121" i="39" s="1"/>
  <c r="FK121" i="39" s="1"/>
  <c r="FL121" i="39" s="1"/>
  <c r="GK121" i="39"/>
  <c r="GJ121" i="39"/>
  <c r="FA109" i="39"/>
  <c r="FB109" i="39" s="1"/>
  <c r="FC109" i="39" s="1"/>
  <c r="FD109" i="39" s="1"/>
  <c r="FE109" i="39" s="1"/>
  <c r="FF109" i="39" s="1"/>
  <c r="FG109" i="39" s="1"/>
  <c r="FH109" i="39" s="1"/>
  <c r="FI109" i="39" s="1"/>
  <c r="FJ109" i="39" s="1"/>
  <c r="FK109" i="39" s="1"/>
  <c r="FL109" i="39" s="1"/>
  <c r="FO109" i="39"/>
  <c r="FP109" i="39" s="1"/>
  <c r="FQ109" i="39" s="1"/>
  <c r="FR109" i="39" s="1"/>
  <c r="FS109" i="39" s="1"/>
  <c r="FT109" i="39" s="1"/>
  <c r="FU109" i="39" s="1"/>
  <c r="FV109" i="39" s="1"/>
  <c r="FW109" i="39" s="1"/>
  <c r="FX109" i="39" s="1"/>
  <c r="FY109" i="39" s="1"/>
  <c r="FZ109" i="39" s="1"/>
  <c r="GJ109" i="39"/>
  <c r="GK109" i="39"/>
  <c r="R46" i="7"/>
  <c r="J342" i="7" s="1"/>
  <c r="GW113" i="39"/>
  <c r="GX113" i="39" s="1"/>
  <c r="GZ111" i="39"/>
  <c r="HA111" i="39"/>
  <c r="HC113" i="39"/>
  <c r="HD113" i="39" s="1"/>
  <c r="HE113" i="39" s="1"/>
  <c r="GZ110" i="39"/>
  <c r="HA110" i="39"/>
  <c r="FA120" i="39"/>
  <c r="FB120" i="39" s="1"/>
  <c r="FC120" i="39" s="1"/>
  <c r="FD120" i="39" s="1"/>
  <c r="FE120" i="39" s="1"/>
  <c r="FF120" i="39" s="1"/>
  <c r="FG120" i="39" s="1"/>
  <c r="FH120" i="39" s="1"/>
  <c r="FI120" i="39" s="1"/>
  <c r="FJ120" i="39" s="1"/>
  <c r="FK120" i="39" s="1"/>
  <c r="FL120" i="39" s="1"/>
  <c r="FO120" i="39"/>
  <c r="FP120" i="39" s="1"/>
  <c r="FQ120" i="39" s="1"/>
  <c r="FR120" i="39" s="1"/>
  <c r="FS120" i="39" s="1"/>
  <c r="FT120" i="39" s="1"/>
  <c r="FU120" i="39" s="1"/>
  <c r="FV120" i="39" s="1"/>
  <c r="FW120" i="39" s="1"/>
  <c r="FX120" i="39" s="1"/>
  <c r="FY120" i="39" s="1"/>
  <c r="FZ120" i="39" s="1"/>
  <c r="GK120" i="39"/>
  <c r="GJ120" i="39"/>
  <c r="HC118" i="39"/>
  <c r="HD118" i="39" s="1"/>
  <c r="HE118" i="39" s="1"/>
  <c r="E206" i="7"/>
  <c r="HC112" i="39"/>
  <c r="HD112" i="39" s="1"/>
  <c r="HE112" i="39" s="1"/>
  <c r="GW121" i="39"/>
  <c r="GX121" i="39" s="1"/>
  <c r="HA113" i="39"/>
  <c r="GZ113" i="39"/>
  <c r="GW109" i="39"/>
  <c r="GX109" i="39" s="1"/>
  <c r="HA120" i="39"/>
  <c r="GZ120" i="39"/>
  <c r="GZ117" i="39"/>
  <c r="HA117" i="39"/>
  <c r="HD110" i="39"/>
  <c r="HE110" i="39" s="1"/>
  <c r="GW112" i="39"/>
  <c r="GX112" i="39" s="1"/>
  <c r="HC111" i="39"/>
  <c r="HD111" i="39" s="1"/>
  <c r="HE111" i="39" s="1"/>
  <c r="FA119" i="39"/>
  <c r="FB119" i="39" s="1"/>
  <c r="FC119" i="39" s="1"/>
  <c r="FD119" i="39" s="1"/>
  <c r="FE119" i="39" s="1"/>
  <c r="FF119" i="39" s="1"/>
  <c r="FG119" i="39" s="1"/>
  <c r="FH119" i="39" s="1"/>
  <c r="FI119" i="39" s="1"/>
  <c r="FJ119" i="39" s="1"/>
  <c r="FK119" i="39" s="1"/>
  <c r="FL119" i="39" s="1"/>
  <c r="FO119" i="39"/>
  <c r="FP119" i="39" s="1"/>
  <c r="FQ119" i="39" s="1"/>
  <c r="FR119" i="39" s="1"/>
  <c r="FS119" i="39" s="1"/>
  <c r="FT119" i="39" s="1"/>
  <c r="FU119" i="39" s="1"/>
  <c r="FV119" i="39" s="1"/>
  <c r="FW119" i="39" s="1"/>
  <c r="FX119" i="39" s="1"/>
  <c r="FY119" i="39" s="1"/>
  <c r="FZ119" i="39" s="1"/>
  <c r="GJ119" i="39"/>
  <c r="GK119" i="39"/>
  <c r="FA110" i="39"/>
  <c r="FB110" i="39" s="1"/>
  <c r="FC110" i="39" s="1"/>
  <c r="FD110" i="39" s="1"/>
  <c r="FE110" i="39" s="1"/>
  <c r="FF110" i="39" s="1"/>
  <c r="FG110" i="39" s="1"/>
  <c r="FH110" i="39" s="1"/>
  <c r="FI110" i="39" s="1"/>
  <c r="FJ110" i="39" s="1"/>
  <c r="FK110" i="39" s="1"/>
  <c r="FL110" i="39" s="1"/>
  <c r="FO110" i="39"/>
  <c r="FP110" i="39" s="1"/>
  <c r="FQ110" i="39" s="1"/>
  <c r="FR110" i="39" s="1"/>
  <c r="FS110" i="39" s="1"/>
  <c r="FT110" i="39" s="1"/>
  <c r="FU110" i="39" s="1"/>
  <c r="FV110" i="39" s="1"/>
  <c r="FW110" i="39" s="1"/>
  <c r="FX110" i="39" s="1"/>
  <c r="FY110" i="39" s="1"/>
  <c r="FZ110" i="39" s="1"/>
  <c r="GK110" i="39"/>
  <c r="GJ110" i="39"/>
  <c r="GW120" i="39"/>
  <c r="GX120" i="39" s="1"/>
  <c r="HD120" i="39"/>
  <c r="HE120" i="39" s="1"/>
  <c r="GZ118" i="39"/>
  <c r="HA118" i="39"/>
  <c r="HD121" i="39"/>
  <c r="HE121" i="39" s="1"/>
  <c r="GZ112" i="39"/>
  <c r="HA112" i="39"/>
  <c r="GZ121" i="39"/>
  <c r="HA121" i="39"/>
  <c r="HA119" i="39"/>
  <c r="GZ119" i="39"/>
  <c r="GZ109" i="39"/>
  <c r="HA109" i="39"/>
  <c r="FA117" i="39"/>
  <c r="FB117" i="39" s="1"/>
  <c r="FC117" i="39" s="1"/>
  <c r="FD117" i="39" s="1"/>
  <c r="FE117" i="39" s="1"/>
  <c r="FF117" i="39" s="1"/>
  <c r="FG117" i="39" s="1"/>
  <c r="FH117" i="39" s="1"/>
  <c r="FI117" i="39" s="1"/>
  <c r="FJ117" i="39" s="1"/>
  <c r="FK117" i="39" s="1"/>
  <c r="FL117" i="39" s="1"/>
  <c r="FO117" i="39"/>
  <c r="FP117" i="39" s="1"/>
  <c r="FQ117" i="39" s="1"/>
  <c r="FR117" i="39" s="1"/>
  <c r="FS117" i="39" s="1"/>
  <c r="FT117" i="39" s="1"/>
  <c r="FU117" i="39" s="1"/>
  <c r="FV117" i="39" s="1"/>
  <c r="FW117" i="39" s="1"/>
  <c r="FX117" i="39" s="1"/>
  <c r="FY117" i="39" s="1"/>
  <c r="FZ117" i="39" s="1"/>
  <c r="GK117" i="39"/>
  <c r="HH117" i="39" s="1" a="1"/>
  <c r="HH117" i="39" s="1"/>
  <c r="GJ117" i="39"/>
  <c r="HG117" i="39" s="1" a="1"/>
  <c r="HG117" i="39" s="1"/>
  <c r="GZ116" i="39"/>
  <c r="HA116" i="39"/>
  <c r="HD109" i="39"/>
  <c r="HE109" i="39" s="1"/>
  <c r="GK116" i="39"/>
  <c r="HH116" i="39" s="1" a="1"/>
  <c r="HH116" i="39" s="1"/>
  <c r="FO116" i="39"/>
  <c r="FP116" i="39" s="1"/>
  <c r="FQ116" i="39" s="1"/>
  <c r="FR116" i="39" s="1"/>
  <c r="FS116" i="39" s="1"/>
  <c r="FT116" i="39" s="1"/>
  <c r="FU116" i="39" s="1"/>
  <c r="FV116" i="39" s="1"/>
  <c r="FW116" i="39" s="1"/>
  <c r="FX116" i="39" s="1"/>
  <c r="FY116" i="39" s="1"/>
  <c r="FZ116" i="39" s="1"/>
  <c r="FA116" i="39"/>
  <c r="FB116" i="39" s="1"/>
  <c r="FC116" i="39" s="1"/>
  <c r="FD116" i="39" s="1"/>
  <c r="FE116" i="39" s="1"/>
  <c r="FF116" i="39" s="1"/>
  <c r="FG116" i="39" s="1"/>
  <c r="FH116" i="39" s="1"/>
  <c r="FI116" i="39" s="1"/>
  <c r="FJ116" i="39" s="1"/>
  <c r="FK116" i="39" s="1"/>
  <c r="FL116" i="39" s="1"/>
  <c r="GJ116" i="39"/>
  <c r="HG116" i="39" s="1" a="1"/>
  <c r="HG116" i="39" s="1"/>
  <c r="HD119" i="39"/>
  <c r="HE119" i="39" s="1"/>
  <c r="FO79" i="39"/>
  <c r="FP79" i="39" s="1"/>
  <c r="FQ79" i="39" s="1"/>
  <c r="FR79" i="39" s="1"/>
  <c r="FS79" i="39" s="1"/>
  <c r="FT79" i="39" s="1"/>
  <c r="FU79" i="39" s="1"/>
  <c r="FV79" i="39" s="1"/>
  <c r="FW79" i="39" s="1"/>
  <c r="FX79" i="39" s="1"/>
  <c r="FY79" i="39" s="1"/>
  <c r="FZ79" i="39" s="1"/>
  <c r="GK79" i="39"/>
  <c r="FO30" i="39"/>
  <c r="FP30" i="39" s="1"/>
  <c r="FQ30" i="39" s="1"/>
  <c r="FR30" i="39" s="1"/>
  <c r="FS30" i="39" s="1"/>
  <c r="FT30" i="39" s="1"/>
  <c r="FU30" i="39" s="1"/>
  <c r="FV30" i="39" s="1"/>
  <c r="FW30" i="39" s="1"/>
  <c r="FX30" i="39" s="1"/>
  <c r="FY30" i="39" s="1"/>
  <c r="FZ30" i="39" s="1"/>
  <c r="GK30" i="39"/>
  <c r="FO74" i="39"/>
  <c r="FP74" i="39" s="1"/>
  <c r="FQ74" i="39" s="1"/>
  <c r="FR74" i="39" s="1"/>
  <c r="FS74" i="39" s="1"/>
  <c r="FT74" i="39" s="1"/>
  <c r="FU74" i="39" s="1"/>
  <c r="FV74" i="39" s="1"/>
  <c r="FW74" i="39" s="1"/>
  <c r="FX74" i="39" s="1"/>
  <c r="FY74" i="39" s="1"/>
  <c r="FZ74" i="39" s="1"/>
  <c r="GK74" i="39"/>
  <c r="FO44" i="39"/>
  <c r="FP44" i="39" s="1"/>
  <c r="FQ44" i="39" s="1"/>
  <c r="FR44" i="39" s="1"/>
  <c r="FS44" i="39" s="1"/>
  <c r="FT44" i="39" s="1"/>
  <c r="FU44" i="39" s="1"/>
  <c r="FV44" i="39" s="1"/>
  <c r="FW44" i="39" s="1"/>
  <c r="FX44" i="39" s="1"/>
  <c r="FY44" i="39" s="1"/>
  <c r="FZ44" i="39" s="1"/>
  <c r="GK44" i="39"/>
  <c r="FO27" i="39"/>
  <c r="FP27" i="39" s="1"/>
  <c r="FQ27" i="39" s="1"/>
  <c r="FR27" i="39" s="1"/>
  <c r="FS27" i="39" s="1"/>
  <c r="FT27" i="39" s="1"/>
  <c r="FU27" i="39" s="1"/>
  <c r="FV27" i="39" s="1"/>
  <c r="FW27" i="39" s="1"/>
  <c r="FX27" i="39" s="1"/>
  <c r="FY27" i="39" s="1"/>
  <c r="FZ27" i="39" s="1"/>
  <c r="GK27" i="39"/>
  <c r="FO95" i="39"/>
  <c r="FP95" i="39" s="1"/>
  <c r="FQ95" i="39" s="1"/>
  <c r="FR95" i="39" s="1"/>
  <c r="FS95" i="39" s="1"/>
  <c r="FT95" i="39" s="1"/>
  <c r="FU95" i="39" s="1"/>
  <c r="FV95" i="39" s="1"/>
  <c r="FW95" i="39" s="1"/>
  <c r="FX95" i="39" s="1"/>
  <c r="FY95" i="39" s="1"/>
  <c r="FZ95" i="39" s="1"/>
  <c r="GK95" i="39"/>
  <c r="FO72" i="39"/>
  <c r="FP72" i="39" s="1"/>
  <c r="FQ72" i="39" s="1"/>
  <c r="FR72" i="39" s="1"/>
  <c r="FS72" i="39" s="1"/>
  <c r="FT72" i="39" s="1"/>
  <c r="FU72" i="39" s="1"/>
  <c r="FV72" i="39" s="1"/>
  <c r="FW72" i="39" s="1"/>
  <c r="FX72" i="39" s="1"/>
  <c r="FY72" i="39" s="1"/>
  <c r="FZ72" i="39" s="1"/>
  <c r="GK72" i="39"/>
  <c r="FO28" i="39"/>
  <c r="FP28" i="39" s="1"/>
  <c r="FQ28" i="39" s="1"/>
  <c r="FR28" i="39" s="1"/>
  <c r="FS28" i="39" s="1"/>
  <c r="FT28" i="39" s="1"/>
  <c r="FU28" i="39" s="1"/>
  <c r="FV28" i="39" s="1"/>
  <c r="FW28" i="39" s="1"/>
  <c r="FX28" i="39" s="1"/>
  <c r="FY28" i="39" s="1"/>
  <c r="FZ28" i="39" s="1"/>
  <c r="GK28" i="39"/>
  <c r="FO70" i="39"/>
  <c r="FP70" i="39" s="1"/>
  <c r="FQ70" i="39" s="1"/>
  <c r="FR70" i="39" s="1"/>
  <c r="FS70" i="39" s="1"/>
  <c r="FT70" i="39" s="1"/>
  <c r="FU70" i="39" s="1"/>
  <c r="FV70" i="39" s="1"/>
  <c r="FW70" i="39" s="1"/>
  <c r="FX70" i="39" s="1"/>
  <c r="FY70" i="39" s="1"/>
  <c r="FZ70" i="39" s="1"/>
  <c r="GK70" i="39"/>
  <c r="FO76" i="39"/>
  <c r="FP76" i="39" s="1"/>
  <c r="FQ76" i="39" s="1"/>
  <c r="FR76" i="39" s="1"/>
  <c r="FS76" i="39" s="1"/>
  <c r="FT76" i="39" s="1"/>
  <c r="FU76" i="39" s="1"/>
  <c r="FV76" i="39" s="1"/>
  <c r="FW76" i="39" s="1"/>
  <c r="FX76" i="39" s="1"/>
  <c r="FY76" i="39" s="1"/>
  <c r="FZ76" i="39" s="1"/>
  <c r="GK76" i="39"/>
  <c r="FO64" i="39"/>
  <c r="FP64" i="39" s="1"/>
  <c r="FQ64" i="39" s="1"/>
  <c r="FR64" i="39" s="1"/>
  <c r="FS64" i="39" s="1"/>
  <c r="FT64" i="39" s="1"/>
  <c r="FU64" i="39" s="1"/>
  <c r="FV64" i="39" s="1"/>
  <c r="FW64" i="39" s="1"/>
  <c r="FX64" i="39" s="1"/>
  <c r="FY64" i="39" s="1"/>
  <c r="FZ64" i="39" s="1"/>
  <c r="GK64" i="39"/>
  <c r="FO62" i="39"/>
  <c r="FP62" i="39" s="1"/>
  <c r="FQ62" i="39" s="1"/>
  <c r="FR62" i="39" s="1"/>
  <c r="FS62" i="39" s="1"/>
  <c r="FT62" i="39" s="1"/>
  <c r="FU62" i="39" s="1"/>
  <c r="FV62" i="39" s="1"/>
  <c r="FW62" i="39" s="1"/>
  <c r="FX62" i="39" s="1"/>
  <c r="FY62" i="39" s="1"/>
  <c r="FZ62" i="39" s="1"/>
  <c r="GK62" i="39"/>
  <c r="FO20" i="39"/>
  <c r="FP20" i="39" s="1"/>
  <c r="FQ20" i="39" s="1"/>
  <c r="FR20" i="39" s="1"/>
  <c r="FS20" i="39" s="1"/>
  <c r="FT20" i="39" s="1"/>
  <c r="FU20" i="39" s="1"/>
  <c r="FV20" i="39" s="1"/>
  <c r="FW20" i="39" s="1"/>
  <c r="FX20" i="39" s="1"/>
  <c r="FY20" i="39" s="1"/>
  <c r="FZ20" i="39" s="1"/>
  <c r="GK20" i="39"/>
  <c r="FO46" i="39"/>
  <c r="FP46" i="39" s="1"/>
  <c r="FQ46" i="39" s="1"/>
  <c r="FR46" i="39" s="1"/>
  <c r="FS46" i="39" s="1"/>
  <c r="FT46" i="39" s="1"/>
  <c r="FU46" i="39" s="1"/>
  <c r="FV46" i="39" s="1"/>
  <c r="FW46" i="39" s="1"/>
  <c r="FX46" i="39" s="1"/>
  <c r="FY46" i="39" s="1"/>
  <c r="FZ46" i="39" s="1"/>
  <c r="GK46" i="39"/>
  <c r="FO105" i="39"/>
  <c r="FP105" i="39" s="1"/>
  <c r="FQ105" i="39" s="1"/>
  <c r="FR105" i="39" s="1"/>
  <c r="FS105" i="39" s="1"/>
  <c r="FT105" i="39" s="1"/>
  <c r="FU105" i="39" s="1"/>
  <c r="FV105" i="39" s="1"/>
  <c r="FW105" i="39" s="1"/>
  <c r="FX105" i="39" s="1"/>
  <c r="FY105" i="39" s="1"/>
  <c r="FZ105" i="39" s="1"/>
  <c r="GK105" i="39"/>
  <c r="FO92" i="39"/>
  <c r="FP92" i="39" s="1"/>
  <c r="FQ92" i="39" s="1"/>
  <c r="FR92" i="39" s="1"/>
  <c r="FS92" i="39" s="1"/>
  <c r="FT92" i="39" s="1"/>
  <c r="FU92" i="39" s="1"/>
  <c r="FV92" i="39" s="1"/>
  <c r="FW92" i="39" s="1"/>
  <c r="FX92" i="39" s="1"/>
  <c r="FY92" i="39" s="1"/>
  <c r="FZ92" i="39" s="1"/>
  <c r="GK92" i="39"/>
  <c r="FO22" i="39"/>
  <c r="FP22" i="39" s="1"/>
  <c r="FQ22" i="39" s="1"/>
  <c r="FR22" i="39" s="1"/>
  <c r="FS22" i="39" s="1"/>
  <c r="FT22" i="39" s="1"/>
  <c r="FU22" i="39" s="1"/>
  <c r="FV22" i="39" s="1"/>
  <c r="FW22" i="39" s="1"/>
  <c r="FX22" i="39" s="1"/>
  <c r="FY22" i="39" s="1"/>
  <c r="FZ22" i="39" s="1"/>
  <c r="GK22" i="39"/>
  <c r="FO40" i="39"/>
  <c r="FP40" i="39" s="1"/>
  <c r="FQ40" i="39" s="1"/>
  <c r="FR40" i="39" s="1"/>
  <c r="FS40" i="39" s="1"/>
  <c r="FT40" i="39" s="1"/>
  <c r="FU40" i="39" s="1"/>
  <c r="FV40" i="39" s="1"/>
  <c r="FW40" i="39" s="1"/>
  <c r="FX40" i="39" s="1"/>
  <c r="FY40" i="39" s="1"/>
  <c r="FZ40" i="39" s="1"/>
  <c r="GK40" i="39"/>
  <c r="FO43" i="39"/>
  <c r="FP43" i="39" s="1"/>
  <c r="FQ43" i="39" s="1"/>
  <c r="FR43" i="39" s="1"/>
  <c r="FS43" i="39" s="1"/>
  <c r="FT43" i="39" s="1"/>
  <c r="FU43" i="39" s="1"/>
  <c r="FV43" i="39" s="1"/>
  <c r="FW43" i="39" s="1"/>
  <c r="FX43" i="39" s="1"/>
  <c r="FY43" i="39" s="1"/>
  <c r="FZ43" i="39" s="1"/>
  <c r="GK43" i="39"/>
  <c r="FO35" i="39"/>
  <c r="FP35" i="39" s="1"/>
  <c r="FQ35" i="39" s="1"/>
  <c r="FR35" i="39" s="1"/>
  <c r="FS35" i="39" s="1"/>
  <c r="FT35" i="39" s="1"/>
  <c r="FU35" i="39" s="1"/>
  <c r="FV35" i="39" s="1"/>
  <c r="FW35" i="39" s="1"/>
  <c r="FX35" i="39" s="1"/>
  <c r="FY35" i="39" s="1"/>
  <c r="FZ35" i="39" s="1"/>
  <c r="GK35" i="39"/>
  <c r="FO37" i="39"/>
  <c r="FP37" i="39" s="1"/>
  <c r="FQ37" i="39" s="1"/>
  <c r="FR37" i="39" s="1"/>
  <c r="FS37" i="39" s="1"/>
  <c r="FT37" i="39" s="1"/>
  <c r="FU37" i="39" s="1"/>
  <c r="FV37" i="39" s="1"/>
  <c r="FW37" i="39" s="1"/>
  <c r="FX37" i="39" s="1"/>
  <c r="FY37" i="39" s="1"/>
  <c r="FZ37" i="39" s="1"/>
  <c r="GK37" i="39"/>
  <c r="FO45" i="39"/>
  <c r="FP45" i="39" s="1"/>
  <c r="FQ45" i="39" s="1"/>
  <c r="FR45" i="39" s="1"/>
  <c r="FS45" i="39" s="1"/>
  <c r="FT45" i="39" s="1"/>
  <c r="FU45" i="39" s="1"/>
  <c r="FV45" i="39" s="1"/>
  <c r="FW45" i="39" s="1"/>
  <c r="FX45" i="39" s="1"/>
  <c r="FY45" i="39" s="1"/>
  <c r="FZ45" i="39" s="1"/>
  <c r="GK45" i="39"/>
  <c r="FO49" i="39"/>
  <c r="FP49" i="39" s="1"/>
  <c r="FQ49" i="39" s="1"/>
  <c r="FR49" i="39" s="1"/>
  <c r="FS49" i="39" s="1"/>
  <c r="FT49" i="39" s="1"/>
  <c r="FU49" i="39" s="1"/>
  <c r="FV49" i="39" s="1"/>
  <c r="FW49" i="39" s="1"/>
  <c r="FX49" i="39" s="1"/>
  <c r="FY49" i="39" s="1"/>
  <c r="FZ49" i="39" s="1"/>
  <c r="GK49" i="39"/>
  <c r="FO96" i="39"/>
  <c r="FP96" i="39" s="1"/>
  <c r="FQ96" i="39" s="1"/>
  <c r="FR96" i="39" s="1"/>
  <c r="FS96" i="39" s="1"/>
  <c r="FT96" i="39" s="1"/>
  <c r="FU96" i="39" s="1"/>
  <c r="FV96" i="39" s="1"/>
  <c r="FW96" i="39" s="1"/>
  <c r="FX96" i="39" s="1"/>
  <c r="FY96" i="39" s="1"/>
  <c r="FZ96" i="39" s="1"/>
  <c r="GK96" i="39"/>
  <c r="FO65" i="39"/>
  <c r="FP65" i="39" s="1"/>
  <c r="FQ65" i="39" s="1"/>
  <c r="FR65" i="39" s="1"/>
  <c r="FS65" i="39" s="1"/>
  <c r="FT65" i="39" s="1"/>
  <c r="FU65" i="39" s="1"/>
  <c r="FV65" i="39" s="1"/>
  <c r="FW65" i="39" s="1"/>
  <c r="FX65" i="39" s="1"/>
  <c r="FY65" i="39" s="1"/>
  <c r="FZ65" i="39" s="1"/>
  <c r="GK65" i="39"/>
  <c r="FO80" i="39"/>
  <c r="FP80" i="39" s="1"/>
  <c r="FQ80" i="39" s="1"/>
  <c r="FR80" i="39" s="1"/>
  <c r="FS80" i="39" s="1"/>
  <c r="FT80" i="39" s="1"/>
  <c r="FU80" i="39" s="1"/>
  <c r="FV80" i="39" s="1"/>
  <c r="FW80" i="39" s="1"/>
  <c r="FX80" i="39" s="1"/>
  <c r="FY80" i="39" s="1"/>
  <c r="FZ80" i="39" s="1"/>
  <c r="GK80" i="39"/>
  <c r="FO85" i="39"/>
  <c r="FP85" i="39" s="1"/>
  <c r="FQ85" i="39" s="1"/>
  <c r="FR85" i="39" s="1"/>
  <c r="FS85" i="39" s="1"/>
  <c r="FT85" i="39" s="1"/>
  <c r="FU85" i="39" s="1"/>
  <c r="FV85" i="39" s="1"/>
  <c r="FW85" i="39" s="1"/>
  <c r="FX85" i="39" s="1"/>
  <c r="FY85" i="39" s="1"/>
  <c r="FZ85" i="39" s="1"/>
  <c r="GK85" i="39"/>
  <c r="FO97" i="39"/>
  <c r="FP97" i="39" s="1"/>
  <c r="FQ97" i="39" s="1"/>
  <c r="FR97" i="39" s="1"/>
  <c r="FS97" i="39" s="1"/>
  <c r="FT97" i="39" s="1"/>
  <c r="FU97" i="39" s="1"/>
  <c r="FV97" i="39" s="1"/>
  <c r="FW97" i="39" s="1"/>
  <c r="FX97" i="39" s="1"/>
  <c r="FY97" i="39" s="1"/>
  <c r="FZ97" i="39" s="1"/>
  <c r="GK97" i="39"/>
  <c r="FO23" i="39"/>
  <c r="FP23" i="39" s="1"/>
  <c r="FQ23" i="39" s="1"/>
  <c r="FR23" i="39" s="1"/>
  <c r="FS23" i="39" s="1"/>
  <c r="FT23" i="39" s="1"/>
  <c r="FU23" i="39" s="1"/>
  <c r="FV23" i="39" s="1"/>
  <c r="FW23" i="39" s="1"/>
  <c r="FX23" i="39" s="1"/>
  <c r="FY23" i="39" s="1"/>
  <c r="FZ23" i="39" s="1"/>
  <c r="GK23" i="39"/>
  <c r="FO106" i="39"/>
  <c r="FP106" i="39" s="1"/>
  <c r="FQ106" i="39" s="1"/>
  <c r="FR106" i="39" s="1"/>
  <c r="FS106" i="39" s="1"/>
  <c r="FT106" i="39" s="1"/>
  <c r="FU106" i="39" s="1"/>
  <c r="FV106" i="39" s="1"/>
  <c r="FW106" i="39" s="1"/>
  <c r="FX106" i="39" s="1"/>
  <c r="FY106" i="39" s="1"/>
  <c r="FZ106" i="39" s="1"/>
  <c r="GK106" i="39"/>
  <c r="AG308" i="7"/>
  <c r="AH309" i="7"/>
  <c r="I47" i="7"/>
  <c r="FA79" i="39"/>
  <c r="FB79" i="39" s="1"/>
  <c r="FC79" i="39" s="1"/>
  <c r="FD79" i="39" s="1"/>
  <c r="FE79" i="39" s="1"/>
  <c r="FF79" i="39" s="1"/>
  <c r="FG79" i="39" s="1"/>
  <c r="FH79" i="39" s="1"/>
  <c r="FI79" i="39" s="1"/>
  <c r="FJ79" i="39" s="1"/>
  <c r="FK79" i="39" s="1"/>
  <c r="FL79" i="39" s="1"/>
  <c r="GJ79" i="39"/>
  <c r="FA22" i="39"/>
  <c r="FB22" i="39" s="1"/>
  <c r="FC22" i="39" s="1"/>
  <c r="FD22" i="39" s="1"/>
  <c r="FE22" i="39" s="1"/>
  <c r="FF22" i="39" s="1"/>
  <c r="FG22" i="39" s="1"/>
  <c r="FH22" i="39" s="1"/>
  <c r="FI22" i="39" s="1"/>
  <c r="FJ22" i="39" s="1"/>
  <c r="FK22" i="39" s="1"/>
  <c r="FL22" i="39" s="1"/>
  <c r="GJ22" i="39"/>
  <c r="FA35" i="39"/>
  <c r="FB35" i="39" s="1"/>
  <c r="FC35" i="39" s="1"/>
  <c r="FD35" i="39" s="1"/>
  <c r="FE35" i="39" s="1"/>
  <c r="FF35" i="39" s="1"/>
  <c r="FG35" i="39" s="1"/>
  <c r="FH35" i="39" s="1"/>
  <c r="FI35" i="39" s="1"/>
  <c r="FJ35" i="39" s="1"/>
  <c r="FK35" i="39" s="1"/>
  <c r="FL35" i="39" s="1"/>
  <c r="GJ35" i="39"/>
  <c r="FA28" i="39"/>
  <c r="FB28" i="39" s="1"/>
  <c r="FC28" i="39" s="1"/>
  <c r="FD28" i="39" s="1"/>
  <c r="FE28" i="39" s="1"/>
  <c r="FF28" i="39" s="1"/>
  <c r="FG28" i="39" s="1"/>
  <c r="FH28" i="39" s="1"/>
  <c r="FI28" i="39" s="1"/>
  <c r="FJ28" i="39" s="1"/>
  <c r="FK28" i="39" s="1"/>
  <c r="FL28" i="39" s="1"/>
  <c r="GJ28" i="39"/>
  <c r="FA46" i="39"/>
  <c r="FB46" i="39" s="1"/>
  <c r="FC46" i="39" s="1"/>
  <c r="FD46" i="39" s="1"/>
  <c r="FE46" i="39" s="1"/>
  <c r="FF46" i="39" s="1"/>
  <c r="FG46" i="39" s="1"/>
  <c r="FH46" i="39" s="1"/>
  <c r="FI46" i="39" s="1"/>
  <c r="FJ46" i="39" s="1"/>
  <c r="FK46" i="39" s="1"/>
  <c r="FL46" i="39" s="1"/>
  <c r="GJ46" i="39"/>
  <c r="FA23" i="39"/>
  <c r="FB23" i="39" s="1"/>
  <c r="FC23" i="39" s="1"/>
  <c r="FD23" i="39" s="1"/>
  <c r="FE23" i="39" s="1"/>
  <c r="FF23" i="39" s="1"/>
  <c r="FG23" i="39" s="1"/>
  <c r="FH23" i="39" s="1"/>
  <c r="FI23" i="39" s="1"/>
  <c r="FJ23" i="39" s="1"/>
  <c r="FK23" i="39" s="1"/>
  <c r="FL23" i="39" s="1"/>
  <c r="GJ23" i="39"/>
  <c r="FA40" i="39"/>
  <c r="FB40" i="39" s="1"/>
  <c r="FC40" i="39" s="1"/>
  <c r="FD40" i="39" s="1"/>
  <c r="FE40" i="39" s="1"/>
  <c r="FF40" i="39" s="1"/>
  <c r="FG40" i="39" s="1"/>
  <c r="FH40" i="39" s="1"/>
  <c r="FI40" i="39" s="1"/>
  <c r="FJ40" i="39" s="1"/>
  <c r="FK40" i="39" s="1"/>
  <c r="FL40" i="39" s="1"/>
  <c r="GJ40" i="39"/>
  <c r="FA65" i="39"/>
  <c r="FB65" i="39" s="1"/>
  <c r="FC65" i="39" s="1"/>
  <c r="FD65" i="39" s="1"/>
  <c r="FE65" i="39" s="1"/>
  <c r="FF65" i="39" s="1"/>
  <c r="FG65" i="39" s="1"/>
  <c r="FH65" i="39" s="1"/>
  <c r="FI65" i="39" s="1"/>
  <c r="FJ65" i="39" s="1"/>
  <c r="FK65" i="39" s="1"/>
  <c r="FL65" i="39" s="1"/>
  <c r="GJ65" i="39"/>
  <c r="FA37" i="39"/>
  <c r="FB37" i="39" s="1"/>
  <c r="FC37" i="39" s="1"/>
  <c r="FD37" i="39" s="1"/>
  <c r="FE37" i="39" s="1"/>
  <c r="FF37" i="39" s="1"/>
  <c r="FG37" i="39" s="1"/>
  <c r="FH37" i="39" s="1"/>
  <c r="FI37" i="39" s="1"/>
  <c r="FJ37" i="39" s="1"/>
  <c r="FK37" i="39" s="1"/>
  <c r="FL37" i="39" s="1"/>
  <c r="GJ37" i="39"/>
  <c r="FA62" i="39"/>
  <c r="FB62" i="39" s="1"/>
  <c r="FC62" i="39" s="1"/>
  <c r="FD62" i="39" s="1"/>
  <c r="FE62" i="39" s="1"/>
  <c r="FF62" i="39" s="1"/>
  <c r="FG62" i="39" s="1"/>
  <c r="FH62" i="39" s="1"/>
  <c r="FI62" i="39" s="1"/>
  <c r="FJ62" i="39" s="1"/>
  <c r="FK62" i="39" s="1"/>
  <c r="FL62" i="39" s="1"/>
  <c r="GJ62" i="39"/>
  <c r="FA95" i="39"/>
  <c r="FB95" i="39" s="1"/>
  <c r="FC95" i="39" s="1"/>
  <c r="FD95" i="39" s="1"/>
  <c r="FE95" i="39" s="1"/>
  <c r="FF95" i="39" s="1"/>
  <c r="FG95" i="39" s="1"/>
  <c r="FH95" i="39" s="1"/>
  <c r="FI95" i="39" s="1"/>
  <c r="FJ95" i="39" s="1"/>
  <c r="FK95" i="39" s="1"/>
  <c r="FL95" i="39" s="1"/>
  <c r="GJ95" i="39"/>
  <c r="FA43" i="39"/>
  <c r="FB43" i="39" s="1"/>
  <c r="FC43" i="39" s="1"/>
  <c r="FD43" i="39" s="1"/>
  <c r="FE43" i="39" s="1"/>
  <c r="FF43" i="39" s="1"/>
  <c r="FG43" i="39" s="1"/>
  <c r="FH43" i="39" s="1"/>
  <c r="FI43" i="39" s="1"/>
  <c r="FJ43" i="39" s="1"/>
  <c r="FK43" i="39" s="1"/>
  <c r="FL43" i="39" s="1"/>
  <c r="GJ43" i="39"/>
  <c r="FA76" i="39"/>
  <c r="FB76" i="39" s="1"/>
  <c r="FC76" i="39" s="1"/>
  <c r="FD76" i="39" s="1"/>
  <c r="FE76" i="39" s="1"/>
  <c r="FF76" i="39" s="1"/>
  <c r="FG76" i="39" s="1"/>
  <c r="FH76" i="39" s="1"/>
  <c r="FI76" i="39" s="1"/>
  <c r="FJ76" i="39" s="1"/>
  <c r="FK76" i="39" s="1"/>
  <c r="FL76" i="39" s="1"/>
  <c r="GJ76" i="39"/>
  <c r="FA97" i="39"/>
  <c r="FB97" i="39" s="1"/>
  <c r="FC97" i="39" s="1"/>
  <c r="FD97" i="39" s="1"/>
  <c r="FE97" i="39" s="1"/>
  <c r="FF97" i="39" s="1"/>
  <c r="FG97" i="39" s="1"/>
  <c r="FH97" i="39" s="1"/>
  <c r="FI97" i="39" s="1"/>
  <c r="FJ97" i="39" s="1"/>
  <c r="FK97" i="39" s="1"/>
  <c r="FL97" i="39" s="1"/>
  <c r="GJ97" i="39"/>
  <c r="FA49" i="39"/>
  <c r="FB49" i="39" s="1"/>
  <c r="FC49" i="39" s="1"/>
  <c r="FD49" i="39" s="1"/>
  <c r="FE49" i="39" s="1"/>
  <c r="FF49" i="39" s="1"/>
  <c r="FG49" i="39" s="1"/>
  <c r="FH49" i="39" s="1"/>
  <c r="FI49" i="39" s="1"/>
  <c r="FJ49" i="39" s="1"/>
  <c r="FK49" i="39" s="1"/>
  <c r="FL49" i="39" s="1"/>
  <c r="GJ49" i="39"/>
  <c r="FA96" i="39"/>
  <c r="FB96" i="39" s="1"/>
  <c r="FC96" i="39" s="1"/>
  <c r="FD96" i="39" s="1"/>
  <c r="FE96" i="39" s="1"/>
  <c r="FF96" i="39" s="1"/>
  <c r="FG96" i="39" s="1"/>
  <c r="FH96" i="39" s="1"/>
  <c r="FI96" i="39" s="1"/>
  <c r="FJ96" i="39" s="1"/>
  <c r="FK96" i="39" s="1"/>
  <c r="FL96" i="39" s="1"/>
  <c r="GJ96" i="39"/>
  <c r="FA30" i="39"/>
  <c r="FB30" i="39" s="1"/>
  <c r="FC30" i="39" s="1"/>
  <c r="FD30" i="39" s="1"/>
  <c r="FE30" i="39" s="1"/>
  <c r="FF30" i="39" s="1"/>
  <c r="FG30" i="39" s="1"/>
  <c r="FH30" i="39" s="1"/>
  <c r="FI30" i="39" s="1"/>
  <c r="FJ30" i="39" s="1"/>
  <c r="FK30" i="39" s="1"/>
  <c r="FL30" i="39" s="1"/>
  <c r="GJ30" i="39"/>
  <c r="FA44" i="39"/>
  <c r="FB44" i="39" s="1"/>
  <c r="FC44" i="39" s="1"/>
  <c r="FD44" i="39" s="1"/>
  <c r="FE44" i="39" s="1"/>
  <c r="FF44" i="39" s="1"/>
  <c r="FG44" i="39" s="1"/>
  <c r="FH44" i="39" s="1"/>
  <c r="FI44" i="39" s="1"/>
  <c r="FJ44" i="39" s="1"/>
  <c r="FK44" i="39" s="1"/>
  <c r="FL44" i="39" s="1"/>
  <c r="GJ44" i="39"/>
  <c r="FA105" i="39"/>
  <c r="FB105" i="39" s="1"/>
  <c r="FC105" i="39" s="1"/>
  <c r="FD105" i="39" s="1"/>
  <c r="FE105" i="39" s="1"/>
  <c r="FF105" i="39" s="1"/>
  <c r="FG105" i="39" s="1"/>
  <c r="FH105" i="39" s="1"/>
  <c r="FI105" i="39" s="1"/>
  <c r="FJ105" i="39" s="1"/>
  <c r="FK105" i="39" s="1"/>
  <c r="FL105" i="39" s="1"/>
  <c r="GJ105" i="39"/>
  <c r="FA106" i="39"/>
  <c r="FB106" i="39" s="1"/>
  <c r="FC106" i="39" s="1"/>
  <c r="FD106" i="39" s="1"/>
  <c r="FE106" i="39" s="1"/>
  <c r="FF106" i="39" s="1"/>
  <c r="FG106" i="39" s="1"/>
  <c r="FH106" i="39" s="1"/>
  <c r="FI106" i="39" s="1"/>
  <c r="FJ106" i="39" s="1"/>
  <c r="FK106" i="39" s="1"/>
  <c r="FL106" i="39" s="1"/>
  <c r="GJ106" i="39"/>
  <c r="FA74" i="39"/>
  <c r="FB74" i="39" s="1"/>
  <c r="FC74" i="39" s="1"/>
  <c r="FD74" i="39" s="1"/>
  <c r="FE74" i="39" s="1"/>
  <c r="FF74" i="39" s="1"/>
  <c r="FG74" i="39" s="1"/>
  <c r="FH74" i="39" s="1"/>
  <c r="FI74" i="39" s="1"/>
  <c r="FJ74" i="39" s="1"/>
  <c r="FK74" i="39" s="1"/>
  <c r="FL74" i="39" s="1"/>
  <c r="GJ74" i="39"/>
  <c r="FA45" i="39"/>
  <c r="FB45" i="39" s="1"/>
  <c r="FC45" i="39" s="1"/>
  <c r="FD45" i="39" s="1"/>
  <c r="FE45" i="39" s="1"/>
  <c r="FF45" i="39" s="1"/>
  <c r="FG45" i="39" s="1"/>
  <c r="FH45" i="39" s="1"/>
  <c r="FI45" i="39" s="1"/>
  <c r="FJ45" i="39" s="1"/>
  <c r="FK45" i="39" s="1"/>
  <c r="FL45" i="39" s="1"/>
  <c r="GJ45" i="39"/>
  <c r="FA80" i="39"/>
  <c r="FB80" i="39" s="1"/>
  <c r="FC80" i="39" s="1"/>
  <c r="FD80" i="39" s="1"/>
  <c r="FE80" i="39" s="1"/>
  <c r="FF80" i="39" s="1"/>
  <c r="FG80" i="39" s="1"/>
  <c r="FH80" i="39" s="1"/>
  <c r="FI80" i="39" s="1"/>
  <c r="FJ80" i="39" s="1"/>
  <c r="FK80" i="39" s="1"/>
  <c r="FL80" i="39" s="1"/>
  <c r="GJ80" i="39"/>
  <c r="FA70" i="39"/>
  <c r="FB70" i="39" s="1"/>
  <c r="FC70" i="39" s="1"/>
  <c r="FD70" i="39" s="1"/>
  <c r="FE70" i="39" s="1"/>
  <c r="FF70" i="39" s="1"/>
  <c r="FG70" i="39" s="1"/>
  <c r="FH70" i="39" s="1"/>
  <c r="FI70" i="39" s="1"/>
  <c r="FJ70" i="39" s="1"/>
  <c r="FK70" i="39" s="1"/>
  <c r="FL70" i="39" s="1"/>
  <c r="GJ70" i="39"/>
  <c r="FA85" i="39"/>
  <c r="FB85" i="39" s="1"/>
  <c r="FC85" i="39" s="1"/>
  <c r="FD85" i="39" s="1"/>
  <c r="FE85" i="39" s="1"/>
  <c r="FF85" i="39" s="1"/>
  <c r="FG85" i="39" s="1"/>
  <c r="FH85" i="39" s="1"/>
  <c r="FI85" i="39" s="1"/>
  <c r="FJ85" i="39" s="1"/>
  <c r="FK85" i="39" s="1"/>
  <c r="FL85" i="39" s="1"/>
  <c r="GJ85" i="39"/>
  <c r="FA72" i="39"/>
  <c r="FB72" i="39" s="1"/>
  <c r="FC72" i="39" s="1"/>
  <c r="FD72" i="39" s="1"/>
  <c r="FE72" i="39" s="1"/>
  <c r="FF72" i="39" s="1"/>
  <c r="FG72" i="39" s="1"/>
  <c r="FH72" i="39" s="1"/>
  <c r="FI72" i="39" s="1"/>
  <c r="FJ72" i="39" s="1"/>
  <c r="FK72" i="39" s="1"/>
  <c r="FL72" i="39" s="1"/>
  <c r="GJ72" i="39"/>
  <c r="FA64" i="39"/>
  <c r="FB64" i="39" s="1"/>
  <c r="FC64" i="39" s="1"/>
  <c r="FD64" i="39" s="1"/>
  <c r="FE64" i="39" s="1"/>
  <c r="FF64" i="39" s="1"/>
  <c r="FG64" i="39" s="1"/>
  <c r="FH64" i="39" s="1"/>
  <c r="FI64" i="39" s="1"/>
  <c r="FJ64" i="39" s="1"/>
  <c r="FK64" i="39" s="1"/>
  <c r="FL64" i="39" s="1"/>
  <c r="GJ64" i="39"/>
  <c r="FA20" i="39"/>
  <c r="FB20" i="39" s="1"/>
  <c r="FC20" i="39" s="1"/>
  <c r="FD20" i="39" s="1"/>
  <c r="FE20" i="39" s="1"/>
  <c r="FF20" i="39" s="1"/>
  <c r="FG20" i="39" s="1"/>
  <c r="FH20" i="39" s="1"/>
  <c r="FI20" i="39" s="1"/>
  <c r="FJ20" i="39" s="1"/>
  <c r="FK20" i="39" s="1"/>
  <c r="FL20" i="39" s="1"/>
  <c r="GJ20" i="39"/>
  <c r="FA27" i="39"/>
  <c r="FB27" i="39" s="1"/>
  <c r="FC27" i="39" s="1"/>
  <c r="FD27" i="39" s="1"/>
  <c r="FE27" i="39" s="1"/>
  <c r="FF27" i="39" s="1"/>
  <c r="FG27" i="39" s="1"/>
  <c r="FH27" i="39" s="1"/>
  <c r="FI27" i="39" s="1"/>
  <c r="FJ27" i="39" s="1"/>
  <c r="FK27" i="39" s="1"/>
  <c r="FL27" i="39" s="1"/>
  <c r="GJ27" i="39"/>
  <c r="FA92" i="39"/>
  <c r="FB92" i="39" s="1"/>
  <c r="FC92" i="39" s="1"/>
  <c r="FD92" i="39" s="1"/>
  <c r="FE92" i="39" s="1"/>
  <c r="FF92" i="39" s="1"/>
  <c r="FG92" i="39" s="1"/>
  <c r="FH92" i="39" s="1"/>
  <c r="FI92" i="39" s="1"/>
  <c r="FJ92" i="39" s="1"/>
  <c r="FK92" i="39" s="1"/>
  <c r="FL92" i="39" s="1"/>
  <c r="GJ92" i="39"/>
  <c r="GW14" i="39"/>
  <c r="GX14" i="39" s="1"/>
  <c r="GW106" i="39"/>
  <c r="GX106" i="39" s="1"/>
  <c r="GW62" i="39"/>
  <c r="GX62" i="39" s="1"/>
  <c r="HC47" i="39"/>
  <c r="GK47" i="39" s="1"/>
  <c r="HC91" i="39"/>
  <c r="GK91" i="39" s="1"/>
  <c r="GW23" i="39"/>
  <c r="GX23" i="39" s="1"/>
  <c r="GW40" i="39"/>
  <c r="GX40" i="39" s="1"/>
  <c r="GW107" i="39"/>
  <c r="GX107" i="39" s="1"/>
  <c r="GW27" i="39"/>
  <c r="GX27" i="39" s="1"/>
  <c r="HC63" i="39"/>
  <c r="GW85" i="39"/>
  <c r="GX85" i="39" s="1"/>
  <c r="F34" i="7"/>
  <c r="F41" i="7" s="1"/>
  <c r="H205" i="7" s="1"/>
  <c r="HC101" i="39"/>
  <c r="GK101" i="39" s="1"/>
  <c r="HC50" i="39"/>
  <c r="GK50" i="39" s="1"/>
  <c r="HC90" i="39"/>
  <c r="GW46" i="39"/>
  <c r="GX46" i="39" s="1"/>
  <c r="GW22" i="39"/>
  <c r="GX22" i="39" s="1"/>
  <c r="GW20" i="39"/>
  <c r="GX20" i="39" s="1"/>
  <c r="GW87" i="39"/>
  <c r="GX87" i="39" s="1"/>
  <c r="GW43" i="39"/>
  <c r="GX43" i="39" s="1"/>
  <c r="GW92" i="39"/>
  <c r="GX92" i="39" s="1"/>
  <c r="GW65" i="39"/>
  <c r="GX65" i="39" s="1"/>
  <c r="HC78" i="39"/>
  <c r="GK78" i="39" s="1"/>
  <c r="GW97" i="39"/>
  <c r="GX97" i="39" s="1"/>
  <c r="GW58" i="39"/>
  <c r="GX58" i="39" s="1"/>
  <c r="GW18" i="39"/>
  <c r="GX18" i="39" s="1"/>
  <c r="GW24" i="39"/>
  <c r="GX24" i="39" s="1"/>
  <c r="P36" i="7"/>
  <c r="HC53" i="39"/>
  <c r="GW44" i="39"/>
  <c r="GX44" i="39" s="1"/>
  <c r="HC99" i="39"/>
  <c r="GK99" i="39" s="1"/>
  <c r="HA23" i="39"/>
  <c r="GZ23" i="39"/>
  <c r="HA61" i="39"/>
  <c r="GZ61" i="39"/>
  <c r="GZ66" i="39"/>
  <c r="HA66" i="39"/>
  <c r="GW75" i="39"/>
  <c r="GX75" i="39" s="1"/>
  <c r="HA83" i="39"/>
  <c r="GZ83" i="39"/>
  <c r="HD74" i="39"/>
  <c r="HE74" i="39" s="1"/>
  <c r="HD28" i="39"/>
  <c r="HE28" i="39" s="1"/>
  <c r="HA26" i="39"/>
  <c r="GZ26" i="39"/>
  <c r="GX25" i="39"/>
  <c r="GW37" i="39"/>
  <c r="GX37" i="39" s="1"/>
  <c r="HA85" i="39"/>
  <c r="GZ85" i="39"/>
  <c r="HD70" i="39"/>
  <c r="HE70" i="39" s="1"/>
  <c r="GZ90" i="39"/>
  <c r="HA90" i="39"/>
  <c r="HD64" i="39"/>
  <c r="HE64" i="39" s="1"/>
  <c r="HA63" i="39"/>
  <c r="GZ63" i="39"/>
  <c r="GX78" i="39"/>
  <c r="GX93" i="39"/>
  <c r="GX86" i="39"/>
  <c r="GX61" i="39"/>
  <c r="J46" i="7"/>
  <c r="J47" i="7" s="1"/>
  <c r="GZ53" i="39"/>
  <c r="HA53" i="39"/>
  <c r="HA92" i="39"/>
  <c r="GZ92" i="39"/>
  <c r="HA72" i="39"/>
  <c r="GZ72" i="39"/>
  <c r="HC77" i="39"/>
  <c r="GK77" i="39" s="1"/>
  <c r="HC38" i="39"/>
  <c r="GK38" i="39" s="1"/>
  <c r="GZ76" i="39"/>
  <c r="HA76" i="39"/>
  <c r="HC32" i="39"/>
  <c r="GK32" i="39" s="1"/>
  <c r="GZ46" i="39"/>
  <c r="HA46" i="39"/>
  <c r="HC66" i="39"/>
  <c r="GK66" i="39" s="1"/>
  <c r="GW12" i="39"/>
  <c r="GX12" i="39" s="1"/>
  <c r="GZ65" i="39"/>
  <c r="HA65" i="39"/>
  <c r="HA74" i="39"/>
  <c r="GZ74" i="39"/>
  <c r="HC73" i="39"/>
  <c r="GK73" i="39" s="1"/>
  <c r="GW11" i="39"/>
  <c r="GX51" i="39"/>
  <c r="GW72" i="39"/>
  <c r="GX72" i="39" s="1"/>
  <c r="GZ43" i="39"/>
  <c r="HA43" i="39"/>
  <c r="GW32" i="39"/>
  <c r="GX32" i="39" s="1"/>
  <c r="GW28" i="39"/>
  <c r="GX28" i="39" s="1"/>
  <c r="GW80" i="39"/>
  <c r="GX80" i="39" s="1"/>
  <c r="GX26" i="39"/>
  <c r="GX19" i="39"/>
  <c r="HD43" i="39"/>
  <c r="HE43" i="39" s="1"/>
  <c r="HC26" i="39"/>
  <c r="GX33" i="39"/>
  <c r="GX101" i="39"/>
  <c r="HA51" i="39"/>
  <c r="GZ51" i="39"/>
  <c r="GZ50" i="39"/>
  <c r="HA50" i="39"/>
  <c r="HD27" i="39"/>
  <c r="HE27" i="39" s="1"/>
  <c r="GX68" i="39"/>
  <c r="GX36" i="39"/>
  <c r="GX99" i="39"/>
  <c r="HA60" i="39"/>
  <c r="GZ60" i="39"/>
  <c r="HA38" i="39"/>
  <c r="GZ38" i="39"/>
  <c r="GW79" i="39"/>
  <c r="GX79" i="39" s="1"/>
  <c r="GW89" i="39"/>
  <c r="GX89" i="39" s="1"/>
  <c r="HA44" i="39"/>
  <c r="GZ44" i="39"/>
  <c r="GW96" i="39"/>
  <c r="GX96" i="39" s="1"/>
  <c r="HC54" i="39"/>
  <c r="GW74" i="39"/>
  <c r="GX74" i="39" s="1"/>
  <c r="GW30" i="39"/>
  <c r="GX30" i="39" s="1"/>
  <c r="HD72" i="39"/>
  <c r="HE72" i="39" s="1"/>
  <c r="GX77" i="39"/>
  <c r="HD85" i="39"/>
  <c r="HE85" i="39" s="1"/>
  <c r="GZ37" i="39"/>
  <c r="HA37" i="39"/>
  <c r="HA99" i="39"/>
  <c r="GZ99" i="39"/>
  <c r="GZ69" i="39"/>
  <c r="HA69" i="39"/>
  <c r="HA70" i="39"/>
  <c r="GZ70" i="39"/>
  <c r="GX102" i="39"/>
  <c r="GZ91" i="39"/>
  <c r="HA91" i="39"/>
  <c r="GX53" i="39"/>
  <c r="GZ80" i="39"/>
  <c r="HA80" i="39"/>
  <c r="GX100" i="39"/>
  <c r="GX90" i="39"/>
  <c r="GW48" i="39"/>
  <c r="GX48" i="39" s="1"/>
  <c r="HD76" i="39"/>
  <c r="HE76" i="39" s="1"/>
  <c r="HC51" i="39"/>
  <c r="HD62" i="39"/>
  <c r="HE62" i="39" s="1"/>
  <c r="GW49" i="39"/>
  <c r="GX49" i="39" s="1"/>
  <c r="G46" i="7"/>
  <c r="G47" i="7" s="1"/>
  <c r="GX73" i="39"/>
  <c r="GW60" i="39"/>
  <c r="GX60" i="39" s="1"/>
  <c r="GZ71" i="39"/>
  <c r="HA71" i="39"/>
  <c r="HA77" i="39"/>
  <c r="GZ77" i="39"/>
  <c r="GW108" i="39"/>
  <c r="GX108" i="39" s="1"/>
  <c r="GW76" i="39"/>
  <c r="GX76" i="39" s="1"/>
  <c r="GZ88" i="39"/>
  <c r="HA88" i="39"/>
  <c r="HC98" i="39"/>
  <c r="GK98" i="39" s="1"/>
  <c r="GW82" i="39"/>
  <c r="GX82" i="39" s="1"/>
  <c r="HA96" i="39"/>
  <c r="GZ96" i="39"/>
  <c r="GW34" i="39"/>
  <c r="GX34" i="39" s="1"/>
  <c r="GW54" i="39"/>
  <c r="GX54" i="39" s="1"/>
  <c r="GW56" i="39"/>
  <c r="GX56" i="39" s="1"/>
  <c r="HA73" i="39"/>
  <c r="GZ73" i="39"/>
  <c r="HD79" i="39"/>
  <c r="HE79" i="39" s="1"/>
  <c r="GZ32" i="39"/>
  <c r="HA32" i="39"/>
  <c r="HA40" i="39"/>
  <c r="GZ40" i="39"/>
  <c r="HD105" i="39"/>
  <c r="HE105" i="39" s="1"/>
  <c r="GX91" i="39"/>
  <c r="HD20" i="39"/>
  <c r="HE20" i="39" s="1"/>
  <c r="HC55" i="39"/>
  <c r="GK55" i="39" s="1"/>
  <c r="HC60" i="39"/>
  <c r="HC71" i="39"/>
  <c r="GK71" i="39" s="1"/>
  <c r="GW103" i="39"/>
  <c r="GX103" i="39" s="1"/>
  <c r="GW104" i="39"/>
  <c r="GX104" i="39" s="1"/>
  <c r="HC108" i="39"/>
  <c r="GK108" i="39" s="1"/>
  <c r="GZ79" i="39"/>
  <c r="HA79" i="39"/>
  <c r="HC88" i="39"/>
  <c r="GK88" i="39" s="1"/>
  <c r="GZ22" i="39"/>
  <c r="HA22" i="39"/>
  <c r="GW98" i="39"/>
  <c r="GX98" i="39" s="1"/>
  <c r="HA39" i="39"/>
  <c r="GZ39" i="39"/>
  <c r="HC34" i="39"/>
  <c r="GK34" i="39" s="1"/>
  <c r="GZ54" i="39"/>
  <c r="HA54" i="39"/>
  <c r="GZ30" i="39"/>
  <c r="HA30" i="39"/>
  <c r="HC67" i="39"/>
  <c r="GK67" i="39" s="1"/>
  <c r="GX38" i="39"/>
  <c r="GX69" i="39"/>
  <c r="GW21" i="39"/>
  <c r="GX21" i="39" s="1"/>
  <c r="HD92" i="39"/>
  <c r="HE92" i="39" s="1"/>
  <c r="GX63" i="39"/>
  <c r="GX10" i="39"/>
  <c r="GW55" i="39"/>
  <c r="GX55" i="39" s="1"/>
  <c r="HC103" i="39"/>
  <c r="HC10" i="39"/>
  <c r="GJ10" i="39" s="1"/>
  <c r="GZ108" i="39"/>
  <c r="HA108" i="39"/>
  <c r="HA36" i="39"/>
  <c r="GZ36" i="39"/>
  <c r="GW88" i="39"/>
  <c r="GX88" i="39" s="1"/>
  <c r="HA98" i="39"/>
  <c r="GZ98" i="39"/>
  <c r="GZ34" i="39"/>
  <c r="HA34" i="39"/>
  <c r="GW105" i="39"/>
  <c r="GX105" i="39" s="1"/>
  <c r="HA35" i="39"/>
  <c r="GZ35" i="39"/>
  <c r="GW83" i="39"/>
  <c r="GX83" i="39" s="1"/>
  <c r="GZ97" i="39"/>
  <c r="HA97" i="39"/>
  <c r="GW67" i="39"/>
  <c r="GX67" i="39" s="1"/>
  <c r="HD80" i="39"/>
  <c r="HE80" i="39" s="1"/>
  <c r="GX66" i="39"/>
  <c r="HA95" i="39"/>
  <c r="GZ95" i="39"/>
  <c r="HD49" i="39"/>
  <c r="HE49" i="39" s="1"/>
  <c r="HD96" i="39"/>
  <c r="HE96" i="39" s="1"/>
  <c r="HD35" i="39"/>
  <c r="HE35" i="39" s="1"/>
  <c r="GZ94" i="39"/>
  <c r="HA94" i="39"/>
  <c r="GX71" i="39"/>
  <c r="HA45" i="39"/>
  <c r="GZ45" i="39"/>
  <c r="HD65" i="39"/>
  <c r="HE65" i="39" s="1"/>
  <c r="HD37" i="39"/>
  <c r="HE37" i="39" s="1"/>
  <c r="GZ47" i="39"/>
  <c r="HA47" i="39"/>
  <c r="HC94" i="39"/>
  <c r="GK94" i="39" s="1"/>
  <c r="GZ62" i="39"/>
  <c r="HA62" i="39"/>
  <c r="GZ31" i="39"/>
  <c r="HA31" i="39"/>
  <c r="HA64" i="39"/>
  <c r="GZ64" i="39"/>
  <c r="HD46" i="39"/>
  <c r="HE46" i="39" s="1"/>
  <c r="GZ49" i="39"/>
  <c r="HA49" i="39"/>
  <c r="HD95" i="39"/>
  <c r="HE95" i="39" s="1"/>
  <c r="HD45" i="39"/>
  <c r="HE45" i="39" s="1"/>
  <c r="GX31" i="39"/>
  <c r="HC69" i="39"/>
  <c r="GZ27" i="39"/>
  <c r="HA27" i="39"/>
  <c r="GW70" i="39"/>
  <c r="GX70" i="39" s="1"/>
  <c r="HD30" i="39"/>
  <c r="HE30" i="39" s="1"/>
  <c r="GW45" i="39"/>
  <c r="GX45" i="39" s="1"/>
  <c r="GX50" i="39"/>
  <c r="GX17" i="39"/>
  <c r="GW94" i="39"/>
  <c r="GX94" i="39" s="1"/>
  <c r="T267" i="7"/>
  <c r="T270" i="7" s="1"/>
  <c r="S271" i="7" s="1"/>
  <c r="P292" i="7" s="1"/>
  <c r="HC31" i="39"/>
  <c r="HA101" i="39"/>
  <c r="GZ101" i="39"/>
  <c r="GX39" i="39"/>
  <c r="HC61" i="39"/>
  <c r="HD44" i="39"/>
  <c r="HE44" i="39" s="1"/>
  <c r="GZ106" i="39"/>
  <c r="HA106" i="39"/>
  <c r="GW64" i="39"/>
  <c r="GX64" i="39" s="1"/>
  <c r="GW81" i="39"/>
  <c r="GX81" i="39" s="1"/>
  <c r="HD97" i="39"/>
  <c r="HE97" i="39" s="1"/>
  <c r="GX47" i="39"/>
  <c r="HD23" i="39"/>
  <c r="HE23" i="39" s="1"/>
  <c r="HD22" i="39"/>
  <c r="HE22" i="39" s="1"/>
  <c r="HD40" i="39"/>
  <c r="HE40" i="39" s="1"/>
  <c r="HD106" i="39"/>
  <c r="HE106" i="39" s="1"/>
  <c r="GZ55" i="39"/>
  <c r="HA55" i="39"/>
  <c r="GW57" i="39"/>
  <c r="GX57" i="39" s="1"/>
  <c r="GZ103" i="39"/>
  <c r="HA103" i="39"/>
  <c r="GZ10" i="39"/>
  <c r="HA10" i="39"/>
  <c r="HC36" i="39"/>
  <c r="GK36" i="39" s="1"/>
  <c r="GW95" i="39"/>
  <c r="GX95" i="39" s="1"/>
  <c r="GW84" i="39"/>
  <c r="GX84" i="39" s="1"/>
  <c r="GZ28" i="39"/>
  <c r="HA28" i="39"/>
  <c r="HC39" i="39"/>
  <c r="GK39" i="39" s="1"/>
  <c r="GZ20" i="39"/>
  <c r="HA20" i="39"/>
  <c r="GZ105" i="39"/>
  <c r="HA105" i="39"/>
  <c r="HA78" i="39"/>
  <c r="GZ78" i="39"/>
  <c r="GW35" i="39"/>
  <c r="GX35" i="39" s="1"/>
  <c r="HC83" i="39"/>
  <c r="GK83" i="39" s="1"/>
  <c r="GW59" i="39"/>
  <c r="GX59" i="39" s="1"/>
  <c r="GZ67" i="39"/>
  <c r="HA67" i="39"/>
  <c r="HG109" i="39" l="1" a="1"/>
  <c r="HG109" i="39" s="1"/>
  <c r="HG30" i="39" a="1"/>
  <c r="HG30" i="39" s="1"/>
  <c r="HG27" i="39" a="1"/>
  <c r="HG27" i="39" s="1"/>
  <c r="HG70" i="39" a="1"/>
  <c r="HG70" i="39" s="1"/>
  <c r="HG23" i="39" a="1"/>
  <c r="HG23" i="39" s="1"/>
  <c r="HG62" i="39" a="1"/>
  <c r="HG62" i="39" s="1"/>
  <c r="HH106" i="39" a="1"/>
  <c r="HH106" i="39" s="1"/>
  <c r="HH85" i="39" a="1"/>
  <c r="HH85" i="39" s="1"/>
  <c r="HH96" i="39" a="1"/>
  <c r="HH96" i="39" s="1"/>
  <c r="HH37" i="39" a="1"/>
  <c r="HH37" i="39" s="1"/>
  <c r="HH40" i="39" a="1"/>
  <c r="HH40" i="39" s="1"/>
  <c r="HH46" i="39" a="1"/>
  <c r="HH46" i="39" s="1"/>
  <c r="HG74" i="39" a="1"/>
  <c r="HG74" i="39" s="1"/>
  <c r="HH110" i="39" a="1"/>
  <c r="HH110" i="39" s="1"/>
  <c r="HH70" i="39" a="1"/>
  <c r="HH70" i="39" s="1"/>
  <c r="HH95" i="39" a="1"/>
  <c r="HH95" i="39" s="1"/>
  <c r="HH30" i="39" a="1"/>
  <c r="HH30" i="39" s="1"/>
  <c r="HH121" i="39" a="1"/>
  <c r="HH121" i="39" s="1"/>
  <c r="HH23" i="39" a="1"/>
  <c r="HH23" i="39" s="1"/>
  <c r="HH35" i="39" a="1"/>
  <c r="HH35" i="39" s="1"/>
  <c r="HH22" i="39" a="1"/>
  <c r="HH22" i="39" s="1"/>
  <c r="HH120" i="39" a="1"/>
  <c r="HH120" i="39" s="1"/>
  <c r="HH62" i="39" a="1"/>
  <c r="HH62" i="39" s="1"/>
  <c r="HH28" i="39" a="1"/>
  <c r="HH28" i="39" s="1"/>
  <c r="HH27" i="39" a="1"/>
  <c r="HH27" i="39" s="1"/>
  <c r="HH79" i="39" a="1"/>
  <c r="HH79" i="39" s="1"/>
  <c r="HH97" i="39" a="1"/>
  <c r="HH97" i="39" s="1"/>
  <c r="HH80" i="39" a="1"/>
  <c r="HH80" i="39" s="1"/>
  <c r="HH49" i="39" a="1"/>
  <c r="HH49" i="39" s="1"/>
  <c r="HH43" i="39" a="1"/>
  <c r="HH43" i="39" s="1"/>
  <c r="HH92" i="39" a="1"/>
  <c r="HH92" i="39" s="1"/>
  <c r="HH109" i="39" a="1"/>
  <c r="HH109" i="39" s="1"/>
  <c r="HG105" i="39" a="1"/>
  <c r="HG105" i="39" s="1"/>
  <c r="HH64" i="39" a="1"/>
  <c r="HH64" i="39" s="1"/>
  <c r="HH44" i="39" a="1"/>
  <c r="HH44" i="39" s="1"/>
  <c r="HH65" i="39" a="1"/>
  <c r="HH65" i="39" s="1"/>
  <c r="HH45" i="39" a="1"/>
  <c r="HH45" i="39" s="1"/>
  <c r="HH105" i="39" a="1"/>
  <c r="HH105" i="39" s="1"/>
  <c r="HH20" i="39" a="1"/>
  <c r="HH20" i="39" s="1"/>
  <c r="HG40" i="39" a="1"/>
  <c r="HG40" i="39" s="1"/>
  <c r="HG95" i="39" a="1"/>
  <c r="HG95" i="39" s="1"/>
  <c r="HH76" i="39" a="1"/>
  <c r="HH76" i="39" s="1"/>
  <c r="HH72" i="39" a="1"/>
  <c r="HH72" i="39" s="1"/>
  <c r="HH74" i="39" a="1"/>
  <c r="HH74" i="39" s="1"/>
  <c r="HH119" i="39" a="1"/>
  <c r="HH119" i="39" s="1"/>
  <c r="HG49" i="39" a="1"/>
  <c r="HG49" i="39" s="1"/>
  <c r="HG85" i="39" a="1"/>
  <c r="HG85" i="39" s="1"/>
  <c r="HG120" i="39" a="1"/>
  <c r="HG120" i="39" s="1"/>
  <c r="HG43" i="39" a="1"/>
  <c r="HG43" i="39" s="1"/>
  <c r="HG44" i="39" a="1"/>
  <c r="HG44" i="39" s="1"/>
  <c r="HG22" i="39" a="1"/>
  <c r="HG22" i="39" s="1"/>
  <c r="HG106" i="39" a="1"/>
  <c r="HG106" i="39" s="1"/>
  <c r="HG45" i="39" a="1"/>
  <c r="HG45" i="39" s="1"/>
  <c r="HG46" i="39" a="1"/>
  <c r="HG46" i="39" s="1"/>
  <c r="HG37" i="39" a="1"/>
  <c r="HG37" i="39" s="1"/>
  <c r="HG35" i="39" a="1"/>
  <c r="HG35" i="39" s="1"/>
  <c r="HG79" i="39" a="1"/>
  <c r="HG79" i="39" s="1"/>
  <c r="HG64" i="39" a="1"/>
  <c r="HG64" i="39" s="1"/>
  <c r="HG80" i="39" a="1"/>
  <c r="HG80" i="39" s="1"/>
  <c r="HG65" i="39" a="1"/>
  <c r="HG65" i="39" s="1"/>
  <c r="HG96" i="39" a="1"/>
  <c r="HG96" i="39" s="1"/>
  <c r="HG20" i="39" a="1"/>
  <c r="HG20" i="39" s="1"/>
  <c r="HG72" i="39" a="1"/>
  <c r="HG72" i="39" s="1"/>
  <c r="HG110" i="39" a="1"/>
  <c r="HG110" i="39" s="1"/>
  <c r="HG97" i="39" a="1"/>
  <c r="HG97" i="39" s="1"/>
  <c r="HG92" i="39" a="1"/>
  <c r="HG92" i="39" s="1"/>
  <c r="HG76" i="39" a="1"/>
  <c r="HG76" i="39" s="1"/>
  <c r="HG28" i="39" a="1"/>
  <c r="HG28" i="39" s="1"/>
  <c r="HG119" i="39" a="1"/>
  <c r="HG119" i="39" s="1"/>
  <c r="HG121" i="39" a="1"/>
  <c r="HG121" i="39" s="1"/>
  <c r="GK10" i="39"/>
  <c r="FO111" i="39"/>
  <c r="FP111" i="39" s="1"/>
  <c r="FQ111" i="39" s="1"/>
  <c r="FR111" i="39" s="1"/>
  <c r="FS111" i="39" s="1"/>
  <c r="FT111" i="39" s="1"/>
  <c r="FU111" i="39" s="1"/>
  <c r="FV111" i="39" s="1"/>
  <c r="FW111" i="39" s="1"/>
  <c r="FX111" i="39" s="1"/>
  <c r="FY111" i="39" s="1"/>
  <c r="FZ111" i="39" s="1"/>
  <c r="FA111" i="39"/>
  <c r="FB111" i="39" s="1"/>
  <c r="FC111" i="39" s="1"/>
  <c r="FD111" i="39" s="1"/>
  <c r="FE111" i="39" s="1"/>
  <c r="FF111" i="39" s="1"/>
  <c r="FG111" i="39" s="1"/>
  <c r="FH111" i="39" s="1"/>
  <c r="FI111" i="39" s="1"/>
  <c r="FJ111" i="39" s="1"/>
  <c r="FK111" i="39" s="1"/>
  <c r="FL111" i="39" s="1"/>
  <c r="GJ111" i="39"/>
  <c r="HG111" i="39" s="1" a="1"/>
  <c r="HG111" i="39" s="1"/>
  <c r="GK111" i="39"/>
  <c r="HH111" i="39" s="1" a="1"/>
  <c r="HH111" i="39" s="1"/>
  <c r="GK112" i="39"/>
  <c r="HH112" i="39" s="1" a="1"/>
  <c r="HH112" i="39" s="1"/>
  <c r="FA112" i="39"/>
  <c r="FB112" i="39" s="1"/>
  <c r="FC112" i="39" s="1"/>
  <c r="FD112" i="39" s="1"/>
  <c r="FE112" i="39" s="1"/>
  <c r="FF112" i="39" s="1"/>
  <c r="FG112" i="39" s="1"/>
  <c r="FH112" i="39" s="1"/>
  <c r="FI112" i="39" s="1"/>
  <c r="FJ112" i="39" s="1"/>
  <c r="FK112" i="39" s="1"/>
  <c r="FL112" i="39" s="1"/>
  <c r="FO112" i="39"/>
  <c r="FP112" i="39" s="1"/>
  <c r="FQ112" i="39" s="1"/>
  <c r="FR112" i="39" s="1"/>
  <c r="FS112" i="39" s="1"/>
  <c r="FT112" i="39" s="1"/>
  <c r="FU112" i="39" s="1"/>
  <c r="FV112" i="39" s="1"/>
  <c r="FW112" i="39" s="1"/>
  <c r="FX112" i="39" s="1"/>
  <c r="FY112" i="39" s="1"/>
  <c r="FZ112" i="39" s="1"/>
  <c r="GJ112" i="39"/>
  <c r="HG112" i="39" s="1" a="1"/>
  <c r="HG112" i="39" s="1"/>
  <c r="FA118" i="39"/>
  <c r="FB118" i="39" s="1"/>
  <c r="FC118" i="39" s="1"/>
  <c r="FD118" i="39" s="1"/>
  <c r="FE118" i="39" s="1"/>
  <c r="FF118" i="39" s="1"/>
  <c r="FG118" i="39" s="1"/>
  <c r="FH118" i="39" s="1"/>
  <c r="FI118" i="39" s="1"/>
  <c r="FJ118" i="39" s="1"/>
  <c r="FK118" i="39" s="1"/>
  <c r="FL118" i="39" s="1"/>
  <c r="FO118" i="39"/>
  <c r="FP118" i="39" s="1"/>
  <c r="FQ118" i="39" s="1"/>
  <c r="FR118" i="39" s="1"/>
  <c r="FS118" i="39" s="1"/>
  <c r="FT118" i="39" s="1"/>
  <c r="FU118" i="39" s="1"/>
  <c r="FV118" i="39" s="1"/>
  <c r="FW118" i="39" s="1"/>
  <c r="FX118" i="39" s="1"/>
  <c r="FY118" i="39" s="1"/>
  <c r="FZ118" i="39" s="1"/>
  <c r="GK118" i="39"/>
  <c r="HH118" i="39" s="1" a="1"/>
  <c r="HH118" i="39" s="1"/>
  <c r="GJ118" i="39"/>
  <c r="HG118" i="39" s="1" a="1"/>
  <c r="HG118" i="39" s="1"/>
  <c r="FA113" i="39"/>
  <c r="FB113" i="39" s="1"/>
  <c r="FC113" i="39" s="1"/>
  <c r="FD113" i="39" s="1"/>
  <c r="FE113" i="39" s="1"/>
  <c r="FF113" i="39" s="1"/>
  <c r="FG113" i="39" s="1"/>
  <c r="FH113" i="39" s="1"/>
  <c r="FI113" i="39" s="1"/>
  <c r="FJ113" i="39" s="1"/>
  <c r="FK113" i="39" s="1"/>
  <c r="FL113" i="39" s="1"/>
  <c r="FO113" i="39"/>
  <c r="FP113" i="39" s="1"/>
  <c r="FQ113" i="39" s="1"/>
  <c r="FR113" i="39" s="1"/>
  <c r="FS113" i="39" s="1"/>
  <c r="FT113" i="39" s="1"/>
  <c r="FU113" i="39" s="1"/>
  <c r="FV113" i="39" s="1"/>
  <c r="FW113" i="39" s="1"/>
  <c r="FX113" i="39" s="1"/>
  <c r="FY113" i="39" s="1"/>
  <c r="FZ113" i="39" s="1"/>
  <c r="GK113" i="39"/>
  <c r="HH113" i="39" s="1" a="1"/>
  <c r="HH113" i="39" s="1"/>
  <c r="GJ113" i="39"/>
  <c r="HG113" i="39" s="1" a="1"/>
  <c r="HG113" i="39" s="1"/>
  <c r="FO51" i="39"/>
  <c r="FP51" i="39" s="1"/>
  <c r="FQ51" i="39" s="1"/>
  <c r="FR51" i="39" s="1"/>
  <c r="FS51" i="39" s="1"/>
  <c r="FT51" i="39" s="1"/>
  <c r="FU51" i="39" s="1"/>
  <c r="FV51" i="39" s="1"/>
  <c r="FW51" i="39" s="1"/>
  <c r="FX51" i="39" s="1"/>
  <c r="FY51" i="39" s="1"/>
  <c r="FZ51" i="39" s="1"/>
  <c r="GK51" i="39"/>
  <c r="FO26" i="39"/>
  <c r="FP26" i="39" s="1"/>
  <c r="FQ26" i="39" s="1"/>
  <c r="FR26" i="39" s="1"/>
  <c r="FS26" i="39" s="1"/>
  <c r="FT26" i="39" s="1"/>
  <c r="FU26" i="39" s="1"/>
  <c r="FV26" i="39" s="1"/>
  <c r="FW26" i="39" s="1"/>
  <c r="FX26" i="39" s="1"/>
  <c r="FY26" i="39" s="1"/>
  <c r="FZ26" i="39" s="1"/>
  <c r="GK26" i="39"/>
  <c r="FO53" i="39"/>
  <c r="FP53" i="39" s="1"/>
  <c r="FQ53" i="39" s="1"/>
  <c r="FR53" i="39" s="1"/>
  <c r="FS53" i="39" s="1"/>
  <c r="FT53" i="39" s="1"/>
  <c r="FU53" i="39" s="1"/>
  <c r="FV53" i="39" s="1"/>
  <c r="FW53" i="39" s="1"/>
  <c r="FX53" i="39" s="1"/>
  <c r="FY53" i="39" s="1"/>
  <c r="FZ53" i="39" s="1"/>
  <c r="GK53" i="39"/>
  <c r="FO61" i="39"/>
  <c r="FP61" i="39" s="1"/>
  <c r="FQ61" i="39" s="1"/>
  <c r="FR61" i="39" s="1"/>
  <c r="FS61" i="39" s="1"/>
  <c r="FT61" i="39" s="1"/>
  <c r="FU61" i="39" s="1"/>
  <c r="FV61" i="39" s="1"/>
  <c r="FW61" i="39" s="1"/>
  <c r="FX61" i="39" s="1"/>
  <c r="FY61" i="39" s="1"/>
  <c r="FZ61" i="39" s="1"/>
  <c r="GK61" i="39"/>
  <c r="FO90" i="39"/>
  <c r="FP90" i="39" s="1"/>
  <c r="FQ90" i="39" s="1"/>
  <c r="FR90" i="39" s="1"/>
  <c r="FS90" i="39" s="1"/>
  <c r="FT90" i="39" s="1"/>
  <c r="FU90" i="39" s="1"/>
  <c r="FV90" i="39" s="1"/>
  <c r="FW90" i="39" s="1"/>
  <c r="FX90" i="39" s="1"/>
  <c r="FY90" i="39" s="1"/>
  <c r="FZ90" i="39" s="1"/>
  <c r="GK90" i="39"/>
  <c r="FO60" i="39"/>
  <c r="FP60" i="39" s="1"/>
  <c r="FQ60" i="39" s="1"/>
  <c r="FR60" i="39" s="1"/>
  <c r="FS60" i="39" s="1"/>
  <c r="FT60" i="39" s="1"/>
  <c r="FU60" i="39" s="1"/>
  <c r="FV60" i="39" s="1"/>
  <c r="FW60" i="39" s="1"/>
  <c r="FX60" i="39" s="1"/>
  <c r="FY60" i="39" s="1"/>
  <c r="FZ60" i="39" s="1"/>
  <c r="GK60" i="39"/>
  <c r="FO69" i="39"/>
  <c r="FP69" i="39" s="1"/>
  <c r="FQ69" i="39" s="1"/>
  <c r="FR69" i="39" s="1"/>
  <c r="FS69" i="39" s="1"/>
  <c r="FT69" i="39" s="1"/>
  <c r="FU69" i="39" s="1"/>
  <c r="FV69" i="39" s="1"/>
  <c r="FW69" i="39" s="1"/>
  <c r="FX69" i="39" s="1"/>
  <c r="FY69" i="39" s="1"/>
  <c r="FZ69" i="39" s="1"/>
  <c r="GK69" i="39"/>
  <c r="FO103" i="39"/>
  <c r="FP103" i="39" s="1"/>
  <c r="FQ103" i="39" s="1"/>
  <c r="FR103" i="39" s="1"/>
  <c r="FS103" i="39" s="1"/>
  <c r="FT103" i="39" s="1"/>
  <c r="FU103" i="39" s="1"/>
  <c r="FV103" i="39" s="1"/>
  <c r="FW103" i="39" s="1"/>
  <c r="FX103" i="39" s="1"/>
  <c r="FY103" i="39" s="1"/>
  <c r="FZ103" i="39" s="1"/>
  <c r="GK103" i="39"/>
  <c r="FO63" i="39"/>
  <c r="FP63" i="39" s="1"/>
  <c r="FQ63" i="39" s="1"/>
  <c r="FR63" i="39" s="1"/>
  <c r="FS63" i="39" s="1"/>
  <c r="FT63" i="39" s="1"/>
  <c r="FU63" i="39" s="1"/>
  <c r="FV63" i="39" s="1"/>
  <c r="FW63" i="39" s="1"/>
  <c r="FX63" i="39" s="1"/>
  <c r="FY63" i="39" s="1"/>
  <c r="FZ63" i="39" s="1"/>
  <c r="GK63" i="39"/>
  <c r="FO31" i="39"/>
  <c r="FP31" i="39" s="1"/>
  <c r="FQ31" i="39" s="1"/>
  <c r="FR31" i="39" s="1"/>
  <c r="FS31" i="39" s="1"/>
  <c r="FT31" i="39" s="1"/>
  <c r="FU31" i="39" s="1"/>
  <c r="FV31" i="39" s="1"/>
  <c r="FW31" i="39" s="1"/>
  <c r="FX31" i="39" s="1"/>
  <c r="FY31" i="39" s="1"/>
  <c r="FZ31" i="39" s="1"/>
  <c r="GK31" i="39"/>
  <c r="FO54" i="39"/>
  <c r="FP54" i="39" s="1"/>
  <c r="FQ54" i="39" s="1"/>
  <c r="FR54" i="39" s="1"/>
  <c r="FS54" i="39" s="1"/>
  <c r="FT54" i="39" s="1"/>
  <c r="FU54" i="39" s="1"/>
  <c r="FV54" i="39" s="1"/>
  <c r="FW54" i="39" s="1"/>
  <c r="FX54" i="39" s="1"/>
  <c r="FY54" i="39" s="1"/>
  <c r="FZ54" i="39" s="1"/>
  <c r="GK54" i="39"/>
  <c r="P293" i="7"/>
  <c r="J293" i="7" s="1"/>
  <c r="J53" i="7" s="1"/>
  <c r="J292" i="7"/>
  <c r="AG309" i="7"/>
  <c r="AH310" i="7"/>
  <c r="Y294" i="7"/>
  <c r="Y295" i="7" s="1"/>
  <c r="AE295" i="7" s="1"/>
  <c r="E27" i="7"/>
  <c r="P294" i="7"/>
  <c r="E26" i="7"/>
  <c r="E24" i="7"/>
  <c r="E25" i="7" s="1"/>
  <c r="F205" i="7" s="1"/>
  <c r="G205" i="7"/>
  <c r="P41" i="7"/>
  <c r="AG291" i="7"/>
  <c r="AG293" i="7" s="1"/>
  <c r="F46" i="7"/>
  <c r="F47" i="7" s="1"/>
  <c r="GJ71" i="39"/>
  <c r="FO71" i="39"/>
  <c r="FP71" i="39" s="1"/>
  <c r="FQ71" i="39" s="1"/>
  <c r="FR71" i="39" s="1"/>
  <c r="FS71" i="39" s="1"/>
  <c r="FT71" i="39" s="1"/>
  <c r="FU71" i="39" s="1"/>
  <c r="FV71" i="39" s="1"/>
  <c r="FW71" i="39" s="1"/>
  <c r="FX71" i="39" s="1"/>
  <c r="FY71" i="39" s="1"/>
  <c r="FZ71" i="39" s="1"/>
  <c r="GJ66" i="39"/>
  <c r="FO66" i="39"/>
  <c r="FP66" i="39" s="1"/>
  <c r="FQ66" i="39" s="1"/>
  <c r="FR66" i="39" s="1"/>
  <c r="FS66" i="39" s="1"/>
  <c r="FT66" i="39" s="1"/>
  <c r="FU66" i="39" s="1"/>
  <c r="FV66" i="39" s="1"/>
  <c r="FW66" i="39" s="1"/>
  <c r="FX66" i="39" s="1"/>
  <c r="FY66" i="39" s="1"/>
  <c r="FZ66" i="39" s="1"/>
  <c r="GJ78" i="39"/>
  <c r="FO78" i="39"/>
  <c r="FP78" i="39" s="1"/>
  <c r="FQ78" i="39" s="1"/>
  <c r="FR78" i="39" s="1"/>
  <c r="FS78" i="39" s="1"/>
  <c r="FT78" i="39" s="1"/>
  <c r="FU78" i="39" s="1"/>
  <c r="FV78" i="39" s="1"/>
  <c r="FW78" i="39" s="1"/>
  <c r="FX78" i="39" s="1"/>
  <c r="FY78" i="39" s="1"/>
  <c r="FZ78" i="39" s="1"/>
  <c r="GJ94" i="39"/>
  <c r="FO94" i="39"/>
  <c r="FP94" i="39" s="1"/>
  <c r="FQ94" i="39" s="1"/>
  <c r="FR94" i="39" s="1"/>
  <c r="FS94" i="39" s="1"/>
  <c r="FT94" i="39" s="1"/>
  <c r="FU94" i="39" s="1"/>
  <c r="FV94" i="39" s="1"/>
  <c r="FW94" i="39" s="1"/>
  <c r="FX94" i="39" s="1"/>
  <c r="FY94" i="39" s="1"/>
  <c r="FZ94" i="39" s="1"/>
  <c r="GJ73" i="39"/>
  <c r="FO73" i="39"/>
  <c r="FP73" i="39" s="1"/>
  <c r="FQ73" i="39" s="1"/>
  <c r="FR73" i="39" s="1"/>
  <c r="FS73" i="39" s="1"/>
  <c r="FT73" i="39" s="1"/>
  <c r="FU73" i="39" s="1"/>
  <c r="FV73" i="39" s="1"/>
  <c r="FW73" i="39" s="1"/>
  <c r="FX73" i="39" s="1"/>
  <c r="FY73" i="39" s="1"/>
  <c r="FZ73" i="39" s="1"/>
  <c r="GJ34" i="39"/>
  <c r="FO34" i="39"/>
  <c r="FP34" i="39" s="1"/>
  <c r="FQ34" i="39" s="1"/>
  <c r="FR34" i="39" s="1"/>
  <c r="FS34" i="39" s="1"/>
  <c r="FT34" i="39" s="1"/>
  <c r="FU34" i="39" s="1"/>
  <c r="FV34" i="39" s="1"/>
  <c r="FW34" i="39" s="1"/>
  <c r="FX34" i="39" s="1"/>
  <c r="FY34" i="39" s="1"/>
  <c r="FZ34" i="39" s="1"/>
  <c r="GJ88" i="39"/>
  <c r="FO88" i="39"/>
  <c r="FP88" i="39" s="1"/>
  <c r="FQ88" i="39" s="1"/>
  <c r="FR88" i="39" s="1"/>
  <c r="FS88" i="39" s="1"/>
  <c r="FT88" i="39" s="1"/>
  <c r="FU88" i="39" s="1"/>
  <c r="FV88" i="39" s="1"/>
  <c r="FW88" i="39" s="1"/>
  <c r="FX88" i="39" s="1"/>
  <c r="FY88" i="39" s="1"/>
  <c r="FZ88" i="39" s="1"/>
  <c r="GJ55" i="39"/>
  <c r="FO55" i="39"/>
  <c r="FP55" i="39" s="1"/>
  <c r="FQ55" i="39" s="1"/>
  <c r="FR55" i="39" s="1"/>
  <c r="FS55" i="39" s="1"/>
  <c r="FT55" i="39" s="1"/>
  <c r="FU55" i="39" s="1"/>
  <c r="FV55" i="39" s="1"/>
  <c r="FW55" i="39" s="1"/>
  <c r="FX55" i="39" s="1"/>
  <c r="FY55" i="39" s="1"/>
  <c r="FZ55" i="39" s="1"/>
  <c r="GJ38" i="39"/>
  <c r="FO38" i="39"/>
  <c r="FP38" i="39" s="1"/>
  <c r="FQ38" i="39" s="1"/>
  <c r="FR38" i="39" s="1"/>
  <c r="FS38" i="39" s="1"/>
  <c r="FT38" i="39" s="1"/>
  <c r="FU38" i="39" s="1"/>
  <c r="FV38" i="39" s="1"/>
  <c r="FW38" i="39" s="1"/>
  <c r="FX38" i="39" s="1"/>
  <c r="FY38" i="39" s="1"/>
  <c r="FZ38" i="39" s="1"/>
  <c r="HD50" i="39"/>
  <c r="HE50" i="39" s="1"/>
  <c r="HH50" i="39" s="1" a="1"/>
  <c r="HH50" i="39" s="1"/>
  <c r="FO50" i="39"/>
  <c r="FP50" i="39" s="1"/>
  <c r="FQ50" i="39" s="1"/>
  <c r="FR50" i="39" s="1"/>
  <c r="FS50" i="39" s="1"/>
  <c r="FT50" i="39" s="1"/>
  <c r="FU50" i="39" s="1"/>
  <c r="FV50" i="39" s="1"/>
  <c r="FW50" i="39" s="1"/>
  <c r="FX50" i="39" s="1"/>
  <c r="FY50" i="39" s="1"/>
  <c r="FZ50" i="39" s="1"/>
  <c r="FO10" i="39"/>
  <c r="FP10" i="39" s="1"/>
  <c r="FQ10" i="39" s="1"/>
  <c r="FR10" i="39" s="1"/>
  <c r="FS10" i="39" s="1"/>
  <c r="FT10" i="39" s="1"/>
  <c r="FU10" i="39" s="1"/>
  <c r="FV10" i="39" s="1"/>
  <c r="FW10" i="39" s="1"/>
  <c r="FX10" i="39" s="1"/>
  <c r="FY10" i="39" s="1"/>
  <c r="FZ10" i="39" s="1"/>
  <c r="GJ83" i="39"/>
  <c r="FO83" i="39"/>
  <c r="FP83" i="39" s="1"/>
  <c r="FQ83" i="39" s="1"/>
  <c r="FR83" i="39" s="1"/>
  <c r="FS83" i="39" s="1"/>
  <c r="FT83" i="39" s="1"/>
  <c r="FU83" i="39" s="1"/>
  <c r="FV83" i="39" s="1"/>
  <c r="FW83" i="39" s="1"/>
  <c r="FX83" i="39" s="1"/>
  <c r="FY83" i="39" s="1"/>
  <c r="FZ83" i="39" s="1"/>
  <c r="GJ67" i="39"/>
  <c r="FO67" i="39"/>
  <c r="FP67" i="39" s="1"/>
  <c r="FQ67" i="39" s="1"/>
  <c r="FR67" i="39" s="1"/>
  <c r="FS67" i="39" s="1"/>
  <c r="FT67" i="39" s="1"/>
  <c r="FU67" i="39" s="1"/>
  <c r="FV67" i="39" s="1"/>
  <c r="FW67" i="39" s="1"/>
  <c r="FX67" i="39" s="1"/>
  <c r="FY67" i="39" s="1"/>
  <c r="FZ67" i="39" s="1"/>
  <c r="GJ77" i="39"/>
  <c r="FO77" i="39"/>
  <c r="FP77" i="39" s="1"/>
  <c r="FQ77" i="39" s="1"/>
  <c r="FR77" i="39" s="1"/>
  <c r="FS77" i="39" s="1"/>
  <c r="FT77" i="39" s="1"/>
  <c r="FU77" i="39" s="1"/>
  <c r="FV77" i="39" s="1"/>
  <c r="FW77" i="39" s="1"/>
  <c r="FX77" i="39" s="1"/>
  <c r="FY77" i="39" s="1"/>
  <c r="FZ77" i="39" s="1"/>
  <c r="GJ101" i="39"/>
  <c r="FO101" i="39"/>
  <c r="FP101" i="39" s="1"/>
  <c r="FQ101" i="39" s="1"/>
  <c r="FR101" i="39" s="1"/>
  <c r="FS101" i="39" s="1"/>
  <c r="FT101" i="39" s="1"/>
  <c r="FU101" i="39" s="1"/>
  <c r="FV101" i="39" s="1"/>
  <c r="FW101" i="39" s="1"/>
  <c r="FX101" i="39" s="1"/>
  <c r="FY101" i="39" s="1"/>
  <c r="FZ101" i="39" s="1"/>
  <c r="GJ91" i="39"/>
  <c r="FO91" i="39"/>
  <c r="FP91" i="39" s="1"/>
  <c r="FQ91" i="39" s="1"/>
  <c r="FR91" i="39" s="1"/>
  <c r="FS91" i="39" s="1"/>
  <c r="FT91" i="39" s="1"/>
  <c r="FU91" i="39" s="1"/>
  <c r="FV91" i="39" s="1"/>
  <c r="FW91" i="39" s="1"/>
  <c r="FX91" i="39" s="1"/>
  <c r="FY91" i="39" s="1"/>
  <c r="FZ91" i="39" s="1"/>
  <c r="HD47" i="39"/>
  <c r="HE47" i="39" s="1"/>
  <c r="HH47" i="39" s="1" a="1"/>
  <c r="HH47" i="39" s="1"/>
  <c r="FO47" i="39"/>
  <c r="FP47" i="39" s="1"/>
  <c r="FQ47" i="39" s="1"/>
  <c r="FR47" i="39" s="1"/>
  <c r="FS47" i="39" s="1"/>
  <c r="FT47" i="39" s="1"/>
  <c r="FU47" i="39" s="1"/>
  <c r="FV47" i="39" s="1"/>
  <c r="FW47" i="39" s="1"/>
  <c r="FX47" i="39" s="1"/>
  <c r="FY47" i="39" s="1"/>
  <c r="FZ47" i="39" s="1"/>
  <c r="GJ32" i="39"/>
  <c r="FO32" i="39"/>
  <c r="FP32" i="39" s="1"/>
  <c r="FQ32" i="39" s="1"/>
  <c r="FR32" i="39" s="1"/>
  <c r="FS32" i="39" s="1"/>
  <c r="FT32" i="39" s="1"/>
  <c r="FU32" i="39" s="1"/>
  <c r="FV32" i="39" s="1"/>
  <c r="FW32" i="39" s="1"/>
  <c r="FX32" i="39" s="1"/>
  <c r="FY32" i="39" s="1"/>
  <c r="FZ32" i="39" s="1"/>
  <c r="GJ36" i="39"/>
  <c r="FO36" i="39"/>
  <c r="FP36" i="39" s="1"/>
  <c r="FQ36" i="39" s="1"/>
  <c r="FR36" i="39" s="1"/>
  <c r="FS36" i="39" s="1"/>
  <c r="FT36" i="39" s="1"/>
  <c r="FU36" i="39" s="1"/>
  <c r="FV36" i="39" s="1"/>
  <c r="FW36" i="39" s="1"/>
  <c r="FX36" i="39" s="1"/>
  <c r="FY36" i="39" s="1"/>
  <c r="FZ36" i="39" s="1"/>
  <c r="GJ108" i="39"/>
  <c r="FO108" i="39"/>
  <c r="FP108" i="39" s="1"/>
  <c r="FQ108" i="39" s="1"/>
  <c r="FR108" i="39" s="1"/>
  <c r="FS108" i="39" s="1"/>
  <c r="FT108" i="39" s="1"/>
  <c r="FU108" i="39" s="1"/>
  <c r="FV108" i="39" s="1"/>
  <c r="FW108" i="39" s="1"/>
  <c r="FX108" i="39" s="1"/>
  <c r="FY108" i="39" s="1"/>
  <c r="FZ108" i="39" s="1"/>
  <c r="GJ98" i="39"/>
  <c r="FO98" i="39"/>
  <c r="FP98" i="39" s="1"/>
  <c r="FQ98" i="39" s="1"/>
  <c r="FR98" i="39" s="1"/>
  <c r="FS98" i="39" s="1"/>
  <c r="FT98" i="39" s="1"/>
  <c r="FU98" i="39" s="1"/>
  <c r="FV98" i="39" s="1"/>
  <c r="FW98" i="39" s="1"/>
  <c r="FX98" i="39" s="1"/>
  <c r="FY98" i="39" s="1"/>
  <c r="FZ98" i="39" s="1"/>
  <c r="GJ39" i="39"/>
  <c r="FO39" i="39"/>
  <c r="FP39" i="39" s="1"/>
  <c r="FQ39" i="39" s="1"/>
  <c r="FR39" i="39" s="1"/>
  <c r="FS39" i="39" s="1"/>
  <c r="FT39" i="39" s="1"/>
  <c r="FU39" i="39" s="1"/>
  <c r="FV39" i="39" s="1"/>
  <c r="FW39" i="39" s="1"/>
  <c r="FX39" i="39" s="1"/>
  <c r="FY39" i="39" s="1"/>
  <c r="FZ39" i="39" s="1"/>
  <c r="GJ99" i="39"/>
  <c r="FO99" i="39"/>
  <c r="FP99" i="39" s="1"/>
  <c r="FQ99" i="39" s="1"/>
  <c r="FR99" i="39" s="1"/>
  <c r="FS99" i="39" s="1"/>
  <c r="FT99" i="39" s="1"/>
  <c r="FU99" i="39" s="1"/>
  <c r="FV99" i="39" s="1"/>
  <c r="FW99" i="39" s="1"/>
  <c r="FX99" i="39" s="1"/>
  <c r="FY99" i="39" s="1"/>
  <c r="FZ99" i="39" s="1"/>
  <c r="FA53" i="39"/>
  <c r="FB53" i="39" s="1"/>
  <c r="FC53" i="39" s="1"/>
  <c r="FD53" i="39" s="1"/>
  <c r="FE53" i="39" s="1"/>
  <c r="FF53" i="39" s="1"/>
  <c r="FG53" i="39" s="1"/>
  <c r="FH53" i="39" s="1"/>
  <c r="FI53" i="39" s="1"/>
  <c r="FJ53" i="39" s="1"/>
  <c r="FK53" i="39" s="1"/>
  <c r="FL53" i="39" s="1"/>
  <c r="GJ53" i="39"/>
  <c r="FA61" i="39"/>
  <c r="FB61" i="39" s="1"/>
  <c r="FC61" i="39" s="1"/>
  <c r="FD61" i="39" s="1"/>
  <c r="FE61" i="39" s="1"/>
  <c r="FF61" i="39" s="1"/>
  <c r="FG61" i="39" s="1"/>
  <c r="FH61" i="39" s="1"/>
  <c r="FI61" i="39" s="1"/>
  <c r="FJ61" i="39" s="1"/>
  <c r="FK61" i="39" s="1"/>
  <c r="FL61" i="39" s="1"/>
  <c r="GJ61" i="39"/>
  <c r="FA54" i="39"/>
  <c r="FB54" i="39" s="1"/>
  <c r="FC54" i="39" s="1"/>
  <c r="FD54" i="39" s="1"/>
  <c r="FE54" i="39" s="1"/>
  <c r="FF54" i="39" s="1"/>
  <c r="FG54" i="39" s="1"/>
  <c r="FH54" i="39" s="1"/>
  <c r="FI54" i="39" s="1"/>
  <c r="FJ54" i="39" s="1"/>
  <c r="FK54" i="39" s="1"/>
  <c r="FL54" i="39" s="1"/>
  <c r="GJ54" i="39"/>
  <c r="FA90" i="39"/>
  <c r="FB90" i="39" s="1"/>
  <c r="FC90" i="39" s="1"/>
  <c r="FD90" i="39" s="1"/>
  <c r="FE90" i="39" s="1"/>
  <c r="FF90" i="39" s="1"/>
  <c r="FG90" i="39" s="1"/>
  <c r="FH90" i="39" s="1"/>
  <c r="FI90" i="39" s="1"/>
  <c r="FJ90" i="39" s="1"/>
  <c r="FK90" i="39" s="1"/>
  <c r="FL90" i="39" s="1"/>
  <c r="GJ90" i="39"/>
  <c r="FA51" i="39"/>
  <c r="FB51" i="39" s="1"/>
  <c r="FC51" i="39" s="1"/>
  <c r="FD51" i="39" s="1"/>
  <c r="FE51" i="39" s="1"/>
  <c r="FF51" i="39" s="1"/>
  <c r="FG51" i="39" s="1"/>
  <c r="FH51" i="39" s="1"/>
  <c r="FI51" i="39" s="1"/>
  <c r="FJ51" i="39" s="1"/>
  <c r="FK51" i="39" s="1"/>
  <c r="FL51" i="39" s="1"/>
  <c r="GJ51" i="39"/>
  <c r="FA50" i="39"/>
  <c r="FB50" i="39" s="1"/>
  <c r="FC50" i="39" s="1"/>
  <c r="FD50" i="39" s="1"/>
  <c r="FE50" i="39" s="1"/>
  <c r="FF50" i="39" s="1"/>
  <c r="FG50" i="39" s="1"/>
  <c r="FH50" i="39" s="1"/>
  <c r="FI50" i="39" s="1"/>
  <c r="FJ50" i="39" s="1"/>
  <c r="FK50" i="39" s="1"/>
  <c r="FL50" i="39" s="1"/>
  <c r="GJ50" i="39"/>
  <c r="FA69" i="39"/>
  <c r="FB69" i="39" s="1"/>
  <c r="FC69" i="39" s="1"/>
  <c r="FD69" i="39" s="1"/>
  <c r="FE69" i="39" s="1"/>
  <c r="FF69" i="39" s="1"/>
  <c r="FG69" i="39" s="1"/>
  <c r="FH69" i="39" s="1"/>
  <c r="FI69" i="39" s="1"/>
  <c r="FJ69" i="39" s="1"/>
  <c r="FK69" i="39" s="1"/>
  <c r="FL69" i="39" s="1"/>
  <c r="GJ69" i="39"/>
  <c r="FA47" i="39"/>
  <c r="FB47" i="39" s="1"/>
  <c r="FC47" i="39" s="1"/>
  <c r="FD47" i="39" s="1"/>
  <c r="FE47" i="39" s="1"/>
  <c r="FF47" i="39" s="1"/>
  <c r="FG47" i="39" s="1"/>
  <c r="FH47" i="39" s="1"/>
  <c r="FI47" i="39" s="1"/>
  <c r="FJ47" i="39" s="1"/>
  <c r="FK47" i="39" s="1"/>
  <c r="FL47" i="39" s="1"/>
  <c r="GJ47" i="39"/>
  <c r="FA31" i="39"/>
  <c r="FB31" i="39" s="1"/>
  <c r="FC31" i="39" s="1"/>
  <c r="FD31" i="39" s="1"/>
  <c r="FE31" i="39" s="1"/>
  <c r="FF31" i="39" s="1"/>
  <c r="FG31" i="39" s="1"/>
  <c r="FH31" i="39" s="1"/>
  <c r="FI31" i="39" s="1"/>
  <c r="FJ31" i="39" s="1"/>
  <c r="FK31" i="39" s="1"/>
  <c r="FL31" i="39" s="1"/>
  <c r="GJ31" i="39"/>
  <c r="FA103" i="39"/>
  <c r="FB103" i="39" s="1"/>
  <c r="FC103" i="39" s="1"/>
  <c r="FD103" i="39" s="1"/>
  <c r="FE103" i="39" s="1"/>
  <c r="FF103" i="39" s="1"/>
  <c r="FG103" i="39" s="1"/>
  <c r="FH103" i="39" s="1"/>
  <c r="FI103" i="39" s="1"/>
  <c r="FJ103" i="39" s="1"/>
  <c r="FK103" i="39" s="1"/>
  <c r="FL103" i="39" s="1"/>
  <c r="GJ103" i="39"/>
  <c r="FA60" i="39"/>
  <c r="FB60" i="39" s="1"/>
  <c r="FC60" i="39" s="1"/>
  <c r="FD60" i="39" s="1"/>
  <c r="FE60" i="39" s="1"/>
  <c r="FF60" i="39" s="1"/>
  <c r="FG60" i="39" s="1"/>
  <c r="FH60" i="39" s="1"/>
  <c r="FI60" i="39" s="1"/>
  <c r="FJ60" i="39" s="1"/>
  <c r="FK60" i="39" s="1"/>
  <c r="FL60" i="39" s="1"/>
  <c r="GJ60" i="39"/>
  <c r="FA26" i="39"/>
  <c r="FB26" i="39" s="1"/>
  <c r="FC26" i="39" s="1"/>
  <c r="FD26" i="39" s="1"/>
  <c r="FE26" i="39" s="1"/>
  <c r="FF26" i="39" s="1"/>
  <c r="FG26" i="39" s="1"/>
  <c r="FH26" i="39" s="1"/>
  <c r="FI26" i="39" s="1"/>
  <c r="FJ26" i="39" s="1"/>
  <c r="FK26" i="39" s="1"/>
  <c r="FL26" i="39" s="1"/>
  <c r="GJ26" i="39"/>
  <c r="FA63" i="39"/>
  <c r="FB63" i="39" s="1"/>
  <c r="FC63" i="39" s="1"/>
  <c r="FD63" i="39" s="1"/>
  <c r="FE63" i="39" s="1"/>
  <c r="FF63" i="39" s="1"/>
  <c r="FG63" i="39" s="1"/>
  <c r="FH63" i="39" s="1"/>
  <c r="FI63" i="39" s="1"/>
  <c r="FJ63" i="39" s="1"/>
  <c r="FK63" i="39" s="1"/>
  <c r="FL63" i="39" s="1"/>
  <c r="GJ63" i="39"/>
  <c r="HD71" i="39"/>
  <c r="HE71" i="39" s="1"/>
  <c r="HH71" i="39" s="1" a="1"/>
  <c r="HH71" i="39" s="1"/>
  <c r="FA71" i="39"/>
  <c r="FB71" i="39" s="1"/>
  <c r="FC71" i="39" s="1"/>
  <c r="FD71" i="39" s="1"/>
  <c r="FE71" i="39" s="1"/>
  <c r="FF71" i="39" s="1"/>
  <c r="FG71" i="39" s="1"/>
  <c r="FH71" i="39" s="1"/>
  <c r="FI71" i="39" s="1"/>
  <c r="FJ71" i="39" s="1"/>
  <c r="FK71" i="39" s="1"/>
  <c r="FL71" i="39" s="1"/>
  <c r="HD34" i="39"/>
  <c r="HE34" i="39" s="1"/>
  <c r="HH34" i="39" s="1" a="1"/>
  <c r="HH34" i="39" s="1"/>
  <c r="FA34" i="39"/>
  <c r="FB34" i="39" s="1"/>
  <c r="FC34" i="39" s="1"/>
  <c r="FD34" i="39" s="1"/>
  <c r="FE34" i="39" s="1"/>
  <c r="FF34" i="39" s="1"/>
  <c r="FG34" i="39" s="1"/>
  <c r="FH34" i="39" s="1"/>
  <c r="FI34" i="39" s="1"/>
  <c r="FJ34" i="39" s="1"/>
  <c r="FK34" i="39" s="1"/>
  <c r="FL34" i="39" s="1"/>
  <c r="HD88" i="39"/>
  <c r="HE88" i="39" s="1"/>
  <c r="FA88" i="39"/>
  <c r="FB88" i="39" s="1"/>
  <c r="FC88" i="39" s="1"/>
  <c r="FD88" i="39" s="1"/>
  <c r="FE88" i="39" s="1"/>
  <c r="FF88" i="39" s="1"/>
  <c r="FG88" i="39" s="1"/>
  <c r="FH88" i="39" s="1"/>
  <c r="FI88" i="39" s="1"/>
  <c r="FJ88" i="39" s="1"/>
  <c r="FK88" i="39" s="1"/>
  <c r="FL88" i="39" s="1"/>
  <c r="HD55" i="39"/>
  <c r="HE55" i="39" s="1"/>
  <c r="HH55" i="39" s="1" a="1"/>
  <c r="HH55" i="39" s="1"/>
  <c r="FA55" i="39"/>
  <c r="FB55" i="39" s="1"/>
  <c r="FC55" i="39" s="1"/>
  <c r="FD55" i="39" s="1"/>
  <c r="FE55" i="39" s="1"/>
  <c r="FF55" i="39" s="1"/>
  <c r="FG55" i="39" s="1"/>
  <c r="FH55" i="39" s="1"/>
  <c r="FI55" i="39" s="1"/>
  <c r="FJ55" i="39" s="1"/>
  <c r="FK55" i="39" s="1"/>
  <c r="FL55" i="39" s="1"/>
  <c r="HD66" i="39"/>
  <c r="HE66" i="39" s="1"/>
  <c r="FA66" i="39"/>
  <c r="FB66" i="39" s="1"/>
  <c r="FC66" i="39" s="1"/>
  <c r="FD66" i="39" s="1"/>
  <c r="FE66" i="39" s="1"/>
  <c r="FF66" i="39" s="1"/>
  <c r="FG66" i="39" s="1"/>
  <c r="FH66" i="39" s="1"/>
  <c r="FI66" i="39" s="1"/>
  <c r="FJ66" i="39" s="1"/>
  <c r="FK66" i="39" s="1"/>
  <c r="FL66" i="39" s="1"/>
  <c r="HD32" i="39"/>
  <c r="HE32" i="39" s="1"/>
  <c r="HH32" i="39" s="1" a="1"/>
  <c r="HH32" i="39" s="1"/>
  <c r="FA32" i="39"/>
  <c r="FB32" i="39" s="1"/>
  <c r="FC32" i="39" s="1"/>
  <c r="FD32" i="39" s="1"/>
  <c r="FE32" i="39" s="1"/>
  <c r="FF32" i="39" s="1"/>
  <c r="FG32" i="39" s="1"/>
  <c r="FH32" i="39" s="1"/>
  <c r="FI32" i="39" s="1"/>
  <c r="FJ32" i="39" s="1"/>
  <c r="FK32" i="39" s="1"/>
  <c r="FL32" i="39" s="1"/>
  <c r="HD101" i="39"/>
  <c r="HE101" i="39" s="1"/>
  <c r="FA101" i="39"/>
  <c r="FB101" i="39" s="1"/>
  <c r="FC101" i="39" s="1"/>
  <c r="FD101" i="39" s="1"/>
  <c r="FE101" i="39" s="1"/>
  <c r="FF101" i="39" s="1"/>
  <c r="FG101" i="39" s="1"/>
  <c r="FH101" i="39" s="1"/>
  <c r="FI101" i="39" s="1"/>
  <c r="FJ101" i="39" s="1"/>
  <c r="FK101" i="39" s="1"/>
  <c r="FL101" i="39" s="1"/>
  <c r="FA91" i="39"/>
  <c r="FB91" i="39" s="1"/>
  <c r="FC91" i="39" s="1"/>
  <c r="FD91" i="39" s="1"/>
  <c r="FE91" i="39" s="1"/>
  <c r="FF91" i="39" s="1"/>
  <c r="FG91" i="39" s="1"/>
  <c r="FH91" i="39" s="1"/>
  <c r="FI91" i="39" s="1"/>
  <c r="FJ91" i="39" s="1"/>
  <c r="FK91" i="39" s="1"/>
  <c r="FL91" i="39" s="1"/>
  <c r="HD67" i="39"/>
  <c r="HE67" i="39" s="1"/>
  <c r="HH67" i="39" s="1" a="1"/>
  <c r="HH67" i="39" s="1"/>
  <c r="FA67" i="39"/>
  <c r="FB67" i="39" s="1"/>
  <c r="FC67" i="39" s="1"/>
  <c r="FD67" i="39" s="1"/>
  <c r="FE67" i="39" s="1"/>
  <c r="FF67" i="39" s="1"/>
  <c r="FG67" i="39" s="1"/>
  <c r="FH67" i="39" s="1"/>
  <c r="FI67" i="39" s="1"/>
  <c r="FJ67" i="39" s="1"/>
  <c r="FK67" i="39" s="1"/>
  <c r="FL67" i="39" s="1"/>
  <c r="HD83" i="39"/>
  <c r="HE83" i="39" s="1"/>
  <c r="HH83" i="39" s="1" a="1"/>
  <c r="HH83" i="39" s="1"/>
  <c r="FA83" i="39"/>
  <c r="FB83" i="39" s="1"/>
  <c r="FC83" i="39" s="1"/>
  <c r="FD83" i="39" s="1"/>
  <c r="FE83" i="39" s="1"/>
  <c r="FF83" i="39" s="1"/>
  <c r="FG83" i="39" s="1"/>
  <c r="FH83" i="39" s="1"/>
  <c r="FI83" i="39" s="1"/>
  <c r="FJ83" i="39" s="1"/>
  <c r="FK83" i="39" s="1"/>
  <c r="FL83" i="39" s="1"/>
  <c r="HD36" i="39"/>
  <c r="HE36" i="39" s="1"/>
  <c r="HH36" i="39" s="1" a="1"/>
  <c r="HH36" i="39" s="1"/>
  <c r="FA36" i="39"/>
  <c r="FB36" i="39" s="1"/>
  <c r="FC36" i="39" s="1"/>
  <c r="FD36" i="39" s="1"/>
  <c r="FE36" i="39" s="1"/>
  <c r="FF36" i="39" s="1"/>
  <c r="FG36" i="39" s="1"/>
  <c r="FH36" i="39" s="1"/>
  <c r="FI36" i="39" s="1"/>
  <c r="FJ36" i="39" s="1"/>
  <c r="FK36" i="39" s="1"/>
  <c r="FL36" i="39" s="1"/>
  <c r="HD94" i="39"/>
  <c r="HE94" i="39" s="1"/>
  <c r="FA94" i="39"/>
  <c r="FB94" i="39" s="1"/>
  <c r="FC94" i="39" s="1"/>
  <c r="FD94" i="39" s="1"/>
  <c r="FE94" i="39" s="1"/>
  <c r="FF94" i="39" s="1"/>
  <c r="FG94" i="39" s="1"/>
  <c r="FH94" i="39" s="1"/>
  <c r="FI94" i="39" s="1"/>
  <c r="FJ94" i="39" s="1"/>
  <c r="FK94" i="39" s="1"/>
  <c r="FL94" i="39" s="1"/>
  <c r="HD73" i="39"/>
  <c r="HE73" i="39" s="1"/>
  <c r="FA73" i="39"/>
  <c r="FB73" i="39" s="1"/>
  <c r="FC73" i="39" s="1"/>
  <c r="FD73" i="39" s="1"/>
  <c r="FE73" i="39" s="1"/>
  <c r="FF73" i="39" s="1"/>
  <c r="FG73" i="39" s="1"/>
  <c r="FH73" i="39" s="1"/>
  <c r="FI73" i="39" s="1"/>
  <c r="FJ73" i="39" s="1"/>
  <c r="FK73" i="39" s="1"/>
  <c r="FL73" i="39" s="1"/>
  <c r="HD39" i="39"/>
  <c r="HE39" i="39" s="1"/>
  <c r="HH39" i="39" s="1" a="1"/>
  <c r="HH39" i="39" s="1"/>
  <c r="FA39" i="39"/>
  <c r="FB39" i="39" s="1"/>
  <c r="FC39" i="39" s="1"/>
  <c r="FD39" i="39" s="1"/>
  <c r="FE39" i="39" s="1"/>
  <c r="FF39" i="39" s="1"/>
  <c r="FG39" i="39" s="1"/>
  <c r="FH39" i="39" s="1"/>
  <c r="FI39" i="39" s="1"/>
  <c r="FJ39" i="39" s="1"/>
  <c r="FK39" i="39" s="1"/>
  <c r="FL39" i="39" s="1"/>
  <c r="HD108" i="39"/>
  <c r="HE108" i="39" s="1"/>
  <c r="HH108" i="39" s="1" a="1"/>
  <c r="HH108" i="39" s="1"/>
  <c r="FA108" i="39"/>
  <c r="FB108" i="39" s="1"/>
  <c r="FC108" i="39" s="1"/>
  <c r="FD108" i="39" s="1"/>
  <c r="FE108" i="39" s="1"/>
  <c r="FF108" i="39" s="1"/>
  <c r="FG108" i="39" s="1"/>
  <c r="FH108" i="39" s="1"/>
  <c r="FI108" i="39" s="1"/>
  <c r="FJ108" i="39" s="1"/>
  <c r="FK108" i="39" s="1"/>
  <c r="FL108" i="39" s="1"/>
  <c r="HD38" i="39"/>
  <c r="HE38" i="39" s="1"/>
  <c r="HH38" i="39" s="1" a="1"/>
  <c r="HH38" i="39" s="1"/>
  <c r="FA38" i="39"/>
  <c r="FB38" i="39" s="1"/>
  <c r="FC38" i="39" s="1"/>
  <c r="FD38" i="39" s="1"/>
  <c r="FE38" i="39" s="1"/>
  <c r="FF38" i="39" s="1"/>
  <c r="FG38" i="39" s="1"/>
  <c r="FH38" i="39" s="1"/>
  <c r="FI38" i="39" s="1"/>
  <c r="FJ38" i="39" s="1"/>
  <c r="FK38" i="39" s="1"/>
  <c r="FL38" i="39" s="1"/>
  <c r="FA99" i="39"/>
  <c r="FB99" i="39" s="1"/>
  <c r="FC99" i="39" s="1"/>
  <c r="FD99" i="39" s="1"/>
  <c r="FE99" i="39" s="1"/>
  <c r="FF99" i="39" s="1"/>
  <c r="FG99" i="39" s="1"/>
  <c r="FH99" i="39" s="1"/>
  <c r="FI99" i="39" s="1"/>
  <c r="FJ99" i="39" s="1"/>
  <c r="FK99" i="39" s="1"/>
  <c r="FL99" i="39" s="1"/>
  <c r="HD98" i="39"/>
  <c r="HE98" i="39" s="1"/>
  <c r="HH98" i="39" s="1" a="1"/>
  <c r="HH98" i="39" s="1"/>
  <c r="FA98" i="39"/>
  <c r="FB98" i="39" s="1"/>
  <c r="FC98" i="39" s="1"/>
  <c r="FD98" i="39" s="1"/>
  <c r="FE98" i="39" s="1"/>
  <c r="FF98" i="39" s="1"/>
  <c r="FG98" i="39" s="1"/>
  <c r="FH98" i="39" s="1"/>
  <c r="FI98" i="39" s="1"/>
  <c r="FJ98" i="39" s="1"/>
  <c r="FK98" i="39" s="1"/>
  <c r="FL98" i="39" s="1"/>
  <c r="HD77" i="39"/>
  <c r="HE77" i="39" s="1"/>
  <c r="HH77" i="39" s="1" a="1"/>
  <c r="HH77" i="39" s="1"/>
  <c r="FA77" i="39"/>
  <c r="FB77" i="39" s="1"/>
  <c r="FC77" i="39" s="1"/>
  <c r="FD77" i="39" s="1"/>
  <c r="FE77" i="39" s="1"/>
  <c r="FF77" i="39" s="1"/>
  <c r="FG77" i="39" s="1"/>
  <c r="FH77" i="39" s="1"/>
  <c r="FI77" i="39" s="1"/>
  <c r="FJ77" i="39" s="1"/>
  <c r="FK77" i="39" s="1"/>
  <c r="FL77" i="39" s="1"/>
  <c r="HD78" i="39"/>
  <c r="HE78" i="39" s="1"/>
  <c r="HH78" i="39" s="1" a="1"/>
  <c r="HH78" i="39" s="1"/>
  <c r="FA78" i="39"/>
  <c r="FB78" i="39" s="1"/>
  <c r="FC78" i="39" s="1"/>
  <c r="FD78" i="39" s="1"/>
  <c r="FE78" i="39" s="1"/>
  <c r="FF78" i="39" s="1"/>
  <c r="FG78" i="39" s="1"/>
  <c r="FH78" i="39" s="1"/>
  <c r="FI78" i="39" s="1"/>
  <c r="FJ78" i="39" s="1"/>
  <c r="FK78" i="39" s="1"/>
  <c r="FL78" i="39" s="1"/>
  <c r="HD10" i="39"/>
  <c r="HE10" i="39" s="1"/>
  <c r="HG10" i="39" s="1" a="1"/>
  <c r="HG10" i="39" s="1"/>
  <c r="FA10" i="39"/>
  <c r="FB10" i="39" s="1"/>
  <c r="FC10" i="39" s="1"/>
  <c r="FD10" i="39" s="1"/>
  <c r="FE10" i="39" s="1"/>
  <c r="FF10" i="39" s="1"/>
  <c r="FG10" i="39" s="1"/>
  <c r="FH10" i="39" s="1"/>
  <c r="FI10" i="39" s="1"/>
  <c r="FJ10" i="39" s="1"/>
  <c r="FK10" i="39" s="1"/>
  <c r="FL10" i="39" s="1"/>
  <c r="HD90" i="39"/>
  <c r="HE90" i="39" s="1"/>
  <c r="HD91" i="39"/>
  <c r="HE91" i="39" s="1"/>
  <c r="HH91" i="39" s="1" a="1"/>
  <c r="HH91" i="39" s="1"/>
  <c r="HD53" i="39"/>
  <c r="HE53" i="39" s="1"/>
  <c r="HD63" i="39"/>
  <c r="HE63" i="39" s="1"/>
  <c r="HD99" i="39"/>
  <c r="HE99" i="39" s="1"/>
  <c r="HH99" i="39" s="1" a="1"/>
  <c r="HH99" i="39" s="1"/>
  <c r="D205" i="7"/>
  <c r="B205" i="7"/>
  <c r="E23" i="7"/>
  <c r="E205" i="7"/>
  <c r="E22" i="7"/>
  <c r="GX11" i="39"/>
  <c r="HD54" i="39"/>
  <c r="HE54" i="39" s="1"/>
  <c r="HD69" i="39"/>
  <c r="HE69" i="39" s="1"/>
  <c r="HD26" i="39"/>
  <c r="HE26" i="39" s="1"/>
  <c r="HD61" i="39"/>
  <c r="HE61" i="39" s="1"/>
  <c r="HD31" i="39"/>
  <c r="HE31" i="39" s="1"/>
  <c r="J57" i="7"/>
  <c r="J341" i="7" s="1"/>
  <c r="L57" i="7"/>
  <c r="L341" i="7" s="1"/>
  <c r="L343" i="7" s="1"/>
  <c r="L58" i="7"/>
  <c r="L344" i="7" s="1"/>
  <c r="HD60" i="39"/>
  <c r="HE60" i="39" s="1"/>
  <c r="HD51" i="39"/>
  <c r="HE51" i="39" s="1"/>
  <c r="HD103" i="39"/>
  <c r="HE103" i="39" s="1"/>
  <c r="HG66" i="39" l="1" a="1"/>
  <c r="HG66" i="39" s="1"/>
  <c r="HG73" i="39" a="1"/>
  <c r="HG73" i="39" s="1"/>
  <c r="HG54" i="39" a="1"/>
  <c r="HG54" i="39" s="1"/>
  <c r="HG31" i="39" a="1"/>
  <c r="HG31" i="39" s="1"/>
  <c r="HG69" i="39" a="1"/>
  <c r="HG69" i="39" s="1"/>
  <c r="HG26" i="39" a="1"/>
  <c r="HG26" i="39" s="1"/>
  <c r="HG88" i="39" a="1"/>
  <c r="HG88" i="39" s="1"/>
  <c r="HG63" i="39" a="1"/>
  <c r="HG63" i="39" s="1"/>
  <c r="HG53" i="39" a="1"/>
  <c r="HG53" i="39" s="1"/>
  <c r="HG103" i="39" a="1"/>
  <c r="HG103" i="39" s="1"/>
  <c r="HG94" i="39" a="1"/>
  <c r="HG94" i="39" s="1"/>
  <c r="HH63" i="39" a="1"/>
  <c r="HH63" i="39" s="1"/>
  <c r="HH60" i="39" a="1"/>
  <c r="HH60" i="39" s="1"/>
  <c r="HH53" i="39" a="1"/>
  <c r="HH53" i="39" s="1"/>
  <c r="HH10" i="39" a="1"/>
  <c r="HH10" i="39" s="1"/>
  <c r="HH54" i="39" a="1"/>
  <c r="HH54" i="39" s="1"/>
  <c r="HH103" i="39" a="1"/>
  <c r="HH103" i="39" s="1"/>
  <c r="HH90" i="39" a="1"/>
  <c r="HH90" i="39" s="1"/>
  <c r="HH26" i="39" a="1"/>
  <c r="HH26" i="39" s="1"/>
  <c r="HH88" i="39" a="1"/>
  <c r="HH88" i="39" s="1"/>
  <c r="HG101" i="39" a="1"/>
  <c r="HG101" i="39" s="1"/>
  <c r="HH66" i="39" a="1"/>
  <c r="HH66" i="39" s="1"/>
  <c r="HH31" i="39" a="1"/>
  <c r="HH31" i="39" s="1"/>
  <c r="HH51" i="39" a="1"/>
  <c r="HH51" i="39" s="1"/>
  <c r="HH73" i="39" a="1"/>
  <c r="HH73" i="39" s="1"/>
  <c r="HG98" i="39" a="1"/>
  <c r="HG98" i="39" s="1"/>
  <c r="HH101" i="39" a="1"/>
  <c r="HH101" i="39" s="1"/>
  <c r="HH94" i="39" a="1"/>
  <c r="HH94" i="39" s="1"/>
  <c r="HG32" i="39" a="1"/>
  <c r="HG32" i="39" s="1"/>
  <c r="HH69" i="39" a="1"/>
  <c r="HH69" i="39" s="1"/>
  <c r="HH61" i="39" a="1"/>
  <c r="HH61" i="39" s="1"/>
  <c r="HG77" i="39" a="1"/>
  <c r="HG77" i="39" s="1"/>
  <c r="HG99" i="39" a="1"/>
  <c r="HG99" i="39" s="1"/>
  <c r="HG61" i="39" a="1"/>
  <c r="HG61" i="39" s="1"/>
  <c r="HG90" i="39" a="1"/>
  <c r="HG90" i="39" s="1"/>
  <c r="HG78" i="39" a="1"/>
  <c r="HG78" i="39" s="1"/>
  <c r="HG55" i="39" a="1"/>
  <c r="HG55" i="39" s="1"/>
  <c r="HG34" i="39" a="1"/>
  <c r="HG34" i="39" s="1"/>
  <c r="HG71" i="39" a="1"/>
  <c r="HG71" i="39" s="1"/>
  <c r="HG51" i="39" a="1"/>
  <c r="HG51" i="39" s="1"/>
  <c r="HG38" i="39" a="1"/>
  <c r="HG38" i="39" s="1"/>
  <c r="HG47" i="39" a="1"/>
  <c r="HG47" i="39" s="1"/>
  <c r="HG60" i="39" a="1"/>
  <c r="HG60" i="39" s="1"/>
  <c r="HG91" i="39" a="1"/>
  <c r="HG91" i="39" s="1"/>
  <c r="HG67" i="39" a="1"/>
  <c r="HG67" i="39" s="1"/>
  <c r="HG108" i="39" a="1"/>
  <c r="HG108" i="39" s="1"/>
  <c r="HG83" i="39" a="1"/>
  <c r="HG83" i="39" s="1"/>
  <c r="HG39" i="39" a="1"/>
  <c r="HG39" i="39" s="1"/>
  <c r="HG36" i="39" a="1"/>
  <c r="HG36" i="39" s="1"/>
  <c r="HG50" i="39" a="1"/>
  <c r="HG50" i="39" s="1"/>
  <c r="P46" i="7"/>
  <c r="AE291" i="7"/>
  <c r="AF291" i="7" s="1"/>
  <c r="AF293" i="7" s="1"/>
  <c r="X217" i="7"/>
  <c r="AH311" i="7"/>
  <c r="AG310" i="7"/>
  <c r="P229" i="7"/>
  <c r="B229" i="7" s="1"/>
  <c r="B233" i="7" s="1"/>
  <c r="W218" i="7"/>
  <c r="W217" i="7"/>
  <c r="X215" i="7"/>
  <c r="X216" i="7"/>
  <c r="W216" i="7"/>
  <c r="X218" i="7"/>
  <c r="W215" i="7"/>
  <c r="AE297" i="7"/>
  <c r="AG298" i="7" s="1"/>
  <c r="J343" i="7"/>
  <c r="P355" i="7"/>
  <c r="B234" i="7" l="1"/>
  <c r="AA215" i="7"/>
  <c r="K231" i="7" s="1"/>
  <c r="J243" i="7" s="1"/>
  <c r="B232" i="7"/>
  <c r="AA218" i="7"/>
  <c r="K234" i="7" s="1"/>
  <c r="J246" i="7" s="1"/>
  <c r="AE293" i="7"/>
  <c r="Q229" i="7"/>
  <c r="F229" i="7" s="1"/>
  <c r="B231" i="7"/>
  <c r="AA217" i="7"/>
  <c r="K233" i="7" s="1"/>
  <c r="J245" i="7" s="1"/>
  <c r="B230" i="7"/>
  <c r="AA216" i="7"/>
  <c r="K232" i="7" s="1"/>
  <c r="J244" i="7" s="1"/>
  <c r="AH312" i="7"/>
  <c r="AG311" i="7"/>
  <c r="AI298" i="7"/>
  <c r="AB300" i="7" s="1"/>
  <c r="P236" i="7" l="1"/>
  <c r="C238" i="7" s="1"/>
  <c r="C239" i="7" s="1"/>
  <c r="V215" i="7"/>
  <c r="U215" i="7"/>
  <c r="U218" i="7"/>
  <c r="V216" i="7"/>
  <c r="U216" i="7"/>
  <c r="U217" i="7"/>
  <c r="V217" i="7"/>
  <c r="V218" i="7"/>
  <c r="G235" i="7"/>
  <c r="CI229" i="7"/>
  <c r="CJ229" i="7" s="1"/>
  <c r="CJ238" i="7" s="1"/>
  <c r="CJ239" i="7" s="1"/>
  <c r="Q289" i="7" s="1"/>
  <c r="Q288" i="7" s="1"/>
  <c r="L289" i="7" s="1"/>
  <c r="L51" i="7" s="1"/>
  <c r="P289" i="7"/>
  <c r="AG312" i="7"/>
  <c r="AH313" i="7"/>
  <c r="Z218" i="7" l="1"/>
  <c r="P242" i="7" s="1"/>
  <c r="C244" i="7" s="1"/>
  <c r="P238" i="7"/>
  <c r="C240" i="7" s="1"/>
  <c r="AL291" i="7"/>
  <c r="AL293" i="7" s="1"/>
  <c r="C245" i="7"/>
  <c r="Z215" i="7"/>
  <c r="P239" i="7" s="1"/>
  <c r="C241" i="7" s="1"/>
  <c r="F231" i="7"/>
  <c r="Z216" i="7"/>
  <c r="P240" i="7" s="1"/>
  <c r="C242" i="7" s="1"/>
  <c r="Z217" i="7"/>
  <c r="F234" i="7"/>
  <c r="F232" i="7"/>
  <c r="Q290" i="7"/>
  <c r="L290" i="7" s="1"/>
  <c r="L52" i="7" s="1"/>
  <c r="AH314" i="7"/>
  <c r="AG313" i="7"/>
  <c r="AJ291" i="7" l="1"/>
  <c r="AK291" i="7" s="1"/>
  <c r="AK293" i="7" s="1"/>
  <c r="AF300" i="7" s="1"/>
  <c r="P241" i="7"/>
  <c r="C243" i="7" s="1"/>
  <c r="F233" i="7"/>
  <c r="L294" i="7"/>
  <c r="L54" i="7" s="1"/>
  <c r="AG314" i="7"/>
  <c r="AH315" i="7"/>
  <c r="AJ293" i="7" l="1"/>
  <c r="AE300" i="7" s="1"/>
  <c r="AG300" i="7" s="1"/>
  <c r="P290" i="7" s="1"/>
  <c r="J290" i="7" s="1"/>
  <c r="J52" i="7" s="1"/>
  <c r="AG315" i="7"/>
  <c r="AH316" i="7"/>
  <c r="J294" i="7" l="1"/>
  <c r="J54" i="7" s="1"/>
  <c r="P288" i="7"/>
  <c r="J289" i="7" s="1"/>
  <c r="J51" i="7" s="1"/>
  <c r="AH317" i="7"/>
  <c r="AG316" i="7"/>
  <c r="AH318" i="7" l="1"/>
  <c r="AG317" i="7"/>
  <c r="AH319" i="7" l="1"/>
  <c r="AG318" i="7"/>
  <c r="AH320" i="7" l="1"/>
  <c r="AG319" i="7"/>
  <c r="AH321" i="7" l="1"/>
  <c r="AG320" i="7"/>
  <c r="AG321" i="7" l="1"/>
  <c r="AH322" i="7"/>
  <c r="AH323" i="7" l="1"/>
  <c r="AG322" i="7"/>
  <c r="AG323" i="7" l="1"/>
  <c r="AH324" i="7"/>
  <c r="AH325" i="7" l="1"/>
  <c r="AG324" i="7"/>
  <c r="AG325" i="7" l="1"/>
  <c r="AH326" i="7"/>
  <c r="D29" i="42"/>
  <c r="GH8" i="39"/>
  <c r="HI9" i="39" l="1"/>
  <c r="AH327" i="7"/>
  <c r="AG326" i="7"/>
  <c r="HI8" i="39"/>
  <c r="AY89" i="39" l="1" a="1"/>
  <c r="AY89" i="39" s="1"/>
  <c r="BC89" i="39" s="1"/>
  <c r="GW9" i="39"/>
  <c r="GW4" i="39" s="1" a="1"/>
  <c r="GW4" i="39" s="1"/>
  <c r="C23" i="42" s="1"/>
  <c r="AY100" i="39" a="1"/>
  <c r="AY100" i="39" s="1"/>
  <c r="BC100" i="39" s="1"/>
  <c r="AY53" i="39" a="1"/>
  <c r="AY53" i="39" s="1"/>
  <c r="BC53" i="39" s="1"/>
  <c r="AY109" i="39" a="1"/>
  <c r="AY109" i="39" s="1"/>
  <c r="BC109" i="39" s="1"/>
  <c r="AY93" i="39" a="1"/>
  <c r="AY93" i="39" s="1"/>
  <c r="AY88" i="39" a="1"/>
  <c r="AY88" i="39" s="1"/>
  <c r="BC88" i="39" s="1"/>
  <c r="AY46" i="39" a="1"/>
  <c r="AY46" i="39" s="1"/>
  <c r="AY41" i="39" a="1"/>
  <c r="AY41" i="39" s="1"/>
  <c r="AY55" i="39" a="1"/>
  <c r="AY55" i="39" s="1"/>
  <c r="AD55" i="39" s="1" a="1"/>
  <c r="AD55" i="39" s="1"/>
  <c r="AY36" i="39" a="1"/>
  <c r="AY36" i="39" s="1"/>
  <c r="AY113" i="39" a="1"/>
  <c r="AY113" i="39" s="1"/>
  <c r="BC113" i="39" s="1"/>
  <c r="AY48" i="39" a="1"/>
  <c r="AY48" i="39" s="1"/>
  <c r="BC48" i="39" s="1"/>
  <c r="AY40" i="39" a="1"/>
  <c r="AY40" i="39" s="1"/>
  <c r="AY79" i="39" a="1"/>
  <c r="AY79" i="39" s="1"/>
  <c r="BC79" i="39" s="1"/>
  <c r="AY104" i="39" a="1"/>
  <c r="AY104" i="39" s="1"/>
  <c r="BC104" i="39" s="1"/>
  <c r="AY132" i="39" a="1"/>
  <c r="AY132" i="39" s="1"/>
  <c r="BC132" i="39" s="1"/>
  <c r="AY124" i="39" a="1"/>
  <c r="AY124" i="39" s="1"/>
  <c r="AO124" i="39" s="1" a="1"/>
  <c r="AO124" i="39" s="1"/>
  <c r="AY80" i="39" a="1"/>
  <c r="AY80" i="39" s="1"/>
  <c r="BC80" i="39" s="1"/>
  <c r="AY123" i="39" a="1"/>
  <c r="AY123" i="39" s="1"/>
  <c r="BC123" i="39" s="1"/>
  <c r="AY114" i="39" a="1"/>
  <c r="AY114" i="39" s="1"/>
  <c r="BC114" i="39" s="1"/>
  <c r="AY105" i="39" a="1"/>
  <c r="AY105" i="39" s="1"/>
  <c r="AS105" i="39" s="1" a="1"/>
  <c r="AS105" i="39" s="1"/>
  <c r="AY97" i="39" a="1"/>
  <c r="AY97" i="39" s="1"/>
  <c r="BC97" i="39" s="1"/>
  <c r="AY61" i="39" a="1"/>
  <c r="AY61" i="39" s="1"/>
  <c r="BC61" i="39" s="1"/>
  <c r="AY63" i="39" a="1"/>
  <c r="AY63" i="39" s="1"/>
  <c r="BC63" i="39" s="1"/>
  <c r="AY60" i="39" a="1"/>
  <c r="AY60" i="39" s="1"/>
  <c r="AS60" i="39" s="1" a="1"/>
  <c r="AS60" i="39" s="1"/>
  <c r="AY57" i="39" a="1"/>
  <c r="AY57" i="39" s="1"/>
  <c r="BC57" i="39" s="1"/>
  <c r="AY90" i="39" a="1"/>
  <c r="AY90" i="39" s="1"/>
  <c r="BC90" i="39" s="1"/>
  <c r="AY131" i="39" a="1"/>
  <c r="AY131" i="39" s="1"/>
  <c r="BC131" i="39" s="1"/>
  <c r="AY115" i="39" a="1"/>
  <c r="AY115" i="39" s="1"/>
  <c r="AU115" i="39" s="1" a="1"/>
  <c r="AU115" i="39" s="1"/>
  <c r="AY118" i="39" a="1"/>
  <c r="AY118" i="39" s="1"/>
  <c r="BC118" i="39" s="1"/>
  <c r="AY116" i="39" a="1"/>
  <c r="AY116" i="39" s="1"/>
  <c r="BC116" i="39" s="1"/>
  <c r="AY54" i="39" a="1"/>
  <c r="AY54" i="39" s="1"/>
  <c r="BC54" i="39" s="1"/>
  <c r="AY17" i="39" a="1"/>
  <c r="AY17" i="39" s="1"/>
  <c r="AT17" i="39" s="1" a="1"/>
  <c r="AT17" i="39" s="1"/>
  <c r="AY13" i="39" a="1"/>
  <c r="AY13" i="39" s="1"/>
  <c r="AY30" i="39" a="1"/>
  <c r="AY30" i="39" s="1"/>
  <c r="AY28" i="39" a="1"/>
  <c r="AY28" i="39" s="1"/>
  <c r="AY16" i="39" a="1"/>
  <c r="AY16" i="39" s="1"/>
  <c r="AH16" i="39" s="1" a="1"/>
  <c r="AH16" i="39" s="1"/>
  <c r="AY29" i="39" a="1"/>
  <c r="AY29" i="39" s="1"/>
  <c r="AY70" i="39" a="1"/>
  <c r="AY70" i="39" s="1"/>
  <c r="BC70" i="39" s="1"/>
  <c r="AY82" i="39" a="1"/>
  <c r="AY82" i="39" s="1"/>
  <c r="BC82" i="39" s="1"/>
  <c r="AY117" i="39" a="1"/>
  <c r="AY117" i="39" s="1"/>
  <c r="AP117" i="39" s="1" a="1"/>
  <c r="AP117" i="39" s="1"/>
  <c r="AY98" i="39" a="1"/>
  <c r="AY98" i="39" s="1"/>
  <c r="BC98" i="39" s="1"/>
  <c r="AY45" i="39" a="1"/>
  <c r="AY45" i="39" s="1"/>
  <c r="AY128" i="39" a="1"/>
  <c r="AY128" i="39" s="1"/>
  <c r="BC128" i="39" s="1"/>
  <c r="AY77" i="39" a="1"/>
  <c r="AY77" i="39" s="1"/>
  <c r="BC77" i="39" s="1"/>
  <c r="AY75" i="39" a="1"/>
  <c r="AY75" i="39" s="1"/>
  <c r="BC75" i="39" s="1"/>
  <c r="AY95" i="39" a="1"/>
  <c r="AY95" i="39" s="1"/>
  <c r="BC95" i="39" s="1"/>
  <c r="AY58" i="39" a="1"/>
  <c r="AY58" i="39" s="1"/>
  <c r="BC58" i="39" s="1"/>
  <c r="AY21" i="39" a="1"/>
  <c r="AY21" i="39" s="1"/>
  <c r="AY24" i="39" a="1"/>
  <c r="AY24" i="39" s="1"/>
  <c r="AY111" i="39" a="1"/>
  <c r="AY111" i="39" s="1"/>
  <c r="BC111" i="39" s="1"/>
  <c r="AY99" i="39" a="1"/>
  <c r="AY99" i="39" s="1"/>
  <c r="BC99" i="39" s="1"/>
  <c r="AY23" i="39" a="1"/>
  <c r="AY23" i="39" s="1"/>
  <c r="AY65" i="39" a="1"/>
  <c r="AY65" i="39" s="1"/>
  <c r="BC65" i="39" s="1"/>
  <c r="AY130" i="39" a="1"/>
  <c r="AY130" i="39" s="1"/>
  <c r="BC130" i="39" s="1"/>
  <c r="AY91" i="39" a="1"/>
  <c r="AY91" i="39" s="1"/>
  <c r="BC91" i="39" s="1"/>
  <c r="AY81" i="39" a="1"/>
  <c r="AY81" i="39" s="1"/>
  <c r="AY101" i="39" a="1"/>
  <c r="AY101" i="39" s="1"/>
  <c r="BC101" i="39" s="1"/>
  <c r="AY73" i="39" a="1"/>
  <c r="AY73" i="39" s="1"/>
  <c r="BC73" i="39" s="1"/>
  <c r="AY33" i="39" a="1"/>
  <c r="AY33" i="39" s="1"/>
  <c r="AY59" i="39" a="1"/>
  <c r="AY59" i="39" s="1"/>
  <c r="AY94" i="39" a="1"/>
  <c r="AY94" i="39" s="1"/>
  <c r="BC94" i="39" s="1"/>
  <c r="AY15" i="39" a="1"/>
  <c r="AY15" i="39" s="1"/>
  <c r="AM15" i="39" s="1" a="1"/>
  <c r="AM15" i="39" s="1"/>
  <c r="AY18" i="39" a="1"/>
  <c r="AY18" i="39" s="1"/>
  <c r="Y18" i="39" s="1" a="1"/>
  <c r="Y18" i="39" s="1"/>
  <c r="AY83" i="39" a="1"/>
  <c r="AY83" i="39" s="1"/>
  <c r="AY56" i="39" a="1"/>
  <c r="AY56" i="39" s="1"/>
  <c r="BC56" i="39" s="1"/>
  <c r="AY125" i="39" a="1"/>
  <c r="AY125" i="39" s="1"/>
  <c r="BC125" i="39" s="1"/>
  <c r="AY27" i="39" a="1"/>
  <c r="AY27" i="39" s="1"/>
  <c r="AY52" i="39" a="1"/>
  <c r="AY52" i="39" s="1"/>
  <c r="AY106" i="39" a="1"/>
  <c r="AY106" i="39" s="1"/>
  <c r="BC106" i="39" s="1"/>
  <c r="AY119" i="39" a="1"/>
  <c r="AY119" i="39" s="1"/>
  <c r="BC119" i="39" s="1"/>
  <c r="AY62" i="39" a="1"/>
  <c r="AY62" i="39" s="1"/>
  <c r="BC62" i="39" s="1"/>
  <c r="AY64" i="39" a="1"/>
  <c r="AY64" i="39" s="1"/>
  <c r="AY87" i="39" a="1"/>
  <c r="AY87" i="39" s="1"/>
  <c r="BC87" i="39" s="1"/>
  <c r="AY108" i="39" a="1"/>
  <c r="AY108" i="39" s="1"/>
  <c r="BB108" i="39" s="1" a="1"/>
  <c r="BB108" i="39" s="1"/>
  <c r="AY44" i="39" a="1"/>
  <c r="AY44" i="39" s="1"/>
  <c r="AM44" i="39" s="1" a="1"/>
  <c r="AM44" i="39" s="1"/>
  <c r="AY20" i="39" a="1"/>
  <c r="AY20" i="39" s="1"/>
  <c r="AY126" i="39" a="1"/>
  <c r="AY126" i="39" s="1"/>
  <c r="BC126" i="39" s="1"/>
  <c r="AY122" i="39" a="1"/>
  <c r="AY122" i="39" s="1"/>
  <c r="AE122" i="39" s="1" a="1"/>
  <c r="AE122" i="39" s="1"/>
  <c r="AY69" i="39" a="1"/>
  <c r="AY69" i="39" s="1"/>
  <c r="BB69" i="39" s="1" a="1"/>
  <c r="BB69" i="39" s="1"/>
  <c r="AY32" i="39" a="1"/>
  <c r="AY32" i="39" s="1"/>
  <c r="AY76" i="39" a="1"/>
  <c r="AY76" i="39" s="1"/>
  <c r="AY129" i="39" a="1"/>
  <c r="AY129" i="39" s="1"/>
  <c r="AY96" i="39" a="1"/>
  <c r="AY96" i="39" s="1"/>
  <c r="AY51" i="39" a="1"/>
  <c r="AY51" i="39" s="1"/>
  <c r="BC51" i="39" s="1"/>
  <c r="AY92" i="39" a="1"/>
  <c r="AY92" i="39" s="1"/>
  <c r="BC92" i="39" s="1"/>
  <c r="AY127" i="39" a="1"/>
  <c r="AY127" i="39" s="1"/>
  <c r="AY34" i="39" a="1"/>
  <c r="AY34" i="39" s="1"/>
  <c r="AY43" i="39" a="1"/>
  <c r="AY43" i="39" s="1"/>
  <c r="AY31" i="39" a="1"/>
  <c r="AY31" i="39" s="1"/>
  <c r="AY85" i="39" a="1"/>
  <c r="AY85" i="39" s="1"/>
  <c r="AY25" i="39" a="1"/>
  <c r="AY25" i="39" s="1"/>
  <c r="AY107" i="39" a="1"/>
  <c r="AY107" i="39" s="1"/>
  <c r="BC107" i="39" s="1"/>
  <c r="AY78" i="39" a="1"/>
  <c r="AY78" i="39" s="1"/>
  <c r="BC78" i="39" s="1"/>
  <c r="AY112" i="39" a="1"/>
  <c r="AY112" i="39" s="1"/>
  <c r="BC112" i="39" s="1"/>
  <c r="AY71" i="39" a="1"/>
  <c r="AY71" i="39" s="1"/>
  <c r="BC71" i="39" s="1"/>
  <c r="AY22" i="39" a="1"/>
  <c r="AY22" i="39" s="1"/>
  <c r="AY74" i="39" a="1"/>
  <c r="AY74" i="39" s="1"/>
  <c r="BC74" i="39" s="1"/>
  <c r="AY121" i="39" a="1"/>
  <c r="AY121" i="39" s="1"/>
  <c r="BC121" i="39" s="1"/>
  <c r="AY72" i="39" a="1"/>
  <c r="AY72" i="39" s="1"/>
  <c r="BC72" i="39" s="1"/>
  <c r="AY42" i="39" a="1"/>
  <c r="AY42" i="39" s="1"/>
  <c r="AY110" i="39" a="1"/>
  <c r="AY110" i="39" s="1"/>
  <c r="BC110" i="39" s="1"/>
  <c r="AY67" i="39" a="1"/>
  <c r="AY67" i="39" s="1"/>
  <c r="BC67" i="39" s="1"/>
  <c r="AY49" i="39" a="1"/>
  <c r="AY49" i="39" s="1"/>
  <c r="BC49" i="39" s="1"/>
  <c r="AY68" i="39" a="1"/>
  <c r="AY68" i="39" s="1"/>
  <c r="BC68" i="39" s="1"/>
  <c r="AY14" i="39" a="1"/>
  <c r="AY14" i="39" s="1"/>
  <c r="AY66" i="39" a="1"/>
  <c r="AY66" i="39" s="1"/>
  <c r="BC66" i="39" s="1"/>
  <c r="AY26" i="39" a="1"/>
  <c r="AY26" i="39" s="1"/>
  <c r="AY47" i="39" a="1"/>
  <c r="AY47" i="39" s="1"/>
  <c r="BC47" i="39" s="1"/>
  <c r="AY102" i="39" a="1"/>
  <c r="AY102" i="39" s="1"/>
  <c r="BC102" i="39" s="1"/>
  <c r="AY86" i="39" a="1"/>
  <c r="AY86" i="39" s="1"/>
  <c r="BC86" i="39" s="1"/>
  <c r="AY50" i="39" a="1"/>
  <c r="AY50" i="39" s="1"/>
  <c r="BC50" i="39" s="1"/>
  <c r="AY35" i="39" a="1"/>
  <c r="AY35" i="39" s="1"/>
  <c r="AY120" i="39" a="1"/>
  <c r="AY120" i="39" s="1"/>
  <c r="BC120" i="39" s="1"/>
  <c r="AY103" i="39" a="1"/>
  <c r="AY103" i="39" s="1"/>
  <c r="BC103" i="39" s="1"/>
  <c r="AY84" i="39" a="1"/>
  <c r="AY84" i="39" s="1"/>
  <c r="BC84" i="39" s="1"/>
  <c r="AY19" i="39" a="1"/>
  <c r="AY19" i="39" s="1"/>
  <c r="AG327" i="7"/>
  <c r="AH328" i="7"/>
  <c r="AH89" i="39" a="1"/>
  <c r="AH89" i="39" s="1"/>
  <c r="AS89" i="39" a="1"/>
  <c r="AS89" i="39" s="1"/>
  <c r="AE89" i="39" a="1"/>
  <c r="AE89" i="39" s="1"/>
  <c r="AL89" i="39" a="1"/>
  <c r="AL89" i="39" s="1"/>
  <c r="AO89" i="39" a="1"/>
  <c r="AO89" i="39" s="1"/>
  <c r="AI89" i="39" a="1"/>
  <c r="AI89" i="39" s="1"/>
  <c r="AM89" i="39" a="1"/>
  <c r="AM89" i="39" s="1"/>
  <c r="BB89" i="39" a="1"/>
  <c r="BB89" i="39" s="1"/>
  <c r="AP89" i="39" a="1"/>
  <c r="AP89" i="39" s="1"/>
  <c r="AR89" i="39" a="1"/>
  <c r="AR89" i="39" s="1"/>
  <c r="AG89" i="39" a="1"/>
  <c r="AG89" i="39" s="1"/>
  <c r="Y89" i="39" a="1"/>
  <c r="Y89" i="39" s="1"/>
  <c r="AU89" i="39" a="1"/>
  <c r="AU89" i="39" s="1"/>
  <c r="AT89" i="39" a="1"/>
  <c r="AT89" i="39" s="1"/>
  <c r="AD89" i="39" a="1"/>
  <c r="AD89" i="39" s="1"/>
  <c r="AC89" i="39" a="1"/>
  <c r="AC89" i="39" s="1"/>
  <c r="AO113" i="39" a="1"/>
  <c r="AO113" i="39" s="1"/>
  <c r="AL113" i="39" a="1"/>
  <c r="AL113" i="39" s="1"/>
  <c r="BB113" i="39" a="1"/>
  <c r="BB113" i="39" s="1"/>
  <c r="AG113" i="39" a="1"/>
  <c r="AG113" i="39" s="1"/>
  <c r="Y63" i="39" a="1"/>
  <c r="Y63" i="39" s="1"/>
  <c r="AP63" i="39" a="1"/>
  <c r="AP63" i="39" s="1"/>
  <c r="AH57" i="39" a="1"/>
  <c r="AH57" i="39" s="1"/>
  <c r="Y36" i="39" a="1"/>
  <c r="Y36" i="39" s="1"/>
  <c r="AM36" i="39" a="1"/>
  <c r="AM36" i="39" s="1"/>
  <c r="AC36" i="39" a="1"/>
  <c r="AC36" i="39" s="1"/>
  <c r="AI36" i="39" a="1"/>
  <c r="AI36" i="39" s="1"/>
  <c r="BB36" i="39" a="1"/>
  <c r="BB36" i="39" s="1"/>
  <c r="AH36" i="39" a="1"/>
  <c r="AH36" i="39" s="1"/>
  <c r="AD36" i="39" a="1"/>
  <c r="AD36" i="39" s="1"/>
  <c r="AL36" i="39" a="1"/>
  <c r="AL36" i="39" s="1"/>
  <c r="AT36" i="39" a="1"/>
  <c r="AT36" i="39" s="1"/>
  <c r="AO36" i="39" a="1"/>
  <c r="AO36" i="39" s="1"/>
  <c r="AP36" i="39" a="1"/>
  <c r="AP36" i="39" s="1"/>
  <c r="AE36" i="39" a="1"/>
  <c r="AE36" i="39" s="1"/>
  <c r="AG36" i="39" a="1"/>
  <c r="AG36" i="39" s="1"/>
  <c r="AK36" i="39" a="1"/>
  <c r="AK36" i="39" s="1"/>
  <c r="BA36" i="39" s="1"/>
  <c r="AD30" i="39" a="1"/>
  <c r="AD30" i="39" s="1"/>
  <c r="AC30" i="39" a="1"/>
  <c r="AC30" i="39" s="1"/>
  <c r="AR111" i="39" a="1"/>
  <c r="AR111" i="39" s="1"/>
  <c r="AG111" i="39" a="1"/>
  <c r="AG111" i="39" s="1"/>
  <c r="AU132" i="39" a="1"/>
  <c r="AU132" i="39" s="1"/>
  <c r="AK132" i="39" a="1"/>
  <c r="AK132" i="39" s="1"/>
  <c r="BA132" i="39" s="1"/>
  <c r="AI132" i="39" a="1"/>
  <c r="AI132" i="39" s="1"/>
  <c r="AR132" i="39" a="1"/>
  <c r="AR132" i="39" s="1"/>
  <c r="AC132" i="39" a="1"/>
  <c r="AC132" i="39" s="1"/>
  <c r="AL132" i="39" a="1"/>
  <c r="AL132" i="39" s="1"/>
  <c r="BB132" i="39" a="1"/>
  <c r="BB132" i="39" s="1"/>
  <c r="AG132" i="39" a="1"/>
  <c r="AG132" i="39" s="1"/>
  <c r="Y132" i="39" a="1"/>
  <c r="Y132" i="39" s="1"/>
  <c r="AE132" i="39" a="1"/>
  <c r="AE132" i="39" s="1"/>
  <c r="AP132" i="39" a="1"/>
  <c r="AP132" i="39" s="1"/>
  <c r="AS132" i="39" a="1"/>
  <c r="AS132" i="39" s="1"/>
  <c r="AD132" i="39" a="1"/>
  <c r="AD132" i="39" s="1"/>
  <c r="AO132" i="39" a="1"/>
  <c r="AO132" i="39" s="1"/>
  <c r="AT132" i="39" a="1"/>
  <c r="AT132" i="39" s="1"/>
  <c r="AH132" i="39" a="1"/>
  <c r="AH132" i="39" s="1"/>
  <c r="AM132" i="39" a="1"/>
  <c r="AM132" i="39" s="1"/>
  <c r="AD90" i="39" a="1"/>
  <c r="AD90" i="39" s="1"/>
  <c r="AS90" i="39" a="1"/>
  <c r="AS90" i="39" s="1"/>
  <c r="AK41" i="39" a="1"/>
  <c r="AK41" i="39" s="1"/>
  <c r="BA41" i="39" s="1"/>
  <c r="AD41" i="39" a="1"/>
  <c r="AD41" i="39" s="1"/>
  <c r="BB41" i="39" a="1"/>
  <c r="BB41" i="39" s="1"/>
  <c r="AH41" i="39" a="1"/>
  <c r="AH41" i="39" s="1"/>
  <c r="AG41" i="39" a="1"/>
  <c r="AG41" i="39" s="1"/>
  <c r="AO41" i="39" a="1"/>
  <c r="AO41" i="39" s="1"/>
  <c r="AC41" i="39" a="1"/>
  <c r="AC41" i="39" s="1"/>
  <c r="AT41" i="39" a="1"/>
  <c r="AT41" i="39" s="1"/>
  <c r="AI41" i="39" a="1"/>
  <c r="AI41" i="39" s="1"/>
  <c r="AL41" i="39" a="1"/>
  <c r="AL41" i="39" s="1"/>
  <c r="AM41" i="39" a="1"/>
  <c r="AM41" i="39" s="1"/>
  <c r="AP41" i="39" a="1"/>
  <c r="AP41" i="39" s="1"/>
  <c r="Y41" i="39" a="1"/>
  <c r="Y41" i="39" s="1"/>
  <c r="AE41" i="39" a="1"/>
  <c r="AE41" i="39" s="1"/>
  <c r="AK123" i="39" a="1"/>
  <c r="AK123" i="39" s="1"/>
  <c r="BA123" i="39" s="1"/>
  <c r="AE123" i="39" a="1"/>
  <c r="AE123" i="39" s="1"/>
  <c r="AP123" i="39" a="1"/>
  <c r="AP123" i="39" s="1"/>
  <c r="GX9" i="39"/>
  <c r="AC82" i="39" a="1"/>
  <c r="AC82" i="39" s="1"/>
  <c r="AU80" i="39" a="1"/>
  <c r="AU80" i="39" s="1"/>
  <c r="AT80" i="39" a="1"/>
  <c r="AT80" i="39" s="1"/>
  <c r="Y80" i="39" a="1"/>
  <c r="Y80" i="39" s="1"/>
  <c r="AE80" i="39" a="1"/>
  <c r="AE80" i="39" s="1"/>
  <c r="AO45" i="39" a="1"/>
  <c r="AO45" i="39" s="1"/>
  <c r="AK73" i="39" a="1"/>
  <c r="AK73" i="39" s="1"/>
  <c r="BA73" i="39" s="1"/>
  <c r="BB73" i="39" a="1"/>
  <c r="BB73" i="39" s="1"/>
  <c r="AK100" i="39" a="1"/>
  <c r="AK100" i="39" s="1"/>
  <c r="BA100" i="39" s="1"/>
  <c r="AS100" i="39" a="1"/>
  <c r="AS100" i="39" s="1"/>
  <c r="AU100" i="39" a="1"/>
  <c r="AU100" i="39" s="1"/>
  <c r="BB100" i="39" a="1"/>
  <c r="BB100" i="39" s="1"/>
  <c r="AI100" i="39" a="1"/>
  <c r="AI100" i="39" s="1"/>
  <c r="AM100" i="39" a="1"/>
  <c r="AM100" i="39" s="1"/>
  <c r="AL100" i="39" a="1"/>
  <c r="AL100" i="39" s="1"/>
  <c r="Y100" i="39" a="1"/>
  <c r="Y100" i="39" s="1"/>
  <c r="AD100" i="39" a="1"/>
  <c r="AD100" i="39" s="1"/>
  <c r="AT100" i="39" a="1"/>
  <c r="AT100" i="39" s="1"/>
  <c r="AC100" i="39" a="1"/>
  <c r="AC100" i="39" s="1"/>
  <c r="AH100" i="39" a="1"/>
  <c r="AH100" i="39" s="1"/>
  <c r="AP100" i="39" a="1"/>
  <c r="AP100" i="39" s="1"/>
  <c r="AE100" i="39" a="1"/>
  <c r="AE100" i="39" s="1"/>
  <c r="AR100" i="39" a="1"/>
  <c r="AR100" i="39" s="1"/>
  <c r="AO100" i="39" a="1"/>
  <c r="AO100" i="39" s="1"/>
  <c r="AG100" i="39" a="1"/>
  <c r="AG100" i="39" s="1"/>
  <c r="AK53" i="39" a="1"/>
  <c r="AK53" i="39" s="1"/>
  <c r="BA53" i="39" s="1"/>
  <c r="AR53" i="39" a="1"/>
  <c r="AR53" i="39" s="1"/>
  <c r="AT53" i="39" a="1"/>
  <c r="AT53" i="39" s="1"/>
  <c r="AC53" i="39" a="1"/>
  <c r="AC53" i="39" s="1"/>
  <c r="AS53" i="39" a="1"/>
  <c r="AS53" i="39" s="1"/>
  <c r="AD53" i="39" a="1"/>
  <c r="AD53" i="39" s="1"/>
  <c r="AE53" i="39" a="1"/>
  <c r="AE53" i="39" s="1"/>
  <c r="AH53" i="39" a="1"/>
  <c r="AH53" i="39" s="1"/>
  <c r="AI53" i="39" a="1"/>
  <c r="AI53" i="39" s="1"/>
  <c r="AM53" i="39" a="1"/>
  <c r="AM53" i="39" s="1"/>
  <c r="AP53" i="39" a="1"/>
  <c r="AP53" i="39" s="1"/>
  <c r="Y53" i="39" a="1"/>
  <c r="Y53" i="39" s="1"/>
  <c r="AO53" i="39" a="1"/>
  <c r="AO53" i="39" s="1"/>
  <c r="AL53" i="39" a="1"/>
  <c r="AL53" i="39" s="1"/>
  <c r="AG53" i="39" a="1"/>
  <c r="AG53" i="39" s="1"/>
  <c r="AU53" i="39" a="1"/>
  <c r="AU53" i="39" s="1"/>
  <c r="BB53" i="39" a="1"/>
  <c r="BB53" i="39" s="1"/>
  <c r="AD88" i="39" a="1"/>
  <c r="AD88" i="39" s="1"/>
  <c r="AE88" i="39" a="1"/>
  <c r="AE88" i="39" s="1"/>
  <c r="AT88" i="39" a="1"/>
  <c r="AT88" i="39" s="1"/>
  <c r="AL88" i="39" a="1"/>
  <c r="AL88" i="39" s="1"/>
  <c r="AI88" i="39" a="1"/>
  <c r="AI88" i="39" s="1"/>
  <c r="AM88" i="39" a="1"/>
  <c r="AM88" i="39" s="1"/>
  <c r="AU88" i="39" a="1"/>
  <c r="AU88" i="39" s="1"/>
  <c r="AO88" i="39" a="1"/>
  <c r="AO88" i="39" s="1"/>
  <c r="AP88" i="39" a="1"/>
  <c r="AP88" i="39" s="1"/>
  <c r="Y88" i="39" a="1"/>
  <c r="Y88" i="39" s="1"/>
  <c r="AH88" i="39" a="1"/>
  <c r="AH88" i="39" s="1"/>
  <c r="AS88" i="39" a="1"/>
  <c r="AS88" i="39" s="1"/>
  <c r="BB125" i="39" a="1"/>
  <c r="BB125" i="39" s="1"/>
  <c r="AL63" i="39" l="1" a="1"/>
  <c r="AL63" i="39" s="1"/>
  <c r="AK63" i="39" a="1"/>
  <c r="AK63" i="39" s="1"/>
  <c r="BA63" i="39" s="1"/>
  <c r="AM58" i="39" a="1"/>
  <c r="AM58" i="39" s="1"/>
  <c r="AO63" i="39" a="1"/>
  <c r="AO63" i="39" s="1"/>
  <c r="BB63" i="39" a="1"/>
  <c r="BB63" i="39" s="1"/>
  <c r="AI63" i="39" a="1"/>
  <c r="AI63" i="39" s="1"/>
  <c r="AG63" i="39" a="1"/>
  <c r="AG63" i="39" s="1"/>
  <c r="AM63" i="39" a="1"/>
  <c r="AM63" i="39" s="1"/>
  <c r="AR63" i="39" a="1"/>
  <c r="AR63" i="39" s="1"/>
  <c r="AS63" i="39" a="1"/>
  <c r="AS63" i="39" s="1"/>
  <c r="AE63" i="39" a="1"/>
  <c r="AE63" i="39" s="1"/>
  <c r="AU63" i="39" a="1"/>
  <c r="AU63" i="39" s="1"/>
  <c r="AO82" i="39" a="1"/>
  <c r="AO82" i="39" s="1"/>
  <c r="AC54" i="39" a="1"/>
  <c r="AC54" i="39" s="1"/>
  <c r="AH63" i="39" a="1"/>
  <c r="AH63" i="39" s="1"/>
  <c r="AC63" i="39" a="1"/>
  <c r="AC63" i="39" s="1"/>
  <c r="AT82" i="39" a="1"/>
  <c r="AT82" i="39" s="1"/>
  <c r="AM54" i="39" a="1"/>
  <c r="AM54" i="39" s="1"/>
  <c r="AD63" i="39" a="1"/>
  <c r="AD63" i="39" s="1"/>
  <c r="AT63" i="39" a="1"/>
  <c r="AT63" i="39" s="1"/>
  <c r="AR79" i="39" a="1"/>
  <c r="AR79" i="39" s="1"/>
  <c r="BB58" i="39" a="1"/>
  <c r="BB58" i="39" s="1"/>
  <c r="AU82" i="39" a="1"/>
  <c r="AU82" i="39" s="1"/>
  <c r="AK18" i="39" a="1"/>
  <c r="AK18" i="39" s="1"/>
  <c r="BA18" i="39" s="1"/>
  <c r="AT48" i="39" a="1"/>
  <c r="AT48" i="39" s="1"/>
  <c r="AR48" i="39" a="1"/>
  <c r="AR48" i="39" s="1"/>
  <c r="AI91" i="39" a="1"/>
  <c r="AI91" i="39" s="1"/>
  <c r="AP91" i="39" a="1"/>
  <c r="AP91" i="39" s="1"/>
  <c r="AC88" i="39" a="1"/>
  <c r="AC88" i="39" s="1"/>
  <c r="AR88" i="39" a="1"/>
  <c r="AR88" i="39" s="1"/>
  <c r="AK88" i="39" a="1"/>
  <c r="AK88" i="39" s="1"/>
  <c r="BA88" i="39" s="1"/>
  <c r="AE79" i="39" a="1"/>
  <c r="AE79" i="39" s="1"/>
  <c r="BB88" i="39" a="1"/>
  <c r="BB88" i="39" s="1"/>
  <c r="AG88" i="39" a="1"/>
  <c r="AG88" i="39" s="1"/>
  <c r="AG79" i="39" a="1"/>
  <c r="AG79" i="39" s="1"/>
  <c r="AK114" i="39" a="1"/>
  <c r="AK114" i="39" s="1"/>
  <c r="BA114" i="39" s="1"/>
  <c r="AH128" i="39" a="1"/>
  <c r="AH128" i="39" s="1"/>
  <c r="AO114" i="39" a="1"/>
  <c r="AO114" i="39" s="1"/>
  <c r="BB114" i="39" a="1"/>
  <c r="BB114" i="39" s="1"/>
  <c r="Y99" i="39" a="1"/>
  <c r="Y99" i="39" s="1"/>
  <c r="AU131" i="39" a="1"/>
  <c r="AU131" i="39" s="1"/>
  <c r="AK131" i="39" a="1"/>
  <c r="AK131" i="39" s="1"/>
  <c r="BA131" i="39" s="1"/>
  <c r="AE62" i="39" a="1"/>
  <c r="AE62" i="39" s="1"/>
  <c r="AH97" i="39" a="1"/>
  <c r="AH97" i="39" s="1"/>
  <c r="AD28" i="39" a="1"/>
  <c r="AD28" i="39" s="1"/>
  <c r="AG128" i="39" a="1"/>
  <c r="AG128" i="39" s="1"/>
  <c r="AO99" i="39" a="1"/>
  <c r="AO99" i="39" s="1"/>
  <c r="BB109" i="39" a="1"/>
  <c r="BB109" i="39" s="1"/>
  <c r="AT109" i="39" a="1"/>
  <c r="AT109" i="39" s="1"/>
  <c r="Y128" i="39" a="1"/>
  <c r="Y128" i="39" s="1"/>
  <c r="AT128" i="39" a="1"/>
  <c r="AT128" i="39" s="1"/>
  <c r="AP28" i="39" a="1"/>
  <c r="AP28" i="39" s="1"/>
  <c r="BB48" i="39" a="1"/>
  <c r="BB48" i="39" s="1"/>
  <c r="AL48" i="39" a="1"/>
  <c r="AL48" i="39" s="1"/>
  <c r="AP99" i="39" a="1"/>
  <c r="AP99" i="39" s="1"/>
  <c r="AS99" i="39" a="1"/>
  <c r="AS99" i="39" s="1"/>
  <c r="AT131" i="39" a="1"/>
  <c r="AT131" i="39" s="1"/>
  <c r="BB131" i="39" a="1"/>
  <c r="BB131" i="39" s="1"/>
  <c r="AO131" i="39" a="1"/>
  <c r="AO131" i="39" s="1"/>
  <c r="AG114" i="39" a="1"/>
  <c r="AG114" i="39" s="1"/>
  <c r="AC114" i="39" a="1"/>
  <c r="AC114" i="39" s="1"/>
  <c r="AP109" i="39" a="1"/>
  <c r="AP109" i="39" s="1"/>
  <c r="AD109" i="39" a="1"/>
  <c r="AD109" i="39" s="1"/>
  <c r="AM128" i="39" a="1"/>
  <c r="AM128" i="39" s="1"/>
  <c r="AE128" i="39" a="1"/>
  <c r="AE128" i="39" s="1"/>
  <c r="Y28" i="39" a="1"/>
  <c r="Y28" i="39" s="1"/>
  <c r="AT28" i="39" a="1"/>
  <c r="AT28" i="39" s="1"/>
  <c r="AH48" i="39" a="1"/>
  <c r="AH48" i="39" s="1"/>
  <c r="Y48" i="39" a="1"/>
  <c r="Y48" i="39" s="1"/>
  <c r="AD99" i="39" a="1"/>
  <c r="AD99" i="39" s="1"/>
  <c r="AL131" i="39" a="1"/>
  <c r="AL131" i="39" s="1"/>
  <c r="AR131" i="39" a="1"/>
  <c r="AR131" i="39" s="1"/>
  <c r="AR114" i="39" a="1"/>
  <c r="AR114" i="39" s="1"/>
  <c r="AL114" i="39" a="1"/>
  <c r="AL114" i="39" s="1"/>
  <c r="AE109" i="39" a="1"/>
  <c r="AE109" i="39" s="1"/>
  <c r="AM109" i="39" a="1"/>
  <c r="AM109" i="39" s="1"/>
  <c r="AS109" i="39" a="1"/>
  <c r="AS109" i="39" s="1"/>
  <c r="AU109" i="39" a="1"/>
  <c r="AU109" i="39" s="1"/>
  <c r="AL109" i="39" a="1"/>
  <c r="AL109" i="39" s="1"/>
  <c r="AR128" i="39" a="1"/>
  <c r="AR128" i="39" s="1"/>
  <c r="AC128" i="39" a="1"/>
  <c r="AC128" i="39" s="1"/>
  <c r="AC28" i="39" a="1"/>
  <c r="AC28" i="39" s="1"/>
  <c r="AK28" i="39" a="1"/>
  <c r="AK28" i="39" s="1"/>
  <c r="BA28" i="39" s="1"/>
  <c r="AE48" i="39" a="1"/>
  <c r="AE48" i="39" s="1"/>
  <c r="AM48" i="39" a="1"/>
  <c r="AM48" i="39" s="1"/>
  <c r="AC99" i="39" a="1"/>
  <c r="AC99" i="39" s="1"/>
  <c r="AT99" i="39" a="1"/>
  <c r="AT99" i="39" s="1"/>
  <c r="AP131" i="39" a="1"/>
  <c r="AP131" i="39" s="1"/>
  <c r="AG131" i="39" a="1"/>
  <c r="AG131" i="39" s="1"/>
  <c r="AM114" i="39" a="1"/>
  <c r="AM114" i="39" s="1"/>
  <c r="AI114" i="39" a="1"/>
  <c r="AI114" i="39" s="1"/>
  <c r="AH109" i="39" a="1"/>
  <c r="AH109" i="39" s="1"/>
  <c r="AC109" i="39" a="1"/>
  <c r="AC109" i="39" s="1"/>
  <c r="AP128" i="39" a="1"/>
  <c r="AP128" i="39" s="1"/>
  <c r="AU128" i="39" a="1"/>
  <c r="AU128" i="39" s="1"/>
  <c r="AD128" i="39" a="1"/>
  <c r="AD128" i="39" s="1"/>
  <c r="AG28" i="39" a="1"/>
  <c r="AG28" i="39" s="1"/>
  <c r="AH28" i="39" a="1"/>
  <c r="AH28" i="39" s="1"/>
  <c r="AG48" i="39" a="1"/>
  <c r="AG48" i="39" s="1"/>
  <c r="AS48" i="39" a="1"/>
  <c r="AS48" i="39" s="1"/>
  <c r="AK48" i="39" a="1"/>
  <c r="AK48" i="39" s="1"/>
  <c r="BA48" i="39" s="1"/>
  <c r="AM99" i="39" a="1"/>
  <c r="AM99" i="39" s="1"/>
  <c r="AR99" i="39" a="1"/>
  <c r="AR99" i="39" s="1"/>
  <c r="Y131" i="39" a="1"/>
  <c r="Y131" i="39" s="1"/>
  <c r="AM131" i="39" a="1"/>
  <c r="AM131" i="39" s="1"/>
  <c r="AU114" i="39" a="1"/>
  <c r="AU114" i="39" s="1"/>
  <c r="AD114" i="39" a="1"/>
  <c r="AD114" i="39" s="1"/>
  <c r="Y109" i="39" a="1"/>
  <c r="Y109" i="39" s="1"/>
  <c r="AI109" i="39" a="1"/>
  <c r="AI109" i="39" s="1"/>
  <c r="AO109" i="39" a="1"/>
  <c r="AO109" i="39" s="1"/>
  <c r="AS128" i="39" a="1"/>
  <c r="AS128" i="39" s="1"/>
  <c r="AL128" i="39" a="1"/>
  <c r="AL128" i="39" s="1"/>
  <c r="AE28" i="39" a="1"/>
  <c r="AE28" i="39" s="1"/>
  <c r="BB28" i="39" a="1"/>
  <c r="BB28" i="39" s="1"/>
  <c r="AD48" i="39" a="1"/>
  <c r="AD48" i="39" s="1"/>
  <c r="AI48" i="39" a="1"/>
  <c r="AI48" i="39" s="1"/>
  <c r="AU99" i="39" a="1"/>
  <c r="AU99" i="39" s="1"/>
  <c r="AK99" i="39" a="1"/>
  <c r="AK99" i="39" s="1"/>
  <c r="BA99" i="39" s="1"/>
  <c r="AH131" i="39" a="1"/>
  <c r="AH131" i="39" s="1"/>
  <c r="AS131" i="39" a="1"/>
  <c r="AS131" i="39" s="1"/>
  <c r="AP114" i="39" a="1"/>
  <c r="AP114" i="39" s="1"/>
  <c r="AS114" i="39" a="1"/>
  <c r="AS114" i="39" s="1"/>
  <c r="AK109" i="39" a="1"/>
  <c r="AK109" i="39" s="1"/>
  <c r="BA109" i="39" s="1"/>
  <c r="AI128" i="39" a="1"/>
  <c r="AI128" i="39" s="1"/>
  <c r="AK128" i="39" a="1"/>
  <c r="AK128" i="39" s="1"/>
  <c r="BA128" i="39" s="1"/>
  <c r="AO28" i="39" a="1"/>
  <c r="AO28" i="39" s="1"/>
  <c r="AL28" i="39" a="1"/>
  <c r="AL28" i="39" s="1"/>
  <c r="AO48" i="39" a="1"/>
  <c r="AO48" i="39" s="1"/>
  <c r="AU48" i="39" a="1"/>
  <c r="AU48" i="39" s="1"/>
  <c r="AC33" i="39" a="1"/>
  <c r="AC33" i="39" s="1"/>
  <c r="AI99" i="39" a="1"/>
  <c r="AI99" i="39" s="1"/>
  <c r="AG99" i="39" a="1"/>
  <c r="AG99" i="39" s="1"/>
  <c r="AC131" i="39" a="1"/>
  <c r="AC131" i="39" s="1"/>
  <c r="AD131" i="39" a="1"/>
  <c r="AD131" i="39" s="1"/>
  <c r="Y114" i="39" a="1"/>
  <c r="Y114" i="39" s="1"/>
  <c r="AE114" i="39" a="1"/>
  <c r="AE114" i="39" s="1"/>
  <c r="AG109" i="39" a="1"/>
  <c r="AG109" i="39" s="1"/>
  <c r="AR109" i="39" a="1"/>
  <c r="AR109" i="39" s="1"/>
  <c r="BB128" i="39" a="1"/>
  <c r="BB128" i="39" s="1"/>
  <c r="AO128" i="39" a="1"/>
  <c r="AO128" i="39" s="1"/>
  <c r="AI28" i="39" a="1"/>
  <c r="AI28" i="39" s="1"/>
  <c r="AM28" i="39" a="1"/>
  <c r="AM28" i="39" s="1"/>
  <c r="AC48" i="39" a="1"/>
  <c r="AC48" i="39" s="1"/>
  <c r="AP48" i="39" a="1"/>
  <c r="AP48" i="39" s="1"/>
  <c r="AO33" i="39" a="1"/>
  <c r="AO33" i="39" s="1"/>
  <c r="AL99" i="39" a="1"/>
  <c r="AL99" i="39" s="1"/>
  <c r="AH99" i="39" a="1"/>
  <c r="AH99" i="39" s="1"/>
  <c r="AE131" i="39" a="1"/>
  <c r="AE131" i="39" s="1"/>
  <c r="AI131" i="39" a="1"/>
  <c r="AI131" i="39" s="1"/>
  <c r="AH114" i="39" a="1"/>
  <c r="AH114" i="39" s="1"/>
  <c r="AT114" i="39" a="1"/>
  <c r="AT114" i="39" s="1"/>
  <c r="BB99" i="39" a="1"/>
  <c r="BB99" i="39" s="1"/>
  <c r="AE99" i="39" a="1"/>
  <c r="AE99" i="39" s="1"/>
  <c r="AK62" i="39" a="1"/>
  <c r="AK62" i="39" s="1"/>
  <c r="BA62" i="39" s="1"/>
  <c r="AD82" i="39" a="1"/>
  <c r="AD82" i="39" s="1"/>
  <c r="AI82" i="39" a="1"/>
  <c r="AI82" i="39" s="1"/>
  <c r="AO18" i="39" a="1"/>
  <c r="AO18" i="39" s="1"/>
  <c r="AS54" i="39" a="1"/>
  <c r="AS54" i="39" s="1"/>
  <c r="AI54" i="39" a="1"/>
  <c r="AI54" i="39" s="1"/>
  <c r="AH54" i="39" a="1"/>
  <c r="AH54" i="39" s="1"/>
  <c r="AE91" i="39" a="1"/>
  <c r="AE91" i="39" s="1"/>
  <c r="AC58" i="39" a="1"/>
  <c r="AC58" i="39" s="1"/>
  <c r="AD58" i="39" a="1"/>
  <c r="AD58" i="39" s="1"/>
  <c r="AH82" i="39" a="1"/>
  <c r="AH82" i="39" s="1"/>
  <c r="AM82" i="39" a="1"/>
  <c r="AM82" i="39" s="1"/>
  <c r="AL18" i="39" a="1"/>
  <c r="AL18" i="39" s="1"/>
  <c r="BB54" i="39" a="1"/>
  <c r="BB54" i="39" s="1"/>
  <c r="AL54" i="39" a="1"/>
  <c r="AL54" i="39" s="1"/>
  <c r="AR91" i="39" a="1"/>
  <c r="AR91" i="39" s="1"/>
  <c r="Y58" i="39" a="1"/>
  <c r="Y58" i="39" s="1"/>
  <c r="AT58" i="39" a="1"/>
  <c r="AT58" i="39" s="1"/>
  <c r="AR82" i="39" a="1"/>
  <c r="AR82" i="39" s="1"/>
  <c r="Y82" i="39" a="1"/>
  <c r="Y82" i="39" s="1"/>
  <c r="AK82" i="39" a="1"/>
  <c r="AK82" i="39" s="1"/>
  <c r="BA82" i="39" s="1"/>
  <c r="AT18" i="39" a="1"/>
  <c r="AT18" i="39" s="1"/>
  <c r="Y54" i="39" a="1"/>
  <c r="Y54" i="39" s="1"/>
  <c r="AU54" i="39" a="1"/>
  <c r="AU54" i="39" s="1"/>
  <c r="AK91" i="39" a="1"/>
  <c r="AK91" i="39" s="1"/>
  <c r="BA91" i="39" s="1"/>
  <c r="Y91" i="39" a="1"/>
  <c r="Y91" i="39" s="1"/>
  <c r="AT54" i="39" a="1"/>
  <c r="AT54" i="39" s="1"/>
  <c r="AE54" i="39" a="1"/>
  <c r="AE54" i="39" s="1"/>
  <c r="AL91" i="39" a="1"/>
  <c r="AL91" i="39" s="1"/>
  <c r="AS91" i="39" a="1"/>
  <c r="AS91" i="39" s="1"/>
  <c r="AU58" i="39" a="1"/>
  <c r="AU58" i="39" s="1"/>
  <c r="AO58" i="39" a="1"/>
  <c r="AO58" i="39" s="1"/>
  <c r="AU62" i="39" a="1"/>
  <c r="AU62" i="39" s="1"/>
  <c r="AE82" i="39" a="1"/>
  <c r="AE82" i="39" s="1"/>
  <c r="AP82" i="39" a="1"/>
  <c r="AP82" i="39" s="1"/>
  <c r="AG18" i="39" a="1"/>
  <c r="AG18" i="39" s="1"/>
  <c r="AR54" i="39" a="1"/>
  <c r="AR54" i="39" s="1"/>
  <c r="AD54" i="39" a="1"/>
  <c r="AD54" i="39" s="1"/>
  <c r="AC91" i="39" a="1"/>
  <c r="AC91" i="39" s="1"/>
  <c r="AU91" i="39" a="1"/>
  <c r="AU91" i="39" s="1"/>
  <c r="AG58" i="39" a="1"/>
  <c r="AG58" i="39" s="1"/>
  <c r="AI58" i="39" a="1"/>
  <c r="AI58" i="39" s="1"/>
  <c r="AE18" i="39" a="1"/>
  <c r="AE18" i="39" s="1"/>
  <c r="AG54" i="39" a="1"/>
  <c r="AG54" i="39" s="1"/>
  <c r="AO54" i="39" a="1"/>
  <c r="AO54" i="39" s="1"/>
  <c r="AD91" i="39" a="1"/>
  <c r="AD91" i="39" s="1"/>
  <c r="AL58" i="39" a="1"/>
  <c r="AL58" i="39" s="1"/>
  <c r="AP58" i="39" a="1"/>
  <c r="AP58" i="39" s="1"/>
  <c r="AH58" i="39" a="1"/>
  <c r="AH58" i="39" s="1"/>
  <c r="AR58" i="39" a="1"/>
  <c r="AR58" i="39" s="1"/>
  <c r="AL82" i="39" a="1"/>
  <c r="AL82" i="39" s="1"/>
  <c r="BB82" i="39" a="1"/>
  <c r="BB82" i="39" s="1"/>
  <c r="AO62" i="39" a="1"/>
  <c r="AO62" i="39" s="1"/>
  <c r="AS82" i="39" a="1"/>
  <c r="AS82" i="39" s="1"/>
  <c r="AG82" i="39" a="1"/>
  <c r="AG82" i="39" s="1"/>
  <c r="AP54" i="39" a="1"/>
  <c r="AP54" i="39" s="1"/>
  <c r="AK54" i="39" a="1"/>
  <c r="AK54" i="39" s="1"/>
  <c r="BA54" i="39" s="1"/>
  <c r="AT91" i="39" a="1"/>
  <c r="AT91" i="39" s="1"/>
  <c r="AM91" i="39" a="1"/>
  <c r="AM91" i="39" s="1"/>
  <c r="AE58" i="39" a="1"/>
  <c r="AE58" i="39" s="1"/>
  <c r="AS58" i="39" a="1"/>
  <c r="AS58" i="39" s="1"/>
  <c r="AK58" i="39" a="1"/>
  <c r="AK58" i="39" s="1"/>
  <c r="BA58" i="39" s="1"/>
  <c r="AG61" i="39" a="1"/>
  <c r="AG61" i="39" s="1"/>
  <c r="BB104" i="39" a="1"/>
  <c r="BB104" i="39" s="1"/>
  <c r="AT104" i="39" a="1"/>
  <c r="AT104" i="39" s="1"/>
  <c r="AD15" i="39" a="1"/>
  <c r="AD15" i="39" s="1"/>
  <c r="AG46" i="39" a="1"/>
  <c r="AG46" i="39" s="1"/>
  <c r="AK46" i="39" a="1"/>
  <c r="AK46" i="39" s="1"/>
  <c r="BA46" i="39" s="1"/>
  <c r="AR61" i="39" a="1"/>
  <c r="AR61" i="39" s="1"/>
  <c r="AK15" i="39" a="1"/>
  <c r="AK15" i="39" s="1"/>
  <c r="BA15" i="39" s="1"/>
  <c r="AT46" i="39" a="1"/>
  <c r="AT46" i="39" s="1"/>
  <c r="AE46" i="39" a="1"/>
  <c r="AE46" i="39" s="1"/>
  <c r="AI61" i="39" a="1"/>
  <c r="AI61" i="39" s="1"/>
  <c r="AM104" i="39" a="1"/>
  <c r="AM104" i="39" s="1"/>
  <c r="AI104" i="39" a="1"/>
  <c r="AI104" i="39" s="1"/>
  <c r="AG116" i="39" a="1"/>
  <c r="AG116" i="39" s="1"/>
  <c r="AS104" i="39" a="1"/>
  <c r="AS104" i="39" s="1"/>
  <c r="AE104" i="39" a="1"/>
  <c r="AE104" i="39" s="1"/>
  <c r="AP116" i="39" a="1"/>
  <c r="AP116" i="39" s="1"/>
  <c r="AH46" i="39" a="1"/>
  <c r="AH46" i="39" s="1"/>
  <c r="AL46" i="39" a="1"/>
  <c r="AL46" i="39" s="1"/>
  <c r="AM61" i="39" a="1"/>
  <c r="AM61" i="39" s="1"/>
  <c r="Y104" i="39" a="1"/>
  <c r="Y104" i="39" s="1"/>
  <c r="AU104" i="39" a="1"/>
  <c r="AU104" i="39" s="1"/>
  <c r="AU116" i="39" a="1"/>
  <c r="AU116" i="39" s="1"/>
  <c r="AP46" i="39" a="1"/>
  <c r="AP46" i="39" s="1"/>
  <c r="AS61" i="39" a="1"/>
  <c r="AS61" i="39" s="1"/>
  <c r="AO46" i="39" a="1"/>
  <c r="AO46" i="39" s="1"/>
  <c r="AI46" i="39" a="1"/>
  <c r="AI46" i="39" s="1"/>
  <c r="AM46" i="39" a="1"/>
  <c r="AM46" i="39" s="1"/>
  <c r="AU61" i="39" a="1"/>
  <c r="AU61" i="39" s="1"/>
  <c r="AR104" i="39" a="1"/>
  <c r="AR104" i="39" s="1"/>
  <c r="AL104" i="39" a="1"/>
  <c r="AL104" i="39" s="1"/>
  <c r="AK104" i="39" a="1"/>
  <c r="AK104" i="39" s="1"/>
  <c r="BA104" i="39" s="1"/>
  <c r="AM116" i="39" a="1"/>
  <c r="AM116" i="39" s="1"/>
  <c r="Y46" i="39" a="1"/>
  <c r="Y46" i="39" s="1"/>
  <c r="BB130" i="39" a="1"/>
  <c r="BB130" i="39" s="1"/>
  <c r="AK61" i="39" a="1"/>
  <c r="AK61" i="39" s="1"/>
  <c r="BA61" i="39" s="1"/>
  <c r="AS95" i="39" a="1"/>
  <c r="AS95" i="39" s="1"/>
  <c r="AP104" i="39" a="1"/>
  <c r="AP104" i="39" s="1"/>
  <c r="AD104" i="39" a="1"/>
  <c r="AD104" i="39" s="1"/>
  <c r="AE116" i="39" a="1"/>
  <c r="AE116" i="39" s="1"/>
  <c r="BB46" i="39" a="1"/>
  <c r="BB46" i="39" s="1"/>
  <c r="AM130" i="39" a="1"/>
  <c r="AM130" i="39" s="1"/>
  <c r="AP61" i="39" a="1"/>
  <c r="AP61" i="39" s="1"/>
  <c r="AT61" i="39" a="1"/>
  <c r="AT61" i="39" s="1"/>
  <c r="AT95" i="39" a="1"/>
  <c r="AT95" i="39" s="1"/>
  <c r="AC104" i="39" a="1"/>
  <c r="AC104" i="39" s="1"/>
  <c r="AG104" i="39" a="1"/>
  <c r="AG104" i="39" s="1"/>
  <c r="AD116" i="39" a="1"/>
  <c r="AD116" i="39" s="1"/>
  <c r="AD46" i="39" a="1"/>
  <c r="AD46" i="39" s="1"/>
  <c r="AC46" i="39" a="1"/>
  <c r="AC46" i="39" s="1"/>
  <c r="AE61" i="39" a="1"/>
  <c r="AE61" i="39" s="1"/>
  <c r="AL61" i="39" a="1"/>
  <c r="AL61" i="39" s="1"/>
  <c r="AH104" i="39" a="1"/>
  <c r="AH104" i="39" s="1"/>
  <c r="AO104" i="39" a="1"/>
  <c r="AO104" i="39" s="1"/>
  <c r="AK116" i="39" a="1"/>
  <c r="AK116" i="39" s="1"/>
  <c r="BA116" i="39" s="1"/>
  <c r="AC125" i="39" a="1"/>
  <c r="AC125" i="39" s="1"/>
  <c r="AP73" i="39" a="1"/>
  <c r="AP73" i="39" s="1"/>
  <c r="AT123" i="39" a="1"/>
  <c r="AT123" i="39" s="1"/>
  <c r="AC123" i="39" a="1"/>
  <c r="AC123" i="39" s="1"/>
  <c r="Y90" i="39" a="1"/>
  <c r="Y90" i="39" s="1"/>
  <c r="AO90" i="39" a="1"/>
  <c r="AO90" i="39" s="1"/>
  <c r="AR90" i="39" a="1"/>
  <c r="AR90" i="39" s="1"/>
  <c r="BB111" i="39" a="1"/>
  <c r="BB111" i="39" s="1"/>
  <c r="AR113" i="39" a="1"/>
  <c r="AR113" i="39" s="1"/>
  <c r="Y113" i="39" a="1"/>
  <c r="Y113" i="39" s="1"/>
  <c r="AS73" i="39" a="1"/>
  <c r="AS73" i="39" s="1"/>
  <c r="Y123" i="39" a="1"/>
  <c r="Y123" i="39" s="1"/>
  <c r="AU123" i="39" a="1"/>
  <c r="AU123" i="39" s="1"/>
  <c r="AH90" i="39" a="1"/>
  <c r="AH90" i="39" s="1"/>
  <c r="AG90" i="39" a="1"/>
  <c r="AG90" i="39" s="1"/>
  <c r="Y111" i="39" a="1"/>
  <c r="Y111" i="39" s="1"/>
  <c r="AH30" i="39" a="1"/>
  <c r="AH30" i="39" s="1"/>
  <c r="AG123" i="39" a="1"/>
  <c r="AG123" i="39" s="1"/>
  <c r="AO123" i="39" a="1"/>
  <c r="AO123" i="39" s="1"/>
  <c r="AP90" i="39" a="1"/>
  <c r="AP90" i="39" s="1"/>
  <c r="AL90" i="39" a="1"/>
  <c r="AL90" i="39" s="1"/>
  <c r="AC111" i="39" a="1"/>
  <c r="AC111" i="39" s="1"/>
  <c r="AL111" i="39" a="1"/>
  <c r="AL111" i="39" s="1"/>
  <c r="AE30" i="39" a="1"/>
  <c r="AE30" i="39" s="1"/>
  <c r="AI113" i="39" a="1"/>
  <c r="AI113" i="39" s="1"/>
  <c r="AT113" i="39" a="1"/>
  <c r="AT113" i="39" s="1"/>
  <c r="AU113" i="39" a="1"/>
  <c r="AU113" i="39" s="1"/>
  <c r="AE45" i="39" a="1"/>
  <c r="AE45" i="39" s="1"/>
  <c r="AT30" i="39" a="1"/>
  <c r="AT30" i="39" s="1"/>
  <c r="BB30" i="39" a="1"/>
  <c r="BB30" i="39" s="1"/>
  <c r="AT125" i="39" a="1"/>
  <c r="AT125" i="39" s="1"/>
  <c r="AM45" i="39" a="1"/>
  <c r="AM45" i="39" s="1"/>
  <c r="AP30" i="39" a="1"/>
  <c r="AP30" i="39" s="1"/>
  <c r="AK113" i="39" a="1"/>
  <c r="AK113" i="39" s="1"/>
  <c r="BA113" i="39" s="1"/>
  <c r="AC113" i="39" a="1"/>
  <c r="AC113" i="39" s="1"/>
  <c r="AH125" i="39" a="1"/>
  <c r="AH125" i="39" s="1"/>
  <c r="AC73" i="39" a="1"/>
  <c r="AC73" i="39" s="1"/>
  <c r="AK45" i="39" a="1"/>
  <c r="AK45" i="39" s="1"/>
  <c r="BA45" i="39" s="1"/>
  <c r="Y125" i="39" a="1"/>
  <c r="Y125" i="39" s="1"/>
  <c r="AU73" i="39" a="1"/>
  <c r="AU73" i="39" s="1"/>
  <c r="AM73" i="39" a="1"/>
  <c r="AM73" i="39" s="1"/>
  <c r="AT45" i="39" a="1"/>
  <c r="AT45" i="39" s="1"/>
  <c r="AP45" i="39" a="1"/>
  <c r="AP45" i="39" s="1"/>
  <c r="AL123" i="39" a="1"/>
  <c r="AL123" i="39" s="1"/>
  <c r="AS123" i="39" a="1"/>
  <c r="AS123" i="39" s="1"/>
  <c r="AM90" i="39" a="1"/>
  <c r="AM90" i="39" s="1"/>
  <c r="AC90" i="39" a="1"/>
  <c r="AC90" i="39" s="1"/>
  <c r="AU111" i="39" a="1"/>
  <c r="AU111" i="39" s="1"/>
  <c r="AI111" i="39" a="1"/>
  <c r="AI111" i="39" s="1"/>
  <c r="AL30" i="39" a="1"/>
  <c r="AL30" i="39" s="1"/>
  <c r="AM30" i="39" a="1"/>
  <c r="AM30" i="39" s="1"/>
  <c r="AE113" i="39" a="1"/>
  <c r="AE113" i="39" s="1"/>
  <c r="AD113" i="39" a="1"/>
  <c r="AD113" i="39" s="1"/>
  <c r="AS125" i="39" a="1"/>
  <c r="AS125" i="39" s="1"/>
  <c r="AO73" i="39" a="1"/>
  <c r="AO73" i="39" s="1"/>
  <c r="AE73" i="39" a="1"/>
  <c r="AE73" i="39" s="1"/>
  <c r="BB45" i="39" a="1"/>
  <c r="BB45" i="39" s="1"/>
  <c r="AL45" i="39" a="1"/>
  <c r="AL45" i="39" s="1"/>
  <c r="AD123" i="39" a="1"/>
  <c r="AD123" i="39" s="1"/>
  <c r="AR123" i="39" a="1"/>
  <c r="AR123" i="39" s="1"/>
  <c r="AU90" i="39" a="1"/>
  <c r="AU90" i="39" s="1"/>
  <c r="AK90" i="39" a="1"/>
  <c r="AK90" i="39" s="1"/>
  <c r="BA90" i="39" s="1"/>
  <c r="AM111" i="39" a="1"/>
  <c r="AM111" i="39" s="1"/>
  <c r="AP111" i="39" a="1"/>
  <c r="AP111" i="39" s="1"/>
  <c r="Y30" i="39" a="1"/>
  <c r="Y30" i="39" s="1"/>
  <c r="AI30" i="39" a="1"/>
  <c r="AI30" i="39" s="1"/>
  <c r="AM113" i="39" a="1"/>
  <c r="AM113" i="39" s="1"/>
  <c r="AS113" i="39" a="1"/>
  <c r="AS113" i="39" s="1"/>
  <c r="AL125" i="39" a="1"/>
  <c r="AL125" i="39" s="1"/>
  <c r="AI73" i="39" a="1"/>
  <c r="AI73" i="39" s="1"/>
  <c r="AL73" i="39" a="1"/>
  <c r="AL73" i="39" s="1"/>
  <c r="AD45" i="39" a="1"/>
  <c r="AD45" i="39" s="1"/>
  <c r="AM123" i="39" a="1"/>
  <c r="AM123" i="39" s="1"/>
  <c r="AH123" i="39" a="1"/>
  <c r="AH123" i="39" s="1"/>
  <c r="AT90" i="39" a="1"/>
  <c r="AT90" i="39" s="1"/>
  <c r="AE90" i="39" a="1"/>
  <c r="AE90" i="39" s="1"/>
  <c r="AO111" i="39" a="1"/>
  <c r="AO111" i="39" s="1"/>
  <c r="AT111" i="39" a="1"/>
  <c r="AT111" i="39" s="1"/>
  <c r="AO30" i="39" a="1"/>
  <c r="AO30" i="39" s="1"/>
  <c r="AG30" i="39" a="1"/>
  <c r="AG30" i="39" s="1"/>
  <c r="AR125" i="39" a="1"/>
  <c r="AR125" i="39" s="1"/>
  <c r="AD73" i="39" a="1"/>
  <c r="AD73" i="39" s="1"/>
  <c r="AR73" i="39" a="1"/>
  <c r="AR73" i="39" s="1"/>
  <c r="AI45" i="39" a="1"/>
  <c r="AI45" i="39" s="1"/>
  <c r="Y45" i="39" a="1"/>
  <c r="Y45" i="39" s="1"/>
  <c r="AI123" i="39" a="1"/>
  <c r="AI123" i="39" s="1"/>
  <c r="BB123" i="39" a="1"/>
  <c r="BB123" i="39" s="1"/>
  <c r="AI90" i="39" a="1"/>
  <c r="AI90" i="39" s="1"/>
  <c r="BB90" i="39" a="1"/>
  <c r="BB90" i="39" s="1"/>
  <c r="AH111" i="39" a="1"/>
  <c r="AH111" i="39" s="1"/>
  <c r="AK30" i="39" a="1"/>
  <c r="AK30" i="39" s="1"/>
  <c r="BA30" i="39" s="1"/>
  <c r="AP113" i="39" a="1"/>
  <c r="AP113" i="39" s="1"/>
  <c r="AH113" i="39" a="1"/>
  <c r="AH113" i="39" s="1"/>
  <c r="AT15" i="39" a="1"/>
  <c r="AT15" i="39" s="1"/>
  <c r="AK130" i="39" a="1"/>
  <c r="AK130" i="39" s="1"/>
  <c r="BA130" i="39" s="1"/>
  <c r="AL130" i="39" a="1"/>
  <c r="AL130" i="39" s="1"/>
  <c r="AC61" i="39" a="1"/>
  <c r="AC61" i="39" s="1"/>
  <c r="AD61" i="39" a="1"/>
  <c r="AD61" i="39" s="1"/>
  <c r="AH95" i="39" a="1"/>
  <c r="AH95" i="39" s="1"/>
  <c r="AH116" i="39" a="1"/>
  <c r="AH116" i="39" s="1"/>
  <c r="AL116" i="39" a="1"/>
  <c r="AL116" i="39" s="1"/>
  <c r="Y15" i="39" a="1"/>
  <c r="Y15" i="39" s="1"/>
  <c r="AE130" i="39" a="1"/>
  <c r="AE130" i="39" s="1"/>
  <c r="AR130" i="39" a="1"/>
  <c r="AR130" i="39" s="1"/>
  <c r="AM95" i="39" a="1"/>
  <c r="AM95" i="39" s="1"/>
  <c r="AU95" i="39" a="1"/>
  <c r="AU95" i="39" s="1"/>
  <c r="AT116" i="39" a="1"/>
  <c r="AT116" i="39" s="1"/>
  <c r="BB116" i="39" a="1"/>
  <c r="BB116" i="39" s="1"/>
  <c r="AH15" i="39" a="1"/>
  <c r="AH15" i="39" s="1"/>
  <c r="AC130" i="39" a="1"/>
  <c r="AC130" i="39" s="1"/>
  <c r="AC95" i="39" a="1"/>
  <c r="AC95" i="39" s="1"/>
  <c r="AP95" i="39" a="1"/>
  <c r="AP95" i="39" s="1"/>
  <c r="AE15" i="39" a="1"/>
  <c r="AE15" i="39" s="1"/>
  <c r="AI15" i="39" a="1"/>
  <c r="AI15" i="39" s="1"/>
  <c r="AG130" i="39" a="1"/>
  <c r="AG130" i="39" s="1"/>
  <c r="AH61" i="39" a="1"/>
  <c r="AH61" i="39" s="1"/>
  <c r="BB61" i="39" a="1"/>
  <c r="BB61" i="39" s="1"/>
  <c r="BB95" i="39" a="1"/>
  <c r="BB95" i="39" s="1"/>
  <c r="AD95" i="39" a="1"/>
  <c r="AD95" i="39" s="1"/>
  <c r="AC116" i="39" a="1"/>
  <c r="AC116" i="39" s="1"/>
  <c r="AS116" i="39" a="1"/>
  <c r="AS116" i="39" s="1"/>
  <c r="AT130" i="39" a="1"/>
  <c r="AT130" i="39" s="1"/>
  <c r="Y130" i="39" a="1"/>
  <c r="Y130" i="39" s="1"/>
  <c r="AR95" i="39" a="1"/>
  <c r="AR95" i="39" s="1"/>
  <c r="AL95" i="39" a="1"/>
  <c r="AL95" i="39" s="1"/>
  <c r="AR116" i="39" a="1"/>
  <c r="AR116" i="39" s="1"/>
  <c r="AO116" i="39" a="1"/>
  <c r="AO116" i="39" s="1"/>
  <c r="BB15" i="39" a="1"/>
  <c r="BB15" i="39" s="1"/>
  <c r="AD130" i="39" a="1"/>
  <c r="AD130" i="39" s="1"/>
  <c r="Y61" i="39" a="1"/>
  <c r="Y61" i="39" s="1"/>
  <c r="AO61" i="39" a="1"/>
  <c r="AO61" i="39" s="1"/>
  <c r="AI95" i="39" a="1"/>
  <c r="AI95" i="39" s="1"/>
  <c r="AK95" i="39" a="1"/>
  <c r="AK95" i="39" s="1"/>
  <c r="BA95" i="39" s="1"/>
  <c r="AI116" i="39" a="1"/>
  <c r="AI116" i="39" s="1"/>
  <c r="Y116" i="39" a="1"/>
  <c r="Y116" i="39" s="1"/>
  <c r="AG15" i="39" a="1"/>
  <c r="AG15" i="39" s="1"/>
  <c r="AO130" i="39" a="1"/>
  <c r="AO130" i="39" s="1"/>
  <c r="AI130" i="39" a="1"/>
  <c r="AI130" i="39" s="1"/>
  <c r="AP27" i="39" a="1"/>
  <c r="AP27" i="39" s="1"/>
  <c r="AC27" i="39" a="1"/>
  <c r="AC27" i="39" s="1"/>
  <c r="AT27" i="39" a="1"/>
  <c r="AT27" i="39" s="1"/>
  <c r="AM119" i="39" a="1"/>
  <c r="AM119" i="39" s="1"/>
  <c r="AE118" i="39" a="1"/>
  <c r="AE118" i="39" s="1"/>
  <c r="AL65" i="39" a="1"/>
  <c r="AL65" i="39" s="1"/>
  <c r="AI29" i="39" a="1"/>
  <c r="AI29" i="39" s="1"/>
  <c r="AU101" i="39" a="1"/>
  <c r="AU101" i="39" s="1"/>
  <c r="AF89" i="39" a="1"/>
  <c r="AF89" i="39" s="1"/>
  <c r="AJ89" i="39" a="1"/>
  <c r="AJ89" i="39" s="1"/>
  <c r="AN89" i="39" a="1"/>
  <c r="AN89" i="39" s="1"/>
  <c r="AK89" i="39" a="1"/>
  <c r="AK89" i="39" s="1"/>
  <c r="BA89" i="39" s="1"/>
  <c r="AV89" i="39" a="1"/>
  <c r="AV89" i="39" s="1"/>
  <c r="AH119" i="39" a="1"/>
  <c r="AH119" i="39" s="1"/>
  <c r="AI119" i="39" a="1"/>
  <c r="AI119" i="39" s="1"/>
  <c r="AM33" i="39" a="1"/>
  <c r="AM33" i="39" s="1"/>
  <c r="AD33" i="39" a="1"/>
  <c r="AD33" i="39" s="1"/>
  <c r="AI33" i="39" a="1"/>
  <c r="AI33" i="39" s="1"/>
  <c r="AS62" i="39" a="1"/>
  <c r="AS62" i="39" s="1"/>
  <c r="Y62" i="39" a="1"/>
  <c r="Y62" i="39" s="1"/>
  <c r="AM62" i="39" a="1"/>
  <c r="AM62" i="39" s="1"/>
  <c r="BB18" i="39" a="1"/>
  <c r="BB18" i="39" s="1"/>
  <c r="AI18" i="39" a="1"/>
  <c r="AI18" i="39" s="1"/>
  <c r="AE27" i="39" a="1"/>
  <c r="AE27" i="39" s="1"/>
  <c r="AK27" i="39" a="1"/>
  <c r="AK27" i="39" s="1"/>
  <c r="BA27" i="39" s="1"/>
  <c r="AL33" i="39" a="1"/>
  <c r="AL33" i="39" s="1"/>
  <c r="AP33" i="39" a="1"/>
  <c r="AP33" i="39" s="1"/>
  <c r="AR62" i="39" a="1"/>
  <c r="AR62" i="39" s="1"/>
  <c r="AL62" i="39" a="1"/>
  <c r="AL62" i="39" s="1"/>
  <c r="AD44" i="39" a="1"/>
  <c r="AD44" i="39" s="1"/>
  <c r="AG27" i="39" a="1"/>
  <c r="AG27" i="39" s="1"/>
  <c r="AM27" i="39" a="1"/>
  <c r="AM27" i="39" s="1"/>
  <c r="AG33" i="39" a="1"/>
  <c r="AG33" i="39" s="1"/>
  <c r="BB33" i="39" a="1"/>
  <c r="BB33" i="39" s="1"/>
  <c r="AT33" i="39" a="1"/>
  <c r="AT33" i="39" s="1"/>
  <c r="AK33" i="39" a="1"/>
  <c r="AK33" i="39" s="1"/>
  <c r="BA33" i="39" s="1"/>
  <c r="AT69" i="39" a="1"/>
  <c r="AT69" i="39" s="1"/>
  <c r="AP119" i="39" a="1"/>
  <c r="AP119" i="39" s="1"/>
  <c r="AE70" i="39" a="1"/>
  <c r="AE70" i="39" s="1"/>
  <c r="BB70" i="39" a="1"/>
  <c r="BB70" i="39" s="1"/>
  <c r="AC70" i="39" a="1"/>
  <c r="AC70" i="39" s="1"/>
  <c r="AP70" i="39" a="1"/>
  <c r="AP70" i="39" s="1"/>
  <c r="AT70" i="39" a="1"/>
  <c r="AT70" i="39" s="1"/>
  <c r="AI70" i="39" a="1"/>
  <c r="AI70" i="39" s="1"/>
  <c r="AH70" i="39" a="1"/>
  <c r="AH70" i="39" s="1"/>
  <c r="AT119" i="39" a="1"/>
  <c r="AT119" i="39" s="1"/>
  <c r="AR119" i="39" a="1"/>
  <c r="AR119" i="39" s="1"/>
  <c r="AU70" i="39" a="1"/>
  <c r="AU70" i="39" s="1"/>
  <c r="AC119" i="39" a="1"/>
  <c r="AC119" i="39" s="1"/>
  <c r="AD119" i="39" a="1"/>
  <c r="AD119" i="39" s="1"/>
  <c r="AO119" i="39" a="1"/>
  <c r="AO119" i="39" s="1"/>
  <c r="AO125" i="39" a="1"/>
  <c r="AO125" i="39" s="1"/>
  <c r="AM125" i="39" a="1"/>
  <c r="AM125" i="39" s="1"/>
  <c r="AI125" i="39" a="1"/>
  <c r="AI125" i="39" s="1"/>
  <c r="AP125" i="39" a="1"/>
  <c r="AP125" i="39" s="1"/>
  <c r="AK125" i="39" a="1"/>
  <c r="AK125" i="39" s="1"/>
  <c r="BA125" i="39" s="1"/>
  <c r="AG70" i="39" a="1"/>
  <c r="AG70" i="39" s="1"/>
  <c r="AM70" i="39" a="1"/>
  <c r="AM70" i="39" s="1"/>
  <c r="AO70" i="39" a="1"/>
  <c r="AO70" i="39" s="1"/>
  <c r="Y70" i="39" a="1"/>
  <c r="Y70" i="39" s="1"/>
  <c r="BB119" i="39" a="1"/>
  <c r="BB119" i="39" s="1"/>
  <c r="AE119" i="39" a="1"/>
  <c r="AE119" i="39" s="1"/>
  <c r="AS119" i="39" a="1"/>
  <c r="AS119" i="39" s="1"/>
  <c r="AG125" i="39" a="1"/>
  <c r="AG125" i="39" s="1"/>
  <c r="AD125" i="39" a="1"/>
  <c r="AD125" i="39" s="1"/>
  <c r="AU125" i="39" a="1"/>
  <c r="AU125" i="39" s="1"/>
  <c r="AE125" i="39" a="1"/>
  <c r="AE125" i="39" s="1"/>
  <c r="AO15" i="39" a="1"/>
  <c r="AO15" i="39" s="1"/>
  <c r="AC15" i="39" a="1"/>
  <c r="AC15" i="39" s="1"/>
  <c r="AL15" i="39" a="1"/>
  <c r="AL15" i="39" s="1"/>
  <c r="AH73" i="39" a="1"/>
  <c r="AH73" i="39" s="1"/>
  <c r="AG73" i="39" a="1"/>
  <c r="AG73" i="39" s="1"/>
  <c r="Y73" i="39" a="1"/>
  <c r="Y73" i="39" s="1"/>
  <c r="AT73" i="39" a="1"/>
  <c r="AT73" i="39" s="1"/>
  <c r="AH130" i="39" a="1"/>
  <c r="AH130" i="39" s="1"/>
  <c r="AU130" i="39" a="1"/>
  <c r="AU130" i="39" s="1"/>
  <c r="AS130" i="39" a="1"/>
  <c r="AS130" i="39" s="1"/>
  <c r="AP130" i="39" a="1"/>
  <c r="AP130" i="39" s="1"/>
  <c r="AG45" i="39" a="1"/>
  <c r="AG45" i="39" s="1"/>
  <c r="AH45" i="39" a="1"/>
  <c r="AH45" i="39" s="1"/>
  <c r="AC45" i="39" a="1"/>
  <c r="AC45" i="39" s="1"/>
  <c r="AE111" i="39" a="1"/>
  <c r="AE111" i="39" s="1"/>
  <c r="AK111" i="39" a="1"/>
  <c r="AK111" i="39" s="1"/>
  <c r="BA111" i="39" s="1"/>
  <c r="AS111" i="39" a="1"/>
  <c r="AS111" i="39" s="1"/>
  <c r="AD111" i="39" a="1"/>
  <c r="AD111" i="39" s="1"/>
  <c r="AD70" i="39" a="1"/>
  <c r="AD70" i="39" s="1"/>
  <c r="AR70" i="39" a="1"/>
  <c r="AR70" i="39" s="1"/>
  <c r="AL70" i="39" a="1"/>
  <c r="AL70" i="39" s="1"/>
  <c r="AS70" i="39" a="1"/>
  <c r="AS70" i="39" s="1"/>
  <c r="AK70" i="39" a="1"/>
  <c r="AK70" i="39" s="1"/>
  <c r="BA70" i="39" s="1"/>
  <c r="AO95" i="39" a="1"/>
  <c r="AO95" i="39" s="1"/>
  <c r="AG95" i="39" a="1"/>
  <c r="AG95" i="39" s="1"/>
  <c r="Y95" i="39" a="1"/>
  <c r="Y95" i="39" s="1"/>
  <c r="AE95" i="39" a="1"/>
  <c r="AE95" i="39" s="1"/>
  <c r="AG108" i="39" a="1"/>
  <c r="AG108" i="39" s="1"/>
  <c r="AR108" i="39" a="1"/>
  <c r="AR108" i="39" s="1"/>
  <c r="AC108" i="39" a="1"/>
  <c r="AC108" i="39" s="1"/>
  <c r="AM108" i="39" a="1"/>
  <c r="AM108" i="39" s="1"/>
  <c r="AK108" i="39" a="1"/>
  <c r="AK108" i="39" s="1"/>
  <c r="BA108" i="39" s="1"/>
  <c r="AS108" i="39" a="1"/>
  <c r="AS108" i="39" s="1"/>
  <c r="AH108" i="39" a="1"/>
  <c r="AH108" i="39" s="1"/>
  <c r="AD62" i="39" a="1"/>
  <c r="AD62" i="39" s="1"/>
  <c r="AG62" i="39" a="1"/>
  <c r="AG62" i="39" s="1"/>
  <c r="BB62" i="39" a="1"/>
  <c r="BB62" i="39" s="1"/>
  <c r="AL27" i="39" a="1"/>
  <c r="AL27" i="39" s="1"/>
  <c r="AD27" i="39" a="1"/>
  <c r="AD27" i="39" s="1"/>
  <c r="AH62" i="39" a="1"/>
  <c r="AH62" i="39" s="1"/>
  <c r="AD69" i="39" a="1"/>
  <c r="AD69" i="39" s="1"/>
  <c r="AH27" i="39" a="1"/>
  <c r="AH27" i="39" s="1"/>
  <c r="BB27" i="39" a="1"/>
  <c r="BB27" i="39" s="1"/>
  <c r="AT62" i="39" a="1"/>
  <c r="AT62" i="39" s="1"/>
  <c r="AI62" i="39" a="1"/>
  <c r="AI62" i="39" s="1"/>
  <c r="AC62" i="39" a="1"/>
  <c r="AC62" i="39" s="1"/>
  <c r="AP62" i="39" a="1"/>
  <c r="AP62" i="39" s="1"/>
  <c r="AH18" i="39" a="1"/>
  <c r="AH18" i="39" s="1"/>
  <c r="AC18" i="39" a="1"/>
  <c r="AC18" i="39" s="1"/>
  <c r="AM18" i="39" a="1"/>
  <c r="AM18" i="39" s="1"/>
  <c r="AD18" i="39" a="1"/>
  <c r="AD18" i="39" s="1"/>
  <c r="AI27" i="39" a="1"/>
  <c r="AI27" i="39" s="1"/>
  <c r="AO27" i="39" a="1"/>
  <c r="AO27" i="39" s="1"/>
  <c r="Y27" i="39" a="1"/>
  <c r="Y27" i="39" s="1"/>
  <c r="Y33" i="39" a="1"/>
  <c r="Y33" i="39" s="1"/>
  <c r="AH33" i="39" a="1"/>
  <c r="AH33" i="39" s="1"/>
  <c r="AE33" i="39" a="1"/>
  <c r="AE33" i="39" s="1"/>
  <c r="AG91" i="39" a="1"/>
  <c r="AG91" i="39" s="1"/>
  <c r="AO91" i="39" a="1"/>
  <c r="AO91" i="39" s="1"/>
  <c r="AH91" i="39" a="1"/>
  <c r="AH91" i="39" s="1"/>
  <c r="BB91" i="39" a="1"/>
  <c r="BB91" i="39" s="1"/>
  <c r="AG119" i="39" a="1"/>
  <c r="AG119" i="39" s="1"/>
  <c r="AL119" i="39" a="1"/>
  <c r="AL119" i="39" s="1"/>
  <c r="AU119" i="39" a="1"/>
  <c r="AU119" i="39" s="1"/>
  <c r="Y119" i="39" a="1"/>
  <c r="Y119" i="39" s="1"/>
  <c r="AK119" i="39" a="1"/>
  <c r="AK119" i="39" s="1"/>
  <c r="BA119" i="39" s="1"/>
  <c r="AU108" i="39" a="1"/>
  <c r="AU108" i="39" s="1"/>
  <c r="AL108" i="39" a="1"/>
  <c r="AL108" i="39" s="1"/>
  <c r="AT108" i="39" a="1"/>
  <c r="AT108" i="39" s="1"/>
  <c r="Y108" i="39" a="1"/>
  <c r="Y108" i="39" s="1"/>
  <c r="AE108" i="39" a="1"/>
  <c r="AE108" i="39" s="1"/>
  <c r="AI55" i="39" a="1"/>
  <c r="AI55" i="39" s="1"/>
  <c r="Y16" i="39" a="1"/>
  <c r="Y16" i="39" s="1"/>
  <c r="AR64" i="39" a="1"/>
  <c r="AR64" i="39" s="1"/>
  <c r="BC64" i="39"/>
  <c r="AP52" i="39" a="1"/>
  <c r="AP52" i="39" s="1"/>
  <c r="BC52" i="39"/>
  <c r="AC83" i="39" a="1"/>
  <c r="AC83" i="39" s="1"/>
  <c r="BC83" i="39"/>
  <c r="AC59" i="39" a="1"/>
  <c r="AC59" i="39" s="1"/>
  <c r="BC59" i="39"/>
  <c r="AE81" i="39" a="1"/>
  <c r="AE81" i="39" s="1"/>
  <c r="BC81" i="39"/>
  <c r="AC21" i="39" a="1"/>
  <c r="AC21" i="39" s="1"/>
  <c r="AO117" i="39" a="1"/>
  <c r="AO117" i="39" s="1"/>
  <c r="BC117" i="39"/>
  <c r="AD17" i="39" a="1"/>
  <c r="AD17" i="39" s="1"/>
  <c r="AI115" i="39" a="1"/>
  <c r="AI115" i="39" s="1"/>
  <c r="BC115" i="39"/>
  <c r="AC60" i="39" a="1"/>
  <c r="AC60" i="39" s="1"/>
  <c r="BC60" i="39"/>
  <c r="AR105" i="39" a="1"/>
  <c r="AR105" i="39" s="1"/>
  <c r="BC105" i="39"/>
  <c r="AS124" i="39" a="1"/>
  <c r="AS124" i="39" s="1"/>
  <c r="BC124" i="39"/>
  <c r="AH40" i="39" a="1"/>
  <c r="AH40" i="39" s="1"/>
  <c r="AO55" i="39" a="1"/>
  <c r="AO55" i="39" s="1"/>
  <c r="BC55" i="39"/>
  <c r="AI93" i="39" a="1"/>
  <c r="AI93" i="39" s="1"/>
  <c r="BC93" i="39"/>
  <c r="AO34" i="39" a="1"/>
  <c r="AO34" i="39" s="1"/>
  <c r="AU96" i="39" a="1"/>
  <c r="AU96" i="39" s="1"/>
  <c r="BC96" i="39"/>
  <c r="AC69" i="39" a="1"/>
  <c r="AC69" i="39" s="1"/>
  <c r="BC69" i="39"/>
  <c r="AE85" i="39" a="1"/>
  <c r="AE85" i="39" s="1"/>
  <c r="BC85" i="39"/>
  <c r="AK127" i="39" a="1"/>
  <c r="AK127" i="39" s="1"/>
  <c r="BA127" i="39" s="1"/>
  <c r="BC127" i="39"/>
  <c r="AL129" i="39" a="1"/>
  <c r="AL129" i="39" s="1"/>
  <c r="BC129" i="39"/>
  <c r="AG122" i="39" a="1"/>
  <c r="AG122" i="39" s="1"/>
  <c r="BC122" i="39"/>
  <c r="AO108" i="39" a="1"/>
  <c r="AO108" i="39" s="1"/>
  <c r="BC108" i="39"/>
  <c r="AS76" i="39" a="1"/>
  <c r="AS76" i="39" s="1"/>
  <c r="BC76" i="39"/>
  <c r="BB13" i="39" a="1"/>
  <c r="BB13" i="39" s="1"/>
  <c r="AT105" i="39" a="1"/>
  <c r="AT105" i="39" s="1"/>
  <c r="AL55" i="39" a="1"/>
  <c r="AL55" i="39" s="1"/>
  <c r="AU55" i="39" a="1"/>
  <c r="AU55" i="39" s="1"/>
  <c r="BB60" i="39" a="1"/>
  <c r="BB60" i="39" s="1"/>
  <c r="AR117" i="39" a="1"/>
  <c r="AR117" i="39" s="1"/>
  <c r="AG16" i="39" a="1"/>
  <c r="AG16" i="39" s="1"/>
  <c r="AM17" i="39" a="1"/>
  <c r="AM17" i="39" s="1"/>
  <c r="AO115" i="39" a="1"/>
  <c r="AO115" i="39" s="1"/>
  <c r="AI124" i="39" a="1"/>
  <c r="AI124" i="39" s="1"/>
  <c r="AT40" i="39" a="1"/>
  <c r="AT40" i="39" s="1"/>
  <c r="AK105" i="39" a="1"/>
  <c r="AK105" i="39" s="1"/>
  <c r="BA105" i="39" s="1"/>
  <c r="AP55" i="39" a="1"/>
  <c r="AP55" i="39" s="1"/>
  <c r="AH60" i="39" a="1"/>
  <c r="AH60" i="39" s="1"/>
  <c r="AI117" i="39" a="1"/>
  <c r="AI117" i="39" s="1"/>
  <c r="AT16" i="39" a="1"/>
  <c r="AT16" i="39" s="1"/>
  <c r="AH17" i="39" a="1"/>
  <c r="AH17" i="39" s="1"/>
  <c r="AL115" i="39" a="1"/>
  <c r="AL115" i="39" s="1"/>
  <c r="AL124" i="39" a="1"/>
  <c r="AL124" i="39" s="1"/>
  <c r="AK124" i="39" a="1"/>
  <c r="AK124" i="39" s="1"/>
  <c r="BA124" i="39" s="1"/>
  <c r="AU81" i="39" a="1"/>
  <c r="AU81" i="39" s="1"/>
  <c r="Y105" i="39" a="1"/>
  <c r="Y105" i="39" s="1"/>
  <c r="Y21" i="39" a="1"/>
  <c r="Y21" i="39" s="1"/>
  <c r="Y60" i="39" a="1"/>
  <c r="Y60" i="39" s="1"/>
  <c r="AG117" i="39" a="1"/>
  <c r="AG117" i="39" s="1"/>
  <c r="AK17" i="39" a="1"/>
  <c r="AK17" i="39" s="1"/>
  <c r="BA17" i="39" s="1"/>
  <c r="AS115" i="39" a="1"/>
  <c r="AS115" i="39" s="1"/>
  <c r="BB124" i="39" a="1"/>
  <c r="BB124" i="39" s="1"/>
  <c r="Y40" i="39" a="1"/>
  <c r="Y40" i="39" s="1"/>
  <c r="AI122" i="39" a="1"/>
  <c r="AI122" i="39" s="1"/>
  <c r="AT122" i="39" a="1"/>
  <c r="AT122" i="39" s="1"/>
  <c r="AP108" i="39" a="1"/>
  <c r="AP108" i="39" s="1"/>
  <c r="AI108" i="39" a="1"/>
  <c r="AI108" i="39" s="1"/>
  <c r="AD108" i="39" a="1"/>
  <c r="AD108" i="39" s="1"/>
  <c r="AR122" i="39" a="1"/>
  <c r="AR122" i="39" s="1"/>
  <c r="BB122" i="39" a="1"/>
  <c r="BB122" i="39" s="1"/>
  <c r="AK122" i="39" a="1"/>
  <c r="AK122" i="39" s="1"/>
  <c r="BA122" i="39" s="1"/>
  <c r="AO96" i="39" a="1"/>
  <c r="AO96" i="39" s="1"/>
  <c r="AO69" i="39" a="1"/>
  <c r="AO69" i="39" s="1"/>
  <c r="AR69" i="39" a="1"/>
  <c r="AR69" i="39" s="1"/>
  <c r="AT44" i="39" a="1"/>
  <c r="AT44" i="39" s="1"/>
  <c r="Y44" i="39" a="1"/>
  <c r="Y44" i="39" s="1"/>
  <c r="AG69" i="39" a="1"/>
  <c r="AG69" i="39" s="1"/>
  <c r="AE44" i="39" a="1"/>
  <c r="AE44" i="39" s="1"/>
  <c r="AL69" i="39" a="1"/>
  <c r="AL69" i="39" s="1"/>
  <c r="AG44" i="39" a="1"/>
  <c r="AG44" i="39" s="1"/>
  <c r="AM69" i="39" a="1"/>
  <c r="AM69" i="39" s="1"/>
  <c r="AO44" i="39" a="1"/>
  <c r="AO44" i="39" s="1"/>
  <c r="GW6" i="39" a="1"/>
  <c r="GW6" i="39" s="1"/>
  <c r="GX4" i="39"/>
  <c r="GW5" i="39" a="1"/>
  <c r="GW5" i="39" s="1"/>
  <c r="GW7" i="39" a="1"/>
  <c r="GW7" i="39" s="1"/>
  <c r="AS122" i="39" a="1"/>
  <c r="AS122" i="39" s="1"/>
  <c r="AD122" i="39" a="1"/>
  <c r="AD122" i="39" s="1"/>
  <c r="Y122" i="39" a="1"/>
  <c r="Y122" i="39" s="1"/>
  <c r="AC122" i="39" a="1"/>
  <c r="AC122" i="39" s="1"/>
  <c r="AP122" i="39" a="1"/>
  <c r="AP122" i="39" s="1"/>
  <c r="AL105" i="39" a="1"/>
  <c r="AL105" i="39" s="1"/>
  <c r="BB55" i="39" a="1"/>
  <c r="BB55" i="39" s="1"/>
  <c r="AS93" i="39" a="1"/>
  <c r="AS93" i="39" s="1"/>
  <c r="BB93" i="39" a="1"/>
  <c r="BB93" i="39" s="1"/>
  <c r="AU93" i="39" a="1"/>
  <c r="AU93" i="39" s="1"/>
  <c r="AL93" i="39" a="1"/>
  <c r="AL93" i="39" s="1"/>
  <c r="AK21" i="39" a="1"/>
  <c r="AK21" i="39" s="1"/>
  <c r="BA21" i="39" s="1"/>
  <c r="AG55" i="39" a="1"/>
  <c r="AG55" i="39" s="1"/>
  <c r="AM55" i="39" a="1"/>
  <c r="AM55" i="39" s="1"/>
  <c r="AM16" i="39" a="1"/>
  <c r="AM16" i="39" s="1"/>
  <c r="AK16" i="39" a="1"/>
  <c r="AK16" i="39" s="1"/>
  <c r="BA16" i="39" s="1"/>
  <c r="Y17" i="39" a="1"/>
  <c r="Y17" i="39" s="1"/>
  <c r="BB17" i="39" a="1"/>
  <c r="BB17" i="39" s="1"/>
  <c r="AE17" i="39" a="1"/>
  <c r="AE17" i="39" s="1"/>
  <c r="AP115" i="39" a="1"/>
  <c r="AP115" i="39" s="1"/>
  <c r="AM115" i="39" a="1"/>
  <c r="AM115" i="39" s="1"/>
  <c r="AR124" i="39" a="1"/>
  <c r="AR124" i="39" s="1"/>
  <c r="AD124" i="39" a="1"/>
  <c r="AD124" i="39" s="1"/>
  <c r="AL40" i="39" a="1"/>
  <c r="AL40" i="39" s="1"/>
  <c r="AE40" i="39" a="1"/>
  <c r="AE40" i="39" s="1"/>
  <c r="AM93" i="39" a="1"/>
  <c r="AM93" i="39" s="1"/>
  <c r="AO93" i="39" a="1"/>
  <c r="AO93" i="39" s="1"/>
  <c r="AT93" i="39" a="1"/>
  <c r="AT93" i="39" s="1"/>
  <c r="AR55" i="39" a="1"/>
  <c r="AR55" i="39" s="1"/>
  <c r="AC55" i="39" a="1"/>
  <c r="AC55" i="39" s="1"/>
  <c r="AT55" i="39" a="1"/>
  <c r="AT55" i="39" s="1"/>
  <c r="AS55" i="39" a="1"/>
  <c r="AS55" i="39" s="1"/>
  <c r="AR60" i="39" a="1"/>
  <c r="AR60" i="39" s="1"/>
  <c r="AO60" i="39" a="1"/>
  <c r="AO60" i="39" s="1"/>
  <c r="AD60" i="39" a="1"/>
  <c r="AD60" i="39" s="1"/>
  <c r="AP60" i="39" a="1"/>
  <c r="AP60" i="39" s="1"/>
  <c r="AU117" i="39" a="1"/>
  <c r="AU117" i="39" s="1"/>
  <c r="Y117" i="39" a="1"/>
  <c r="Y117" i="39" s="1"/>
  <c r="AK117" i="39" a="1"/>
  <c r="AK117" i="39" s="1"/>
  <c r="BA117" i="39" s="1"/>
  <c r="BB16" i="39" a="1"/>
  <c r="BB16" i="39" s="1"/>
  <c r="AC16" i="39" a="1"/>
  <c r="AC16" i="39" s="1"/>
  <c r="AI16" i="39" a="1"/>
  <c r="AI16" i="39" s="1"/>
  <c r="AL16" i="39" a="1"/>
  <c r="AL16" i="39" s="1"/>
  <c r="AC17" i="39" a="1"/>
  <c r="AC17" i="39" s="1"/>
  <c r="AL17" i="39" a="1"/>
  <c r="AL17" i="39" s="1"/>
  <c r="AI17" i="39" a="1"/>
  <c r="AI17" i="39" s="1"/>
  <c r="AG115" i="39" a="1"/>
  <c r="AG115" i="39" s="1"/>
  <c r="AK115" i="39" a="1"/>
  <c r="AK115" i="39" s="1"/>
  <c r="BA115" i="39" s="1"/>
  <c r="BB115" i="39" a="1"/>
  <c r="BB115" i="39" s="1"/>
  <c r="AT115" i="39" a="1"/>
  <c r="AT115" i="39" s="1"/>
  <c r="AM124" i="39" a="1"/>
  <c r="AM124" i="39" s="1"/>
  <c r="AE124" i="39" a="1"/>
  <c r="AE124" i="39" s="1"/>
  <c r="AP124" i="39" a="1"/>
  <c r="AP124" i="39" s="1"/>
  <c r="AC124" i="39" a="1"/>
  <c r="AC124" i="39" s="1"/>
  <c r="BB40" i="39" a="1"/>
  <c r="BB40" i="39" s="1"/>
  <c r="AD40" i="39" a="1"/>
  <c r="AD40" i="39" s="1"/>
  <c r="AM40" i="39" a="1"/>
  <c r="AM40" i="39" s="1"/>
  <c r="AK40" i="39" a="1"/>
  <c r="AK40" i="39" s="1"/>
  <c r="BA40" i="39" s="1"/>
  <c r="AP93" i="39" a="1"/>
  <c r="AP93" i="39" s="1"/>
  <c r="AD93" i="39" a="1"/>
  <c r="AD93" i="39" s="1"/>
  <c r="AC93" i="39" a="1"/>
  <c r="AC93" i="39" s="1"/>
  <c r="AG93" i="39" a="1"/>
  <c r="AG93" i="39" s="1"/>
  <c r="AT81" i="39" a="1"/>
  <c r="AT81" i="39" s="1"/>
  <c r="AH105" i="39" a="1"/>
  <c r="AH105" i="39" s="1"/>
  <c r="AD105" i="39" a="1"/>
  <c r="AD105" i="39" s="1"/>
  <c r="AU105" i="39" a="1"/>
  <c r="AU105" i="39" s="1"/>
  <c r="AE105" i="39" a="1"/>
  <c r="AE105" i="39" s="1"/>
  <c r="AH55" i="39" a="1"/>
  <c r="AH55" i="39" s="1"/>
  <c r="AE60" i="39" a="1"/>
  <c r="AE60" i="39" s="1"/>
  <c r="AU60" i="39" a="1"/>
  <c r="AU60" i="39" s="1"/>
  <c r="AT60" i="39" a="1"/>
  <c r="AT60" i="39" s="1"/>
  <c r="AM60" i="39" a="1"/>
  <c r="AM60" i="39" s="1"/>
  <c r="AD117" i="39" a="1"/>
  <c r="AD117" i="39" s="1"/>
  <c r="AE117" i="39" a="1"/>
  <c r="AE117" i="39" s="1"/>
  <c r="AH117" i="39" a="1"/>
  <c r="AH117" i="39" s="1"/>
  <c r="AD16" i="39" a="1"/>
  <c r="AD16" i="39" s="1"/>
  <c r="AC115" i="39" a="1"/>
  <c r="AC115" i="39" s="1"/>
  <c r="AD115" i="39" a="1"/>
  <c r="AD115" i="39" s="1"/>
  <c r="Y115" i="39" a="1"/>
  <c r="Y115" i="39" s="1"/>
  <c r="AG124" i="39" a="1"/>
  <c r="AG124" i="39" s="1"/>
  <c r="AU124" i="39" a="1"/>
  <c r="AU124" i="39" s="1"/>
  <c r="AO40" i="39" a="1"/>
  <c r="AO40" i="39" s="1"/>
  <c r="AG40" i="39" a="1"/>
  <c r="AG40" i="39" s="1"/>
  <c r="AK93" i="39" a="1"/>
  <c r="AK93" i="39" s="1"/>
  <c r="BA93" i="39" s="1"/>
  <c r="AR93" i="39" a="1"/>
  <c r="AR93" i="39" s="1"/>
  <c r="AO105" i="39" a="1"/>
  <c r="AO105" i="39" s="1"/>
  <c r="AC105" i="39" a="1"/>
  <c r="AC105" i="39" s="1"/>
  <c r="AI105" i="39" a="1"/>
  <c r="AI105" i="39" s="1"/>
  <c r="AG105" i="39" a="1"/>
  <c r="AG105" i="39" s="1"/>
  <c r="BB105" i="39" a="1"/>
  <c r="BB105" i="39" s="1"/>
  <c r="AM105" i="39" a="1"/>
  <c r="AM105" i="39" s="1"/>
  <c r="AP105" i="39" a="1"/>
  <c r="AP105" i="39" s="1"/>
  <c r="AK55" i="39" a="1"/>
  <c r="AK55" i="39" s="1"/>
  <c r="BA55" i="39" s="1"/>
  <c r="AE55" i="39" a="1"/>
  <c r="AE55" i="39" s="1"/>
  <c r="Y55" i="39" a="1"/>
  <c r="Y55" i="39" s="1"/>
  <c r="AL60" i="39" a="1"/>
  <c r="AL60" i="39" s="1"/>
  <c r="AK60" i="39" a="1"/>
  <c r="AK60" i="39" s="1"/>
  <c r="BA60" i="39" s="1"/>
  <c r="AI60" i="39" a="1"/>
  <c r="AI60" i="39" s="1"/>
  <c r="AG60" i="39" a="1"/>
  <c r="AG60" i="39" s="1"/>
  <c r="AM117" i="39" a="1"/>
  <c r="AM117" i="39" s="1"/>
  <c r="AT117" i="39" a="1"/>
  <c r="AT117" i="39" s="1"/>
  <c r="AO16" i="39" a="1"/>
  <c r="AO16" i="39" s="1"/>
  <c r="AE16" i="39" a="1"/>
  <c r="AE16" i="39" s="1"/>
  <c r="AG17" i="39" a="1"/>
  <c r="AG17" i="39" s="1"/>
  <c r="AO17" i="39" a="1"/>
  <c r="AO17" i="39" s="1"/>
  <c r="AR115" i="39" a="1"/>
  <c r="AR115" i="39" s="1"/>
  <c r="AE115" i="39" a="1"/>
  <c r="AE115" i="39" s="1"/>
  <c r="AH115" i="39" a="1"/>
  <c r="AH115" i="39" s="1"/>
  <c r="Y124" i="39" a="1"/>
  <c r="Y124" i="39" s="1"/>
  <c r="AH124" i="39" a="1"/>
  <c r="AH124" i="39" s="1"/>
  <c r="AT124" i="39" a="1"/>
  <c r="AT124" i="39" s="1"/>
  <c r="AP40" i="39" a="1"/>
  <c r="AP40" i="39" s="1"/>
  <c r="AC40" i="39" a="1"/>
  <c r="AC40" i="39" s="1"/>
  <c r="AI40" i="39" a="1"/>
  <c r="AI40" i="39" s="1"/>
  <c r="AE93" i="39" a="1"/>
  <c r="AE93" i="39" s="1"/>
  <c r="AH93" i="39" a="1"/>
  <c r="AH93" i="39" s="1"/>
  <c r="Y93" i="39" a="1"/>
  <c r="Y93" i="39" s="1"/>
  <c r="AN19" i="39" a="1"/>
  <c r="AN19" i="39" s="1"/>
  <c r="AF19" i="39" a="1"/>
  <c r="AF19" i="39" s="1"/>
  <c r="AN35" i="39" a="1"/>
  <c r="AN35" i="39" s="1"/>
  <c r="AF35" i="39" a="1"/>
  <c r="AF35" i="39" s="1"/>
  <c r="AJ35" i="39" a="1"/>
  <c r="AJ35" i="39" s="1"/>
  <c r="AN47" i="39" a="1"/>
  <c r="AN47" i="39" s="1"/>
  <c r="AJ47" i="39" a="1"/>
  <c r="AJ47" i="39" s="1"/>
  <c r="AV47" i="39" a="1"/>
  <c r="AV47" i="39" s="1"/>
  <c r="AF47" i="39" a="1"/>
  <c r="AF47" i="39" s="1"/>
  <c r="AJ68" i="39" a="1"/>
  <c r="AJ68" i="39" s="1"/>
  <c r="AV68" i="39" a="1"/>
  <c r="AV68" i="39" s="1"/>
  <c r="AN68" i="39" a="1"/>
  <c r="AN68" i="39" s="1"/>
  <c r="AF68" i="39" a="1"/>
  <c r="AF68" i="39" s="1"/>
  <c r="AN42" i="39" a="1"/>
  <c r="AN42" i="39" s="1"/>
  <c r="AJ42" i="39" a="1"/>
  <c r="AJ42" i="39" s="1"/>
  <c r="AF42" i="39" a="1"/>
  <c r="AF42" i="39" s="1"/>
  <c r="AN22" i="39" a="1"/>
  <c r="AN22" i="39" s="1"/>
  <c r="AF22" i="39" a="1"/>
  <c r="AF22" i="39" s="1"/>
  <c r="AV107" i="39" a="1"/>
  <c r="AV107" i="39" s="1"/>
  <c r="AN107" i="39" a="1"/>
  <c r="AN107" i="39" s="1"/>
  <c r="AF107" i="39" a="1"/>
  <c r="AF107" i="39" s="1"/>
  <c r="AJ107" i="39" a="1"/>
  <c r="AJ107" i="39" s="1"/>
  <c r="AN43" i="39" a="1"/>
  <c r="AN43" i="39" s="1"/>
  <c r="AJ43" i="39" a="1"/>
  <c r="AJ43" i="39" s="1"/>
  <c r="AF43" i="39" a="1"/>
  <c r="AF43" i="39" s="1"/>
  <c r="AN51" i="39" a="1"/>
  <c r="AN51" i="39" s="1"/>
  <c r="AV51" i="39" a="1"/>
  <c r="AV51" i="39" s="1"/>
  <c r="AJ51" i="39" a="1"/>
  <c r="AJ51" i="39" s="1"/>
  <c r="AF51" i="39" a="1"/>
  <c r="AF51" i="39" s="1"/>
  <c r="AG32" i="39" a="1"/>
  <c r="AG32" i="39" s="1"/>
  <c r="AN32" i="39" a="1"/>
  <c r="AN32" i="39" s="1"/>
  <c r="AF32" i="39" a="1"/>
  <c r="AF32" i="39" s="1"/>
  <c r="AJ32" i="39" a="1"/>
  <c r="AJ32" i="39" s="1"/>
  <c r="AN20" i="39" a="1"/>
  <c r="AN20" i="39" s="1"/>
  <c r="AF20" i="39" a="1"/>
  <c r="AF20" i="39" s="1"/>
  <c r="AH64" i="39" a="1"/>
  <c r="AH64" i="39" s="1"/>
  <c r="AN64" i="39" a="1"/>
  <c r="AN64" i="39" s="1"/>
  <c r="AV64" i="39" a="1"/>
  <c r="AV64" i="39" s="1"/>
  <c r="AJ64" i="39" a="1"/>
  <c r="AJ64" i="39" s="1"/>
  <c r="AF64" i="39" a="1"/>
  <c r="AF64" i="39" s="1"/>
  <c r="AI52" i="39" a="1"/>
  <c r="AI52" i="39" s="1"/>
  <c r="AV52" i="39" a="1"/>
  <c r="AV52" i="39" s="1"/>
  <c r="AJ52" i="39" a="1"/>
  <c r="AJ52" i="39" s="1"/>
  <c r="AN52" i="39" a="1"/>
  <c r="AN52" i="39" s="1"/>
  <c r="AF52" i="39" a="1"/>
  <c r="AF52" i="39" s="1"/>
  <c r="AU83" i="39" a="1"/>
  <c r="AU83" i="39" s="1"/>
  <c r="AV83" i="39" a="1"/>
  <c r="AV83" i="39" s="1"/>
  <c r="AN83" i="39" a="1"/>
  <c r="AN83" i="39" s="1"/>
  <c r="AF83" i="39" a="1"/>
  <c r="AF83" i="39" s="1"/>
  <c r="AJ83" i="39" a="1"/>
  <c r="AJ83" i="39" s="1"/>
  <c r="Y59" i="39" a="1"/>
  <c r="Y59" i="39" s="1"/>
  <c r="AV59" i="39" a="1"/>
  <c r="AV59" i="39" s="1"/>
  <c r="AN59" i="39" a="1"/>
  <c r="AN59" i="39" s="1"/>
  <c r="AJ59" i="39" a="1"/>
  <c r="AJ59" i="39" s="1"/>
  <c r="AF59" i="39" a="1"/>
  <c r="AF59" i="39" s="1"/>
  <c r="AL81" i="39" a="1"/>
  <c r="AL81" i="39" s="1"/>
  <c r="AV81" i="39" a="1"/>
  <c r="AV81" i="39" s="1"/>
  <c r="AN81" i="39" a="1"/>
  <c r="AN81" i="39" s="1"/>
  <c r="AJ81" i="39" a="1"/>
  <c r="AJ81" i="39" s="1"/>
  <c r="AF81" i="39" a="1"/>
  <c r="AF81" i="39" s="1"/>
  <c r="AN23" i="39" a="1"/>
  <c r="AN23" i="39" s="1"/>
  <c r="AJ23" i="39" a="1"/>
  <c r="AJ23" i="39" s="1"/>
  <c r="AF23" i="39" a="1"/>
  <c r="AF23" i="39" s="1"/>
  <c r="AN21" i="39" a="1"/>
  <c r="AN21" i="39" s="1"/>
  <c r="AF21" i="39" a="1"/>
  <c r="AF21" i="39" s="1"/>
  <c r="AN77" i="39" a="1"/>
  <c r="AN77" i="39" s="1"/>
  <c r="AV77" i="39" a="1"/>
  <c r="AV77" i="39" s="1"/>
  <c r="AJ77" i="39" a="1"/>
  <c r="AJ77" i="39" s="1"/>
  <c r="AF77" i="39" a="1"/>
  <c r="AF77" i="39" s="1"/>
  <c r="AS117" i="39" a="1"/>
  <c r="AS117" i="39" s="1"/>
  <c r="AN117" i="39" a="1"/>
  <c r="AN117" i="39" s="1"/>
  <c r="AV117" i="39" a="1"/>
  <c r="AV117" i="39" s="1"/>
  <c r="AF117" i="39" a="1"/>
  <c r="AF117" i="39" s="1"/>
  <c r="AJ117" i="39" a="1"/>
  <c r="AJ117" i="39" s="1"/>
  <c r="AN16" i="39" a="1"/>
  <c r="AN16" i="39" s="1"/>
  <c r="AF16" i="39" a="1"/>
  <c r="AF16" i="39" s="1"/>
  <c r="AN17" i="39" a="1"/>
  <c r="AN17" i="39" s="1"/>
  <c r="AF17" i="39" a="1"/>
  <c r="AF17" i="39" s="1"/>
  <c r="AV115" i="39" a="1"/>
  <c r="AV115" i="39" s="1"/>
  <c r="AN115" i="39" a="1"/>
  <c r="AN115" i="39" s="1"/>
  <c r="AF115" i="39" a="1"/>
  <c r="AF115" i="39" s="1"/>
  <c r="AJ115" i="39" a="1"/>
  <c r="AJ115" i="39" s="1"/>
  <c r="AJ60" i="39" a="1"/>
  <c r="AJ60" i="39" s="1"/>
  <c r="AV60" i="39" a="1"/>
  <c r="AV60" i="39" s="1"/>
  <c r="AN60" i="39" a="1"/>
  <c r="AN60" i="39" s="1"/>
  <c r="AF60" i="39" a="1"/>
  <c r="AF60" i="39" s="1"/>
  <c r="AV105" i="39" a="1"/>
  <c r="AV105" i="39" s="1"/>
  <c r="AN105" i="39" a="1"/>
  <c r="AN105" i="39" s="1"/>
  <c r="AJ105" i="39" a="1"/>
  <c r="AJ105" i="39" s="1"/>
  <c r="AF105" i="39" a="1"/>
  <c r="AF105" i="39" s="1"/>
  <c r="AV124" i="39" a="1"/>
  <c r="AV124" i="39" s="1"/>
  <c r="AN124" i="39" a="1"/>
  <c r="AN124" i="39" s="1"/>
  <c r="AJ124" i="39" a="1"/>
  <c r="AJ124" i="39" s="1"/>
  <c r="AF124" i="39" a="1"/>
  <c r="AF124" i="39" s="1"/>
  <c r="AN40" i="39" a="1"/>
  <c r="AN40" i="39" s="1"/>
  <c r="AF40" i="39" a="1"/>
  <c r="AF40" i="39" s="1"/>
  <c r="AJ40" i="39" a="1"/>
  <c r="AJ40" i="39" s="1"/>
  <c r="AN55" i="39" a="1"/>
  <c r="AN55" i="39" s="1"/>
  <c r="AV55" i="39" a="1"/>
  <c r="AV55" i="39" s="1"/>
  <c r="AJ55" i="39" a="1"/>
  <c r="AJ55" i="39" s="1"/>
  <c r="AF55" i="39" a="1"/>
  <c r="AF55" i="39" s="1"/>
  <c r="AN93" i="39" a="1"/>
  <c r="AN93" i="39" s="1"/>
  <c r="AV93" i="39" a="1"/>
  <c r="AV93" i="39" s="1"/>
  <c r="AF93" i="39" a="1"/>
  <c r="AF93" i="39" s="1"/>
  <c r="AJ93" i="39" a="1"/>
  <c r="AJ93" i="39" s="1"/>
  <c r="AV84" i="39" a="1"/>
  <c r="AV84" i="39" s="1"/>
  <c r="AN84" i="39" a="1"/>
  <c r="AN84" i="39" s="1"/>
  <c r="AJ84" i="39" a="1"/>
  <c r="AJ84" i="39" s="1"/>
  <c r="AF84" i="39" a="1"/>
  <c r="AF84" i="39" s="1"/>
  <c r="AN50" i="39" a="1"/>
  <c r="AN50" i="39" s="1"/>
  <c r="AJ50" i="39" a="1"/>
  <c r="AJ50" i="39" s="1"/>
  <c r="AV50" i="39" a="1"/>
  <c r="AV50" i="39" s="1"/>
  <c r="AF50" i="39" a="1"/>
  <c r="AF50" i="39" s="1"/>
  <c r="AN26" i="39" a="1"/>
  <c r="AN26" i="39" s="1"/>
  <c r="AJ26" i="39" a="1"/>
  <c r="AJ26" i="39" s="1"/>
  <c r="AF26" i="39" a="1"/>
  <c r="AF26" i="39" s="1"/>
  <c r="AJ49" i="39" a="1"/>
  <c r="AJ49" i="39" s="1"/>
  <c r="AV49" i="39" a="1"/>
  <c r="AV49" i="39" s="1"/>
  <c r="AN49" i="39" a="1"/>
  <c r="AN49" i="39" s="1"/>
  <c r="AF49" i="39" a="1"/>
  <c r="AF49" i="39" s="1"/>
  <c r="Y72" i="39" a="1"/>
  <c r="Y72" i="39" s="1"/>
  <c r="AN72" i="39" a="1"/>
  <c r="AN72" i="39" s="1"/>
  <c r="AV72" i="39" a="1"/>
  <c r="AV72" i="39" s="1"/>
  <c r="AJ72" i="39" a="1"/>
  <c r="AJ72" i="39" s="1"/>
  <c r="AF72" i="39" a="1"/>
  <c r="AF72" i="39" s="1"/>
  <c r="AN71" i="39" a="1"/>
  <c r="AN71" i="39" s="1"/>
  <c r="AV71" i="39" a="1"/>
  <c r="AV71" i="39" s="1"/>
  <c r="AJ71" i="39" a="1"/>
  <c r="AJ71" i="39" s="1"/>
  <c r="AF71" i="39" a="1"/>
  <c r="AF71" i="39" s="1"/>
  <c r="AN25" i="39" a="1"/>
  <c r="AN25" i="39" s="1"/>
  <c r="AF25" i="39" a="1"/>
  <c r="AF25" i="39" s="1"/>
  <c r="AJ25" i="39" a="1"/>
  <c r="AJ25" i="39" s="1"/>
  <c r="BB34" i="39" a="1"/>
  <c r="BB34" i="39" s="1"/>
  <c r="AN34" i="39" a="1"/>
  <c r="AN34" i="39" s="1"/>
  <c r="AJ34" i="39" a="1"/>
  <c r="AJ34" i="39" s="1"/>
  <c r="AF34" i="39" a="1"/>
  <c r="AF34" i="39" s="1"/>
  <c r="AK96" i="39" a="1"/>
  <c r="AK96" i="39" s="1"/>
  <c r="BA96" i="39" s="1"/>
  <c r="AN96" i="39" a="1"/>
  <c r="AN96" i="39" s="1"/>
  <c r="AV96" i="39" a="1"/>
  <c r="AV96" i="39" s="1"/>
  <c r="AF96" i="39" a="1"/>
  <c r="AF96" i="39" s="1"/>
  <c r="AJ96" i="39" a="1"/>
  <c r="AJ96" i="39" s="1"/>
  <c r="AS69" i="39" a="1"/>
  <c r="AS69" i="39" s="1"/>
  <c r="AN69" i="39" a="1"/>
  <c r="AN69" i="39" s="1"/>
  <c r="AV69" i="39" a="1"/>
  <c r="AV69" i="39" s="1"/>
  <c r="AJ69" i="39" a="1"/>
  <c r="AJ69" i="39" s="1"/>
  <c r="AF69" i="39" a="1"/>
  <c r="AF69" i="39" s="1"/>
  <c r="AI44" i="39" a="1"/>
  <c r="AI44" i="39" s="1"/>
  <c r="AJ44" i="39" a="1"/>
  <c r="AJ44" i="39" s="1"/>
  <c r="AN44" i="39" a="1"/>
  <c r="AN44" i="39" s="1"/>
  <c r="AF44" i="39" a="1"/>
  <c r="AF44" i="39" s="1"/>
  <c r="AN62" i="39" a="1"/>
  <c r="AN62" i="39" s="1"/>
  <c r="AV62" i="39" a="1"/>
  <c r="AV62" i="39" s="1"/>
  <c r="AJ62" i="39" a="1"/>
  <c r="AJ62" i="39" s="1"/>
  <c r="AF62" i="39" a="1"/>
  <c r="AF62" i="39" s="1"/>
  <c r="AN27" i="39" a="1"/>
  <c r="AN27" i="39" s="1"/>
  <c r="AF27" i="39" a="1"/>
  <c r="AF27" i="39" s="1"/>
  <c r="AJ27" i="39" a="1"/>
  <c r="AJ27" i="39" s="1"/>
  <c r="AN18" i="39" a="1"/>
  <c r="AN18" i="39" s="1"/>
  <c r="AF18" i="39" a="1"/>
  <c r="AF18" i="39" s="1"/>
  <c r="AN33" i="39" a="1"/>
  <c r="AN33" i="39" s="1"/>
  <c r="AF33" i="39" a="1"/>
  <c r="AF33" i="39" s="1"/>
  <c r="AJ33" i="39" a="1"/>
  <c r="AJ33" i="39" s="1"/>
  <c r="AV91" i="39" a="1"/>
  <c r="AV91" i="39" s="1"/>
  <c r="AN91" i="39" a="1"/>
  <c r="AN91" i="39" s="1"/>
  <c r="AF91" i="39" a="1"/>
  <c r="AF91" i="39" s="1"/>
  <c r="AJ91" i="39" a="1"/>
  <c r="AJ91" i="39" s="1"/>
  <c r="AV99" i="39" a="1"/>
  <c r="AV99" i="39" s="1"/>
  <c r="AN99" i="39" a="1"/>
  <c r="AN99" i="39" s="1"/>
  <c r="AF99" i="39" a="1"/>
  <c r="AF99" i="39" s="1"/>
  <c r="AJ99" i="39" a="1"/>
  <c r="AJ99" i="39" s="1"/>
  <c r="AN58" i="39" a="1"/>
  <c r="AN58" i="39" s="1"/>
  <c r="AJ58" i="39" a="1"/>
  <c r="AJ58" i="39" s="1"/>
  <c r="AV58" i="39" a="1"/>
  <c r="AV58" i="39" s="1"/>
  <c r="AF58" i="39" a="1"/>
  <c r="AF58" i="39" s="1"/>
  <c r="AN128" i="39" a="1"/>
  <c r="AN128" i="39" s="1"/>
  <c r="AV128" i="39" a="1"/>
  <c r="AV128" i="39" s="1"/>
  <c r="AF128" i="39" a="1"/>
  <c r="AF128" i="39" s="1"/>
  <c r="AJ128" i="39" a="1"/>
  <c r="AJ128" i="39" s="1"/>
  <c r="AN82" i="39" a="1"/>
  <c r="AN82" i="39" s="1"/>
  <c r="AV82" i="39" a="1"/>
  <c r="AV82" i="39" s="1"/>
  <c r="AJ82" i="39" a="1"/>
  <c r="AJ82" i="39" s="1"/>
  <c r="AF82" i="39" a="1"/>
  <c r="AF82" i="39" s="1"/>
  <c r="AN28" i="39" a="1"/>
  <c r="AN28" i="39" s="1"/>
  <c r="AJ28" i="39" a="1"/>
  <c r="AJ28" i="39" s="1"/>
  <c r="AF28" i="39" a="1"/>
  <c r="AF28" i="39" s="1"/>
  <c r="AN54" i="39" a="1"/>
  <c r="AN54" i="39" s="1"/>
  <c r="AV54" i="39" a="1"/>
  <c r="AV54" i="39" s="1"/>
  <c r="AJ54" i="39" a="1"/>
  <c r="AJ54" i="39" s="1"/>
  <c r="AF54" i="39" a="1"/>
  <c r="AF54" i="39" s="1"/>
  <c r="AV131" i="39" a="1"/>
  <c r="AV131" i="39" s="1"/>
  <c r="AN131" i="39" a="1"/>
  <c r="AN131" i="39" s="1"/>
  <c r="AF131" i="39" a="1"/>
  <c r="AF131" i="39" s="1"/>
  <c r="AJ131" i="39" a="1"/>
  <c r="AJ131" i="39" s="1"/>
  <c r="AN63" i="39" a="1"/>
  <c r="AN63" i="39" s="1"/>
  <c r="AV63" i="39" a="1"/>
  <c r="AV63" i="39" s="1"/>
  <c r="AJ63" i="39" a="1"/>
  <c r="AJ63" i="39" s="1"/>
  <c r="AF63" i="39" a="1"/>
  <c r="AF63" i="39" s="1"/>
  <c r="AN114" i="39" a="1"/>
  <c r="AN114" i="39" s="1"/>
  <c r="AV114" i="39" a="1"/>
  <c r="AV114" i="39" s="1"/>
  <c r="AJ114" i="39" a="1"/>
  <c r="AJ114" i="39" s="1"/>
  <c r="AF114" i="39" a="1"/>
  <c r="AF114" i="39" s="1"/>
  <c r="AV132" i="39" a="1"/>
  <c r="AV132" i="39" s="1"/>
  <c r="AN132" i="39" a="1"/>
  <c r="AN132" i="39" s="1"/>
  <c r="AJ132" i="39" a="1"/>
  <c r="AJ132" i="39" s="1"/>
  <c r="AF132" i="39" a="1"/>
  <c r="AF132" i="39" s="1"/>
  <c r="AV48" i="39" a="1"/>
  <c r="AV48" i="39" s="1"/>
  <c r="AN48" i="39" a="1"/>
  <c r="AN48" i="39" s="1"/>
  <c r="AJ48" i="39" a="1"/>
  <c r="AJ48" i="39" s="1"/>
  <c r="AF48" i="39" a="1"/>
  <c r="AF48" i="39" s="1"/>
  <c r="AJ41" i="39" a="1"/>
  <c r="AJ41" i="39" s="1"/>
  <c r="AN41" i="39" a="1"/>
  <c r="AN41" i="39" s="1"/>
  <c r="AF41" i="39" a="1"/>
  <c r="AF41" i="39" s="1"/>
  <c r="AN109" i="39" a="1"/>
  <c r="AN109" i="39" s="1"/>
  <c r="AV109" i="39" a="1"/>
  <c r="AV109" i="39" s="1"/>
  <c r="AF109" i="39" a="1"/>
  <c r="AF109" i="39" s="1"/>
  <c r="AJ109" i="39" a="1"/>
  <c r="AJ109" i="39" s="1"/>
  <c r="AH103" i="39" a="1"/>
  <c r="AH103" i="39" s="1"/>
  <c r="AN103" i="39" a="1"/>
  <c r="AN103" i="39" s="1"/>
  <c r="AV103" i="39" a="1"/>
  <c r="AV103" i="39" s="1"/>
  <c r="AJ103" i="39" a="1"/>
  <c r="AJ103" i="39" s="1"/>
  <c r="AF103" i="39" a="1"/>
  <c r="AF103" i="39" s="1"/>
  <c r="AO86" i="39" a="1"/>
  <c r="AO86" i="39" s="1"/>
  <c r="AN86" i="39" a="1"/>
  <c r="AN86" i="39" s="1"/>
  <c r="AV86" i="39" a="1"/>
  <c r="AV86" i="39" s="1"/>
  <c r="AF86" i="39" a="1"/>
  <c r="AF86" i="39" s="1"/>
  <c r="AJ86" i="39" a="1"/>
  <c r="AJ86" i="39" s="1"/>
  <c r="AG66" i="39" a="1"/>
  <c r="AG66" i="39" s="1"/>
  <c r="AN66" i="39" a="1"/>
  <c r="AN66" i="39" s="1"/>
  <c r="AJ66" i="39" a="1"/>
  <c r="AJ66" i="39" s="1"/>
  <c r="AV66" i="39" a="1"/>
  <c r="AV66" i="39" s="1"/>
  <c r="AF66" i="39" a="1"/>
  <c r="AF66" i="39" s="1"/>
  <c r="Y67" i="39" a="1"/>
  <c r="Y67" i="39" s="1"/>
  <c r="AV67" i="39" a="1"/>
  <c r="AV67" i="39" s="1"/>
  <c r="AN67" i="39" a="1"/>
  <c r="AN67" i="39" s="1"/>
  <c r="AF67" i="39" a="1"/>
  <c r="AF67" i="39" s="1"/>
  <c r="AJ67" i="39" a="1"/>
  <c r="AJ67" i="39" s="1"/>
  <c r="AH121" i="39" a="1"/>
  <c r="AH121" i="39" s="1"/>
  <c r="AN121" i="39" a="1"/>
  <c r="AN121" i="39" s="1"/>
  <c r="AV121" i="39" a="1"/>
  <c r="AV121" i="39" s="1"/>
  <c r="AJ121" i="39" a="1"/>
  <c r="AJ121" i="39" s="1"/>
  <c r="AF121" i="39" a="1"/>
  <c r="AF121" i="39" s="1"/>
  <c r="AT112" i="39" a="1"/>
  <c r="AT112" i="39" s="1"/>
  <c r="AN112" i="39" a="1"/>
  <c r="AN112" i="39" s="1"/>
  <c r="AV112" i="39" a="1"/>
  <c r="AV112" i="39" s="1"/>
  <c r="AF112" i="39" a="1"/>
  <c r="AF112" i="39" s="1"/>
  <c r="AJ112" i="39" a="1"/>
  <c r="AJ112" i="39" s="1"/>
  <c r="AP85" i="39" a="1"/>
  <c r="AP85" i="39" s="1"/>
  <c r="AN85" i="39" a="1"/>
  <c r="AN85" i="39" s="1"/>
  <c r="AV85" i="39" a="1"/>
  <c r="AV85" i="39" s="1"/>
  <c r="AF85" i="39" a="1"/>
  <c r="AF85" i="39" s="1"/>
  <c r="AJ85" i="39" a="1"/>
  <c r="AJ85" i="39" s="1"/>
  <c r="AO127" i="39" a="1"/>
  <c r="AO127" i="39" s="1"/>
  <c r="AN127" i="39" a="1"/>
  <c r="AN127" i="39" s="1"/>
  <c r="AV127" i="39" a="1"/>
  <c r="AV127" i="39" s="1"/>
  <c r="AJ127" i="39" a="1"/>
  <c r="AJ127" i="39" s="1"/>
  <c r="AF127" i="39" a="1"/>
  <c r="AF127" i="39" s="1"/>
  <c r="AU129" i="39" a="1"/>
  <c r="AU129" i="39" s="1"/>
  <c r="AN129" i="39" a="1"/>
  <c r="AN129" i="39" s="1"/>
  <c r="AV129" i="39" a="1"/>
  <c r="AV129" i="39" s="1"/>
  <c r="AJ129" i="39" a="1"/>
  <c r="AJ129" i="39" s="1"/>
  <c r="AF129" i="39" a="1"/>
  <c r="AF129" i="39" s="1"/>
  <c r="AO122" i="39" a="1"/>
  <c r="AO122" i="39" s="1"/>
  <c r="AN122" i="39" a="1"/>
  <c r="AN122" i="39" s="1"/>
  <c r="AV122" i="39" a="1"/>
  <c r="AV122" i="39" s="1"/>
  <c r="AJ122" i="39" a="1"/>
  <c r="AJ122" i="39" s="1"/>
  <c r="AF122" i="39" a="1"/>
  <c r="AF122" i="39" s="1"/>
  <c r="AV108" i="39" a="1"/>
  <c r="AV108" i="39" s="1"/>
  <c r="AN108" i="39" a="1"/>
  <c r="AN108" i="39" s="1"/>
  <c r="AJ108" i="39" a="1"/>
  <c r="AJ108" i="39" s="1"/>
  <c r="AF108" i="39" a="1"/>
  <c r="AF108" i="39" s="1"/>
  <c r="AN119" i="39" a="1"/>
  <c r="AN119" i="39" s="1"/>
  <c r="AV119" i="39" a="1"/>
  <c r="AV119" i="39" s="1"/>
  <c r="AJ119" i="39" a="1"/>
  <c r="AJ119" i="39" s="1"/>
  <c r="AF119" i="39" a="1"/>
  <c r="AF119" i="39" s="1"/>
  <c r="AN125" i="39" a="1"/>
  <c r="AN125" i="39" s="1"/>
  <c r="AV125" i="39" a="1"/>
  <c r="AV125" i="39" s="1"/>
  <c r="AF125" i="39" a="1"/>
  <c r="AF125" i="39" s="1"/>
  <c r="AJ125" i="39" a="1"/>
  <c r="AJ125" i="39" s="1"/>
  <c r="AN15" i="39" a="1"/>
  <c r="AN15" i="39" s="1"/>
  <c r="AF15" i="39" a="1"/>
  <c r="AF15" i="39" s="1"/>
  <c r="AJ73" i="39" a="1"/>
  <c r="AJ73" i="39" s="1"/>
  <c r="AV73" i="39" a="1"/>
  <c r="AV73" i="39" s="1"/>
  <c r="AN73" i="39" a="1"/>
  <c r="AN73" i="39" s="1"/>
  <c r="AF73" i="39" a="1"/>
  <c r="AF73" i="39" s="1"/>
  <c r="AN130" i="39" a="1"/>
  <c r="AN130" i="39" s="1"/>
  <c r="AV130" i="39" a="1"/>
  <c r="AV130" i="39" s="1"/>
  <c r="AJ130" i="39" a="1"/>
  <c r="AJ130" i="39" s="1"/>
  <c r="AF130" i="39" a="1"/>
  <c r="AF130" i="39" s="1"/>
  <c r="AN111" i="39" a="1"/>
  <c r="AN111" i="39" s="1"/>
  <c r="AV111" i="39" a="1"/>
  <c r="AV111" i="39" s="1"/>
  <c r="AJ111" i="39" a="1"/>
  <c r="AJ111" i="39" s="1"/>
  <c r="AF111" i="39" a="1"/>
  <c r="AF111" i="39" s="1"/>
  <c r="AN95" i="39" a="1"/>
  <c r="AN95" i="39" s="1"/>
  <c r="AV95" i="39" a="1"/>
  <c r="AV95" i="39" s="1"/>
  <c r="AJ95" i="39" a="1"/>
  <c r="AJ95" i="39" s="1"/>
  <c r="AF95" i="39" a="1"/>
  <c r="AF95" i="39" s="1"/>
  <c r="AN45" i="39" a="1"/>
  <c r="AN45" i="39" s="1"/>
  <c r="AJ45" i="39" a="1"/>
  <c r="AJ45" i="39" s="1"/>
  <c r="AF45" i="39" a="1"/>
  <c r="AF45" i="39" s="1"/>
  <c r="AN70" i="39" a="1"/>
  <c r="AN70" i="39" s="1"/>
  <c r="AV70" i="39" a="1"/>
  <c r="AV70" i="39" s="1"/>
  <c r="AJ70" i="39" a="1"/>
  <c r="AJ70" i="39" s="1"/>
  <c r="AF70" i="39" a="1"/>
  <c r="AF70" i="39" s="1"/>
  <c r="AN30" i="39" a="1"/>
  <c r="AN30" i="39" s="1"/>
  <c r="AF30" i="39" a="1"/>
  <c r="AF30" i="39" s="1"/>
  <c r="AJ30" i="39" a="1"/>
  <c r="AJ30" i="39" s="1"/>
  <c r="AV116" i="39" a="1"/>
  <c r="AV116" i="39" s="1"/>
  <c r="AN116" i="39" a="1"/>
  <c r="AN116" i="39" s="1"/>
  <c r="AJ116" i="39" a="1"/>
  <c r="AJ116" i="39" s="1"/>
  <c r="AF116" i="39" a="1"/>
  <c r="AF116" i="39" s="1"/>
  <c r="AN90" i="39" a="1"/>
  <c r="AN90" i="39" s="1"/>
  <c r="AV90" i="39" a="1"/>
  <c r="AV90" i="39" s="1"/>
  <c r="AJ90" i="39" a="1"/>
  <c r="AJ90" i="39" s="1"/>
  <c r="AF90" i="39" a="1"/>
  <c r="AF90" i="39" s="1"/>
  <c r="AN61" i="39" a="1"/>
  <c r="AN61" i="39" s="1"/>
  <c r="AV61" i="39" a="1"/>
  <c r="AV61" i="39" s="1"/>
  <c r="AJ61" i="39" a="1"/>
  <c r="AJ61" i="39" s="1"/>
  <c r="AF61" i="39" a="1"/>
  <c r="AF61" i="39" s="1"/>
  <c r="AV123" i="39" a="1"/>
  <c r="AV123" i="39" s="1"/>
  <c r="AN123" i="39" a="1"/>
  <c r="AN123" i="39" s="1"/>
  <c r="AF123" i="39" a="1"/>
  <c r="AF123" i="39" s="1"/>
  <c r="AJ123" i="39" a="1"/>
  <c r="AJ123" i="39" s="1"/>
  <c r="AN104" i="39" a="1"/>
  <c r="AN104" i="39" s="1"/>
  <c r="AV104" i="39" a="1"/>
  <c r="AV104" i="39" s="1"/>
  <c r="AF104" i="39" a="1"/>
  <c r="AF104" i="39" s="1"/>
  <c r="AJ104" i="39" a="1"/>
  <c r="AJ104" i="39" s="1"/>
  <c r="AV113" i="39" a="1"/>
  <c r="AV113" i="39" s="1"/>
  <c r="AN113" i="39" a="1"/>
  <c r="AN113" i="39" s="1"/>
  <c r="AJ113" i="39" a="1"/>
  <c r="AJ113" i="39" s="1"/>
  <c r="AF113" i="39" a="1"/>
  <c r="AF113" i="39" s="1"/>
  <c r="AN46" i="39" a="1"/>
  <c r="AN46" i="39" s="1"/>
  <c r="AJ46" i="39" a="1"/>
  <c r="AJ46" i="39" s="1"/>
  <c r="AF46" i="39" a="1"/>
  <c r="AF46" i="39" s="1"/>
  <c r="AN53" i="39" a="1"/>
  <c r="AN53" i="39" s="1"/>
  <c r="AV53" i="39" a="1"/>
  <c r="AV53" i="39" s="1"/>
  <c r="AJ53" i="39" a="1"/>
  <c r="AJ53" i="39" s="1"/>
  <c r="AF53" i="39" a="1"/>
  <c r="AF53" i="39" s="1"/>
  <c r="AN120" i="39" a="1"/>
  <c r="AN120" i="39" s="1"/>
  <c r="AV120" i="39" a="1"/>
  <c r="AV120" i="39" s="1"/>
  <c r="AF120" i="39" a="1"/>
  <c r="AF120" i="39" s="1"/>
  <c r="AJ120" i="39" a="1"/>
  <c r="AJ120" i="39" s="1"/>
  <c r="AN102" i="39" a="1"/>
  <c r="AN102" i="39" s="1"/>
  <c r="AV102" i="39" a="1"/>
  <c r="AV102" i="39" s="1"/>
  <c r="AF102" i="39" a="1"/>
  <c r="AF102" i="39" s="1"/>
  <c r="AJ102" i="39" a="1"/>
  <c r="AJ102" i="39" s="1"/>
  <c r="AN14" i="39" a="1"/>
  <c r="AN14" i="39" s="1"/>
  <c r="AF14" i="39" a="1"/>
  <c r="AF14" i="39" s="1"/>
  <c r="AN110" i="39" a="1"/>
  <c r="AN110" i="39" s="1"/>
  <c r="AV110" i="39" a="1"/>
  <c r="AV110" i="39" s="1"/>
  <c r="AF110" i="39" a="1"/>
  <c r="AF110" i="39" s="1"/>
  <c r="AJ110" i="39" a="1"/>
  <c r="AJ110" i="39" s="1"/>
  <c r="AN74" i="39" a="1"/>
  <c r="AN74" i="39" s="1"/>
  <c r="AV74" i="39" a="1"/>
  <c r="AV74" i="39" s="1"/>
  <c r="AJ74" i="39" a="1"/>
  <c r="AJ74" i="39" s="1"/>
  <c r="AF74" i="39" a="1"/>
  <c r="AF74" i="39" s="1"/>
  <c r="AN78" i="39" a="1"/>
  <c r="AN78" i="39" s="1"/>
  <c r="AV78" i="39" a="1"/>
  <c r="AV78" i="39" s="1"/>
  <c r="AF78" i="39" a="1"/>
  <c r="AF78" i="39" s="1"/>
  <c r="AJ78" i="39" a="1"/>
  <c r="AJ78" i="39" s="1"/>
  <c r="AN31" i="39" a="1"/>
  <c r="AN31" i="39" s="1"/>
  <c r="AJ31" i="39" a="1"/>
  <c r="AJ31" i="39" s="1"/>
  <c r="AF31" i="39" a="1"/>
  <c r="AF31" i="39" s="1"/>
  <c r="AV92" i="39" a="1"/>
  <c r="AV92" i="39" s="1"/>
  <c r="AN92" i="39" a="1"/>
  <c r="AN92" i="39" s="1"/>
  <c r="AJ92" i="39" a="1"/>
  <c r="AJ92" i="39" s="1"/>
  <c r="AF92" i="39" a="1"/>
  <c r="AF92" i="39" s="1"/>
  <c r="AJ76" i="39" a="1"/>
  <c r="AJ76" i="39" s="1"/>
  <c r="AV76" i="39" a="1"/>
  <c r="AV76" i="39" s="1"/>
  <c r="AN76" i="39" a="1"/>
  <c r="AN76" i="39" s="1"/>
  <c r="AF76" i="39" a="1"/>
  <c r="AF76" i="39" s="1"/>
  <c r="AV126" i="39" a="1"/>
  <c r="AV126" i="39" s="1"/>
  <c r="AN126" i="39" a="1"/>
  <c r="AN126" i="39" s="1"/>
  <c r="AF126" i="39" a="1"/>
  <c r="AF126" i="39" s="1"/>
  <c r="AJ126" i="39" a="1"/>
  <c r="AJ126" i="39" s="1"/>
  <c r="AN87" i="39" a="1"/>
  <c r="AN87" i="39" s="1"/>
  <c r="AV87" i="39" a="1"/>
  <c r="AV87" i="39" s="1"/>
  <c r="AJ87" i="39" a="1"/>
  <c r="AJ87" i="39" s="1"/>
  <c r="AF87" i="39" a="1"/>
  <c r="AF87" i="39" s="1"/>
  <c r="AN106" i="39" a="1"/>
  <c r="AN106" i="39" s="1"/>
  <c r="AV106" i="39" a="1"/>
  <c r="AV106" i="39" s="1"/>
  <c r="AJ106" i="39" a="1"/>
  <c r="AJ106" i="39" s="1"/>
  <c r="AF106" i="39" a="1"/>
  <c r="AF106" i="39" s="1"/>
  <c r="AN56" i="39" a="1"/>
  <c r="AN56" i="39" s="1"/>
  <c r="AV56" i="39" a="1"/>
  <c r="AV56" i="39" s="1"/>
  <c r="AJ56" i="39" a="1"/>
  <c r="AJ56" i="39" s="1"/>
  <c r="AF56" i="39" a="1"/>
  <c r="AF56" i="39" s="1"/>
  <c r="AN94" i="39" a="1"/>
  <c r="AN94" i="39" s="1"/>
  <c r="AV94" i="39" a="1"/>
  <c r="AV94" i="39" s="1"/>
  <c r="AF94" i="39" a="1"/>
  <c r="AF94" i="39" s="1"/>
  <c r="AJ94" i="39" a="1"/>
  <c r="AJ94" i="39" s="1"/>
  <c r="AN101" i="39" a="1"/>
  <c r="AN101" i="39" s="1"/>
  <c r="AV101" i="39" a="1"/>
  <c r="AV101" i="39" s="1"/>
  <c r="AF101" i="39" a="1"/>
  <c r="AF101" i="39" s="1"/>
  <c r="AJ101" i="39" a="1"/>
  <c r="AJ101" i="39" s="1"/>
  <c r="AJ65" i="39" a="1"/>
  <c r="AJ65" i="39" s="1"/>
  <c r="AV65" i="39" a="1"/>
  <c r="AV65" i="39" s="1"/>
  <c r="AN65" i="39" a="1"/>
  <c r="AN65" i="39" s="1"/>
  <c r="AF65" i="39" a="1"/>
  <c r="AF65" i="39" s="1"/>
  <c r="AN24" i="39" a="1"/>
  <c r="AN24" i="39" s="1"/>
  <c r="AF24" i="39" a="1"/>
  <c r="AF24" i="39" s="1"/>
  <c r="AJ24" i="39" a="1"/>
  <c r="AJ24" i="39" s="1"/>
  <c r="AV75" i="39" a="1"/>
  <c r="AV75" i="39" s="1"/>
  <c r="AN75" i="39" a="1"/>
  <c r="AN75" i="39" s="1"/>
  <c r="AJ75" i="39" a="1"/>
  <c r="AJ75" i="39" s="1"/>
  <c r="AF75" i="39" a="1"/>
  <c r="AF75" i="39" s="1"/>
  <c r="AN98" i="39" a="1"/>
  <c r="AN98" i="39" s="1"/>
  <c r="AV98" i="39" a="1"/>
  <c r="AV98" i="39" s="1"/>
  <c r="AJ98" i="39" a="1"/>
  <c r="AJ98" i="39" s="1"/>
  <c r="AF98" i="39" a="1"/>
  <c r="AF98" i="39" s="1"/>
  <c r="AN29" i="39" a="1"/>
  <c r="AN29" i="39" s="1"/>
  <c r="AJ29" i="39" a="1"/>
  <c r="AJ29" i="39" s="1"/>
  <c r="AF29" i="39" a="1"/>
  <c r="AF29" i="39" s="1"/>
  <c r="AN13" i="39" a="1"/>
  <c r="AN13" i="39" s="1"/>
  <c r="AF13" i="39" a="1"/>
  <c r="AF13" i="39" s="1"/>
  <c r="AN118" i="39" a="1"/>
  <c r="AN118" i="39" s="1"/>
  <c r="AV118" i="39" a="1"/>
  <c r="AV118" i="39" s="1"/>
  <c r="AF118" i="39" a="1"/>
  <c r="AF118" i="39" s="1"/>
  <c r="AJ118" i="39" a="1"/>
  <c r="AJ118" i="39" s="1"/>
  <c r="AJ57" i="39" a="1"/>
  <c r="AJ57" i="39" s="1"/>
  <c r="AV57" i="39" a="1"/>
  <c r="AV57" i="39" s="1"/>
  <c r="AN57" i="39" a="1"/>
  <c r="AN57" i="39" s="1"/>
  <c r="AF57" i="39" a="1"/>
  <c r="AF57" i="39" s="1"/>
  <c r="AV97" i="39" a="1"/>
  <c r="AV97" i="39" s="1"/>
  <c r="AN97" i="39" a="1"/>
  <c r="AN97" i="39" s="1"/>
  <c r="AJ97" i="39" a="1"/>
  <c r="AJ97" i="39" s="1"/>
  <c r="AF97" i="39" a="1"/>
  <c r="AF97" i="39" s="1"/>
  <c r="AN80" i="39" a="1"/>
  <c r="AN80" i="39" s="1"/>
  <c r="AV80" i="39" a="1"/>
  <c r="AV80" i="39" s="1"/>
  <c r="AF80" i="39" a="1"/>
  <c r="AF80" i="39" s="1"/>
  <c r="AJ80" i="39" a="1"/>
  <c r="AJ80" i="39" s="1"/>
  <c r="AN79" i="39" a="1"/>
  <c r="AN79" i="39" s="1"/>
  <c r="AV79" i="39" a="1"/>
  <c r="AV79" i="39" s="1"/>
  <c r="AJ79" i="39" a="1"/>
  <c r="AJ79" i="39" s="1"/>
  <c r="AF79" i="39" a="1"/>
  <c r="AF79" i="39" s="1"/>
  <c r="AN36" i="39" a="1"/>
  <c r="AN36" i="39" s="1"/>
  <c r="AJ36" i="39" a="1"/>
  <c r="AJ36" i="39" s="1"/>
  <c r="AF36" i="39" a="1"/>
  <c r="AF36" i="39" s="1"/>
  <c r="AN88" i="39" a="1"/>
  <c r="AN88" i="39" s="1"/>
  <c r="AV88" i="39" a="1"/>
  <c r="AV88" i="39" s="1"/>
  <c r="AF88" i="39" a="1"/>
  <c r="AF88" i="39" s="1"/>
  <c r="AJ88" i="39" a="1"/>
  <c r="AJ88" i="39" s="1"/>
  <c r="AV100" i="39" a="1"/>
  <c r="AV100" i="39" s="1"/>
  <c r="AN100" i="39" a="1"/>
  <c r="AN100" i="39" s="1"/>
  <c r="AJ100" i="39" a="1"/>
  <c r="AJ100" i="39" s="1"/>
  <c r="AF100" i="39" a="1"/>
  <c r="AF100" i="39" s="1"/>
  <c r="AD129" i="39" a="1"/>
  <c r="AD129" i="39" s="1"/>
  <c r="AU85" i="39" a="1"/>
  <c r="AU85" i="39" s="1"/>
  <c r="AK129" i="39" a="1"/>
  <c r="AK129" i="39" s="1"/>
  <c r="BA129" i="39" s="1"/>
  <c r="AM96" i="39" a="1"/>
  <c r="AM96" i="39" s="1"/>
  <c r="AI96" i="39" a="1"/>
  <c r="AI96" i="39" s="1"/>
  <c r="AM112" i="39" a="1"/>
  <c r="AM112" i="39" s="1"/>
  <c r="AR127" i="39" a="1"/>
  <c r="AR127" i="39" s="1"/>
  <c r="AH129" i="39" a="1"/>
  <c r="AH129" i="39" s="1"/>
  <c r="AS96" i="39" a="1"/>
  <c r="AS96" i="39" s="1"/>
  <c r="AD96" i="39" a="1"/>
  <c r="AD96" i="39" s="1"/>
  <c r="AU127" i="39" a="1"/>
  <c r="AU127" i="39" s="1"/>
  <c r="Y129" i="39" a="1"/>
  <c r="Y129" i="39" s="1"/>
  <c r="AL122" i="39" a="1"/>
  <c r="AL122" i="39" s="1"/>
  <c r="AU122" i="39" a="1"/>
  <c r="AU122" i="39" s="1"/>
  <c r="AH122" i="39" a="1"/>
  <c r="AH122" i="39" s="1"/>
  <c r="AM122" i="39" a="1"/>
  <c r="AM122" i="39" s="1"/>
  <c r="AD85" i="39" a="1"/>
  <c r="AD85" i="39" s="1"/>
  <c r="Y112" i="39" a="1"/>
  <c r="Y112" i="39" s="1"/>
  <c r="AH127" i="39" a="1"/>
  <c r="AH127" i="39" s="1"/>
  <c r="AE129" i="39" a="1"/>
  <c r="AE129" i="39" s="1"/>
  <c r="BB129" i="39" a="1"/>
  <c r="BB129" i="39" s="1"/>
  <c r="AT129" i="39" a="1"/>
  <c r="AT129" i="39" s="1"/>
  <c r="AE67" i="39" a="1"/>
  <c r="AE67" i="39" s="1"/>
  <c r="AS85" i="39" a="1"/>
  <c r="AS85" i="39" s="1"/>
  <c r="AC127" i="39" a="1"/>
  <c r="AC127" i="39" s="1"/>
  <c r="AR129" i="39" a="1"/>
  <c r="AR129" i="39" s="1"/>
  <c r="AI129" i="39" a="1"/>
  <c r="AI129" i="39" s="1"/>
  <c r="AC34" i="39" a="1"/>
  <c r="AC34" i="39" s="1"/>
  <c r="AT85" i="39" a="1"/>
  <c r="AT85" i="39" s="1"/>
  <c r="AL85" i="39" a="1"/>
  <c r="AL85" i="39" s="1"/>
  <c r="AK85" i="39" a="1"/>
  <c r="AK85" i="39" s="1"/>
  <c r="BA85" i="39" s="1"/>
  <c r="AG112" i="39" a="1"/>
  <c r="AG112" i="39" s="1"/>
  <c r="Y127" i="39" a="1"/>
  <c r="Y127" i="39" s="1"/>
  <c r="AG127" i="39" a="1"/>
  <c r="AG127" i="39" s="1"/>
  <c r="AG85" i="39" a="1"/>
  <c r="AG85" i="39" s="1"/>
  <c r="AH96" i="39" a="1"/>
  <c r="AH96" i="39" s="1"/>
  <c r="AG96" i="39" a="1"/>
  <c r="AG96" i="39" s="1"/>
  <c r="AD127" i="39" a="1"/>
  <c r="AD127" i="39" s="1"/>
  <c r="AC129" i="39" a="1"/>
  <c r="AC129" i="39" s="1"/>
  <c r="AM129" i="39" a="1"/>
  <c r="AM129" i="39" s="1"/>
  <c r="AP34" i="39" a="1"/>
  <c r="AP34" i="39" s="1"/>
  <c r="AH34" i="39" a="1"/>
  <c r="AH34" i="39" s="1"/>
  <c r="AP96" i="39" a="1"/>
  <c r="AP96" i="39" s="1"/>
  <c r="AR96" i="39" a="1"/>
  <c r="AR96" i="39" s="1"/>
  <c r="AT96" i="39" a="1"/>
  <c r="AT96" i="39" s="1"/>
  <c r="AL96" i="39" a="1"/>
  <c r="AL96" i="39" s="1"/>
  <c r="AI69" i="39" a="1"/>
  <c r="AI69" i="39" s="1"/>
  <c r="AH69" i="39" a="1"/>
  <c r="AH69" i="39" s="1"/>
  <c r="AE69" i="39" a="1"/>
  <c r="AE69" i="39" s="1"/>
  <c r="AU69" i="39" a="1"/>
  <c r="AU69" i="39" s="1"/>
  <c r="BB44" i="39" a="1"/>
  <c r="BB44" i="39" s="1"/>
  <c r="AC44" i="39" a="1"/>
  <c r="AC44" i="39" s="1"/>
  <c r="AP44" i="39" a="1"/>
  <c r="AP44" i="39" s="1"/>
  <c r="AH44" i="39" a="1"/>
  <c r="AH44" i="39" s="1"/>
  <c r="Y96" i="39" a="1"/>
  <c r="Y96" i="39" s="1"/>
  <c r="AE96" i="39" a="1"/>
  <c r="AE96" i="39" s="1"/>
  <c r="BB96" i="39" a="1"/>
  <c r="BB96" i="39" s="1"/>
  <c r="AC96" i="39" a="1"/>
  <c r="AC96" i="39" s="1"/>
  <c r="AP69" i="39" a="1"/>
  <c r="AP69" i="39" s="1"/>
  <c r="Y69" i="39" a="1"/>
  <c r="Y69" i="39" s="1"/>
  <c r="AK69" i="39" a="1"/>
  <c r="AK69" i="39" s="1"/>
  <c r="BA69" i="39" s="1"/>
  <c r="AL44" i="39" a="1"/>
  <c r="AL44" i="39" s="1"/>
  <c r="AK44" i="39" a="1"/>
  <c r="AK44" i="39" s="1"/>
  <c r="BA44" i="39" s="1"/>
  <c r="AT103" i="39" a="1"/>
  <c r="AT103" i="39" s="1"/>
  <c r="AH66" i="39" a="1"/>
  <c r="AH66" i="39" s="1"/>
  <c r="AT86" i="39" a="1"/>
  <c r="AT86" i="39" s="1"/>
  <c r="AG121" i="39" a="1"/>
  <c r="AG121" i="39" s="1"/>
  <c r="AE103" i="39" a="1"/>
  <c r="AE103" i="39" s="1"/>
  <c r="AP66" i="39" a="1"/>
  <c r="AP66" i="39" s="1"/>
  <c r="AI86" i="39" a="1"/>
  <c r="AI86" i="39" s="1"/>
  <c r="AR121" i="39" a="1"/>
  <c r="AR121" i="39" s="1"/>
  <c r="AH112" i="39" a="1"/>
  <c r="AH112" i="39" s="1"/>
  <c r="AS121" i="39" a="1"/>
  <c r="AS121" i="39" s="1"/>
  <c r="AO112" i="39" a="1"/>
  <c r="AO112" i="39" s="1"/>
  <c r="AT64" i="39" a="1"/>
  <c r="AT64" i="39" s="1"/>
  <c r="AL52" i="39" a="1"/>
  <c r="AL52" i="39" s="1"/>
  <c r="AL83" i="39" a="1"/>
  <c r="AL83" i="39" s="1"/>
  <c r="AM23" i="39" a="1"/>
  <c r="AM23" i="39" s="1"/>
  <c r="AC117" i="39" a="1"/>
  <c r="AC117" i="39" s="1"/>
  <c r="BB117" i="39" a="1"/>
  <c r="BB117" i="39" s="1"/>
  <c r="AL117" i="39" a="1"/>
  <c r="AL117" i="39" s="1"/>
  <c r="AG59" i="39" a="1"/>
  <c r="AG59" i="39" s="1"/>
  <c r="AE64" i="39" a="1"/>
  <c r="AE64" i="39" s="1"/>
  <c r="AK52" i="39" a="1"/>
  <c r="AK52" i="39" s="1"/>
  <c r="BA52" i="39" s="1"/>
  <c r="AG52" i="39" a="1"/>
  <c r="AG52" i="39" s="1"/>
  <c r="AI83" i="39" a="1"/>
  <c r="AI83" i="39" s="1"/>
  <c r="AC23" i="39" a="1"/>
  <c r="AC23" i="39" s="1"/>
  <c r="AL59" i="39" a="1"/>
  <c r="AL59" i="39" s="1"/>
  <c r="AK59" i="39" a="1"/>
  <c r="AK59" i="39" s="1"/>
  <c r="BA59" i="39" s="1"/>
  <c r="AG67" i="39" a="1"/>
  <c r="AG67" i="39" s="1"/>
  <c r="AK120" i="39" a="1"/>
  <c r="AK120" i="39" s="1"/>
  <c r="BA120" i="39" s="1"/>
  <c r="AL14" i="39" a="1"/>
  <c r="AL14" i="39" s="1"/>
  <c r="Y74" i="39" a="1"/>
  <c r="Y74" i="39" s="1"/>
  <c r="AL66" i="39" a="1"/>
  <c r="AL66" i="39" s="1"/>
  <c r="AT67" i="39" a="1"/>
  <c r="AT67" i="39" s="1"/>
  <c r="AK67" i="39" a="1"/>
  <c r="AK67" i="39" s="1"/>
  <c r="BA67" i="39" s="1"/>
  <c r="AL86" i="39" a="1"/>
  <c r="AL86" i="39" s="1"/>
  <c r="AT121" i="39" a="1"/>
  <c r="AT121" i="39" s="1"/>
  <c r="BB112" i="39" a="1"/>
  <c r="BB112" i="39" s="1"/>
  <c r="AI112" i="39" a="1"/>
  <c r="AI112" i="39" s="1"/>
  <c r="AD35" i="39" a="1"/>
  <c r="AD35" i="39" s="1"/>
  <c r="AP47" i="39" a="1"/>
  <c r="AP47" i="39" s="1"/>
  <c r="AD68" i="39" a="1"/>
  <c r="AD68" i="39" s="1"/>
  <c r="AH42" i="39" a="1"/>
  <c r="AH42" i="39" s="1"/>
  <c r="AP107" i="39" a="1"/>
  <c r="AP107" i="39" s="1"/>
  <c r="AT43" i="39" a="1"/>
  <c r="AT43" i="39" s="1"/>
  <c r="BB51" i="39" a="1"/>
  <c r="BB51" i="39" s="1"/>
  <c r="AH32" i="39" a="1"/>
  <c r="AH32" i="39" s="1"/>
  <c r="AD20" i="39" a="1"/>
  <c r="AD20" i="39" s="1"/>
  <c r="AK64" i="39" a="1"/>
  <c r="AK64" i="39" s="1"/>
  <c r="BA64" i="39" s="1"/>
  <c r="AT52" i="39" a="1"/>
  <c r="AT52" i="39" s="1"/>
  <c r="AD83" i="39" a="1"/>
  <c r="AD83" i="39" s="1"/>
  <c r="AD59" i="39" a="1"/>
  <c r="AD59" i="39" s="1"/>
  <c r="AM81" i="39" a="1"/>
  <c r="AM81" i="39" s="1"/>
  <c r="AK23" i="39" a="1"/>
  <c r="AK23" i="39" s="1"/>
  <c r="BA23" i="39" s="1"/>
  <c r="AE21" i="39" a="1"/>
  <c r="AE21" i="39" s="1"/>
  <c r="AK77" i="39" a="1"/>
  <c r="AK77" i="39" s="1"/>
  <c r="BA77" i="39" s="1"/>
  <c r="AC103" i="39" a="1"/>
  <c r="AC103" i="39" s="1"/>
  <c r="AT66" i="39" a="1"/>
  <c r="AT66" i="39" s="1"/>
  <c r="BB66" i="39" a="1"/>
  <c r="BB66" i="39" s="1"/>
  <c r="Y102" i="39" a="1"/>
  <c r="Y102" i="39" s="1"/>
  <c r="AI78" i="39" a="1"/>
  <c r="AI78" i="39" s="1"/>
  <c r="AH86" i="39" a="1"/>
  <c r="AH86" i="39" s="1"/>
  <c r="BB103" i="39" a="1"/>
  <c r="BB103" i="39" s="1"/>
  <c r="AU103" i="39" a="1"/>
  <c r="AU103" i="39" s="1"/>
  <c r="AR66" i="39" a="1"/>
  <c r="AR66" i="39" s="1"/>
  <c r="AS67" i="39" a="1"/>
  <c r="AS67" i="39" s="1"/>
  <c r="Y86" i="39" a="1"/>
  <c r="Y86" i="39" s="1"/>
  <c r="AL121" i="39" a="1"/>
  <c r="AL121" i="39" s="1"/>
  <c r="AE112" i="39" a="1"/>
  <c r="AE112" i="39" s="1"/>
  <c r="AC84" i="39" a="1"/>
  <c r="AC84" i="39" s="1"/>
  <c r="AH50" i="39" a="1"/>
  <c r="AH50" i="39" s="1"/>
  <c r="AS49" i="39" a="1"/>
  <c r="AS49" i="39" s="1"/>
  <c r="AL72" i="39" a="1"/>
  <c r="AL72" i="39" s="1"/>
  <c r="Y71" i="39" a="1"/>
  <c r="Y71" i="39" s="1"/>
  <c r="AH25" i="39" a="1"/>
  <c r="AH25" i="39" s="1"/>
  <c r="AE66" i="39" a="1"/>
  <c r="AE66" i="39" s="1"/>
  <c r="AU67" i="39" a="1"/>
  <c r="AU67" i="39" s="1"/>
  <c r="AC121" i="39" a="1"/>
  <c r="AC121" i="39" s="1"/>
  <c r="AD112" i="39" a="1"/>
  <c r="AD112" i="39" s="1"/>
  <c r="AM85" i="39" a="1"/>
  <c r="AM85" i="39" s="1"/>
  <c r="AS127" i="39" a="1"/>
  <c r="AS127" i="39" s="1"/>
  <c r="AO129" i="39" a="1"/>
  <c r="AO129" i="39" s="1"/>
  <c r="AD86" i="39" a="1"/>
  <c r="AD86" i="39" s="1"/>
  <c r="AD103" i="39" a="1"/>
  <c r="AD103" i="39" s="1"/>
  <c r="AO103" i="39" a="1"/>
  <c r="AO103" i="39" s="1"/>
  <c r="AP86" i="39" a="1"/>
  <c r="AP86" i="39" s="1"/>
  <c r="AD110" i="39" a="1"/>
  <c r="AD110" i="39" s="1"/>
  <c r="AK92" i="39" a="1"/>
  <c r="AK92" i="39" s="1"/>
  <c r="BA92" i="39" s="1"/>
  <c r="AM126" i="39" a="1"/>
  <c r="AM126" i="39" s="1"/>
  <c r="AO87" i="39" a="1"/>
  <c r="AO87" i="39" s="1"/>
  <c r="AP106" i="39" a="1"/>
  <c r="AP106" i="39" s="1"/>
  <c r="AL56" i="39" a="1"/>
  <c r="AL56" i="39" s="1"/>
  <c r="AC94" i="39" a="1"/>
  <c r="AC94" i="39" s="1"/>
  <c r="AU65" i="39" a="1"/>
  <c r="AU65" i="39" s="1"/>
  <c r="BB24" i="39" a="1"/>
  <c r="BB24" i="39" s="1"/>
  <c r="AG75" i="39" a="1"/>
  <c r="AG75" i="39" s="1"/>
  <c r="BB98" i="39" a="1"/>
  <c r="BB98" i="39" s="1"/>
  <c r="Y29" i="39" a="1"/>
  <c r="Y29" i="39" s="1"/>
  <c r="AM13" i="39" a="1"/>
  <c r="AM13" i="39" s="1"/>
  <c r="AI13" i="39" a="1"/>
  <c r="AI13" i="39" s="1"/>
  <c r="AE13" i="39" a="1"/>
  <c r="AE13" i="39" s="1"/>
  <c r="AK80" i="39" a="1"/>
  <c r="AK80" i="39" s="1"/>
  <c r="BA80" i="39" s="1"/>
  <c r="BB79" i="39" a="1"/>
  <c r="BB79" i="39" s="1"/>
  <c r="AD98" i="39" a="1"/>
  <c r="AD98" i="39" s="1"/>
  <c r="AS87" i="39" a="1"/>
  <c r="AS87" i="39" s="1"/>
  <c r="AO56" i="39" a="1"/>
  <c r="AO56" i="39" s="1"/>
  <c r="AT92" i="39" a="1"/>
  <c r="AT92" i="39" s="1"/>
  <c r="AL126" i="39" a="1"/>
  <c r="AL126" i="39" s="1"/>
  <c r="AM20" i="39" a="1"/>
  <c r="AM20" i="39" s="1"/>
  <c r="AR103" i="39" a="1"/>
  <c r="AR103" i="39" s="1"/>
  <c r="AG103" i="39" a="1"/>
  <c r="AG103" i="39" s="1"/>
  <c r="AS103" i="39" a="1"/>
  <c r="AS103" i="39" s="1"/>
  <c r="AU66" i="39" a="1"/>
  <c r="AU66" i="39" s="1"/>
  <c r="AO66" i="39" a="1"/>
  <c r="AO66" i="39" s="1"/>
  <c r="AI66" i="39" a="1"/>
  <c r="AI66" i="39" s="1"/>
  <c r="AD67" i="39" a="1"/>
  <c r="AD67" i="39" s="1"/>
  <c r="AL67" i="39" a="1"/>
  <c r="AL67" i="39" s="1"/>
  <c r="AP67" i="39" a="1"/>
  <c r="AP67" i="39" s="1"/>
  <c r="AE86" i="39" a="1"/>
  <c r="AE86" i="39" s="1"/>
  <c r="AS86" i="39" a="1"/>
  <c r="AS86" i="39" s="1"/>
  <c r="BB86" i="39" a="1"/>
  <c r="BB86" i="39" s="1"/>
  <c r="AR85" i="39" a="1"/>
  <c r="AR85" i="39" s="1"/>
  <c r="AI85" i="39" a="1"/>
  <c r="AI85" i="39" s="1"/>
  <c r="AC85" i="39" a="1"/>
  <c r="AC85" i="39" s="1"/>
  <c r="AO85" i="39" a="1"/>
  <c r="AO85" i="39" s="1"/>
  <c r="AU121" i="39" a="1"/>
  <c r="AU121" i="39" s="1"/>
  <c r="AO121" i="39" a="1"/>
  <c r="AO121" i="39" s="1"/>
  <c r="AD121" i="39" a="1"/>
  <c r="AD121" i="39" s="1"/>
  <c r="AL112" i="39" a="1"/>
  <c r="AL112" i="39" s="1"/>
  <c r="AC112" i="39" a="1"/>
  <c r="AC112" i="39" s="1"/>
  <c r="AK112" i="39" a="1"/>
  <c r="AK112" i="39" s="1"/>
  <c r="BA112" i="39" s="1"/>
  <c r="AP112" i="39" a="1"/>
  <c r="AP112" i="39" s="1"/>
  <c r="AT127" i="39" a="1"/>
  <c r="AT127" i="39" s="1"/>
  <c r="AM127" i="39" a="1"/>
  <c r="AM127" i="39" s="1"/>
  <c r="AL127" i="39" a="1"/>
  <c r="AL127" i="39" s="1"/>
  <c r="BB127" i="39" a="1"/>
  <c r="BB127" i="39" s="1"/>
  <c r="AG129" i="39" a="1"/>
  <c r="AG129" i="39" s="1"/>
  <c r="AP129" i="39" a="1"/>
  <c r="AP129" i="39" s="1"/>
  <c r="AS129" i="39" a="1"/>
  <c r="AS129" i="39" s="1"/>
  <c r="AK103" i="39" a="1"/>
  <c r="AK103" i="39" s="1"/>
  <c r="BA103" i="39" s="1"/>
  <c r="AP103" i="39" a="1"/>
  <c r="AP103" i="39" s="1"/>
  <c r="Y103" i="39" a="1"/>
  <c r="Y103" i="39" s="1"/>
  <c r="AK66" i="39" a="1"/>
  <c r="AK66" i="39" s="1"/>
  <c r="BA66" i="39" s="1"/>
  <c r="Y66" i="39" a="1"/>
  <c r="Y66" i="39" s="1"/>
  <c r="AC66" i="39" a="1"/>
  <c r="AC66" i="39" s="1"/>
  <c r="AM67" i="39" a="1"/>
  <c r="AM67" i="39" s="1"/>
  <c r="AI67" i="39" a="1"/>
  <c r="AI67" i="39" s="1"/>
  <c r="AR67" i="39" a="1"/>
  <c r="AR67" i="39" s="1"/>
  <c r="AH67" i="39" a="1"/>
  <c r="AH67" i="39" s="1"/>
  <c r="AG86" i="39" a="1"/>
  <c r="AG86" i="39" s="1"/>
  <c r="AC86" i="39" a="1"/>
  <c r="AC86" i="39" s="1"/>
  <c r="AK86" i="39" a="1"/>
  <c r="AK86" i="39" s="1"/>
  <c r="BA86" i="39" s="1"/>
  <c r="AH85" i="39" a="1"/>
  <c r="AH85" i="39" s="1"/>
  <c r="BB85" i="39" a="1"/>
  <c r="BB85" i="39" s="1"/>
  <c r="Y85" i="39" a="1"/>
  <c r="Y85" i="39" s="1"/>
  <c r="BB121" i="39" a="1"/>
  <c r="BB121" i="39" s="1"/>
  <c r="AI121" i="39" a="1"/>
  <c r="AI121" i="39" s="1"/>
  <c r="AM121" i="39" a="1"/>
  <c r="AM121" i="39" s="1"/>
  <c r="AU112" i="39" a="1"/>
  <c r="AU112" i="39" s="1"/>
  <c r="AR112" i="39" a="1"/>
  <c r="AR112" i="39" s="1"/>
  <c r="AS112" i="39" a="1"/>
  <c r="AS112" i="39" s="1"/>
  <c r="AP127" i="39" a="1"/>
  <c r="AP127" i="39" s="1"/>
  <c r="AI127" i="39" a="1"/>
  <c r="AI127" i="39" s="1"/>
  <c r="AE127" i="39" a="1"/>
  <c r="AE127" i="39" s="1"/>
  <c r="AL51" i="39" a="1"/>
  <c r="AL51" i="39" s="1"/>
  <c r="AE32" i="39" a="1"/>
  <c r="AE32" i="39" s="1"/>
  <c r="AO20" i="39" a="1"/>
  <c r="AO20" i="39" s="1"/>
  <c r="AK43" i="39" a="1"/>
  <c r="AK43" i="39" s="1"/>
  <c r="BA43" i="39" s="1"/>
  <c r="AI43" i="39" a="1"/>
  <c r="AI43" i="39" s="1"/>
  <c r="Y68" i="39" a="1"/>
  <c r="Y68" i="39" s="1"/>
  <c r="AL34" i="39" a="1"/>
  <c r="AL34" i="39" s="1"/>
  <c r="AT34" i="39" a="1"/>
  <c r="AT34" i="39" s="1"/>
  <c r="AE34" i="39" a="1"/>
  <c r="AE34" i="39" s="1"/>
  <c r="AG35" i="39" a="1"/>
  <c r="AG35" i="39" s="1"/>
  <c r="AM34" i="39" a="1"/>
  <c r="AM34" i="39" s="1"/>
  <c r="AD34" i="39" a="1"/>
  <c r="AD34" i="39" s="1"/>
  <c r="AG34" i="39" a="1"/>
  <c r="AG34" i="39" s="1"/>
  <c r="AT22" i="39" a="1"/>
  <c r="AT22" i="39" s="1"/>
  <c r="AG22" i="39" a="1"/>
  <c r="AG22" i="39" s="1"/>
  <c r="AK42" i="39" a="1"/>
  <c r="AK42" i="39" s="1"/>
  <c r="BA42" i="39" s="1"/>
  <c r="AR107" i="39" a="1"/>
  <c r="AR107" i="39" s="1"/>
  <c r="AR51" i="39" a="1"/>
  <c r="AR51" i="39" s="1"/>
  <c r="AL103" i="39" a="1"/>
  <c r="AL103" i="39" s="1"/>
  <c r="AI103" i="39" a="1"/>
  <c r="AI103" i="39" s="1"/>
  <c r="AM103" i="39" a="1"/>
  <c r="AM103" i="39" s="1"/>
  <c r="AD66" i="39" a="1"/>
  <c r="AD66" i="39" s="1"/>
  <c r="AS66" i="39" a="1"/>
  <c r="AS66" i="39" s="1"/>
  <c r="AM66" i="39" a="1"/>
  <c r="AM66" i="39" s="1"/>
  <c r="AM68" i="39" a="1"/>
  <c r="AM68" i="39" s="1"/>
  <c r="AO67" i="39" a="1"/>
  <c r="AO67" i="39" s="1"/>
  <c r="BB67" i="39" a="1"/>
  <c r="BB67" i="39" s="1"/>
  <c r="AC67" i="39" a="1"/>
  <c r="AC67" i="39" s="1"/>
  <c r="AM86" i="39" a="1"/>
  <c r="AM86" i="39" s="1"/>
  <c r="AU86" i="39" a="1"/>
  <c r="AU86" i="39" s="1"/>
  <c r="AR86" i="39" a="1"/>
  <c r="AR86" i="39" s="1"/>
  <c r="BB43" i="39" a="1"/>
  <c r="BB43" i="39" s="1"/>
  <c r="AE121" i="39" a="1"/>
  <c r="AE121" i="39" s="1"/>
  <c r="Y121" i="39" a="1"/>
  <c r="Y121" i="39" s="1"/>
  <c r="AP121" i="39" a="1"/>
  <c r="AP121" i="39" s="1"/>
  <c r="AK121" i="39" a="1"/>
  <c r="AK121" i="39" s="1"/>
  <c r="BA121" i="39" s="1"/>
  <c r="AL107" i="39" a="1"/>
  <c r="AL107" i="39" s="1"/>
  <c r="AH51" i="39" a="1"/>
  <c r="AH51" i="39" s="1"/>
  <c r="Y20" i="39" a="1"/>
  <c r="Y20" i="39" s="1"/>
  <c r="AM71" i="39" a="1"/>
  <c r="AM71" i="39" s="1"/>
  <c r="BB77" i="39" a="1"/>
  <c r="BB77" i="39" s="1"/>
  <c r="Y77" i="39" a="1"/>
  <c r="Y77" i="39" s="1"/>
  <c r="AM64" i="39" a="1"/>
  <c r="AM64" i="39" s="1"/>
  <c r="AC52" i="39" a="1"/>
  <c r="AC52" i="39" s="1"/>
  <c r="AU52" i="39" a="1"/>
  <c r="AU52" i="39" s="1"/>
  <c r="AR52" i="39" a="1"/>
  <c r="AR52" i="39" s="1"/>
  <c r="AE52" i="39" a="1"/>
  <c r="AE52" i="39" s="1"/>
  <c r="AG83" i="39" a="1"/>
  <c r="AG83" i="39" s="1"/>
  <c r="AH83" i="39" a="1"/>
  <c r="AH83" i="39" s="1"/>
  <c r="AR83" i="39" a="1"/>
  <c r="AR83" i="39" s="1"/>
  <c r="AP83" i="39" a="1"/>
  <c r="AP83" i="39" s="1"/>
  <c r="AG68" i="39" a="1"/>
  <c r="AG68" i="39" s="1"/>
  <c r="AS68" i="39" a="1"/>
  <c r="AS68" i="39" s="1"/>
  <c r="Y81" i="39" a="1"/>
  <c r="Y81" i="39" s="1"/>
  <c r="AO81" i="39" a="1"/>
  <c r="AO81" i="39" s="1"/>
  <c r="AH81" i="39" a="1"/>
  <c r="AH81" i="39" s="1"/>
  <c r="AS81" i="39" a="1"/>
  <c r="AS81" i="39" s="1"/>
  <c r="AG21" i="39" a="1"/>
  <c r="AG21" i="39" s="1"/>
  <c r="AL21" i="39" a="1"/>
  <c r="AL21" i="39" s="1"/>
  <c r="AI21" i="39" a="1"/>
  <c r="AI21" i="39" s="1"/>
  <c r="AP42" i="39" a="1"/>
  <c r="AP42" i="39" s="1"/>
  <c r="AP43" i="39" a="1"/>
  <c r="AP43" i="39" s="1"/>
  <c r="AM43" i="39" a="1"/>
  <c r="AM43" i="39" s="1"/>
  <c r="Y43" i="39" a="1"/>
  <c r="Y43" i="39" s="1"/>
  <c r="AG23" i="39" a="1"/>
  <c r="AG23" i="39" s="1"/>
  <c r="AT23" i="39" a="1"/>
  <c r="AT23" i="39" s="1"/>
  <c r="AD23" i="39" a="1"/>
  <c r="AD23" i="39" s="1"/>
  <c r="AI22" i="39" a="1"/>
  <c r="AI22" i="39" s="1"/>
  <c r="AH22" i="39" a="1"/>
  <c r="AH22" i="39" s="1"/>
  <c r="AO77" i="39" a="1"/>
  <c r="AO77" i="39" s="1"/>
  <c r="AG77" i="39" a="1"/>
  <c r="AG77" i="39" s="1"/>
  <c r="AT77" i="39" a="1"/>
  <c r="AT77" i="39" s="1"/>
  <c r="AI77" i="39" a="1"/>
  <c r="AI77" i="39" s="1"/>
  <c r="AT59" i="39" a="1"/>
  <c r="AT59" i="39" s="1"/>
  <c r="AE59" i="39" a="1"/>
  <c r="AE59" i="39" s="1"/>
  <c r="AI59" i="39" a="1"/>
  <c r="AI59" i="39" s="1"/>
  <c r="AM59" i="39" a="1"/>
  <c r="AM59" i="39" s="1"/>
  <c r="AI107" i="39" a="1"/>
  <c r="AI107" i="39" s="1"/>
  <c r="AT107" i="39" a="1"/>
  <c r="AT107" i="39" s="1"/>
  <c r="AU107" i="39" a="1"/>
  <c r="AU107" i="39" s="1"/>
  <c r="AG51" i="39" a="1"/>
  <c r="AG51" i="39" s="1"/>
  <c r="AC51" i="39" a="1"/>
  <c r="AC51" i="39" s="1"/>
  <c r="AT51" i="39" a="1"/>
  <c r="AT51" i="39" s="1"/>
  <c r="AD32" i="39" a="1"/>
  <c r="AD32" i="39" s="1"/>
  <c r="AM32" i="39" a="1"/>
  <c r="AM32" i="39" s="1"/>
  <c r="AL32" i="39" a="1"/>
  <c r="AL32" i="39" s="1"/>
  <c r="AP32" i="39" a="1"/>
  <c r="AP32" i="39" s="1"/>
  <c r="AI20" i="39" a="1"/>
  <c r="AI20" i="39" s="1"/>
  <c r="AG20" i="39" a="1"/>
  <c r="AG20" i="39" s="1"/>
  <c r="AL77" i="39" a="1"/>
  <c r="AL77" i="39" s="1"/>
  <c r="AP77" i="39" a="1"/>
  <c r="AP77" i="39" s="1"/>
  <c r="AI64" i="39" a="1"/>
  <c r="AI64" i="39" s="1"/>
  <c r="AL64" i="39" a="1"/>
  <c r="AL64" i="39" s="1"/>
  <c r="AG64" i="39" a="1"/>
  <c r="AG64" i="39" s="1"/>
  <c r="AH52" i="39" a="1"/>
  <c r="AH52" i="39" s="1"/>
  <c r="AD52" i="39" a="1"/>
  <c r="AD52" i="39" s="1"/>
  <c r="AS83" i="39" a="1"/>
  <c r="AS83" i="39" s="1"/>
  <c r="AT83" i="39" a="1"/>
  <c r="AT83" i="39" s="1"/>
  <c r="Y83" i="39" a="1"/>
  <c r="Y83" i="39" s="1"/>
  <c r="AM83" i="39" a="1"/>
  <c r="AM83" i="39" s="1"/>
  <c r="AK83" i="39" a="1"/>
  <c r="AK83" i="39" s="1"/>
  <c r="BA83" i="39" s="1"/>
  <c r="AC68" i="39" a="1"/>
  <c r="AC68" i="39" s="1"/>
  <c r="AO68" i="39" a="1"/>
  <c r="AO68" i="39" s="1"/>
  <c r="AI68" i="39" a="1"/>
  <c r="AI68" i="39" s="1"/>
  <c r="BB81" i="39" a="1"/>
  <c r="BB81" i="39" s="1"/>
  <c r="AD81" i="39" a="1"/>
  <c r="AD81" i="39" s="1"/>
  <c r="AC81" i="39" a="1"/>
  <c r="AC81" i="39" s="1"/>
  <c r="AR81" i="39" a="1"/>
  <c r="AR81" i="39" s="1"/>
  <c r="AK81" i="39" a="1"/>
  <c r="AK81" i="39" s="1"/>
  <c r="BA81" i="39" s="1"/>
  <c r="AT21" i="39" a="1"/>
  <c r="AT21" i="39" s="1"/>
  <c r="BB21" i="39" a="1"/>
  <c r="BB21" i="39" s="1"/>
  <c r="AH21" i="39" a="1"/>
  <c r="AH21" i="39" s="1"/>
  <c r="AL42" i="39" a="1"/>
  <c r="AL42" i="39" s="1"/>
  <c r="AM42" i="39" a="1"/>
  <c r="AM42" i="39" s="1"/>
  <c r="AG43" i="39" a="1"/>
  <c r="AG43" i="39" s="1"/>
  <c r="AL23" i="39" a="1"/>
  <c r="AL23" i="39" s="1"/>
  <c r="AH23" i="39" a="1"/>
  <c r="AH23" i="39" s="1"/>
  <c r="AO23" i="39" a="1"/>
  <c r="AO23" i="39" s="1"/>
  <c r="AE23" i="39" a="1"/>
  <c r="AE23" i="39" s="1"/>
  <c r="AO22" i="39" a="1"/>
  <c r="AO22" i="39" s="1"/>
  <c r="AE22" i="39" a="1"/>
  <c r="AE22" i="39" s="1"/>
  <c r="AD77" i="39" a="1"/>
  <c r="AD77" i="39" s="1"/>
  <c r="AS77" i="39" a="1"/>
  <c r="AS77" i="39" s="1"/>
  <c r="AU77" i="39" a="1"/>
  <c r="AU77" i="39" s="1"/>
  <c r="AH77" i="39" a="1"/>
  <c r="AH77" i="39" s="1"/>
  <c r="AP59" i="39" a="1"/>
  <c r="AP59" i="39" s="1"/>
  <c r="BB59" i="39" a="1"/>
  <c r="BB59" i="39" s="1"/>
  <c r="AS59" i="39" a="1"/>
  <c r="AS59" i="39" s="1"/>
  <c r="AR59" i="39" a="1"/>
  <c r="AR59" i="39" s="1"/>
  <c r="Y107" i="39" a="1"/>
  <c r="Y107" i="39" s="1"/>
  <c r="AE107" i="39" a="1"/>
  <c r="AE107" i="39" s="1"/>
  <c r="AS51" i="39" a="1"/>
  <c r="AS51" i="39" s="1"/>
  <c r="Y51" i="39" a="1"/>
  <c r="Y51" i="39" s="1"/>
  <c r="AD51" i="39" a="1"/>
  <c r="AD51" i="39" s="1"/>
  <c r="AT32" i="39" a="1"/>
  <c r="AT32" i="39" s="1"/>
  <c r="AC32" i="39" a="1"/>
  <c r="AC32" i="39" s="1"/>
  <c r="BB32" i="39" a="1"/>
  <c r="BB32" i="39" s="1"/>
  <c r="AI32" i="39" a="1"/>
  <c r="AI32" i="39" s="1"/>
  <c r="AH20" i="39" a="1"/>
  <c r="AH20" i="39" s="1"/>
  <c r="AK20" i="39" a="1"/>
  <c r="AK20" i="39" s="1"/>
  <c r="BA20" i="39" s="1"/>
  <c r="BB20" i="39" a="1"/>
  <c r="BB20" i="39" s="1"/>
  <c r="AE20" i="39" a="1"/>
  <c r="AE20" i="39" s="1"/>
  <c r="AL20" i="39" a="1"/>
  <c r="AL20" i="39" s="1"/>
  <c r="AC64" i="39" a="1"/>
  <c r="AC64" i="39" s="1"/>
  <c r="AD64" i="39" a="1"/>
  <c r="AD64" i="39" s="1"/>
  <c r="AU64" i="39" a="1"/>
  <c r="AU64" i="39" s="1"/>
  <c r="Y64" i="39" a="1"/>
  <c r="Y64" i="39" s="1"/>
  <c r="AS64" i="39" a="1"/>
  <c r="AS64" i="39" s="1"/>
  <c r="AS52" i="39" a="1"/>
  <c r="AS52" i="39" s="1"/>
  <c r="BB52" i="39" a="1"/>
  <c r="BB52" i="39" s="1"/>
  <c r="AO64" i="39" a="1"/>
  <c r="AO64" i="39" s="1"/>
  <c r="AP64" i="39" a="1"/>
  <c r="AP64" i="39" s="1"/>
  <c r="BB64" i="39" a="1"/>
  <c r="BB64" i="39" s="1"/>
  <c r="AM52" i="39" a="1"/>
  <c r="AM52" i="39" s="1"/>
  <c r="AO52" i="39" a="1"/>
  <c r="AO52" i="39" s="1"/>
  <c r="Y52" i="39" a="1"/>
  <c r="Y52" i="39" s="1"/>
  <c r="AO83" i="39" a="1"/>
  <c r="AO83" i="39" s="1"/>
  <c r="AE83" i="39" a="1"/>
  <c r="AE83" i="39" s="1"/>
  <c r="BB83" i="39" a="1"/>
  <c r="BB83" i="39" s="1"/>
  <c r="AP68" i="39" a="1"/>
  <c r="AP68" i="39" s="1"/>
  <c r="AE68" i="39" a="1"/>
  <c r="AE68" i="39" s="1"/>
  <c r="AI81" i="39" a="1"/>
  <c r="AI81" i="39" s="1"/>
  <c r="AP81" i="39" a="1"/>
  <c r="AP81" i="39" s="1"/>
  <c r="AG81" i="39" a="1"/>
  <c r="AG81" i="39" s="1"/>
  <c r="AD21" i="39" a="1"/>
  <c r="AD21" i="39" s="1"/>
  <c r="AO21" i="39" a="1"/>
  <c r="AO21" i="39" s="1"/>
  <c r="AM21" i="39" a="1"/>
  <c r="AM21" i="39" s="1"/>
  <c r="AD42" i="39" a="1"/>
  <c r="AD42" i="39" s="1"/>
  <c r="AI42" i="39" a="1"/>
  <c r="AI42" i="39" s="1"/>
  <c r="AO43" i="39" a="1"/>
  <c r="AO43" i="39" s="1"/>
  <c r="AE43" i="39" a="1"/>
  <c r="AE43" i="39" s="1"/>
  <c r="AI23" i="39" a="1"/>
  <c r="AI23" i="39" s="1"/>
  <c r="Y23" i="39" a="1"/>
  <c r="Y23" i="39" s="1"/>
  <c r="BB23" i="39" a="1"/>
  <c r="BB23" i="39" s="1"/>
  <c r="BB22" i="39" a="1"/>
  <c r="BB22" i="39" s="1"/>
  <c r="AK22" i="39" a="1"/>
  <c r="AK22" i="39" s="1"/>
  <c r="BA22" i="39" s="1"/>
  <c r="AM77" i="39" a="1"/>
  <c r="AM77" i="39" s="1"/>
  <c r="AR77" i="39" a="1"/>
  <c r="AR77" i="39" s="1"/>
  <c r="AE77" i="39" a="1"/>
  <c r="AE77" i="39" s="1"/>
  <c r="AC77" i="39" a="1"/>
  <c r="AC77" i="39" s="1"/>
  <c r="AO59" i="39" a="1"/>
  <c r="AO59" i="39" s="1"/>
  <c r="AH59" i="39" a="1"/>
  <c r="AH59" i="39" s="1"/>
  <c r="AU59" i="39" a="1"/>
  <c r="AU59" i="39" s="1"/>
  <c r="AD107" i="39" a="1"/>
  <c r="AD107" i="39" s="1"/>
  <c r="AG107" i="39" a="1"/>
  <c r="AG107" i="39" s="1"/>
  <c r="AM51" i="39" a="1"/>
  <c r="AM51" i="39" s="1"/>
  <c r="AI51" i="39" a="1"/>
  <c r="AI51" i="39" s="1"/>
  <c r="AU51" i="39" a="1"/>
  <c r="AU51" i="39" s="1"/>
  <c r="AK32" i="39" a="1"/>
  <c r="AK32" i="39" s="1"/>
  <c r="BA32" i="39" s="1"/>
  <c r="Y32" i="39" a="1"/>
  <c r="Y32" i="39" s="1"/>
  <c r="AO32" i="39" a="1"/>
  <c r="AO32" i="39" s="1"/>
  <c r="AC20" i="39" a="1"/>
  <c r="AC20" i="39" s="1"/>
  <c r="AT20" i="39" a="1"/>
  <c r="AT20" i="39" s="1"/>
  <c r="AO50" i="39" a="1"/>
  <c r="AO50" i="39" s="1"/>
  <c r="AU72" i="39" a="1"/>
  <c r="AU72" i="39" s="1"/>
  <c r="AI34" i="39" a="1"/>
  <c r="AI34" i="39" s="1"/>
  <c r="AK34" i="39" a="1"/>
  <c r="AK34" i="39" s="1"/>
  <c r="BA34" i="39" s="1"/>
  <c r="Y34" i="39" a="1"/>
  <c r="Y34" i="39" s="1"/>
  <c r="AT26" i="39" a="1"/>
  <c r="AT26" i="39" s="1"/>
  <c r="AO71" i="39" a="1"/>
  <c r="AO71" i="39" s="1"/>
  <c r="AM25" i="39" a="1"/>
  <c r="AM25" i="39" s="1"/>
  <c r="AM26" i="39" a="1"/>
  <c r="AM26" i="39" s="1"/>
  <c r="AS72" i="39" a="1"/>
  <c r="AS72" i="39" s="1"/>
  <c r="AR71" i="39" a="1"/>
  <c r="AR71" i="39" s="1"/>
  <c r="AE49" i="39" a="1"/>
  <c r="AE49" i="39" s="1"/>
  <c r="AI25" i="39" a="1"/>
  <c r="AI25" i="39" s="1"/>
  <c r="AC50" i="39" a="1"/>
  <c r="AC50" i="39" s="1"/>
  <c r="BB72" i="39" a="1"/>
  <c r="BB72" i="39" s="1"/>
  <c r="BB50" i="39" a="1"/>
  <c r="BB50" i="39" s="1"/>
  <c r="AG26" i="39" a="1"/>
  <c r="AG26" i="39" s="1"/>
  <c r="AK72" i="39" a="1"/>
  <c r="AK72" i="39" s="1"/>
  <c r="BA72" i="39" s="1"/>
  <c r="AH71" i="39" a="1"/>
  <c r="AH71" i="39" s="1"/>
  <c r="AM49" i="39" a="1"/>
  <c r="AM49" i="39" s="1"/>
  <c r="AC25" i="39" a="1"/>
  <c r="AC25" i="39" s="1"/>
  <c r="AS84" i="39" a="1"/>
  <c r="AS84" i="39" s="1"/>
  <c r="AP50" i="39" a="1"/>
  <c r="AP50" i="39" s="1"/>
  <c r="AK50" i="39" a="1"/>
  <c r="AK50" i="39" s="1"/>
  <c r="BA50" i="39" s="1"/>
  <c r="AC26" i="39" a="1"/>
  <c r="AC26" i="39" s="1"/>
  <c r="BB26" i="39" a="1"/>
  <c r="BB26" i="39" s="1"/>
  <c r="AE26" i="39" a="1"/>
  <c r="AE26" i="39" s="1"/>
  <c r="AD72" i="39" a="1"/>
  <c r="AD72" i="39" s="1"/>
  <c r="AC72" i="39" a="1"/>
  <c r="AC72" i="39" s="1"/>
  <c r="AH72" i="39" a="1"/>
  <c r="AH72" i="39" s="1"/>
  <c r="AR72" i="39" a="1"/>
  <c r="AR72" i="39" s="1"/>
  <c r="AT71" i="39" a="1"/>
  <c r="AT71" i="39" s="1"/>
  <c r="AP71" i="39" a="1"/>
  <c r="AP71" i="39" s="1"/>
  <c r="AU71" i="39" a="1"/>
  <c r="AU71" i="39" s="1"/>
  <c r="AG71" i="39" a="1"/>
  <c r="AG71" i="39" s="1"/>
  <c r="AP84" i="39" a="1"/>
  <c r="AP84" i="39" s="1"/>
  <c r="AH49" i="39" a="1"/>
  <c r="AH49" i="39" s="1"/>
  <c r="AD49" i="39" a="1"/>
  <c r="AD49" i="39" s="1"/>
  <c r="BB25" i="39" a="1"/>
  <c r="BB25" i="39" s="1"/>
  <c r="Y25" i="39" a="1"/>
  <c r="Y25" i="39" s="1"/>
  <c r="AE25" i="39" a="1"/>
  <c r="AE25" i="39" s="1"/>
  <c r="AK25" i="39" a="1"/>
  <c r="AK25" i="39" s="1"/>
  <c r="BA25" i="39" s="1"/>
  <c r="AU50" i="39" a="1"/>
  <c r="AU50" i="39" s="1"/>
  <c r="AL50" i="39" a="1"/>
  <c r="AL50" i="39" s="1"/>
  <c r="AD26" i="39" a="1"/>
  <c r="AD26" i="39" s="1"/>
  <c r="AK26" i="39" a="1"/>
  <c r="AK26" i="39" s="1"/>
  <c r="BA26" i="39" s="1"/>
  <c r="AH26" i="39" a="1"/>
  <c r="AH26" i="39" s="1"/>
  <c r="AI72" i="39" a="1"/>
  <c r="AI72" i="39" s="1"/>
  <c r="AE72" i="39" a="1"/>
  <c r="AE72" i="39" s="1"/>
  <c r="AT72" i="39" a="1"/>
  <c r="AT72" i="39" s="1"/>
  <c r="AG72" i="39" a="1"/>
  <c r="AG72" i="39" s="1"/>
  <c r="AE71" i="39" a="1"/>
  <c r="AE71" i="39" s="1"/>
  <c r="AS71" i="39" a="1"/>
  <c r="AS71" i="39" s="1"/>
  <c r="BB71" i="39" a="1"/>
  <c r="BB71" i="39" s="1"/>
  <c r="AK71" i="39" a="1"/>
  <c r="AK71" i="39" s="1"/>
  <c r="BA71" i="39" s="1"/>
  <c r="AL71" i="39" a="1"/>
  <c r="AL71" i="39" s="1"/>
  <c r="AR84" i="39" a="1"/>
  <c r="AR84" i="39" s="1"/>
  <c r="AO49" i="39" a="1"/>
  <c r="AO49" i="39" s="1"/>
  <c r="AG49" i="39" a="1"/>
  <c r="AG49" i="39" s="1"/>
  <c r="AK49" i="39" a="1"/>
  <c r="AK49" i="39" s="1"/>
  <c r="BA49" i="39" s="1"/>
  <c r="AD25" i="39" a="1"/>
  <c r="AD25" i="39" s="1"/>
  <c r="AL25" i="39" a="1"/>
  <c r="AL25" i="39" s="1"/>
  <c r="AT25" i="39" a="1"/>
  <c r="AT25" i="39" s="1"/>
  <c r="AD50" i="39" a="1"/>
  <c r="AD50" i="39" s="1"/>
  <c r="AM50" i="39" a="1"/>
  <c r="AM50" i="39" s="1"/>
  <c r="Y26" i="39" a="1"/>
  <c r="Y26" i="39" s="1"/>
  <c r="AM72" i="39" a="1"/>
  <c r="AM72" i="39" s="1"/>
  <c r="AO72" i="39" a="1"/>
  <c r="AO72" i="39" s="1"/>
  <c r="AP72" i="39" a="1"/>
  <c r="AP72" i="39" s="1"/>
  <c r="AC71" i="39" a="1"/>
  <c r="AC71" i="39" s="1"/>
  <c r="AD71" i="39" a="1"/>
  <c r="AD71" i="39" s="1"/>
  <c r="AI71" i="39" a="1"/>
  <c r="AI71" i="39" s="1"/>
  <c r="AU84" i="39" a="1"/>
  <c r="AU84" i="39" s="1"/>
  <c r="AL84" i="39" a="1"/>
  <c r="AL84" i="39" s="1"/>
  <c r="BB49" i="39" a="1"/>
  <c r="BB49" i="39" s="1"/>
  <c r="AC49" i="39" a="1"/>
  <c r="AC49" i="39" s="1"/>
  <c r="AO25" i="39" a="1"/>
  <c r="AO25" i="39" s="1"/>
  <c r="AG25" i="39" a="1"/>
  <c r="AG25" i="39" s="1"/>
  <c r="AM47" i="39" a="1"/>
  <c r="AM47" i="39" s="1"/>
  <c r="AR47" i="39" a="1"/>
  <c r="AR47" i="39" s="1"/>
  <c r="AH35" i="39" a="1"/>
  <c r="AH35" i="39" s="1"/>
  <c r="AI47" i="39" a="1"/>
  <c r="AI47" i="39" s="1"/>
  <c r="AL74" i="39" a="1"/>
  <c r="AL74" i="39" s="1"/>
  <c r="Y84" i="39" a="1"/>
  <c r="Y84" i="39" s="1"/>
  <c r="AG84" i="39" a="1"/>
  <c r="AG84" i="39" s="1"/>
  <c r="AO84" i="39" a="1"/>
  <c r="AO84" i="39" s="1"/>
  <c r="AU68" i="39" a="1"/>
  <c r="AU68" i="39" s="1"/>
  <c r="BB68" i="39" a="1"/>
  <c r="BB68" i="39" s="1"/>
  <c r="AR68" i="39" a="1"/>
  <c r="AR68" i="39" s="1"/>
  <c r="AK68" i="39" a="1"/>
  <c r="AK68" i="39" s="1"/>
  <c r="BA68" i="39" s="1"/>
  <c r="AL68" i="39" a="1"/>
  <c r="AL68" i="39" s="1"/>
  <c r="AH68" i="39" a="1"/>
  <c r="AH68" i="39" s="1"/>
  <c r="AT68" i="39" a="1"/>
  <c r="AT68" i="39" s="1"/>
  <c r="BB35" i="39" a="1"/>
  <c r="BB35" i="39" s="1"/>
  <c r="BB42" i="39" a="1"/>
  <c r="BB42" i="39" s="1"/>
  <c r="AC42" i="39" a="1"/>
  <c r="AC42" i="39" s="1"/>
  <c r="AC43" i="39" a="1"/>
  <c r="AC43" i="39" s="1"/>
  <c r="AH43" i="39" a="1"/>
  <c r="AH43" i="39" s="1"/>
  <c r="AL43" i="39" a="1"/>
  <c r="AL43" i="39" s="1"/>
  <c r="AD43" i="39" a="1"/>
  <c r="AD43" i="39" s="1"/>
  <c r="AD22" i="39" a="1"/>
  <c r="AD22" i="39" s="1"/>
  <c r="AC22" i="39" a="1"/>
  <c r="AC22" i="39" s="1"/>
  <c r="AL22" i="39" a="1"/>
  <c r="AL22" i="39" s="1"/>
  <c r="AH47" i="39" a="1"/>
  <c r="AH47" i="39" s="1"/>
  <c r="AU78" i="39" a="1"/>
  <c r="AU78" i="39" s="1"/>
  <c r="AC107" i="39" a="1"/>
  <c r="AC107" i="39" s="1"/>
  <c r="BB107" i="39" a="1"/>
  <c r="BB107" i="39" s="1"/>
  <c r="AH107" i="39" a="1"/>
  <c r="AH107" i="39" s="1"/>
  <c r="AM107" i="39" a="1"/>
  <c r="AM107" i="39" s="1"/>
  <c r="AO51" i="39" a="1"/>
  <c r="AO51" i="39" s="1"/>
  <c r="AP51" i="39" a="1"/>
  <c r="AP51" i="39" s="1"/>
  <c r="AK51" i="39" a="1"/>
  <c r="AK51" i="39" s="1"/>
  <c r="BA51" i="39" s="1"/>
  <c r="AE51" i="39" a="1"/>
  <c r="AE51" i="39" s="1"/>
  <c r="Y42" i="39" a="1"/>
  <c r="Y42" i="39" s="1"/>
  <c r="AE42" i="39" a="1"/>
  <c r="AE42" i="39" s="1"/>
  <c r="Y22" i="39" a="1"/>
  <c r="Y22" i="39" s="1"/>
  <c r="AM22" i="39" a="1"/>
  <c r="AM22" i="39" s="1"/>
  <c r="BB47" i="39" a="1"/>
  <c r="BB47" i="39" s="1"/>
  <c r="AS107" i="39" a="1"/>
  <c r="AS107" i="39" s="1"/>
  <c r="AK107" i="39" a="1"/>
  <c r="AK107" i="39" s="1"/>
  <c r="BA107" i="39" s="1"/>
  <c r="AO107" i="39" a="1"/>
  <c r="AO107" i="39" s="1"/>
  <c r="AL102" i="39" a="1"/>
  <c r="AL102" i="39" s="1"/>
  <c r="AK102" i="39" a="1"/>
  <c r="AK102" i="39" s="1"/>
  <c r="BA102" i="39" s="1"/>
  <c r="AC120" i="39" a="1"/>
  <c r="AC120" i="39" s="1"/>
  <c r="AT110" i="39" a="1"/>
  <c r="AT110" i="39" s="1"/>
  <c r="AE110" i="39" a="1"/>
  <c r="AE110" i="39" s="1"/>
  <c r="AO110" i="39" a="1"/>
  <c r="AO110" i="39" s="1"/>
  <c r="AU110" i="39" a="1"/>
  <c r="AU110" i="39" s="1"/>
  <c r="BB110" i="39" a="1"/>
  <c r="BB110" i="39" s="1"/>
  <c r="AS110" i="39" a="1"/>
  <c r="AS110" i="39" s="1"/>
  <c r="AC110" i="39" a="1"/>
  <c r="AC110" i="39" s="1"/>
  <c r="AG110" i="39" a="1"/>
  <c r="AG110" i="39" s="1"/>
  <c r="AM110" i="39" a="1"/>
  <c r="AM110" i="39" s="1"/>
  <c r="AR110" i="39" a="1"/>
  <c r="AR110" i="39" s="1"/>
  <c r="AP110" i="39" a="1"/>
  <c r="AP110" i="39" s="1"/>
  <c r="AI110" i="39" a="1"/>
  <c r="AI110" i="39" s="1"/>
  <c r="Y110" i="39" a="1"/>
  <c r="Y110" i="39" s="1"/>
  <c r="AE31" i="39" a="1"/>
  <c r="AE31" i="39" s="1"/>
  <c r="AT31" i="39" a="1"/>
  <c r="AT31" i="39" s="1"/>
  <c r="AD31" i="39" a="1"/>
  <c r="AD31" i="39" s="1"/>
  <c r="AC31" i="39" a="1"/>
  <c r="AC31" i="39" s="1"/>
  <c r="AL31" i="39" a="1"/>
  <c r="AL31" i="39" s="1"/>
  <c r="AI31" i="39" a="1"/>
  <c r="AI31" i="39" s="1"/>
  <c r="Y31" i="39" a="1"/>
  <c r="Y31" i="39" s="1"/>
  <c r="AH31" i="39" a="1"/>
  <c r="AH31" i="39" s="1"/>
  <c r="AP31" i="39" a="1"/>
  <c r="AP31" i="39" s="1"/>
  <c r="BB31" i="39" a="1"/>
  <c r="BB31" i="39" s="1"/>
  <c r="AK31" i="39" a="1"/>
  <c r="AK31" i="39" s="1"/>
  <c r="BA31" i="39" s="1"/>
  <c r="AG76" i="39" a="1"/>
  <c r="AG76" i="39" s="1"/>
  <c r="AH76" i="39" a="1"/>
  <c r="AH76" i="39" s="1"/>
  <c r="AI76" i="39" a="1"/>
  <c r="AI76" i="39" s="1"/>
  <c r="AU76" i="39" a="1"/>
  <c r="AU76" i="39" s="1"/>
  <c r="AC76" i="39" a="1"/>
  <c r="AC76" i="39" s="1"/>
  <c r="AD76" i="39" a="1"/>
  <c r="AD76" i="39" s="1"/>
  <c r="AM76" i="39" a="1"/>
  <c r="AM76" i="39" s="1"/>
  <c r="AK76" i="39" a="1"/>
  <c r="AK76" i="39" s="1"/>
  <c r="BA76" i="39" s="1"/>
  <c r="AT76" i="39" a="1"/>
  <c r="AT76" i="39" s="1"/>
  <c r="Y76" i="39" a="1"/>
  <c r="Y76" i="39" s="1"/>
  <c r="AE76" i="39" a="1"/>
  <c r="AE76" i="39" s="1"/>
  <c r="BB76" i="39" a="1"/>
  <c r="BB76" i="39" s="1"/>
  <c r="AP76" i="39" a="1"/>
  <c r="AP76" i="39" s="1"/>
  <c r="AR76" i="39" a="1"/>
  <c r="AR76" i="39" s="1"/>
  <c r="AO106" i="39" a="1"/>
  <c r="AO106" i="39" s="1"/>
  <c r="AM106" i="39" a="1"/>
  <c r="AM106" i="39" s="1"/>
  <c r="AT106" i="39" a="1"/>
  <c r="AT106" i="39" s="1"/>
  <c r="BB106" i="39" a="1"/>
  <c r="BB106" i="39" s="1"/>
  <c r="AE106" i="39" a="1"/>
  <c r="AE106" i="39" s="1"/>
  <c r="AL106" i="39" a="1"/>
  <c r="AL106" i="39" s="1"/>
  <c r="AI106" i="39" a="1"/>
  <c r="AI106" i="39" s="1"/>
  <c r="AU106" i="39" a="1"/>
  <c r="AU106" i="39" s="1"/>
  <c r="AS106" i="39" a="1"/>
  <c r="AS106" i="39" s="1"/>
  <c r="Y106" i="39" a="1"/>
  <c r="Y106" i="39" s="1"/>
  <c r="AK106" i="39" a="1"/>
  <c r="AK106" i="39" s="1"/>
  <c r="BA106" i="39" s="1"/>
  <c r="AR106" i="39" a="1"/>
  <c r="AR106" i="39" s="1"/>
  <c r="AC106" i="39" a="1"/>
  <c r="AC106" i="39" s="1"/>
  <c r="AG106" i="39" a="1"/>
  <c r="AG106" i="39" s="1"/>
  <c r="AH101" i="39" a="1"/>
  <c r="AH101" i="39" s="1"/>
  <c r="AK101" i="39" a="1"/>
  <c r="AK101" i="39" s="1"/>
  <c r="BA101" i="39" s="1"/>
  <c r="AM101" i="39" a="1"/>
  <c r="AM101" i="39" s="1"/>
  <c r="AC101" i="39" a="1"/>
  <c r="AC101" i="39" s="1"/>
  <c r="AL101" i="39" a="1"/>
  <c r="AL101" i="39" s="1"/>
  <c r="AD101" i="39" a="1"/>
  <c r="AD101" i="39" s="1"/>
  <c r="AO101" i="39" a="1"/>
  <c r="AO101" i="39" s="1"/>
  <c r="AP101" i="39" a="1"/>
  <c r="AP101" i="39" s="1"/>
  <c r="AG101" i="39" a="1"/>
  <c r="AG101" i="39" s="1"/>
  <c r="AT101" i="39" a="1"/>
  <c r="AT101" i="39" s="1"/>
  <c r="Y101" i="39" a="1"/>
  <c r="Y101" i="39" s="1"/>
  <c r="AE101" i="39" a="1"/>
  <c r="AE101" i="39" s="1"/>
  <c r="AR101" i="39" a="1"/>
  <c r="AR101" i="39" s="1"/>
  <c r="AI101" i="39" a="1"/>
  <c r="AI101" i="39" s="1"/>
  <c r="AS75" i="39" a="1"/>
  <c r="AS75" i="39" s="1"/>
  <c r="AI75" i="39" a="1"/>
  <c r="AI75" i="39" s="1"/>
  <c r="AL75" i="39" a="1"/>
  <c r="AL75" i="39" s="1"/>
  <c r="AD75" i="39" a="1"/>
  <c r="AD75" i="39" s="1"/>
  <c r="AP75" i="39" a="1"/>
  <c r="AP75" i="39" s="1"/>
  <c r="AK75" i="39" a="1"/>
  <c r="AK75" i="39" s="1"/>
  <c r="BA75" i="39" s="1"/>
  <c r="BB75" i="39" a="1"/>
  <c r="BB75" i="39" s="1"/>
  <c r="AR75" i="39" a="1"/>
  <c r="AR75" i="39" s="1"/>
  <c r="AC75" i="39" a="1"/>
  <c r="AC75" i="39" s="1"/>
  <c r="AT75" i="39" a="1"/>
  <c r="AT75" i="39" s="1"/>
  <c r="AU75" i="39" a="1"/>
  <c r="AU75" i="39" s="1"/>
  <c r="AE75" i="39" a="1"/>
  <c r="AE75" i="39" s="1"/>
  <c r="Y75" i="39" a="1"/>
  <c r="Y75" i="39" s="1"/>
  <c r="AH75" i="39" a="1"/>
  <c r="AH75" i="39" s="1"/>
  <c r="AU118" i="39" a="1"/>
  <c r="AU118" i="39" s="1"/>
  <c r="AT118" i="39" a="1"/>
  <c r="AT118" i="39" s="1"/>
  <c r="Y118" i="39" a="1"/>
  <c r="Y118" i="39" s="1"/>
  <c r="AS118" i="39" a="1"/>
  <c r="AS118" i="39" s="1"/>
  <c r="AM118" i="39" a="1"/>
  <c r="AM118" i="39" s="1"/>
  <c r="AO118" i="39" a="1"/>
  <c r="AO118" i="39" s="1"/>
  <c r="AR118" i="39" a="1"/>
  <c r="AR118" i="39" s="1"/>
  <c r="AL118" i="39" a="1"/>
  <c r="AL118" i="39" s="1"/>
  <c r="AK118" i="39" a="1"/>
  <c r="AK118" i="39" s="1"/>
  <c r="BA118" i="39" s="1"/>
  <c r="AH118" i="39" a="1"/>
  <c r="AH118" i="39" s="1"/>
  <c r="AP118" i="39" a="1"/>
  <c r="AP118" i="39" s="1"/>
  <c r="BB118" i="39" a="1"/>
  <c r="BB118" i="39" s="1"/>
  <c r="AG118" i="39" a="1"/>
  <c r="AG118" i="39" s="1"/>
  <c r="AP57" i="39" a="1"/>
  <c r="AP57" i="39" s="1"/>
  <c r="Y57" i="39" a="1"/>
  <c r="Y57" i="39" s="1"/>
  <c r="AR57" i="39" a="1"/>
  <c r="AR57" i="39" s="1"/>
  <c r="AE57" i="39" a="1"/>
  <c r="AE57" i="39" s="1"/>
  <c r="AC57" i="39" a="1"/>
  <c r="AC57" i="39" s="1"/>
  <c r="AO57" i="39" a="1"/>
  <c r="AO57" i="39" s="1"/>
  <c r="AS57" i="39" a="1"/>
  <c r="AS57" i="39" s="1"/>
  <c r="AI57" i="39" a="1"/>
  <c r="AI57" i="39" s="1"/>
  <c r="AG57" i="39" a="1"/>
  <c r="AG57" i="39" s="1"/>
  <c r="BB57" i="39" a="1"/>
  <c r="BB57" i="39" s="1"/>
  <c r="AU57" i="39" a="1"/>
  <c r="AU57" i="39" s="1"/>
  <c r="AK57" i="39" a="1"/>
  <c r="AK57" i="39" s="1"/>
  <c r="BA57" i="39" s="1"/>
  <c r="AT57" i="39" a="1"/>
  <c r="AT57" i="39" s="1"/>
  <c r="AG97" i="39" a="1"/>
  <c r="AG97" i="39" s="1"/>
  <c r="AR97" i="39" a="1"/>
  <c r="AR97" i="39" s="1"/>
  <c r="Y97" i="39" a="1"/>
  <c r="Y97" i="39" s="1"/>
  <c r="AP97" i="39" a="1"/>
  <c r="AP97" i="39" s="1"/>
  <c r="AC97" i="39" a="1"/>
  <c r="AC97" i="39" s="1"/>
  <c r="AS97" i="39" a="1"/>
  <c r="AS97" i="39" s="1"/>
  <c r="AU97" i="39" a="1"/>
  <c r="AU97" i="39" s="1"/>
  <c r="AI97" i="39" a="1"/>
  <c r="AI97" i="39" s="1"/>
  <c r="AL97" i="39" a="1"/>
  <c r="AL97" i="39" s="1"/>
  <c r="AK97" i="39" a="1"/>
  <c r="AK97" i="39" s="1"/>
  <c r="BA97" i="39" s="1"/>
  <c r="AO97" i="39" a="1"/>
  <c r="AO97" i="39" s="1"/>
  <c r="AD97" i="39" a="1"/>
  <c r="AD97" i="39" s="1"/>
  <c r="BB97" i="39" a="1"/>
  <c r="BB97" i="39" s="1"/>
  <c r="AM97" i="39" a="1"/>
  <c r="AM97" i="39" s="1"/>
  <c r="AG31" i="39" a="1"/>
  <c r="AG31" i="39" s="1"/>
  <c r="AC118" i="39" a="1"/>
  <c r="AC118" i="39" s="1"/>
  <c r="AM87" i="39" a="1"/>
  <c r="AM87" i="39" s="1"/>
  <c r="AG92" i="39" a="1"/>
  <c r="AG92" i="39" s="1"/>
  <c r="AO76" i="39" a="1"/>
  <c r="AO76" i="39" s="1"/>
  <c r="AH110" i="39" a="1"/>
  <c r="AH110" i="39" s="1"/>
  <c r="AM75" i="39" a="1"/>
  <c r="AM75" i="39" s="1"/>
  <c r="AD57" i="39" a="1"/>
  <c r="AD57" i="39" s="1"/>
  <c r="AE97" i="39" a="1"/>
  <c r="AE97" i="39" s="1"/>
  <c r="AD94" i="39" a="1"/>
  <c r="AD94" i="39" s="1"/>
  <c r="AM120" i="39" a="1"/>
  <c r="AM120" i="39" s="1"/>
  <c r="AH106" i="39" a="1"/>
  <c r="AH106" i="39" s="1"/>
  <c r="AD102" i="39" a="1"/>
  <c r="AD102" i="39" s="1"/>
  <c r="BB102" i="39" a="1"/>
  <c r="BB102" i="39" s="1"/>
  <c r="AC102" i="39" a="1"/>
  <c r="AC102" i="39" s="1"/>
  <c r="AI102" i="39" a="1"/>
  <c r="AI102" i="39" s="1"/>
  <c r="AH102" i="39" a="1"/>
  <c r="AH102" i="39" s="1"/>
  <c r="AM102" i="39" a="1"/>
  <c r="AM102" i="39" s="1"/>
  <c r="AR102" i="39" a="1"/>
  <c r="AR102" i="39" s="1"/>
  <c r="AG102" i="39" a="1"/>
  <c r="AG102" i="39" s="1"/>
  <c r="AU102" i="39" a="1"/>
  <c r="AU102" i="39" s="1"/>
  <c r="AP102" i="39" a="1"/>
  <c r="AP102" i="39" s="1"/>
  <c r="AM14" i="39" a="1"/>
  <c r="AM14" i="39" s="1"/>
  <c r="AT14" i="39" a="1"/>
  <c r="AT14" i="39" s="1"/>
  <c r="AG14" i="39" a="1"/>
  <c r="AG14" i="39" s="1"/>
  <c r="AD14" i="39" a="1"/>
  <c r="AD14" i="39" s="1"/>
  <c r="AI14" i="39" a="1"/>
  <c r="AI14" i="39" s="1"/>
  <c r="BB14" i="39" a="1"/>
  <c r="BB14" i="39" s="1"/>
  <c r="AK14" i="39" a="1"/>
  <c r="AK14" i="39" s="1"/>
  <c r="BA14" i="39" s="1"/>
  <c r="AC14" i="39" a="1"/>
  <c r="AC14" i="39" s="1"/>
  <c r="Y14" i="39" a="1"/>
  <c r="Y14" i="39" s="1"/>
  <c r="AH14" i="39" a="1"/>
  <c r="AH14" i="39" s="1"/>
  <c r="AM78" i="39" a="1"/>
  <c r="AM78" i="39" s="1"/>
  <c r="AO78" i="39" a="1"/>
  <c r="AO78" i="39" s="1"/>
  <c r="AH78" i="39" a="1"/>
  <c r="AH78" i="39" s="1"/>
  <c r="AE78" i="39" a="1"/>
  <c r="AE78" i="39" s="1"/>
  <c r="AG78" i="39" a="1"/>
  <c r="AG78" i="39" s="1"/>
  <c r="AL78" i="39" a="1"/>
  <c r="AL78" i="39" s="1"/>
  <c r="AS78" i="39" a="1"/>
  <c r="AS78" i="39" s="1"/>
  <c r="BB78" i="39" a="1"/>
  <c r="BB78" i="39" s="1"/>
  <c r="AC78" i="39" a="1"/>
  <c r="AC78" i="39" s="1"/>
  <c r="AT78" i="39" a="1"/>
  <c r="AT78" i="39" s="1"/>
  <c r="Y78" i="39" a="1"/>
  <c r="Y78" i="39" s="1"/>
  <c r="AK78" i="39" a="1"/>
  <c r="AK78" i="39" s="1"/>
  <c r="BA78" i="39" s="1"/>
  <c r="AD78" i="39" a="1"/>
  <c r="AD78" i="39" s="1"/>
  <c r="AP78" i="39" a="1"/>
  <c r="AP78" i="39" s="1"/>
  <c r="AU126" i="39" a="1"/>
  <c r="AU126" i="39" s="1"/>
  <c r="AP126" i="39" a="1"/>
  <c r="AP126" i="39" s="1"/>
  <c r="AG126" i="39" a="1"/>
  <c r="AG126" i="39" s="1"/>
  <c r="AC126" i="39" a="1"/>
  <c r="AC126" i="39" s="1"/>
  <c r="AH126" i="39" a="1"/>
  <c r="AH126" i="39" s="1"/>
  <c r="AI126" i="39" a="1"/>
  <c r="AI126" i="39" s="1"/>
  <c r="AS126" i="39" a="1"/>
  <c r="AS126" i="39" s="1"/>
  <c r="AE126" i="39" a="1"/>
  <c r="AE126" i="39" s="1"/>
  <c r="AT126" i="39" a="1"/>
  <c r="AT126" i="39" s="1"/>
  <c r="AO126" i="39" a="1"/>
  <c r="AO126" i="39" s="1"/>
  <c r="AD126" i="39" a="1"/>
  <c r="AD126" i="39" s="1"/>
  <c r="Y126" i="39" a="1"/>
  <c r="Y126" i="39" s="1"/>
  <c r="AR126" i="39" a="1"/>
  <c r="AR126" i="39" s="1"/>
  <c r="AT56" i="39" a="1"/>
  <c r="AT56" i="39" s="1"/>
  <c r="AC56" i="39" a="1"/>
  <c r="AC56" i="39" s="1"/>
  <c r="AK56" i="39" a="1"/>
  <c r="AK56" i="39" s="1"/>
  <c r="BA56" i="39" s="1"/>
  <c r="AH56" i="39" a="1"/>
  <c r="AH56" i="39" s="1"/>
  <c r="AP56" i="39" a="1"/>
  <c r="AP56" i="39" s="1"/>
  <c r="BB56" i="39" a="1"/>
  <c r="BB56" i="39" s="1"/>
  <c r="AI56" i="39" a="1"/>
  <c r="AI56" i="39" s="1"/>
  <c r="AG56" i="39" a="1"/>
  <c r="AG56" i="39" s="1"/>
  <c r="AR56" i="39" a="1"/>
  <c r="AR56" i="39" s="1"/>
  <c r="AS56" i="39" a="1"/>
  <c r="AS56" i="39" s="1"/>
  <c r="AD56" i="39" a="1"/>
  <c r="AD56" i="39" s="1"/>
  <c r="AU56" i="39" a="1"/>
  <c r="AU56" i="39" s="1"/>
  <c r="AE56" i="39" a="1"/>
  <c r="AE56" i="39" s="1"/>
  <c r="Y56" i="39" a="1"/>
  <c r="Y56" i="39" s="1"/>
  <c r="AM24" i="39" a="1"/>
  <c r="AM24" i="39" s="1"/>
  <c r="AD24" i="39" a="1"/>
  <c r="AD24" i="39" s="1"/>
  <c r="AI24" i="39" a="1"/>
  <c r="AI24" i="39" s="1"/>
  <c r="AK24" i="39" a="1"/>
  <c r="AK24" i="39" s="1"/>
  <c r="BA24" i="39" s="1"/>
  <c r="AC24" i="39" a="1"/>
  <c r="AC24" i="39" s="1"/>
  <c r="AO24" i="39" a="1"/>
  <c r="AO24" i="39" s="1"/>
  <c r="AL24" i="39" a="1"/>
  <c r="AL24" i="39" s="1"/>
  <c r="Y24" i="39" a="1"/>
  <c r="Y24" i="39" s="1"/>
  <c r="AH24" i="39" a="1"/>
  <c r="AH24" i="39" s="1"/>
  <c r="AE24" i="39" a="1"/>
  <c r="AE24" i="39" s="1"/>
  <c r="AT24" i="39" a="1"/>
  <c r="AT24" i="39" s="1"/>
  <c r="AL29" i="39" a="1"/>
  <c r="AL29" i="39" s="1"/>
  <c r="AD29" i="39" a="1"/>
  <c r="AD29" i="39" s="1"/>
  <c r="AP29" i="39" a="1"/>
  <c r="AP29" i="39" s="1"/>
  <c r="AM29" i="39" a="1"/>
  <c r="AM29" i="39" s="1"/>
  <c r="AG29" i="39" a="1"/>
  <c r="AG29" i="39" s="1"/>
  <c r="AH29" i="39" a="1"/>
  <c r="AH29" i="39" s="1"/>
  <c r="AC29" i="39" a="1"/>
  <c r="AC29" i="39" s="1"/>
  <c r="AE29" i="39" a="1"/>
  <c r="AE29" i="39" s="1"/>
  <c r="BB29" i="39" a="1"/>
  <c r="BB29" i="39" s="1"/>
  <c r="AT29" i="39" a="1"/>
  <c r="AT29" i="39" s="1"/>
  <c r="AS102" i="39" a="1"/>
  <c r="AS102" i="39" s="1"/>
  <c r="AD118" i="39" a="1"/>
  <c r="AD118" i="39" s="1"/>
  <c r="AM56" i="39" a="1"/>
  <c r="AM56" i="39" s="1"/>
  <c r="AL76" i="39" a="1"/>
  <c r="AL76" i="39" s="1"/>
  <c r="AM57" i="39" a="1"/>
  <c r="AM57" i="39" s="1"/>
  <c r="AR120" i="39" a="1"/>
  <c r="AR120" i="39" s="1"/>
  <c r="AU120" i="39" a="1"/>
  <c r="AU120" i="39" s="1"/>
  <c r="AI120" i="39" a="1"/>
  <c r="AI120" i="39" s="1"/>
  <c r="AD120" i="39" a="1"/>
  <c r="AD120" i="39" s="1"/>
  <c r="AP120" i="39" a="1"/>
  <c r="AP120" i="39" s="1"/>
  <c r="Y120" i="39" a="1"/>
  <c r="Y120" i="39" s="1"/>
  <c r="AO120" i="39" a="1"/>
  <c r="AO120" i="39" s="1"/>
  <c r="BB120" i="39" a="1"/>
  <c r="BB120" i="39" s="1"/>
  <c r="AH120" i="39" a="1"/>
  <c r="AH120" i="39" s="1"/>
  <c r="AT120" i="39" a="1"/>
  <c r="AT120" i="39" s="1"/>
  <c r="AL120" i="39" a="1"/>
  <c r="AL120" i="39" s="1"/>
  <c r="AS120" i="39" a="1"/>
  <c r="AS120" i="39" s="1"/>
  <c r="AG120" i="39" a="1"/>
  <c r="AG120" i="39" s="1"/>
  <c r="AE120" i="39" a="1"/>
  <c r="AE120" i="39" s="1"/>
  <c r="AC74" i="39" a="1"/>
  <c r="AC74" i="39" s="1"/>
  <c r="AE74" i="39" a="1"/>
  <c r="AE74" i="39" s="1"/>
  <c r="AH74" i="39" a="1"/>
  <c r="AH74" i="39" s="1"/>
  <c r="AR74" i="39" a="1"/>
  <c r="AR74" i="39" s="1"/>
  <c r="AK74" i="39" a="1"/>
  <c r="AK74" i="39" s="1"/>
  <c r="BA74" i="39" s="1"/>
  <c r="AM74" i="39" a="1"/>
  <c r="AM74" i="39" s="1"/>
  <c r="AT74" i="39" a="1"/>
  <c r="AT74" i="39" s="1"/>
  <c r="AG74" i="39" a="1"/>
  <c r="AG74" i="39" s="1"/>
  <c r="AO74" i="39" a="1"/>
  <c r="AO74" i="39" s="1"/>
  <c r="AS74" i="39" a="1"/>
  <c r="AS74" i="39" s="1"/>
  <c r="BB74" i="39" a="1"/>
  <c r="BB74" i="39" s="1"/>
  <c r="AD74" i="39" a="1"/>
  <c r="AD74" i="39" s="1"/>
  <c r="AU74" i="39" a="1"/>
  <c r="AU74" i="39" s="1"/>
  <c r="AP92" i="39" a="1"/>
  <c r="AP92" i="39" s="1"/>
  <c r="AM92" i="39" a="1"/>
  <c r="AM92" i="39" s="1"/>
  <c r="AS92" i="39" a="1"/>
  <c r="AS92" i="39" s="1"/>
  <c r="AO92" i="39" a="1"/>
  <c r="AO92" i="39" s="1"/>
  <c r="Y92" i="39" a="1"/>
  <c r="Y92" i="39" s="1"/>
  <c r="AU92" i="39" a="1"/>
  <c r="AU92" i="39" s="1"/>
  <c r="AH92" i="39" a="1"/>
  <c r="AH92" i="39" s="1"/>
  <c r="BB92" i="39" a="1"/>
  <c r="BB92" i="39" s="1"/>
  <c r="AE92" i="39" a="1"/>
  <c r="AE92" i="39" s="1"/>
  <c r="AC92" i="39" a="1"/>
  <c r="AC92" i="39" s="1"/>
  <c r="AD92" i="39" a="1"/>
  <c r="AD92" i="39" s="1"/>
  <c r="AI92" i="39" a="1"/>
  <c r="AI92" i="39" s="1"/>
  <c r="AL92" i="39" a="1"/>
  <c r="AL92" i="39" s="1"/>
  <c r="BB87" i="39" a="1"/>
  <c r="BB87" i="39" s="1"/>
  <c r="AP87" i="39" a="1"/>
  <c r="AP87" i="39" s="1"/>
  <c r="AK87" i="39" a="1"/>
  <c r="AK87" i="39" s="1"/>
  <c r="BA87" i="39" s="1"/>
  <c r="Y87" i="39" a="1"/>
  <c r="Y87" i="39" s="1"/>
  <c r="AG87" i="39" a="1"/>
  <c r="AG87" i="39" s="1"/>
  <c r="AE87" i="39" a="1"/>
  <c r="AE87" i="39" s="1"/>
  <c r="AI87" i="39" a="1"/>
  <c r="AI87" i="39" s="1"/>
  <c r="AD87" i="39" a="1"/>
  <c r="AD87" i="39" s="1"/>
  <c r="AC87" i="39" a="1"/>
  <c r="AC87" i="39" s="1"/>
  <c r="AL87" i="39" a="1"/>
  <c r="AL87" i="39" s="1"/>
  <c r="AU87" i="39" a="1"/>
  <c r="AU87" i="39" s="1"/>
  <c r="AH87" i="39" a="1"/>
  <c r="AH87" i="39" s="1"/>
  <c r="AT87" i="39" a="1"/>
  <c r="AT87" i="39" s="1"/>
  <c r="AR87" i="39" a="1"/>
  <c r="AR87" i="39" s="1"/>
  <c r="AP94" i="39" a="1"/>
  <c r="AP94" i="39" s="1"/>
  <c r="AE94" i="39" a="1"/>
  <c r="AE94" i="39" s="1"/>
  <c r="AT94" i="39" a="1"/>
  <c r="AT94" i="39" s="1"/>
  <c r="Y94" i="39" a="1"/>
  <c r="Y94" i="39" s="1"/>
  <c r="AS94" i="39" a="1"/>
  <c r="AS94" i="39" s="1"/>
  <c r="BB94" i="39" a="1"/>
  <c r="BB94" i="39" s="1"/>
  <c r="AI94" i="39" a="1"/>
  <c r="AI94" i="39" s="1"/>
  <c r="AK94" i="39" a="1"/>
  <c r="AK94" i="39" s="1"/>
  <c r="BA94" i="39" s="1"/>
  <c r="AG94" i="39" a="1"/>
  <c r="AG94" i="39" s="1"/>
  <c r="AL94" i="39" a="1"/>
  <c r="AL94" i="39" s="1"/>
  <c r="AO94" i="39" a="1"/>
  <c r="AO94" i="39" s="1"/>
  <c r="AR94" i="39" a="1"/>
  <c r="AR94" i="39" s="1"/>
  <c r="AM94" i="39" a="1"/>
  <c r="AM94" i="39" s="1"/>
  <c r="AU94" i="39" a="1"/>
  <c r="AU94" i="39" s="1"/>
  <c r="AS65" i="39" a="1"/>
  <c r="AS65" i="39" s="1"/>
  <c r="AE65" i="39" a="1"/>
  <c r="AE65" i="39" s="1"/>
  <c r="AR65" i="39" a="1"/>
  <c r="AR65" i="39" s="1"/>
  <c r="AT65" i="39" a="1"/>
  <c r="AT65" i="39" s="1"/>
  <c r="AP65" i="39" a="1"/>
  <c r="AP65" i="39" s="1"/>
  <c r="AM65" i="39" a="1"/>
  <c r="AM65" i="39" s="1"/>
  <c r="AO65" i="39" a="1"/>
  <c r="AO65" i="39" s="1"/>
  <c r="AK65" i="39" a="1"/>
  <c r="AK65" i="39" s="1"/>
  <c r="BA65" i="39" s="1"/>
  <c r="Y65" i="39" a="1"/>
  <c r="Y65" i="39" s="1"/>
  <c r="AI65" i="39" a="1"/>
  <c r="AI65" i="39" s="1"/>
  <c r="AH65" i="39" a="1"/>
  <c r="AH65" i="39" s="1"/>
  <c r="AG65" i="39" a="1"/>
  <c r="AG65" i="39" s="1"/>
  <c r="BB65" i="39" a="1"/>
  <c r="BB65" i="39" s="1"/>
  <c r="AC65" i="39" a="1"/>
  <c r="AC65" i="39" s="1"/>
  <c r="AH98" i="39" a="1"/>
  <c r="AH98" i="39" s="1"/>
  <c r="AC98" i="39" a="1"/>
  <c r="AC98" i="39" s="1"/>
  <c r="AL98" i="39" a="1"/>
  <c r="AL98" i="39" s="1"/>
  <c r="AP98" i="39" a="1"/>
  <c r="AP98" i="39" s="1"/>
  <c r="AE98" i="39" a="1"/>
  <c r="AE98" i="39" s="1"/>
  <c r="AU98" i="39" a="1"/>
  <c r="AU98" i="39" s="1"/>
  <c r="AR98" i="39" a="1"/>
  <c r="AR98" i="39" s="1"/>
  <c r="AT98" i="39" a="1"/>
  <c r="AT98" i="39" s="1"/>
  <c r="AI98" i="39" a="1"/>
  <c r="AI98" i="39" s="1"/>
  <c r="AO98" i="39" a="1"/>
  <c r="AO98" i="39" s="1"/>
  <c r="AS98" i="39" a="1"/>
  <c r="AS98" i="39" s="1"/>
  <c r="AK98" i="39" a="1"/>
  <c r="AK98" i="39" s="1"/>
  <c r="BA98" i="39" s="1"/>
  <c r="Y98" i="39" a="1"/>
  <c r="Y98" i="39" s="1"/>
  <c r="AG98" i="39" a="1"/>
  <c r="AG98" i="39" s="1"/>
  <c r="AL13" i="39" a="1"/>
  <c r="AL13" i="39" s="1"/>
  <c r="AO13" i="39" a="1"/>
  <c r="AO13" i="39" s="1"/>
  <c r="Y13" i="39" a="1"/>
  <c r="Y13" i="39" s="1"/>
  <c r="AH13" i="39" a="1"/>
  <c r="AH13" i="39" s="1"/>
  <c r="AT13" i="39" a="1"/>
  <c r="AT13" i="39" s="1"/>
  <c r="AK13" i="39" a="1"/>
  <c r="AK13" i="39" s="1"/>
  <c r="BA13" i="39" s="1"/>
  <c r="AC13" i="39" a="1"/>
  <c r="AC13" i="39" s="1"/>
  <c r="AD13" i="39" a="1"/>
  <c r="AD13" i="39" s="1"/>
  <c r="AO102" i="39" a="1"/>
  <c r="AO102" i="39" s="1"/>
  <c r="AO31" i="39" a="1"/>
  <c r="AO31" i="39" s="1"/>
  <c r="AK29" i="39" a="1"/>
  <c r="AK29" i="39" s="1"/>
  <c r="BA29" i="39" s="1"/>
  <c r="AP74" i="39" a="1"/>
  <c r="AP74" i="39" s="1"/>
  <c r="AM98" i="39" a="1"/>
  <c r="AM98" i="39" s="1"/>
  <c r="AG24" i="39" a="1"/>
  <c r="AG24" i="39" s="1"/>
  <c r="BB126" i="39" a="1"/>
  <c r="BB126" i="39" s="1"/>
  <c r="AE14" i="39" a="1"/>
  <c r="AE14" i="39" s="1"/>
  <c r="AK110" i="39" a="1"/>
  <c r="AK110" i="39" s="1"/>
  <c r="BA110" i="39" s="1"/>
  <c r="AS101" i="39" a="1"/>
  <c r="AS101" i="39" s="1"/>
  <c r="AT102" i="39" a="1"/>
  <c r="AT102" i="39" s="1"/>
  <c r="AE102" i="39" a="1"/>
  <c r="AE102" i="39" s="1"/>
  <c r="AM31" i="39" a="1"/>
  <c r="AM31" i="39" s="1"/>
  <c r="AO29" i="39" a="1"/>
  <c r="AO29" i="39" s="1"/>
  <c r="AG13" i="39" a="1"/>
  <c r="AG13" i="39" s="1"/>
  <c r="AI74" i="39" a="1"/>
  <c r="AI74" i="39" s="1"/>
  <c r="AI118" i="39" a="1"/>
  <c r="AI118" i="39" s="1"/>
  <c r="AR92" i="39" a="1"/>
  <c r="AR92" i="39" s="1"/>
  <c r="AK126" i="39" a="1"/>
  <c r="AK126" i="39" s="1"/>
  <c r="BA126" i="39" s="1"/>
  <c r="AO14" i="39" a="1"/>
  <c r="AO14" i="39" s="1"/>
  <c r="AL110" i="39" a="1"/>
  <c r="AL110" i="39" s="1"/>
  <c r="BB101" i="39" a="1"/>
  <c r="BB101" i="39" s="1"/>
  <c r="AO75" i="39" a="1"/>
  <c r="AO75" i="39" s="1"/>
  <c r="AD65" i="39" a="1"/>
  <c r="AD65" i="39" s="1"/>
  <c r="AL57" i="39" a="1"/>
  <c r="AL57" i="39" s="1"/>
  <c r="AT97" i="39" a="1"/>
  <c r="AT97" i="39" s="1"/>
  <c r="AH94" i="39" a="1"/>
  <c r="AH94" i="39" s="1"/>
  <c r="AR78" i="39" a="1"/>
  <c r="AR78" i="39" s="1"/>
  <c r="AD106" i="39" a="1"/>
  <c r="AD106" i="39" s="1"/>
  <c r="AL80" i="39" a="1"/>
  <c r="AL80" i="39" s="1"/>
  <c r="AM80" i="39" a="1"/>
  <c r="AM80" i="39" s="1"/>
  <c r="AL19" i="39" a="1"/>
  <c r="AL19" i="39" s="1"/>
  <c r="AC19" i="39" a="1"/>
  <c r="AC19" i="39" s="1"/>
  <c r="AM35" i="39" a="1"/>
  <c r="AM35" i="39" s="1"/>
  <c r="Y35" i="39" a="1"/>
  <c r="Y35" i="39" s="1"/>
  <c r="AO47" i="39" a="1"/>
  <c r="AO47" i="39" s="1"/>
  <c r="AE47" i="39" a="1"/>
  <c r="AE47" i="39" s="1"/>
  <c r="AC47" i="39" a="1"/>
  <c r="AC47" i="39" s="1"/>
  <c r="AI79" i="39" a="1"/>
  <c r="AI79" i="39" s="1"/>
  <c r="AC79" i="39" a="1"/>
  <c r="AC79" i="39" s="1"/>
  <c r="AK79" i="39" a="1"/>
  <c r="AK79" i="39" s="1"/>
  <c r="BA79" i="39" s="1"/>
  <c r="AH79" i="39" a="1"/>
  <c r="AH79" i="39" s="1"/>
  <c r="AU79" i="39" a="1"/>
  <c r="AU79" i="39" s="1"/>
  <c r="AC80" i="39" a="1"/>
  <c r="AC80" i="39" s="1"/>
  <c r="AS80" i="39" a="1"/>
  <c r="AS80" i="39" s="1"/>
  <c r="AL79" i="39" a="1"/>
  <c r="AL79" i="39" s="1"/>
  <c r="AT79" i="39" a="1"/>
  <c r="AT79" i="39" s="1"/>
  <c r="AR80" i="39" a="1"/>
  <c r="AR80" i="39" s="1"/>
  <c r="AI80" i="39" a="1"/>
  <c r="AI80" i="39" s="1"/>
  <c r="AG80" i="39" a="1"/>
  <c r="AG80" i="39" s="1"/>
  <c r="AP80" i="39" a="1"/>
  <c r="AP80" i="39" s="1"/>
  <c r="AC35" i="39" a="1"/>
  <c r="AC35" i="39" s="1"/>
  <c r="AL35" i="39" a="1"/>
  <c r="AL35" i="39" s="1"/>
  <c r="AO79" i="39" a="1"/>
  <c r="AO79" i="39" s="1"/>
  <c r="AP79" i="39" a="1"/>
  <c r="AP79" i="39" s="1"/>
  <c r="Y79" i="39" a="1"/>
  <c r="Y79" i="39" s="1"/>
  <c r="Y19" i="39" a="1"/>
  <c r="Y19" i="39" s="1"/>
  <c r="AO80" i="39" a="1"/>
  <c r="AO80" i="39" s="1"/>
  <c r="AH80" i="39" a="1"/>
  <c r="AH80" i="39" s="1"/>
  <c r="BB80" i="39" a="1"/>
  <c r="BB80" i="39" s="1"/>
  <c r="AD80" i="39" a="1"/>
  <c r="AD80" i="39" s="1"/>
  <c r="AS79" i="39" a="1"/>
  <c r="AS79" i="39" s="1"/>
  <c r="AD79" i="39" a="1"/>
  <c r="AD79" i="39" s="1"/>
  <c r="AM79" i="39" a="1"/>
  <c r="AM79" i="39" s="1"/>
  <c r="BB19" i="39" a="1"/>
  <c r="BB19" i="39" s="1"/>
  <c r="AE50" i="39" a="1"/>
  <c r="AE50" i="39" s="1"/>
  <c r="AS50" i="39" a="1"/>
  <c r="AS50" i="39" s="1"/>
  <c r="AI50" i="39" a="1"/>
  <c r="AI50" i="39" s="1"/>
  <c r="AR50" i="39" a="1"/>
  <c r="AR50" i="39" s="1"/>
  <c r="Y50" i="39" a="1"/>
  <c r="Y50" i="39" s="1"/>
  <c r="AI26" i="39" a="1"/>
  <c r="AI26" i="39" s="1"/>
  <c r="AL26" i="39" a="1"/>
  <c r="AL26" i="39" s="1"/>
  <c r="AO26" i="39" a="1"/>
  <c r="AO26" i="39" s="1"/>
  <c r="AP35" i="39" a="1"/>
  <c r="AP35" i="39" s="1"/>
  <c r="AT35" i="39" a="1"/>
  <c r="AT35" i="39" s="1"/>
  <c r="AI35" i="39" a="1"/>
  <c r="AI35" i="39" s="1"/>
  <c r="AE35" i="39" a="1"/>
  <c r="AE35" i="39" s="1"/>
  <c r="AK84" i="39" a="1"/>
  <c r="AK84" i="39" s="1"/>
  <c r="BA84" i="39" s="1"/>
  <c r="AI84" i="39" a="1"/>
  <c r="AI84" i="39" s="1"/>
  <c r="AH84" i="39" a="1"/>
  <c r="AH84" i="39" s="1"/>
  <c r="AT84" i="39" a="1"/>
  <c r="AT84" i="39" s="1"/>
  <c r="BB84" i="39" a="1"/>
  <c r="BB84" i="39" s="1"/>
  <c r="AT42" i="39" a="1"/>
  <c r="AT42" i="39" s="1"/>
  <c r="AG42" i="39" a="1"/>
  <c r="AG42" i="39" s="1"/>
  <c r="AO42" i="39" a="1"/>
  <c r="AO42" i="39" s="1"/>
  <c r="AP49" i="39" a="1"/>
  <c r="AP49" i="39" s="1"/>
  <c r="AU49" i="39" a="1"/>
  <c r="AU49" i="39" s="1"/>
  <c r="Y49" i="39" a="1"/>
  <c r="Y49" i="39" s="1"/>
  <c r="AL49" i="39" a="1"/>
  <c r="AL49" i="39" s="1"/>
  <c r="AT19" i="39" a="1"/>
  <c r="AT19" i="39" s="1"/>
  <c r="AG19" i="39" a="1"/>
  <c r="AG19" i="39" s="1"/>
  <c r="AI19" i="39" a="1"/>
  <c r="AI19" i="39" s="1"/>
  <c r="AG47" i="39" a="1"/>
  <c r="AG47" i="39" s="1"/>
  <c r="AU47" i="39" a="1"/>
  <c r="AU47" i="39" s="1"/>
  <c r="Y47" i="39" a="1"/>
  <c r="Y47" i="39" s="1"/>
  <c r="AS47" i="39" a="1"/>
  <c r="AS47" i="39" s="1"/>
  <c r="AK47" i="39" a="1"/>
  <c r="AK47" i="39" s="1"/>
  <c r="BA47" i="39" s="1"/>
  <c r="AM19" i="39" a="1"/>
  <c r="AM19" i="39" s="1"/>
  <c r="AG50" i="39" a="1"/>
  <c r="AG50" i="39" s="1"/>
  <c r="AT50" i="39" a="1"/>
  <c r="AT50" i="39" s="1"/>
  <c r="AK35" i="39" a="1"/>
  <c r="AK35" i="39" s="1"/>
  <c r="BA35" i="39" s="1"/>
  <c r="AO35" i="39" a="1"/>
  <c r="AO35" i="39" s="1"/>
  <c r="AE84" i="39" a="1"/>
  <c r="AE84" i="39" s="1"/>
  <c r="AD84" i="39" a="1"/>
  <c r="AD84" i="39" s="1"/>
  <c r="AM84" i="39" a="1"/>
  <c r="AM84" i="39" s="1"/>
  <c r="AR49" i="39" a="1"/>
  <c r="AR49" i="39" s="1"/>
  <c r="AT49" i="39" a="1"/>
  <c r="AT49" i="39" s="1"/>
  <c r="AI49" i="39" a="1"/>
  <c r="AI49" i="39" s="1"/>
  <c r="AE19" i="39" a="1"/>
  <c r="AE19" i="39" s="1"/>
  <c r="AH19" i="39" a="1"/>
  <c r="AH19" i="39" s="1"/>
  <c r="AL47" i="39" a="1"/>
  <c r="AL47" i="39" s="1"/>
  <c r="AT47" i="39" a="1"/>
  <c r="AT47" i="39" s="1"/>
  <c r="AD47" i="39" a="1"/>
  <c r="AD47" i="39" s="1"/>
  <c r="AO19" i="39" a="1"/>
  <c r="AO19" i="39" s="1"/>
  <c r="AD19" i="39" a="1"/>
  <c r="AD19" i="39" s="1"/>
  <c r="AK19" i="39" a="1"/>
  <c r="AK19" i="39" s="1"/>
  <c r="BA19" i="39" s="1"/>
  <c r="AH329" i="7"/>
  <c r="AG328" i="7"/>
  <c r="GY144" i="39" l="1"/>
  <c r="GY145" i="39"/>
  <c r="GY82" i="39"/>
  <c r="GY155" i="39"/>
  <c r="GY148" i="39"/>
  <c r="GY142" i="39"/>
  <c r="GZ142" i="39" s="1"/>
  <c r="GY151" i="39"/>
  <c r="GY146" i="39"/>
  <c r="HA146" i="39" s="1"/>
  <c r="GY48" i="39"/>
  <c r="GZ48" i="39" s="1"/>
  <c r="GY107" i="39"/>
  <c r="GY33" i="39"/>
  <c r="GY41" i="39"/>
  <c r="GZ41" i="39" s="1"/>
  <c r="GY59" i="39"/>
  <c r="GY21" i="39"/>
  <c r="GY57" i="39"/>
  <c r="GY14" i="39"/>
  <c r="GY104" i="39"/>
  <c r="GY93" i="39"/>
  <c r="GY68" i="39"/>
  <c r="GY56" i="39"/>
  <c r="GY58" i="39"/>
  <c r="GY81" i="39"/>
  <c r="GY114" i="39"/>
  <c r="GY19" i="39"/>
  <c r="GY24" i="39"/>
  <c r="GY17" i="39"/>
  <c r="GY115" i="39"/>
  <c r="HC115" i="39" s="1"/>
  <c r="GY84" i="39"/>
  <c r="GY100" i="39"/>
  <c r="HA100" i="39" s="1"/>
  <c r="GY87" i="39"/>
  <c r="GY12" i="39"/>
  <c r="GZ12" i="39" s="1"/>
  <c r="GY86" i="39"/>
  <c r="GZ86" i="39" s="1"/>
  <c r="GY75" i="39"/>
  <c r="GY89" i="39"/>
  <c r="GY9" i="39"/>
  <c r="GY25" i="39"/>
  <c r="HA25" i="39" s="1"/>
  <c r="GY18" i="39"/>
  <c r="GY16" i="39"/>
  <c r="HA16" i="39" s="1"/>
  <c r="GY15" i="39"/>
  <c r="GY29" i="39"/>
  <c r="GX6" i="39"/>
  <c r="C26" i="42"/>
  <c r="GX7" i="39"/>
  <c r="AP19" i="39" s="1" a="1"/>
  <c r="AP19" i="39" s="1"/>
  <c r="C27" i="42"/>
  <c r="GX5" i="39"/>
  <c r="C24" i="42"/>
  <c r="BA11" i="39"/>
  <c r="GY52" i="39"/>
  <c r="GY102" i="39"/>
  <c r="GY171" i="39"/>
  <c r="GY42" i="39"/>
  <c r="GY13" i="39"/>
  <c r="GY11" i="39"/>
  <c r="BV3" i="39"/>
  <c r="BT3" i="39" s="1"/>
  <c r="AH330" i="7"/>
  <c r="AG329" i="7"/>
  <c r="HA148" i="39" l="1"/>
  <c r="GZ148" i="39"/>
  <c r="HA142" i="39"/>
  <c r="GZ151" i="39"/>
  <c r="HA151" i="39"/>
  <c r="GZ146" i="39"/>
  <c r="HA48" i="39"/>
  <c r="HC107" i="39"/>
  <c r="GZ107" i="39"/>
  <c r="HA107" i="39"/>
  <c r="AP25" i="39" a="1"/>
  <c r="AP25" i="39" s="1"/>
  <c r="AP26" i="39" a="1"/>
  <c r="AP26" i="39" s="1"/>
  <c r="HA41" i="39"/>
  <c r="AP23" i="39" a="1"/>
  <c r="AP23" i="39" s="1"/>
  <c r="AP24" i="39" a="1"/>
  <c r="AP24" i="39" s="1"/>
  <c r="HA59" i="39"/>
  <c r="GZ59" i="39"/>
  <c r="HA21" i="39"/>
  <c r="GZ21" i="39"/>
  <c r="AP21" i="39" a="1"/>
  <c r="AP21" i="39" s="1"/>
  <c r="AP22" i="39" a="1"/>
  <c r="AP22" i="39" s="1"/>
  <c r="GZ57" i="39"/>
  <c r="HA57" i="39"/>
  <c r="GZ14" i="39"/>
  <c r="HA14" i="39"/>
  <c r="HA93" i="39"/>
  <c r="HC93" i="39"/>
  <c r="GZ93" i="39"/>
  <c r="HC104" i="39"/>
  <c r="GZ104" i="39"/>
  <c r="HA104" i="39"/>
  <c r="AP15" i="39" a="1"/>
  <c r="AP15" i="39" s="1"/>
  <c r="AP20" i="39" a="1"/>
  <c r="AP20" i="39" s="1"/>
  <c r="GZ24" i="39"/>
  <c r="HA24" i="39"/>
  <c r="HC114" i="39"/>
  <c r="HA114" i="39"/>
  <c r="GZ114" i="39"/>
  <c r="GZ81" i="39"/>
  <c r="HA81" i="39"/>
  <c r="HA19" i="39"/>
  <c r="GZ19" i="39"/>
  <c r="HA58" i="39"/>
  <c r="GZ58" i="39"/>
  <c r="HA56" i="39"/>
  <c r="GZ56" i="39"/>
  <c r="GZ68" i="39"/>
  <c r="HA68" i="39"/>
  <c r="HD115" i="39"/>
  <c r="AR46" i="39" s="1" a="1"/>
  <c r="AR46" i="39" s="1"/>
  <c r="FA115" i="39"/>
  <c r="FB115" i="39" s="1"/>
  <c r="FC115" i="39" s="1"/>
  <c r="FD115" i="39" s="1"/>
  <c r="FE115" i="39" s="1"/>
  <c r="FF115" i="39" s="1"/>
  <c r="FG115" i="39" s="1"/>
  <c r="FH115" i="39" s="1"/>
  <c r="FI115" i="39" s="1"/>
  <c r="FJ115" i="39" s="1"/>
  <c r="FK115" i="39" s="1"/>
  <c r="FL115" i="39" s="1"/>
  <c r="FO115" i="39"/>
  <c r="FP115" i="39" s="1"/>
  <c r="FQ115" i="39" s="1"/>
  <c r="FR115" i="39" s="1"/>
  <c r="FS115" i="39" s="1"/>
  <c r="FT115" i="39" s="1"/>
  <c r="FU115" i="39" s="1"/>
  <c r="FV115" i="39" s="1"/>
  <c r="FW115" i="39" s="1"/>
  <c r="FX115" i="39" s="1"/>
  <c r="FY115" i="39" s="1"/>
  <c r="FZ115" i="39" s="1"/>
  <c r="GJ115" i="39"/>
  <c r="AU46" i="39" s="1" a="1"/>
  <c r="AU46" i="39" s="1"/>
  <c r="GK115" i="39"/>
  <c r="AV46" i="39" s="1" a="1"/>
  <c r="AV46" i="39" s="1"/>
  <c r="GZ115" i="39"/>
  <c r="HA115" i="39"/>
  <c r="GZ100" i="39"/>
  <c r="HC100" i="39"/>
  <c r="GK100" i="39" s="1"/>
  <c r="HA87" i="39"/>
  <c r="GZ87" i="39"/>
  <c r="FA100" i="39"/>
  <c r="FB100" i="39" s="1"/>
  <c r="FC100" i="39" s="1"/>
  <c r="FD100" i="39" s="1"/>
  <c r="FE100" i="39" s="1"/>
  <c r="FF100" i="39" s="1"/>
  <c r="FG100" i="39" s="1"/>
  <c r="FH100" i="39" s="1"/>
  <c r="FI100" i="39" s="1"/>
  <c r="FJ100" i="39" s="1"/>
  <c r="FK100" i="39" s="1"/>
  <c r="FL100" i="39" s="1"/>
  <c r="HA12" i="39"/>
  <c r="HA86" i="39"/>
  <c r="GZ75" i="39"/>
  <c r="HA75" i="39"/>
  <c r="HA9" i="39"/>
  <c r="HC9" i="39"/>
  <c r="GZ9" i="39"/>
  <c r="HC89" i="39"/>
  <c r="HA89" i="39"/>
  <c r="GZ89" i="39"/>
  <c r="AP18" i="39" a="1"/>
  <c r="AP18" i="39" s="1"/>
  <c r="AP16" i="39" a="1"/>
  <c r="AP16" i="39" s="1"/>
  <c r="AP14" i="39" a="1"/>
  <c r="AP14" i="39" s="1"/>
  <c r="HC25" i="39"/>
  <c r="GJ25" i="39" s="1"/>
  <c r="GZ25" i="39"/>
  <c r="GZ18" i="39"/>
  <c r="HA18" i="39"/>
  <c r="AP17" i="39" a="1"/>
  <c r="AP17" i="39" s="1"/>
  <c r="AP13" i="39" a="1"/>
  <c r="AP13" i="39" s="1"/>
  <c r="GZ16" i="39"/>
  <c r="GZ15" i="39"/>
  <c r="HA15" i="39"/>
  <c r="GZ102" i="39"/>
  <c r="HC102" i="39"/>
  <c r="HA102" i="39"/>
  <c r="AH331" i="7"/>
  <c r="AG330" i="7"/>
  <c r="FO100" i="39" l="1"/>
  <c r="FP100" i="39" s="1"/>
  <c r="FQ100" i="39" s="1"/>
  <c r="FR100" i="39" s="1"/>
  <c r="FS100" i="39" s="1"/>
  <c r="FT100" i="39" s="1"/>
  <c r="FU100" i="39" s="1"/>
  <c r="FV100" i="39" s="1"/>
  <c r="FW100" i="39" s="1"/>
  <c r="FX100" i="39" s="1"/>
  <c r="FY100" i="39" s="1"/>
  <c r="FZ100" i="39" s="1"/>
  <c r="GK107" i="39"/>
  <c r="HD107" i="39"/>
  <c r="HE107" i="39" s="1"/>
  <c r="FA107" i="39"/>
  <c r="FB107" i="39" s="1"/>
  <c r="FC107" i="39" s="1"/>
  <c r="FD107" i="39" s="1"/>
  <c r="FE107" i="39" s="1"/>
  <c r="FF107" i="39" s="1"/>
  <c r="FG107" i="39" s="1"/>
  <c r="FH107" i="39" s="1"/>
  <c r="FI107" i="39" s="1"/>
  <c r="FJ107" i="39" s="1"/>
  <c r="FK107" i="39" s="1"/>
  <c r="FL107" i="39" s="1"/>
  <c r="FO107" i="39"/>
  <c r="FP107" i="39" s="1"/>
  <c r="FQ107" i="39" s="1"/>
  <c r="FR107" i="39" s="1"/>
  <c r="FS107" i="39" s="1"/>
  <c r="FT107" i="39" s="1"/>
  <c r="FU107" i="39" s="1"/>
  <c r="FV107" i="39" s="1"/>
  <c r="FW107" i="39" s="1"/>
  <c r="FX107" i="39" s="1"/>
  <c r="FY107" i="39" s="1"/>
  <c r="FZ107" i="39" s="1"/>
  <c r="GJ107" i="39"/>
  <c r="FO104" i="39"/>
  <c r="FP104" i="39" s="1"/>
  <c r="FQ104" i="39" s="1"/>
  <c r="FR104" i="39" s="1"/>
  <c r="FS104" i="39" s="1"/>
  <c r="FT104" i="39" s="1"/>
  <c r="FU104" i="39" s="1"/>
  <c r="FV104" i="39" s="1"/>
  <c r="FW104" i="39" s="1"/>
  <c r="FX104" i="39" s="1"/>
  <c r="FY104" i="39" s="1"/>
  <c r="FZ104" i="39" s="1"/>
  <c r="GK104" i="39"/>
  <c r="FA104" i="39"/>
  <c r="FB104" i="39" s="1"/>
  <c r="FC104" i="39" s="1"/>
  <c r="FD104" i="39" s="1"/>
  <c r="FE104" i="39" s="1"/>
  <c r="FF104" i="39" s="1"/>
  <c r="FG104" i="39" s="1"/>
  <c r="FH104" i="39" s="1"/>
  <c r="FI104" i="39" s="1"/>
  <c r="FJ104" i="39" s="1"/>
  <c r="FK104" i="39" s="1"/>
  <c r="FL104" i="39" s="1"/>
  <c r="GJ104" i="39"/>
  <c r="HD104" i="39"/>
  <c r="HE104" i="39" s="1"/>
  <c r="FO93" i="39"/>
  <c r="FP93" i="39" s="1"/>
  <c r="FQ93" i="39" s="1"/>
  <c r="FR93" i="39" s="1"/>
  <c r="FS93" i="39" s="1"/>
  <c r="FT93" i="39" s="1"/>
  <c r="FU93" i="39" s="1"/>
  <c r="FV93" i="39" s="1"/>
  <c r="FW93" i="39" s="1"/>
  <c r="FX93" i="39" s="1"/>
  <c r="FY93" i="39" s="1"/>
  <c r="FZ93" i="39" s="1"/>
  <c r="FA93" i="39"/>
  <c r="FB93" i="39" s="1"/>
  <c r="FC93" i="39" s="1"/>
  <c r="FD93" i="39" s="1"/>
  <c r="FE93" i="39" s="1"/>
  <c r="FF93" i="39" s="1"/>
  <c r="FG93" i="39" s="1"/>
  <c r="FH93" i="39" s="1"/>
  <c r="FI93" i="39" s="1"/>
  <c r="FJ93" i="39" s="1"/>
  <c r="FK93" i="39" s="1"/>
  <c r="FL93" i="39" s="1"/>
  <c r="GK93" i="39"/>
  <c r="GJ93" i="39"/>
  <c r="HD93" i="39"/>
  <c r="HE93" i="39" s="1"/>
  <c r="HD114" i="39"/>
  <c r="AR43" i="39" s="1" a="1"/>
  <c r="AR43" i="39" s="1"/>
  <c r="GJ114" i="39"/>
  <c r="GK114" i="39"/>
  <c r="AV44" i="39" s="1" a="1"/>
  <c r="AV44" i="39" s="1"/>
  <c r="FO114" i="39"/>
  <c r="FP114" i="39" s="1"/>
  <c r="FQ114" i="39" s="1"/>
  <c r="FR114" i="39" s="1"/>
  <c r="FS114" i="39" s="1"/>
  <c r="FT114" i="39" s="1"/>
  <c r="FU114" i="39" s="1"/>
  <c r="FV114" i="39" s="1"/>
  <c r="FW114" i="39" s="1"/>
  <c r="FX114" i="39" s="1"/>
  <c r="FY114" i="39" s="1"/>
  <c r="FZ114" i="39" s="1"/>
  <c r="FA114" i="39"/>
  <c r="FB114" i="39" s="1"/>
  <c r="FC114" i="39" s="1"/>
  <c r="FD114" i="39" s="1"/>
  <c r="FE114" i="39" s="1"/>
  <c r="FF114" i="39" s="1"/>
  <c r="FG114" i="39" s="1"/>
  <c r="FH114" i="39" s="1"/>
  <c r="FI114" i="39" s="1"/>
  <c r="FJ114" i="39" s="1"/>
  <c r="FK114" i="39" s="1"/>
  <c r="FL114" i="39" s="1"/>
  <c r="HE115" i="39"/>
  <c r="GJ100" i="39"/>
  <c r="HD100" i="39"/>
  <c r="HE100" i="39" s="1"/>
  <c r="FO89" i="39"/>
  <c r="FP89" i="39" s="1"/>
  <c r="FQ89" i="39" s="1"/>
  <c r="FR89" i="39" s="1"/>
  <c r="FS89" i="39" s="1"/>
  <c r="FT89" i="39" s="1"/>
  <c r="FU89" i="39" s="1"/>
  <c r="FV89" i="39" s="1"/>
  <c r="FW89" i="39" s="1"/>
  <c r="FX89" i="39" s="1"/>
  <c r="FY89" i="39" s="1"/>
  <c r="FZ89" i="39" s="1"/>
  <c r="GK89" i="39"/>
  <c r="FA89" i="39"/>
  <c r="FB89" i="39" s="1"/>
  <c r="FC89" i="39" s="1"/>
  <c r="FD89" i="39" s="1"/>
  <c r="FE89" i="39" s="1"/>
  <c r="FF89" i="39" s="1"/>
  <c r="FG89" i="39" s="1"/>
  <c r="FH89" i="39" s="1"/>
  <c r="FI89" i="39" s="1"/>
  <c r="FJ89" i="39" s="1"/>
  <c r="FK89" i="39" s="1"/>
  <c r="FL89" i="39" s="1"/>
  <c r="GJ89" i="39"/>
  <c r="HD89" i="39"/>
  <c r="HE89" i="39" s="1"/>
  <c r="FO9" i="39"/>
  <c r="FP9" i="39" s="1"/>
  <c r="FQ9" i="39" s="1"/>
  <c r="FR9" i="39" s="1"/>
  <c r="FS9" i="39" s="1"/>
  <c r="GK9" i="39"/>
  <c r="GJ9" i="39"/>
  <c r="FA9" i="39"/>
  <c r="FB9" i="39" s="1"/>
  <c r="FC9" i="39" s="1"/>
  <c r="FD9" i="39" s="1"/>
  <c r="FE9" i="39" s="1"/>
  <c r="HD9" i="39"/>
  <c r="HE9" i="39" s="1"/>
  <c r="FA25" i="39"/>
  <c r="FB25" i="39" s="1"/>
  <c r="FC25" i="39" s="1"/>
  <c r="FD25" i="39" s="1"/>
  <c r="FE25" i="39" s="1"/>
  <c r="FF25" i="39" s="1"/>
  <c r="FG25" i="39" s="1"/>
  <c r="FH25" i="39" s="1"/>
  <c r="FI25" i="39" s="1"/>
  <c r="FJ25" i="39" s="1"/>
  <c r="FK25" i="39" s="1"/>
  <c r="FL25" i="39" s="1"/>
  <c r="HD25" i="39"/>
  <c r="HE25" i="39" s="1"/>
  <c r="HG25" i="39" s="1" a="1"/>
  <c r="HG25" i="39" s="1"/>
  <c r="FO25" i="39"/>
  <c r="FP25" i="39" s="1"/>
  <c r="FQ25" i="39" s="1"/>
  <c r="FR25" i="39" s="1"/>
  <c r="FS25" i="39" s="1"/>
  <c r="FT25" i="39" s="1"/>
  <c r="FU25" i="39" s="1"/>
  <c r="FV25" i="39" s="1"/>
  <c r="FW25" i="39" s="1"/>
  <c r="FX25" i="39" s="1"/>
  <c r="FY25" i="39" s="1"/>
  <c r="FZ25" i="39" s="1"/>
  <c r="GK25" i="39"/>
  <c r="FO102" i="39"/>
  <c r="GK102" i="39"/>
  <c r="FA102" i="39"/>
  <c r="HD102" i="39"/>
  <c r="HE102" i="39" s="1"/>
  <c r="GJ102" i="39"/>
  <c r="AG331" i="7"/>
  <c r="AH332" i="7"/>
  <c r="AU44" i="39" l="1" a="1"/>
  <c r="AU44" i="39" s="1"/>
  <c r="AU45" i="39" a="1"/>
  <c r="AU45" i="39" s="1"/>
  <c r="AV45" i="39" a="1"/>
  <c r="AV45" i="39" s="1"/>
  <c r="AS46" i="39" a="1"/>
  <c r="AS46" i="39" s="1"/>
  <c r="AR45" i="39" a="1"/>
  <c r="AR45" i="39" s="1"/>
  <c r="AR44" i="39" a="1"/>
  <c r="AR44" i="39" s="1"/>
  <c r="AU42" i="39" a="1"/>
  <c r="AU42" i="39" s="1"/>
  <c r="AU43" i="39" a="1"/>
  <c r="AU43" i="39" s="1"/>
  <c r="AV43" i="39" a="1"/>
  <c r="AV43" i="39" s="1"/>
  <c r="AV42" i="39" a="1"/>
  <c r="AV42" i="39" s="1"/>
  <c r="AR42" i="39" a="1"/>
  <c r="AR42" i="39" s="1"/>
  <c r="AR41" i="39" a="1"/>
  <c r="AR41" i="39" s="1"/>
  <c r="HG107" i="39" a="1"/>
  <c r="HG107" i="39" s="1"/>
  <c r="HH107" i="39" a="1"/>
  <c r="HH107" i="39" s="1"/>
  <c r="HG104" i="39" a="1"/>
  <c r="HG104" i="39" s="1"/>
  <c r="HG93" i="39" a="1"/>
  <c r="HG93" i="39" s="1"/>
  <c r="HH93" i="39" a="1"/>
  <c r="HH93" i="39" s="1"/>
  <c r="HH104" i="39" a="1"/>
  <c r="HH104" i="39" s="1"/>
  <c r="HE114" i="39"/>
  <c r="AS43" i="39" s="1" a="1"/>
  <c r="AS43" i="39" s="1"/>
  <c r="HH115" i="39" a="1"/>
  <c r="HH115" i="39" s="1"/>
  <c r="HG115" i="39" a="1"/>
  <c r="HG115" i="39" s="1"/>
  <c r="BC46" i="39" s="1"/>
  <c r="HG100" i="39" a="1"/>
  <c r="HG100" i="39" s="1"/>
  <c r="HH100" i="39" a="1"/>
  <c r="HH100" i="39" s="1"/>
  <c r="HH25" i="39" a="1"/>
  <c r="HH25" i="39" s="1"/>
  <c r="HH102" i="39" a="1"/>
  <c r="HH102" i="39" s="1"/>
  <c r="HH9" i="39" a="1"/>
  <c r="HH9" i="39" s="1"/>
  <c r="HH89" i="39" a="1"/>
  <c r="HH89" i="39" s="1"/>
  <c r="HG89" i="39" a="1"/>
  <c r="HG89" i="39" s="1"/>
  <c r="HG102" i="39" a="1"/>
  <c r="HG102" i="39" s="1"/>
  <c r="HG9" i="39" a="1"/>
  <c r="HG9" i="39" s="1"/>
  <c r="FP102" i="39"/>
  <c r="FB102" i="39"/>
  <c r="AH333" i="7"/>
  <c r="AG332" i="7"/>
  <c r="FF9" i="39"/>
  <c r="FT9" i="39"/>
  <c r="AS45" i="39" l="1" a="1"/>
  <c r="AS45" i="39" s="1"/>
  <c r="AS44" i="39" a="1"/>
  <c r="AS44" i="39" s="1"/>
  <c r="AS42" i="39" a="1"/>
  <c r="AS42" i="39" s="1"/>
  <c r="AS41" i="39" a="1"/>
  <c r="AS41" i="39" s="1"/>
  <c r="HG114" i="39" a="1"/>
  <c r="HG114" i="39" s="1"/>
  <c r="BC42" i="39" s="1"/>
  <c r="HH114" i="39" a="1"/>
  <c r="HH114" i="39" s="1"/>
  <c r="FC102" i="39"/>
  <c r="FQ102" i="39"/>
  <c r="GZ13" i="39"/>
  <c r="HA13" i="39"/>
  <c r="AG333" i="7"/>
  <c r="AH334" i="7"/>
  <c r="FU9" i="39"/>
  <c r="FG9" i="39"/>
  <c r="BC45" i="39" l="1"/>
  <c r="BC44" i="39"/>
  <c r="BC43" i="39"/>
  <c r="BC41" i="39"/>
  <c r="FD102" i="39"/>
  <c r="FR102" i="39"/>
  <c r="AH335" i="7"/>
  <c r="AG334" i="7"/>
  <c r="FH9" i="39"/>
  <c r="FV9" i="39"/>
  <c r="FE102" i="39" l="1"/>
  <c r="FS102" i="39"/>
  <c r="AH336" i="7"/>
  <c r="AG335" i="7"/>
  <c r="FW9" i="39"/>
  <c r="FI9" i="39"/>
  <c r="FF102" i="39" l="1"/>
  <c r="FT102" i="39"/>
  <c r="AH337" i="7"/>
  <c r="AG337" i="7" s="1"/>
  <c r="AG336" i="7"/>
  <c r="FJ9" i="39"/>
  <c r="FX9" i="39"/>
  <c r="FG102" i="39" l="1"/>
  <c r="FU102" i="39"/>
  <c r="AG339" i="7"/>
  <c r="P7" i="7" s="1"/>
  <c r="FY9" i="39"/>
  <c r="FK9" i="39"/>
  <c r="FV102" i="39" l="1"/>
  <c r="FH102" i="39"/>
  <c r="L350" i="7"/>
  <c r="P8" i="7"/>
  <c r="J350" i="7" s="1"/>
  <c r="J352" i="7" s="1"/>
  <c r="FL9" i="39"/>
  <c r="FZ9" i="39"/>
  <c r="GG8" i="39"/>
  <c r="AJ14" i="39" l="1" a="1"/>
  <c r="AJ14" i="39" s="1"/>
  <c r="AJ22" i="39" a="1"/>
  <c r="AJ22" i="39" s="1"/>
  <c r="AJ15" i="39" a="1"/>
  <c r="AJ15" i="39" s="1"/>
  <c r="AJ19" i="39" a="1"/>
  <c r="AJ19" i="39" s="1"/>
  <c r="AJ17" i="39" a="1"/>
  <c r="AJ17" i="39" s="1"/>
  <c r="AJ18" i="39" a="1"/>
  <c r="AJ18" i="39" s="1"/>
  <c r="AJ16" i="39" a="1"/>
  <c r="AJ16" i="39" s="1"/>
  <c r="AJ13" i="39" a="1"/>
  <c r="AJ13" i="39" s="1"/>
  <c r="AJ21" i="39" a="1"/>
  <c r="AJ21" i="39" s="1"/>
  <c r="AJ20" i="39" a="1"/>
  <c r="AJ20" i="39" s="1"/>
  <c r="FI102" i="39"/>
  <c r="FW102" i="39"/>
  <c r="D30" i="42"/>
  <c r="E45" i="7"/>
  <c r="J58" i="7"/>
  <c r="J344" i="7" s="1"/>
  <c r="L352" i="7"/>
  <c r="J353" i="7"/>
  <c r="FJ102" i="39" l="1"/>
  <c r="FX102" i="39"/>
  <c r="P354" i="7"/>
  <c r="P356" i="7" s="1"/>
  <c r="A355" i="7" s="1"/>
  <c r="A356" i="7"/>
  <c r="FY102" i="39" l="1"/>
  <c r="FK102" i="39"/>
  <c r="FL102" i="39" l="1"/>
  <c r="FZ102" i="39"/>
  <c r="HC13" i="39" l="1"/>
  <c r="FO13" i="39" l="1"/>
  <c r="FP13" i="39" s="1"/>
  <c r="FQ13" i="39" s="1"/>
  <c r="FR13" i="39" s="1"/>
  <c r="FS13" i="39" s="1"/>
  <c r="FT13" i="39" s="1"/>
  <c r="FU13" i="39" s="1"/>
  <c r="FV13" i="39" s="1"/>
  <c r="FW13" i="39" s="1"/>
  <c r="FX13" i="39" s="1"/>
  <c r="FY13" i="39" s="1"/>
  <c r="FZ13" i="39" s="1"/>
  <c r="GK13" i="39"/>
  <c r="FA13" i="39"/>
  <c r="FB13" i="39" s="1"/>
  <c r="FC13" i="39" s="1"/>
  <c r="FD13" i="39" s="1"/>
  <c r="FE13" i="39" s="1"/>
  <c r="FF13" i="39" s="1"/>
  <c r="FG13" i="39" s="1"/>
  <c r="FH13" i="39" s="1"/>
  <c r="FI13" i="39" s="1"/>
  <c r="FJ13" i="39" s="1"/>
  <c r="FK13" i="39" s="1"/>
  <c r="FL13" i="39" s="1"/>
  <c r="GJ13" i="39"/>
  <c r="HD13" i="39"/>
  <c r="HE13" i="39" s="1"/>
  <c r="HG13" i="39" l="1" a="1"/>
  <c r="HG13" i="39" s="1"/>
  <c r="HH13" i="39" a="1"/>
  <c r="HH13" i="39" s="1"/>
  <c r="HC171" i="39"/>
  <c r="GZ171" i="39" s="1"/>
  <c r="HA171" i="39" l="1"/>
  <c r="GK171" i="39"/>
  <c r="HD171" i="39"/>
  <c r="GJ171" i="39"/>
  <c r="HE171" i="39" l="1"/>
  <c r="GZ42" i="39" l="1"/>
  <c r="HA42" i="39"/>
  <c r="HC18" i="39" l="1"/>
  <c r="FA18" i="39" s="1"/>
  <c r="FB18" i="39" s="1"/>
  <c r="FC18" i="39" s="1"/>
  <c r="FD18" i="39" s="1"/>
  <c r="FE18" i="39" s="1"/>
  <c r="FF18" i="39" s="1"/>
  <c r="FG18" i="39" s="1"/>
  <c r="FH18" i="39" s="1"/>
  <c r="FI18" i="39" s="1"/>
  <c r="FJ18" i="39" s="1"/>
  <c r="FK18" i="39" s="1"/>
  <c r="FL18" i="39" s="1"/>
  <c r="HC12" i="39"/>
  <c r="HC75" i="39"/>
  <c r="HC16" i="39"/>
  <c r="HC15" i="39"/>
  <c r="GK15" i="39" s="1"/>
  <c r="HC42" i="39"/>
  <c r="GK18" i="39" l="1"/>
  <c r="HD18" i="39"/>
  <c r="HE18" i="39" s="1"/>
  <c r="GJ18" i="39"/>
  <c r="FO18" i="39"/>
  <c r="FP18" i="39" s="1"/>
  <c r="FQ18" i="39" s="1"/>
  <c r="FR18" i="39" s="1"/>
  <c r="FS18" i="39" s="1"/>
  <c r="FT18" i="39" s="1"/>
  <c r="FU18" i="39" s="1"/>
  <c r="FV18" i="39" s="1"/>
  <c r="FW18" i="39" s="1"/>
  <c r="FX18" i="39" s="1"/>
  <c r="FY18" i="39" s="1"/>
  <c r="FZ18" i="39" s="1"/>
  <c r="HD12" i="39"/>
  <c r="HE12" i="39" s="1"/>
  <c r="FO12" i="39"/>
  <c r="FP12" i="39" s="1"/>
  <c r="FQ12" i="39" s="1"/>
  <c r="FR12" i="39" s="1"/>
  <c r="FS12" i="39" s="1"/>
  <c r="FT12" i="39" s="1"/>
  <c r="FU12" i="39" s="1"/>
  <c r="FV12" i="39" s="1"/>
  <c r="FW12" i="39" s="1"/>
  <c r="FX12" i="39" s="1"/>
  <c r="FY12" i="39" s="1"/>
  <c r="FZ12" i="39" s="1"/>
  <c r="FA12" i="39"/>
  <c r="FB12" i="39" s="1"/>
  <c r="FC12" i="39" s="1"/>
  <c r="FD12" i="39" s="1"/>
  <c r="FE12" i="39" s="1"/>
  <c r="FF12" i="39" s="1"/>
  <c r="FG12" i="39" s="1"/>
  <c r="FH12" i="39" s="1"/>
  <c r="FI12" i="39" s="1"/>
  <c r="FJ12" i="39" s="1"/>
  <c r="FK12" i="39" s="1"/>
  <c r="FL12" i="39" s="1"/>
  <c r="GK12" i="39"/>
  <c r="GJ12" i="39"/>
  <c r="FA75" i="39"/>
  <c r="FB75" i="39" s="1"/>
  <c r="FC75" i="39" s="1"/>
  <c r="FD75" i="39" s="1"/>
  <c r="FE75" i="39" s="1"/>
  <c r="FF75" i="39" s="1"/>
  <c r="FG75" i="39" s="1"/>
  <c r="FH75" i="39" s="1"/>
  <c r="FI75" i="39" s="1"/>
  <c r="FJ75" i="39" s="1"/>
  <c r="FK75" i="39" s="1"/>
  <c r="FL75" i="39" s="1"/>
  <c r="GJ75" i="39"/>
  <c r="FO75" i="39"/>
  <c r="FP75" i="39" s="1"/>
  <c r="FQ75" i="39" s="1"/>
  <c r="FR75" i="39" s="1"/>
  <c r="FS75" i="39" s="1"/>
  <c r="FT75" i="39" s="1"/>
  <c r="FU75" i="39" s="1"/>
  <c r="FV75" i="39" s="1"/>
  <c r="FW75" i="39" s="1"/>
  <c r="FX75" i="39" s="1"/>
  <c r="FY75" i="39" s="1"/>
  <c r="FZ75" i="39" s="1"/>
  <c r="GK75" i="39"/>
  <c r="HD75" i="39"/>
  <c r="HE75" i="39" s="1"/>
  <c r="HD16" i="39"/>
  <c r="HE16" i="39" s="1"/>
  <c r="GJ16" i="39"/>
  <c r="FA16" i="39"/>
  <c r="GK16" i="39"/>
  <c r="FO16" i="39"/>
  <c r="FA15" i="39"/>
  <c r="FB15" i="39" s="1"/>
  <c r="FC15" i="39" s="1"/>
  <c r="FD15" i="39" s="1"/>
  <c r="FE15" i="39" s="1"/>
  <c r="FF15" i="39" s="1"/>
  <c r="FG15" i="39" s="1"/>
  <c r="FH15" i="39" s="1"/>
  <c r="FI15" i="39" s="1"/>
  <c r="FJ15" i="39" s="1"/>
  <c r="FK15" i="39" s="1"/>
  <c r="FL15" i="39" s="1"/>
  <c r="FO15" i="39"/>
  <c r="FP15" i="39" s="1"/>
  <c r="FQ15" i="39" s="1"/>
  <c r="FR15" i="39" s="1"/>
  <c r="FS15" i="39" s="1"/>
  <c r="FT15" i="39" s="1"/>
  <c r="FU15" i="39" s="1"/>
  <c r="FV15" i="39" s="1"/>
  <c r="FW15" i="39" s="1"/>
  <c r="FX15" i="39" s="1"/>
  <c r="FY15" i="39" s="1"/>
  <c r="FZ15" i="39" s="1"/>
  <c r="GJ15" i="39"/>
  <c r="HD15" i="39"/>
  <c r="HE15" i="39" s="1"/>
  <c r="HH15" i="39" s="1" a="1"/>
  <c r="HH15" i="39" s="1"/>
  <c r="FA42" i="39"/>
  <c r="GK42" i="39"/>
  <c r="GJ42" i="39"/>
  <c r="HD42" i="39"/>
  <c r="FO42" i="39"/>
  <c r="HG18" i="39" l="1" a="1"/>
  <c r="HG18" i="39" s="1"/>
  <c r="HH18" i="39" a="1"/>
  <c r="HH18" i="39" s="1"/>
  <c r="HH12" i="39" a="1"/>
  <c r="HH12" i="39" s="1"/>
  <c r="HH16" i="39" a="1"/>
  <c r="HH16" i="39" s="1"/>
  <c r="HG12" i="39" a="1"/>
  <c r="HG12" i="39" s="1"/>
  <c r="HH75" i="39" a="1"/>
  <c r="HH75" i="39" s="1"/>
  <c r="HG75" i="39" a="1"/>
  <c r="HG75" i="39" s="1"/>
  <c r="HG15" i="39" a="1"/>
  <c r="HG15" i="39" s="1"/>
  <c r="HG16" i="39" a="1"/>
  <c r="HG16" i="39" s="1"/>
  <c r="GJ8" i="39"/>
  <c r="AU41" i="39" s="1" a="1"/>
  <c r="AU41" i="39" s="1"/>
  <c r="AS14" i="39" a="1"/>
  <c r="AS14" i="39" s="1"/>
  <c r="GK8" i="39"/>
  <c r="FB16" i="39"/>
  <c r="FA8" i="39"/>
  <c r="E5" i="42" s="1"/>
  <c r="FP16" i="39"/>
  <c r="FO8" i="39"/>
  <c r="F5" i="42" s="1"/>
  <c r="HE42" i="39"/>
  <c r="HH42" i="39" s="1" a="1"/>
  <c r="HH42" i="39" s="1"/>
  <c r="FP42" i="39"/>
  <c r="FB42" i="39"/>
  <c r="AV41" i="39" l="1" a="1"/>
  <c r="AV41" i="39" s="1"/>
  <c r="AU14" i="39" a="1"/>
  <c r="AU14" i="39" s="1"/>
  <c r="HC87" i="39"/>
  <c r="HG42" i="39" a="1"/>
  <c r="HG42" i="39" s="1"/>
  <c r="BC14" i="39"/>
  <c r="FC16" i="39"/>
  <c r="FB8" i="39"/>
  <c r="H5" i="42" s="1"/>
  <c r="FQ16" i="39"/>
  <c r="FP8" i="39"/>
  <c r="I5" i="42" s="1"/>
  <c r="FC42" i="39"/>
  <c r="FQ42" i="39"/>
  <c r="FA87" i="39" l="1"/>
  <c r="FB87" i="39" s="1"/>
  <c r="FC87" i="39" s="1"/>
  <c r="FD87" i="39" s="1"/>
  <c r="FE87" i="39" s="1"/>
  <c r="FF87" i="39" s="1"/>
  <c r="FG87" i="39" s="1"/>
  <c r="FH87" i="39" s="1"/>
  <c r="FI87" i="39" s="1"/>
  <c r="FJ87" i="39" s="1"/>
  <c r="FK87" i="39" s="1"/>
  <c r="FL87" i="39" s="1"/>
  <c r="FO87" i="39"/>
  <c r="FP87" i="39" s="1"/>
  <c r="FQ87" i="39" s="1"/>
  <c r="FR87" i="39" s="1"/>
  <c r="FS87" i="39" s="1"/>
  <c r="FT87" i="39" s="1"/>
  <c r="FU87" i="39" s="1"/>
  <c r="FV87" i="39" s="1"/>
  <c r="FW87" i="39" s="1"/>
  <c r="FX87" i="39" s="1"/>
  <c r="FY87" i="39" s="1"/>
  <c r="FZ87" i="39" s="1"/>
  <c r="GJ87" i="39"/>
  <c r="GK87" i="39"/>
  <c r="HD87" i="39"/>
  <c r="HE87" i="39" s="1"/>
  <c r="FR16" i="39"/>
  <c r="FQ8" i="39"/>
  <c r="L5" i="42" s="1"/>
  <c r="FD16" i="39"/>
  <c r="FC8" i="39"/>
  <c r="K5" i="42" s="1"/>
  <c r="FD42" i="39"/>
  <c r="FR42" i="39"/>
  <c r="HH87" i="39" l="1" a="1"/>
  <c r="HH87" i="39" s="1"/>
  <c r="HG87" i="39" a="1"/>
  <c r="HG87" i="39" s="1"/>
  <c r="FE16" i="39"/>
  <c r="FD8" i="39"/>
  <c r="N5" i="42" s="1"/>
  <c r="FS16" i="39"/>
  <c r="FR8" i="39"/>
  <c r="O5" i="42" s="1"/>
  <c r="FE42" i="39"/>
  <c r="FS42" i="39"/>
  <c r="FT16" i="39" l="1"/>
  <c r="FS8" i="39"/>
  <c r="R5" i="42" s="1"/>
  <c r="FF16" i="39"/>
  <c r="FE8" i="39"/>
  <c r="Q5" i="42" s="1"/>
  <c r="FT42" i="39"/>
  <c r="FF42" i="39"/>
  <c r="FG16" i="39" l="1"/>
  <c r="FF8" i="39"/>
  <c r="T5" i="42" s="1"/>
  <c r="FU16" i="39"/>
  <c r="FT8" i="39"/>
  <c r="U5" i="42" s="1"/>
  <c r="FG42" i="39"/>
  <c r="FU42" i="39"/>
  <c r="FV16" i="39" l="1"/>
  <c r="FU8" i="39"/>
  <c r="X5" i="42" s="1"/>
  <c r="FH16" i="39"/>
  <c r="FG8" i="39"/>
  <c r="W5" i="42" s="1"/>
  <c r="FV42" i="39"/>
  <c r="FH42" i="39"/>
  <c r="FI16" i="39" l="1"/>
  <c r="FH8" i="39"/>
  <c r="Z5" i="42" s="1"/>
  <c r="FW16" i="39"/>
  <c r="FV8" i="39"/>
  <c r="AA5" i="42" s="1"/>
  <c r="FI42" i="39"/>
  <c r="FW42" i="39"/>
  <c r="FX16" i="39" l="1"/>
  <c r="FW8" i="39"/>
  <c r="AD5" i="42" s="1"/>
  <c r="FJ16" i="39"/>
  <c r="FI8" i="39"/>
  <c r="AC5" i="42" s="1"/>
  <c r="FX42" i="39"/>
  <c r="FJ42" i="39"/>
  <c r="FK16" i="39" l="1"/>
  <c r="FJ8" i="39"/>
  <c r="AF5" i="42" s="1"/>
  <c r="FY16" i="39"/>
  <c r="FX8" i="39"/>
  <c r="AG5" i="42" s="1"/>
  <c r="FY42" i="39"/>
  <c r="FK42" i="39"/>
  <c r="FZ16" i="39" l="1"/>
  <c r="FZ8" i="39" s="1"/>
  <c r="AM5" i="42" s="1"/>
  <c r="FY8" i="39"/>
  <c r="AJ5" i="42" s="1"/>
  <c r="FL16" i="39"/>
  <c r="FL8" i="39" s="1"/>
  <c r="AL5" i="42" s="1"/>
  <c r="FK8" i="39"/>
  <c r="AI5" i="42" s="1"/>
  <c r="FL42" i="39"/>
  <c r="FZ42" i="39"/>
  <c r="HC84" i="39" l="1"/>
  <c r="HD84" i="39" s="1"/>
  <c r="HE84" i="39" s="1"/>
  <c r="FA84" i="39"/>
  <c r="FB84" i="39" s="1"/>
  <c r="FC84" i="39" s="1"/>
  <c r="FD84" i="39" s="1"/>
  <c r="FE84" i="39" s="1"/>
  <c r="FF84" i="39" s="1"/>
  <c r="FG84" i="39" s="1"/>
  <c r="FH84" i="39" s="1"/>
  <c r="FI84" i="39" s="1"/>
  <c r="FJ84" i="39" s="1"/>
  <c r="FK84" i="39" s="1"/>
  <c r="FL84" i="39" s="1"/>
  <c r="FO84" i="39" l="1"/>
  <c r="FP84" i="39" s="1"/>
  <c r="FQ84" i="39" s="1"/>
  <c r="FR84" i="39" s="1"/>
  <c r="FS84" i="39" s="1"/>
  <c r="FT84" i="39" s="1"/>
  <c r="FU84" i="39" s="1"/>
  <c r="FV84" i="39" s="1"/>
  <c r="FW84" i="39" s="1"/>
  <c r="FX84" i="39" s="1"/>
  <c r="FY84" i="39" s="1"/>
  <c r="FZ84" i="39" s="1"/>
  <c r="GK84" i="39"/>
  <c r="HH84" i="39" s="1" a="1"/>
  <c r="HH84" i="39" s="1"/>
  <c r="GJ84" i="39"/>
  <c r="HG84" i="39" s="1" a="1"/>
  <c r="HG84" i="39" s="1"/>
  <c r="GZ84" i="39"/>
  <c r="HA84" i="39"/>
  <c r="HC29" i="39" l="1"/>
  <c r="GJ29" i="39" s="1"/>
  <c r="HA29" i="39"/>
  <c r="GZ29" i="39"/>
  <c r="GK29" i="39" l="1"/>
  <c r="HD29" i="39"/>
  <c r="HE29" i="39" s="1"/>
  <c r="HG29" i="39" s="1" a="1"/>
  <c r="HG29" i="39" s="1"/>
  <c r="FA29" i="39"/>
  <c r="FB29" i="39" s="1"/>
  <c r="FO29" i="39"/>
  <c r="FP29" i="39" s="1"/>
  <c r="HH29" i="39" l="1" a="1"/>
  <c r="HH29" i="39" s="1"/>
  <c r="FC29" i="39"/>
  <c r="FD29" i="39" s="1"/>
  <c r="FQ29" i="39"/>
  <c r="FR29" i="39" s="1"/>
  <c r="FE29" i="39" l="1"/>
  <c r="FS29" i="39"/>
  <c r="FF29" i="39" l="1"/>
  <c r="FT29" i="39"/>
  <c r="FU29" i="39" l="1"/>
  <c r="FG29" i="39"/>
  <c r="FH29" i="39" l="1"/>
  <c r="FV29" i="39"/>
  <c r="FW29" i="39" l="1"/>
  <c r="FI29" i="39"/>
  <c r="FJ29" i="39" l="1"/>
  <c r="FX29" i="39"/>
  <c r="FY29" i="39" l="1"/>
  <c r="FK29" i="39"/>
  <c r="FL29" i="39" l="1"/>
  <c r="FZ29" i="39"/>
  <c r="HC146" i="39" l="1"/>
  <c r="GZ155" i="39" l="1"/>
  <c r="HA155" i="39"/>
  <c r="GK146" i="39"/>
  <c r="HD146" i="39"/>
  <c r="FA146" i="39"/>
  <c r="FB146" i="39" s="1"/>
  <c r="FC146" i="39" s="1"/>
  <c r="FD146" i="39" s="1"/>
  <c r="FE146" i="39" s="1"/>
  <c r="FF146" i="39" s="1"/>
  <c r="FG146" i="39" s="1"/>
  <c r="FH146" i="39" s="1"/>
  <c r="FI146" i="39" s="1"/>
  <c r="FJ146" i="39" s="1"/>
  <c r="FK146" i="39" s="1"/>
  <c r="FL146" i="39" s="1"/>
  <c r="FO146" i="39"/>
  <c r="FP146" i="39" s="1"/>
  <c r="FQ146" i="39" s="1"/>
  <c r="FR146" i="39" s="1"/>
  <c r="FS146" i="39" s="1"/>
  <c r="FT146" i="39" s="1"/>
  <c r="FU146" i="39" s="1"/>
  <c r="FV146" i="39" s="1"/>
  <c r="FW146" i="39" s="1"/>
  <c r="FX146" i="39" s="1"/>
  <c r="FY146" i="39" s="1"/>
  <c r="FZ146" i="39" s="1"/>
  <c r="GJ146" i="39"/>
  <c r="HC148" i="39" l="1"/>
  <c r="HC14" i="39"/>
  <c r="HC24" i="39"/>
  <c r="HC19" i="39"/>
  <c r="HC21" i="39"/>
  <c r="HC142" i="39"/>
  <c r="HC151" i="39"/>
  <c r="HE146" i="39"/>
  <c r="HH146" i="39" s="1" a="1"/>
  <c r="HH146" i="39" s="1"/>
  <c r="AU26" i="39" a="1"/>
  <c r="AU26" i="39" s="1"/>
  <c r="HA33" i="39" l="1"/>
  <c r="GZ33" i="39"/>
  <c r="GK19" i="39"/>
  <c r="AV30" i="39" s="1" a="1"/>
  <c r="AV30" i="39" s="1"/>
  <c r="FA19" i="39"/>
  <c r="FB19" i="39" s="1"/>
  <c r="FC19" i="39" s="1"/>
  <c r="FD19" i="39" s="1"/>
  <c r="FE19" i="39" s="1"/>
  <c r="FF19" i="39" s="1"/>
  <c r="FG19" i="39" s="1"/>
  <c r="FH19" i="39" s="1"/>
  <c r="FI19" i="39" s="1"/>
  <c r="FJ19" i="39" s="1"/>
  <c r="FK19" i="39" s="1"/>
  <c r="FL19" i="39" s="1"/>
  <c r="HD19" i="39"/>
  <c r="GJ19" i="39"/>
  <c r="FO19" i="39"/>
  <c r="FP19" i="39" s="1"/>
  <c r="FQ19" i="39" s="1"/>
  <c r="FR19" i="39" s="1"/>
  <c r="FS19" i="39" s="1"/>
  <c r="FT19" i="39" s="1"/>
  <c r="FU19" i="39" s="1"/>
  <c r="FV19" i="39" s="1"/>
  <c r="FW19" i="39" s="1"/>
  <c r="FX19" i="39" s="1"/>
  <c r="FY19" i="39" s="1"/>
  <c r="FZ19" i="39" s="1"/>
  <c r="FO24" i="39"/>
  <c r="FP24" i="39" s="1"/>
  <c r="FQ24" i="39" s="1"/>
  <c r="FR24" i="39" s="1"/>
  <c r="FS24" i="39" s="1"/>
  <c r="FT24" i="39" s="1"/>
  <c r="FU24" i="39" s="1"/>
  <c r="FV24" i="39" s="1"/>
  <c r="FW24" i="39" s="1"/>
  <c r="FX24" i="39" s="1"/>
  <c r="FY24" i="39" s="1"/>
  <c r="FZ24" i="39" s="1"/>
  <c r="HD24" i="39"/>
  <c r="GK24" i="39"/>
  <c r="AV32" i="39" s="1" a="1"/>
  <c r="AV32" i="39" s="1"/>
  <c r="GJ24" i="39"/>
  <c r="AU32" i="39" s="1" a="1"/>
  <c r="AU32" i="39" s="1"/>
  <c r="FA24" i="39"/>
  <c r="FB24" i="39" s="1"/>
  <c r="FC24" i="39" s="1"/>
  <c r="FD24" i="39" s="1"/>
  <c r="FE24" i="39" s="1"/>
  <c r="FF24" i="39" s="1"/>
  <c r="FG24" i="39" s="1"/>
  <c r="FH24" i="39" s="1"/>
  <c r="FI24" i="39" s="1"/>
  <c r="FJ24" i="39" s="1"/>
  <c r="FK24" i="39" s="1"/>
  <c r="FL24" i="39" s="1"/>
  <c r="FO151" i="39"/>
  <c r="FP151" i="39" s="1"/>
  <c r="FQ151" i="39" s="1"/>
  <c r="FR151" i="39" s="1"/>
  <c r="FS151" i="39" s="1"/>
  <c r="FT151" i="39" s="1"/>
  <c r="FU151" i="39" s="1"/>
  <c r="FV151" i="39" s="1"/>
  <c r="FW151" i="39" s="1"/>
  <c r="FX151" i="39" s="1"/>
  <c r="FY151" i="39" s="1"/>
  <c r="FZ151" i="39" s="1"/>
  <c r="GK151" i="39"/>
  <c r="AV36" i="39" s="1" a="1"/>
  <c r="AV36" i="39" s="1"/>
  <c r="GJ151" i="39"/>
  <c r="AU36" i="39" s="1" a="1"/>
  <c r="AU36" i="39" s="1"/>
  <c r="HD151" i="39"/>
  <c r="FA151" i="39"/>
  <c r="FB151" i="39" s="1"/>
  <c r="FC151" i="39" s="1"/>
  <c r="FD151" i="39" s="1"/>
  <c r="FE151" i="39" s="1"/>
  <c r="FF151" i="39" s="1"/>
  <c r="FG151" i="39" s="1"/>
  <c r="FH151" i="39" s="1"/>
  <c r="FI151" i="39" s="1"/>
  <c r="FJ151" i="39" s="1"/>
  <c r="FK151" i="39" s="1"/>
  <c r="FL151" i="39" s="1"/>
  <c r="FA14" i="39"/>
  <c r="FB14" i="39" s="1"/>
  <c r="FC14" i="39" s="1"/>
  <c r="FD14" i="39" s="1"/>
  <c r="FE14" i="39" s="1"/>
  <c r="FF14" i="39" s="1"/>
  <c r="FG14" i="39" s="1"/>
  <c r="FH14" i="39" s="1"/>
  <c r="FI14" i="39" s="1"/>
  <c r="FJ14" i="39" s="1"/>
  <c r="FK14" i="39" s="1"/>
  <c r="FL14" i="39" s="1"/>
  <c r="GK14" i="39"/>
  <c r="AV28" i="39" s="1" a="1"/>
  <c r="AV28" i="39" s="1"/>
  <c r="HD14" i="39"/>
  <c r="GJ14" i="39"/>
  <c r="FO14" i="39"/>
  <c r="FP14" i="39" s="1"/>
  <c r="FQ14" i="39" s="1"/>
  <c r="FR14" i="39" s="1"/>
  <c r="FS14" i="39" s="1"/>
  <c r="FT14" i="39" s="1"/>
  <c r="FU14" i="39" s="1"/>
  <c r="FV14" i="39" s="1"/>
  <c r="FW14" i="39" s="1"/>
  <c r="FX14" i="39" s="1"/>
  <c r="FY14" i="39" s="1"/>
  <c r="FZ14" i="39" s="1"/>
  <c r="GK142" i="39"/>
  <c r="HD142" i="39"/>
  <c r="GJ142" i="39"/>
  <c r="AU34" i="39" s="1" a="1"/>
  <c r="AU34" i="39" s="1"/>
  <c r="FO142" i="39"/>
  <c r="FP142" i="39" s="1"/>
  <c r="FQ142" i="39" s="1"/>
  <c r="FR142" i="39" s="1"/>
  <c r="FS142" i="39" s="1"/>
  <c r="FT142" i="39" s="1"/>
  <c r="FU142" i="39" s="1"/>
  <c r="FV142" i="39" s="1"/>
  <c r="FW142" i="39" s="1"/>
  <c r="FX142" i="39" s="1"/>
  <c r="FY142" i="39" s="1"/>
  <c r="FZ142" i="39" s="1"/>
  <c r="FA142" i="39"/>
  <c r="FB142" i="39" s="1"/>
  <c r="FC142" i="39" s="1"/>
  <c r="FD142" i="39" s="1"/>
  <c r="FE142" i="39" s="1"/>
  <c r="FF142" i="39" s="1"/>
  <c r="FG142" i="39" s="1"/>
  <c r="FH142" i="39" s="1"/>
  <c r="FI142" i="39" s="1"/>
  <c r="FJ142" i="39" s="1"/>
  <c r="FK142" i="39" s="1"/>
  <c r="FL142" i="39" s="1"/>
  <c r="GK148" i="39"/>
  <c r="GJ148" i="39"/>
  <c r="AU35" i="39" s="1" a="1"/>
  <c r="AU35" i="39" s="1"/>
  <c r="FA148" i="39"/>
  <c r="FB148" i="39" s="1"/>
  <c r="FC148" i="39" s="1"/>
  <c r="FD148" i="39" s="1"/>
  <c r="FE148" i="39" s="1"/>
  <c r="FF148" i="39" s="1"/>
  <c r="FG148" i="39" s="1"/>
  <c r="FH148" i="39" s="1"/>
  <c r="FI148" i="39" s="1"/>
  <c r="FJ148" i="39" s="1"/>
  <c r="FK148" i="39" s="1"/>
  <c r="FL148" i="39" s="1"/>
  <c r="FO148" i="39"/>
  <c r="FP148" i="39" s="1"/>
  <c r="FQ148" i="39" s="1"/>
  <c r="FR148" i="39" s="1"/>
  <c r="FS148" i="39" s="1"/>
  <c r="FT148" i="39" s="1"/>
  <c r="FU148" i="39" s="1"/>
  <c r="FV148" i="39" s="1"/>
  <c r="FW148" i="39" s="1"/>
  <c r="FX148" i="39" s="1"/>
  <c r="FY148" i="39" s="1"/>
  <c r="FZ148" i="39" s="1"/>
  <c r="HD148" i="39"/>
  <c r="HC58" i="39"/>
  <c r="HC56" i="39"/>
  <c r="HC41" i="39"/>
  <c r="HC81" i="39"/>
  <c r="HC48" i="39"/>
  <c r="HC86" i="39"/>
  <c r="HC57" i="39"/>
  <c r="HC68" i="39"/>
  <c r="HC59" i="39"/>
  <c r="GK21" i="39"/>
  <c r="AV31" i="39" s="1" a="1"/>
  <c r="AV31" i="39" s="1"/>
  <c r="HD21" i="39"/>
  <c r="GJ21" i="39"/>
  <c r="AU31" i="39" s="1" a="1"/>
  <c r="AU31" i="39" s="1"/>
  <c r="FA21" i="39"/>
  <c r="FB21" i="39" s="1"/>
  <c r="FC21" i="39" s="1"/>
  <c r="FD21" i="39" s="1"/>
  <c r="FE21" i="39" s="1"/>
  <c r="FF21" i="39" s="1"/>
  <c r="FG21" i="39" s="1"/>
  <c r="FH21" i="39" s="1"/>
  <c r="FI21" i="39" s="1"/>
  <c r="FJ21" i="39" s="1"/>
  <c r="FK21" i="39" s="1"/>
  <c r="FL21" i="39" s="1"/>
  <c r="FO21" i="39"/>
  <c r="FP21" i="39" s="1"/>
  <c r="FQ21" i="39" s="1"/>
  <c r="FR21" i="39" s="1"/>
  <c r="FS21" i="39" s="1"/>
  <c r="FT21" i="39" s="1"/>
  <c r="FU21" i="39" s="1"/>
  <c r="FV21" i="39" s="1"/>
  <c r="FW21" i="39" s="1"/>
  <c r="FX21" i="39" s="1"/>
  <c r="FY21" i="39" s="1"/>
  <c r="FZ21" i="39" s="1"/>
  <c r="HG146" i="39" a="1"/>
  <c r="HG146" i="39" s="1"/>
  <c r="AV25" i="39" a="1"/>
  <c r="AV25" i="39" s="1"/>
  <c r="AS25" i="39" a="1"/>
  <c r="AS25" i="39" s="1"/>
  <c r="AS26" i="39" a="1"/>
  <c r="AS26" i="39" s="1"/>
  <c r="GZ145" i="39" l="1"/>
  <c r="HA145" i="39"/>
  <c r="AR40" i="39" a="1"/>
  <c r="AR40" i="39" s="1"/>
  <c r="AV40" i="39" a="1"/>
  <c r="AV40" i="39" s="1"/>
  <c r="AR25" i="39" a="1"/>
  <c r="AR25" i="39" s="1"/>
  <c r="GK81" i="39"/>
  <c r="AV23" i="39" s="1" a="1"/>
  <c r="AV23" i="39" s="1"/>
  <c r="FO81" i="39"/>
  <c r="FP81" i="39" s="1"/>
  <c r="FQ81" i="39" s="1"/>
  <c r="FR81" i="39" s="1"/>
  <c r="FS81" i="39" s="1"/>
  <c r="FT81" i="39" s="1"/>
  <c r="FU81" i="39" s="1"/>
  <c r="FV81" i="39" s="1"/>
  <c r="FW81" i="39" s="1"/>
  <c r="FX81" i="39" s="1"/>
  <c r="FY81" i="39" s="1"/>
  <c r="FZ81" i="39" s="1"/>
  <c r="FA81" i="39"/>
  <c r="FB81" i="39" s="1"/>
  <c r="FC81" i="39" s="1"/>
  <c r="FD81" i="39" s="1"/>
  <c r="FE81" i="39" s="1"/>
  <c r="FF81" i="39" s="1"/>
  <c r="FG81" i="39" s="1"/>
  <c r="FH81" i="39" s="1"/>
  <c r="FI81" i="39" s="1"/>
  <c r="FJ81" i="39" s="1"/>
  <c r="FK81" i="39" s="1"/>
  <c r="FL81" i="39" s="1"/>
  <c r="HD81" i="39"/>
  <c r="HE81" i="39" s="1"/>
  <c r="GJ81" i="39"/>
  <c r="AU23" i="39" s="1" a="1"/>
  <c r="AU23" i="39" s="1"/>
  <c r="AR27" i="39" a="1"/>
  <c r="AR27" i="39" s="1"/>
  <c r="AV35" i="39" a="1"/>
  <c r="AV35" i="39" s="1"/>
  <c r="HE14" i="39"/>
  <c r="AR28" i="39" a="1"/>
  <c r="AR28" i="39" s="1"/>
  <c r="AR33" i="39" a="1"/>
  <c r="AR33" i="39" s="1"/>
  <c r="GK41" i="39"/>
  <c r="FA41" i="39"/>
  <c r="HD41" i="39"/>
  <c r="FO41" i="39"/>
  <c r="GJ41" i="39"/>
  <c r="HD59" i="39"/>
  <c r="GJ59" i="39"/>
  <c r="FO59" i="39"/>
  <c r="FP59" i="39" s="1"/>
  <c r="FQ59" i="39" s="1"/>
  <c r="FR59" i="39" s="1"/>
  <c r="FS59" i="39" s="1"/>
  <c r="FT59" i="39" s="1"/>
  <c r="FU59" i="39" s="1"/>
  <c r="FV59" i="39" s="1"/>
  <c r="FW59" i="39" s="1"/>
  <c r="FX59" i="39" s="1"/>
  <c r="FY59" i="39" s="1"/>
  <c r="FZ59" i="39" s="1"/>
  <c r="GK59" i="39"/>
  <c r="FA59" i="39"/>
  <c r="FB59" i="39" s="1"/>
  <c r="FC59" i="39" s="1"/>
  <c r="FD59" i="39" s="1"/>
  <c r="FE59" i="39" s="1"/>
  <c r="FF59" i="39" s="1"/>
  <c r="FG59" i="39" s="1"/>
  <c r="FH59" i="39" s="1"/>
  <c r="FI59" i="39" s="1"/>
  <c r="FJ59" i="39" s="1"/>
  <c r="FK59" i="39" s="1"/>
  <c r="FL59" i="39" s="1"/>
  <c r="GK56" i="39"/>
  <c r="FO56" i="39"/>
  <c r="FP56" i="39" s="1"/>
  <c r="FQ56" i="39" s="1"/>
  <c r="FR56" i="39" s="1"/>
  <c r="FS56" i="39" s="1"/>
  <c r="FT56" i="39" s="1"/>
  <c r="FU56" i="39" s="1"/>
  <c r="FV56" i="39" s="1"/>
  <c r="FW56" i="39" s="1"/>
  <c r="FX56" i="39" s="1"/>
  <c r="FY56" i="39" s="1"/>
  <c r="FZ56" i="39" s="1"/>
  <c r="FA56" i="39"/>
  <c r="FB56" i="39" s="1"/>
  <c r="FC56" i="39" s="1"/>
  <c r="FD56" i="39" s="1"/>
  <c r="FE56" i="39" s="1"/>
  <c r="FF56" i="39" s="1"/>
  <c r="FG56" i="39" s="1"/>
  <c r="FH56" i="39" s="1"/>
  <c r="FI56" i="39" s="1"/>
  <c r="FJ56" i="39" s="1"/>
  <c r="FK56" i="39" s="1"/>
  <c r="FL56" i="39" s="1"/>
  <c r="HD56" i="39"/>
  <c r="GJ56" i="39"/>
  <c r="AU27" i="39" a="1"/>
  <c r="AU27" i="39" s="1"/>
  <c r="AR31" i="39" a="1"/>
  <c r="AR31" i="39" s="1"/>
  <c r="HE21" i="39"/>
  <c r="GK58" i="39"/>
  <c r="FA58" i="39"/>
  <c r="FB58" i="39" s="1"/>
  <c r="FC58" i="39" s="1"/>
  <c r="FD58" i="39" s="1"/>
  <c r="FE58" i="39" s="1"/>
  <c r="FF58" i="39" s="1"/>
  <c r="FG58" i="39" s="1"/>
  <c r="FH58" i="39" s="1"/>
  <c r="FI58" i="39" s="1"/>
  <c r="FJ58" i="39" s="1"/>
  <c r="FK58" i="39" s="1"/>
  <c r="FL58" i="39" s="1"/>
  <c r="HD58" i="39"/>
  <c r="GJ58" i="39"/>
  <c r="FO58" i="39"/>
  <c r="FP58" i="39" s="1"/>
  <c r="FQ58" i="39" s="1"/>
  <c r="FR58" i="39" s="1"/>
  <c r="FS58" i="39" s="1"/>
  <c r="FT58" i="39" s="1"/>
  <c r="FU58" i="39" s="1"/>
  <c r="FV58" i="39" s="1"/>
  <c r="FW58" i="39" s="1"/>
  <c r="FX58" i="39" s="1"/>
  <c r="FY58" i="39" s="1"/>
  <c r="FZ58" i="39" s="1"/>
  <c r="AV27" i="39" a="1"/>
  <c r="AV27" i="39" s="1"/>
  <c r="AR32" i="39" a="1"/>
  <c r="AR32" i="39" s="1"/>
  <c r="HE24" i="39"/>
  <c r="AU28" i="39" a="1"/>
  <c r="AU28" i="39" s="1"/>
  <c r="AU30" i="39" a="1"/>
  <c r="AU30" i="39" s="1"/>
  <c r="FO68" i="39"/>
  <c r="FP68" i="39" s="1"/>
  <c r="FQ68" i="39" s="1"/>
  <c r="FR68" i="39" s="1"/>
  <c r="FS68" i="39" s="1"/>
  <c r="FT68" i="39" s="1"/>
  <c r="FU68" i="39" s="1"/>
  <c r="FV68" i="39" s="1"/>
  <c r="FW68" i="39" s="1"/>
  <c r="FX68" i="39" s="1"/>
  <c r="FY68" i="39" s="1"/>
  <c r="FZ68" i="39" s="1"/>
  <c r="FA68" i="39"/>
  <c r="FB68" i="39" s="1"/>
  <c r="FC68" i="39" s="1"/>
  <c r="FD68" i="39" s="1"/>
  <c r="FE68" i="39" s="1"/>
  <c r="FF68" i="39" s="1"/>
  <c r="FG68" i="39" s="1"/>
  <c r="FH68" i="39" s="1"/>
  <c r="FI68" i="39" s="1"/>
  <c r="FJ68" i="39" s="1"/>
  <c r="FK68" i="39" s="1"/>
  <c r="FL68" i="39" s="1"/>
  <c r="HD68" i="39"/>
  <c r="GK68" i="39"/>
  <c r="GJ68" i="39"/>
  <c r="AV33" i="39" a="1"/>
  <c r="AV33" i="39" s="1"/>
  <c r="HD57" i="39"/>
  <c r="FO57" i="39"/>
  <c r="FP57" i="39" s="1"/>
  <c r="FQ57" i="39" s="1"/>
  <c r="FR57" i="39" s="1"/>
  <c r="FS57" i="39" s="1"/>
  <c r="FT57" i="39" s="1"/>
  <c r="FU57" i="39" s="1"/>
  <c r="FV57" i="39" s="1"/>
  <c r="FW57" i="39" s="1"/>
  <c r="FX57" i="39" s="1"/>
  <c r="FY57" i="39" s="1"/>
  <c r="FZ57" i="39" s="1"/>
  <c r="GK57" i="39"/>
  <c r="FA57" i="39"/>
  <c r="FB57" i="39" s="1"/>
  <c r="FC57" i="39" s="1"/>
  <c r="FD57" i="39" s="1"/>
  <c r="FE57" i="39" s="1"/>
  <c r="FF57" i="39" s="1"/>
  <c r="FG57" i="39" s="1"/>
  <c r="FH57" i="39" s="1"/>
  <c r="FI57" i="39" s="1"/>
  <c r="FJ57" i="39" s="1"/>
  <c r="FK57" i="39" s="1"/>
  <c r="FL57" i="39" s="1"/>
  <c r="GJ57" i="39"/>
  <c r="HE148" i="39"/>
  <c r="AR35" i="39" a="1"/>
  <c r="AR35" i="39" s="1"/>
  <c r="HE142" i="39"/>
  <c r="HH142" i="39" s="1" a="1"/>
  <c r="HH142" i="39" s="1"/>
  <c r="AR34" i="39" a="1"/>
  <c r="AR34" i="39" s="1"/>
  <c r="AR36" i="39" a="1"/>
  <c r="AR36" i="39" s="1"/>
  <c r="HE151" i="39"/>
  <c r="AR30" i="39" a="1"/>
  <c r="AR30" i="39" s="1"/>
  <c r="HE19" i="39"/>
  <c r="AV34" i="39" a="1"/>
  <c r="AV34" i="39" s="1"/>
  <c r="AR29" i="39" a="1"/>
  <c r="AR29" i="39" s="1"/>
  <c r="GK86" i="39"/>
  <c r="FO86" i="39"/>
  <c r="FP86" i="39" s="1"/>
  <c r="FQ86" i="39" s="1"/>
  <c r="FR86" i="39" s="1"/>
  <c r="FS86" i="39" s="1"/>
  <c r="FT86" i="39" s="1"/>
  <c r="FU86" i="39" s="1"/>
  <c r="FV86" i="39" s="1"/>
  <c r="FW86" i="39" s="1"/>
  <c r="FX86" i="39" s="1"/>
  <c r="FY86" i="39" s="1"/>
  <c r="FZ86" i="39" s="1"/>
  <c r="GJ86" i="39"/>
  <c r="AU24" i="39" s="1" a="1"/>
  <c r="AU24" i="39" s="1"/>
  <c r="FA86" i="39"/>
  <c r="FB86" i="39" s="1"/>
  <c r="FC86" i="39" s="1"/>
  <c r="FD86" i="39" s="1"/>
  <c r="FE86" i="39" s="1"/>
  <c r="FF86" i="39" s="1"/>
  <c r="FG86" i="39" s="1"/>
  <c r="FH86" i="39" s="1"/>
  <c r="FI86" i="39" s="1"/>
  <c r="FJ86" i="39" s="1"/>
  <c r="FK86" i="39" s="1"/>
  <c r="FL86" i="39" s="1"/>
  <c r="HD86" i="39"/>
  <c r="HD48" i="39"/>
  <c r="GK48" i="39"/>
  <c r="FA48" i="39"/>
  <c r="FB48" i="39" s="1"/>
  <c r="FC48" i="39" s="1"/>
  <c r="FD48" i="39" s="1"/>
  <c r="FE48" i="39" s="1"/>
  <c r="FF48" i="39" s="1"/>
  <c r="FG48" i="39" s="1"/>
  <c r="FH48" i="39" s="1"/>
  <c r="FI48" i="39" s="1"/>
  <c r="FJ48" i="39" s="1"/>
  <c r="FK48" i="39" s="1"/>
  <c r="FL48" i="39" s="1"/>
  <c r="GJ48" i="39"/>
  <c r="FO48" i="39"/>
  <c r="FP48" i="39" s="1"/>
  <c r="FQ48" i="39" s="1"/>
  <c r="FR48" i="39" s="1"/>
  <c r="FS48" i="39" s="1"/>
  <c r="FT48" i="39" s="1"/>
  <c r="FU48" i="39" s="1"/>
  <c r="FV48" i="39" s="1"/>
  <c r="FW48" i="39" s="1"/>
  <c r="FX48" i="39" s="1"/>
  <c r="FY48" i="39" s="1"/>
  <c r="FZ48" i="39" s="1"/>
  <c r="BC26" i="39"/>
  <c r="AS40" i="39" l="1" a="1"/>
  <c r="AS40" i="39" s="1"/>
  <c r="HH19" i="39" a="1"/>
  <c r="HH19" i="39" s="1"/>
  <c r="AS30" i="39" a="1"/>
  <c r="AS30" i="39" s="1"/>
  <c r="HG19" i="39" a="1"/>
  <c r="HG19" i="39" s="1"/>
  <c r="BC30" i="39" s="1"/>
  <c r="HE48" i="39"/>
  <c r="HH48" i="39" s="1" a="1"/>
  <c r="HH48" i="39" s="1"/>
  <c r="HG142" i="39" a="1"/>
  <c r="HG142" i="39" s="1"/>
  <c r="BC34" i="39" s="1"/>
  <c r="AS34" i="39" a="1"/>
  <c r="AS34" i="39" s="1"/>
  <c r="AS27" i="39" a="1"/>
  <c r="AS27" i="39" s="1"/>
  <c r="AV24" i="39" a="1"/>
  <c r="AV24" i="39" s="1"/>
  <c r="AV26" i="39" a="1"/>
  <c r="AV26" i="39" s="1"/>
  <c r="AS33" i="39" a="1"/>
  <c r="AS33" i="39" s="1"/>
  <c r="HG148" i="39" a="1"/>
  <c r="HG148" i="39" s="1"/>
  <c r="AS35" i="39" a="1"/>
  <c r="AS35" i="39" s="1"/>
  <c r="HH81" i="39" a="1"/>
  <c r="HH81" i="39" s="1"/>
  <c r="AS23" i="39" a="1"/>
  <c r="AS23" i="39" s="1"/>
  <c r="HG81" i="39" a="1"/>
  <c r="HG81" i="39" s="1"/>
  <c r="HE86" i="39"/>
  <c r="HH86" i="39" s="1" a="1"/>
  <c r="HH86" i="39" s="1"/>
  <c r="AR24" i="39" a="1"/>
  <c r="AR24" i="39" s="1"/>
  <c r="HE57" i="39"/>
  <c r="HH57" i="39" s="1" a="1"/>
  <c r="HH57" i="39" s="1"/>
  <c r="HE56" i="39"/>
  <c r="HE59" i="39"/>
  <c r="HH14" i="39" a="1"/>
  <c r="HH14" i="39" s="1"/>
  <c r="HG14" i="39" a="1"/>
  <c r="HG14" i="39" s="1"/>
  <c r="AS28" i="39" a="1"/>
  <c r="AS28" i="39" s="1"/>
  <c r="AS36" i="39" a="1"/>
  <c r="AS36" i="39" s="1"/>
  <c r="HG151" i="39" a="1"/>
  <c r="HG151" i="39" s="1"/>
  <c r="HH151" i="39" a="1"/>
  <c r="HH151" i="39" s="1"/>
  <c r="AS31" i="39" a="1"/>
  <c r="AS31" i="39" s="1"/>
  <c r="AS32" i="39" a="1"/>
  <c r="AS32" i="39" s="1"/>
  <c r="HH24" i="39" a="1"/>
  <c r="HH24" i="39" s="1"/>
  <c r="HG24" i="39" a="1"/>
  <c r="HG24" i="39" s="1"/>
  <c r="BC32" i="39" s="1"/>
  <c r="HE58" i="39"/>
  <c r="HH21" i="39" a="1"/>
  <c r="HH21" i="39" s="1"/>
  <c r="HG21" i="39" a="1"/>
  <c r="HG21" i="39" s="1"/>
  <c r="FP41" i="39"/>
  <c r="HE68" i="39"/>
  <c r="HH68" i="39" s="1" a="1"/>
  <c r="HH68" i="39" s="1"/>
  <c r="HE41" i="39"/>
  <c r="HH41" i="39" s="1" a="1"/>
  <c r="HH41" i="39" s="1"/>
  <c r="HH148" i="39" a="1"/>
  <c r="HH148" i="39" s="1"/>
  <c r="AS29" i="39" a="1"/>
  <c r="AS29" i="39" s="1"/>
  <c r="FB41" i="39"/>
  <c r="AR23" i="39" a="1"/>
  <c r="AR23" i="39" s="1"/>
  <c r="HC145" i="39" l="1"/>
  <c r="BC23" i="39"/>
  <c r="BC29" i="39"/>
  <c r="FQ41" i="39"/>
  <c r="HG59" i="39" a="1"/>
  <c r="HG59" i="39" s="1"/>
  <c r="BC35" i="39"/>
  <c r="BC25" i="39"/>
  <c r="BC27" i="39"/>
  <c r="FC41" i="39"/>
  <c r="BC31" i="39"/>
  <c r="BC28" i="39"/>
  <c r="HG68" i="39" a="1"/>
  <c r="HG68" i="39" s="1"/>
  <c r="HG41" i="39" a="1"/>
  <c r="HG41" i="39" s="1"/>
  <c r="HH56" i="39" a="1"/>
  <c r="HH56" i="39" s="1"/>
  <c r="HG56" i="39" a="1"/>
  <c r="HG56" i="39" s="1"/>
  <c r="HH58" i="39" a="1"/>
  <c r="HH58" i="39" s="1"/>
  <c r="HG58" i="39" a="1"/>
  <c r="HG58" i="39" s="1"/>
  <c r="HG57" i="39" a="1"/>
  <c r="HG57" i="39" s="1"/>
  <c r="HG48" i="39" a="1"/>
  <c r="HG48" i="39" s="1"/>
  <c r="HH59" i="39" a="1"/>
  <c r="HH59" i="39" s="1"/>
  <c r="BC36" i="39"/>
  <c r="AS24" i="39" a="1"/>
  <c r="AS24" i="39" s="1"/>
  <c r="HG86" i="39" a="1"/>
  <c r="HG86" i="39" s="1"/>
  <c r="BC24" i="39" s="1"/>
  <c r="AS17" i="39" a="1"/>
  <c r="AS17" i="39" s="1"/>
  <c r="FO145" i="39" l="1"/>
  <c r="FP145" i="39" s="1"/>
  <c r="FQ145" i="39" s="1"/>
  <c r="FR145" i="39" s="1"/>
  <c r="FS145" i="39" s="1"/>
  <c r="FT145" i="39" s="1"/>
  <c r="FU145" i="39" s="1"/>
  <c r="FV145" i="39" s="1"/>
  <c r="FW145" i="39" s="1"/>
  <c r="FX145" i="39" s="1"/>
  <c r="FY145" i="39" s="1"/>
  <c r="FZ145" i="39" s="1"/>
  <c r="HD145" i="39"/>
  <c r="GK145" i="39"/>
  <c r="GJ145" i="39"/>
  <c r="FA145" i="39"/>
  <c r="FB145" i="39" s="1"/>
  <c r="FC145" i="39" s="1"/>
  <c r="FD145" i="39" s="1"/>
  <c r="FE145" i="39" s="1"/>
  <c r="FF145" i="39" s="1"/>
  <c r="FG145" i="39" s="1"/>
  <c r="FH145" i="39" s="1"/>
  <c r="FI145" i="39" s="1"/>
  <c r="FJ145" i="39" s="1"/>
  <c r="FK145" i="39" s="1"/>
  <c r="FL145" i="39" s="1"/>
  <c r="AV29" i="39" a="1"/>
  <c r="AV29" i="39" s="1"/>
  <c r="AU29" i="39" a="1"/>
  <c r="AU29" i="39" s="1"/>
  <c r="BC17" i="39"/>
  <c r="FD41" i="39"/>
  <c r="FR41" i="39"/>
  <c r="HE145" i="39" l="1"/>
  <c r="AU25" i="39" a="1"/>
  <c r="AU25" i="39" s="1"/>
  <c r="AR26" i="39" a="1"/>
  <c r="AR26" i="39" s="1"/>
  <c r="FS41" i="39"/>
  <c r="FE41" i="39"/>
  <c r="HC155" i="39" l="1"/>
  <c r="HG145" i="39" a="1"/>
  <c r="HG145" i="39" s="1"/>
  <c r="HH145" i="39" a="1"/>
  <c r="HH145" i="39" s="1"/>
  <c r="FF41" i="39"/>
  <c r="FT41" i="39"/>
  <c r="GK155" i="39" l="1"/>
  <c r="GJ155" i="39"/>
  <c r="AU40" i="39" s="1" a="1"/>
  <c r="AU40" i="39" s="1"/>
  <c r="HD155" i="39"/>
  <c r="HE155" i="39" s="1"/>
  <c r="HG155" i="39" s="1" a="1"/>
  <c r="HG155" i="39" s="1"/>
  <c r="BC40" i="39" s="1"/>
  <c r="FA155" i="39"/>
  <c r="FB155" i="39" s="1"/>
  <c r="FC155" i="39" s="1"/>
  <c r="FD155" i="39" s="1"/>
  <c r="FE155" i="39" s="1"/>
  <c r="FF155" i="39" s="1"/>
  <c r="FG155" i="39" s="1"/>
  <c r="FH155" i="39" s="1"/>
  <c r="FI155" i="39" s="1"/>
  <c r="FJ155" i="39" s="1"/>
  <c r="FK155" i="39" s="1"/>
  <c r="FL155" i="39" s="1"/>
  <c r="FO155" i="39"/>
  <c r="FP155" i="39" s="1"/>
  <c r="FQ155" i="39" s="1"/>
  <c r="FR155" i="39" s="1"/>
  <c r="FS155" i="39" s="1"/>
  <c r="FT155" i="39" s="1"/>
  <c r="FU155" i="39" s="1"/>
  <c r="FV155" i="39" s="1"/>
  <c r="FW155" i="39" s="1"/>
  <c r="FX155" i="39" s="1"/>
  <c r="FY155" i="39" s="1"/>
  <c r="FZ155" i="39" s="1"/>
  <c r="FU41" i="39"/>
  <c r="FG41" i="39"/>
  <c r="HH155" i="39" l="1" a="1"/>
  <c r="HH155" i="39" s="1"/>
  <c r="FH41" i="39"/>
  <c r="FV41" i="39"/>
  <c r="FW41" i="39" l="1"/>
  <c r="FI41" i="39"/>
  <c r="FJ41" i="39" l="1"/>
  <c r="FX41" i="39"/>
  <c r="FY41" i="39" l="1"/>
  <c r="FK41" i="39"/>
  <c r="FL41" i="39" l="1"/>
  <c r="FZ41" i="39"/>
  <c r="GZ17" i="39" l="1"/>
  <c r="HA17" i="39"/>
  <c r="GZ82" i="39" l="1"/>
  <c r="HA82" i="39"/>
  <c r="GZ11" i="39" l="1"/>
  <c r="HA11" i="39"/>
  <c r="GZ52" i="39" l="1"/>
  <c r="GZ4" i="39" s="1"/>
  <c r="HA52" i="39"/>
  <c r="HA4" i="39"/>
  <c r="HA144" i="39" l="1"/>
  <c r="HA6" i="39"/>
  <c r="GZ144" i="39"/>
  <c r="GZ6" i="39"/>
  <c r="HB6" i="39" l="1"/>
  <c r="HC144" i="39" s="1"/>
  <c r="HB4" i="39"/>
  <c r="HC33" i="39" l="1"/>
  <c r="GJ144" i="39"/>
  <c r="AU18" i="39" s="1" a="1"/>
  <c r="AU18" i="39" s="1"/>
  <c r="FA144" i="39"/>
  <c r="FB144" i="39" s="1"/>
  <c r="FC144" i="39" s="1"/>
  <c r="FD144" i="39" s="1"/>
  <c r="FE144" i="39" s="1"/>
  <c r="FF144" i="39" s="1"/>
  <c r="FG144" i="39" s="1"/>
  <c r="FH144" i="39" s="1"/>
  <c r="FI144" i="39" s="1"/>
  <c r="FJ144" i="39" s="1"/>
  <c r="FK144" i="39" s="1"/>
  <c r="FL144" i="39" s="1"/>
  <c r="FO144" i="39"/>
  <c r="FP144" i="39" s="1"/>
  <c r="FQ144" i="39" s="1"/>
  <c r="FR144" i="39" s="1"/>
  <c r="FS144" i="39" s="1"/>
  <c r="FT144" i="39" s="1"/>
  <c r="FU144" i="39" s="1"/>
  <c r="FV144" i="39" s="1"/>
  <c r="FW144" i="39" s="1"/>
  <c r="FX144" i="39" s="1"/>
  <c r="FY144" i="39" s="1"/>
  <c r="FZ144" i="39" s="1"/>
  <c r="GK144" i="39"/>
  <c r="AV22" i="39" s="1" a="1"/>
  <c r="AV22" i="39" s="1"/>
  <c r="HD144" i="39"/>
  <c r="AR22" i="39" s="1" a="1"/>
  <c r="AR22" i="39" s="1"/>
  <c r="HC82" i="39"/>
  <c r="HC52" i="39"/>
  <c r="HC17" i="39"/>
  <c r="HC11" i="39"/>
  <c r="AU22" i="39" l="1" a="1"/>
  <c r="AU22" i="39" s="1"/>
  <c r="HD33" i="39"/>
  <c r="HE33" i="39" s="1"/>
  <c r="FO33" i="39"/>
  <c r="FP33" i="39" s="1"/>
  <c r="FQ33" i="39" s="1"/>
  <c r="FR33" i="39" s="1"/>
  <c r="FS33" i="39" s="1"/>
  <c r="FT33" i="39" s="1"/>
  <c r="FU33" i="39" s="1"/>
  <c r="FV33" i="39" s="1"/>
  <c r="FW33" i="39" s="1"/>
  <c r="FX33" i="39" s="1"/>
  <c r="FY33" i="39" s="1"/>
  <c r="FZ33" i="39" s="1"/>
  <c r="FA33" i="39"/>
  <c r="FB33" i="39" s="1"/>
  <c r="FC33" i="39" s="1"/>
  <c r="FD33" i="39" s="1"/>
  <c r="FE33" i="39" s="1"/>
  <c r="FF33" i="39" s="1"/>
  <c r="FG33" i="39" s="1"/>
  <c r="FH33" i="39" s="1"/>
  <c r="FI33" i="39" s="1"/>
  <c r="FJ33" i="39" s="1"/>
  <c r="FK33" i="39" s="1"/>
  <c r="FL33" i="39" s="1"/>
  <c r="GJ33" i="39"/>
  <c r="AU33" i="39" s="1" a="1"/>
  <c r="AU33" i="39" s="1"/>
  <c r="GK33" i="39"/>
  <c r="GK17" i="39"/>
  <c r="FA17" i="39"/>
  <c r="FB17" i="39" s="1"/>
  <c r="FC17" i="39" s="1"/>
  <c r="FD17" i="39" s="1"/>
  <c r="FE17" i="39" s="1"/>
  <c r="FF17" i="39" s="1"/>
  <c r="FG17" i="39" s="1"/>
  <c r="FH17" i="39" s="1"/>
  <c r="FI17" i="39" s="1"/>
  <c r="FJ17" i="39" s="1"/>
  <c r="FK17" i="39" s="1"/>
  <c r="FL17" i="39" s="1"/>
  <c r="HD17" i="39"/>
  <c r="GJ17" i="39"/>
  <c r="AU20" i="39" s="1" a="1"/>
  <c r="AU20" i="39" s="1"/>
  <c r="FO17" i="39"/>
  <c r="FP17" i="39" s="1"/>
  <c r="FQ17" i="39" s="1"/>
  <c r="FR17" i="39" s="1"/>
  <c r="FS17" i="39" s="1"/>
  <c r="FT17" i="39" s="1"/>
  <c r="FU17" i="39" s="1"/>
  <c r="FV17" i="39" s="1"/>
  <c r="FW17" i="39" s="1"/>
  <c r="FX17" i="39" s="1"/>
  <c r="FY17" i="39" s="1"/>
  <c r="FZ17" i="39" s="1"/>
  <c r="GK52" i="39"/>
  <c r="AV13" i="39" s="1" a="1"/>
  <c r="AV13" i="39" s="1"/>
  <c r="HD52" i="39"/>
  <c r="FA52" i="39"/>
  <c r="FO52" i="39"/>
  <c r="GJ52" i="39"/>
  <c r="HD82" i="39"/>
  <c r="GK82" i="39"/>
  <c r="FA82" i="39"/>
  <c r="FB82" i="39" s="1"/>
  <c r="FC82" i="39" s="1"/>
  <c r="FD82" i="39" s="1"/>
  <c r="FE82" i="39" s="1"/>
  <c r="FF82" i="39" s="1"/>
  <c r="FG82" i="39" s="1"/>
  <c r="FH82" i="39" s="1"/>
  <c r="FI82" i="39" s="1"/>
  <c r="FJ82" i="39" s="1"/>
  <c r="FK82" i="39" s="1"/>
  <c r="FL82" i="39" s="1"/>
  <c r="GJ82" i="39"/>
  <c r="FO82" i="39"/>
  <c r="FP82" i="39" s="1"/>
  <c r="FQ82" i="39" s="1"/>
  <c r="FR82" i="39" s="1"/>
  <c r="FS82" i="39" s="1"/>
  <c r="FT82" i="39" s="1"/>
  <c r="FU82" i="39" s="1"/>
  <c r="FV82" i="39" s="1"/>
  <c r="FW82" i="39" s="1"/>
  <c r="FX82" i="39" s="1"/>
  <c r="FY82" i="39" s="1"/>
  <c r="FZ82" i="39" s="1"/>
  <c r="AR21" i="39" a="1"/>
  <c r="AR21" i="39" s="1"/>
  <c r="HE144" i="39"/>
  <c r="AS18" i="39" s="1" a="1"/>
  <c r="AS18" i="39" s="1"/>
  <c r="AV21" i="39" a="1"/>
  <c r="AV21" i="39" s="1"/>
  <c r="FA11" i="39"/>
  <c r="GK11" i="39"/>
  <c r="HC4" i="39" a="1"/>
  <c r="HC4" i="39" s="1"/>
  <c r="HD4" i="39" s="1"/>
  <c r="HC7" i="39" a="1"/>
  <c r="HC7" i="39" s="1"/>
  <c r="HD7" i="39" s="1"/>
  <c r="AR18" i="39" s="1" a="1"/>
  <c r="AR18" i="39" s="1"/>
  <c r="FO11" i="39"/>
  <c r="HD11" i="39"/>
  <c r="HC5" i="39" a="1"/>
  <c r="HC5" i="39" s="1"/>
  <c r="HD5" i="39" s="1"/>
  <c r="AR14" i="39" s="1" a="1"/>
  <c r="AR14" i="39" s="1"/>
  <c r="GJ11" i="39"/>
  <c r="HC6" i="39" a="1"/>
  <c r="HC6" i="39" s="1"/>
  <c r="HD6" i="39" s="1"/>
  <c r="AR17" i="39" l="1" a="1"/>
  <c r="AR17" i="39" s="1"/>
  <c r="HH144" i="39" a="1"/>
  <c r="HH144" i="39" s="1"/>
  <c r="AS22" i="39" a="1"/>
  <c r="AS22" i="39" s="1"/>
  <c r="HH33" i="39" a="1"/>
  <c r="HH33" i="39" s="1"/>
  <c r="HG33" i="39" a="1"/>
  <c r="HG33" i="39" s="1"/>
  <c r="BC33" i="39" s="1"/>
  <c r="AU21" i="39" a="1"/>
  <c r="AU21" i="39" s="1"/>
  <c r="AV19" i="39" a="1"/>
  <c r="AV19" i="39" s="1"/>
  <c r="GK7" i="39"/>
  <c r="FO7" i="39"/>
  <c r="F4" i="42" s="1"/>
  <c r="FP11" i="39"/>
  <c r="FB52" i="39"/>
  <c r="FA4" i="39"/>
  <c r="E3" i="42" s="1"/>
  <c r="AR15" i="39" a="1"/>
  <c r="AR15" i="39" s="1"/>
  <c r="HE52" i="39"/>
  <c r="AR13" i="39" a="1"/>
  <c r="AR13" i="39" s="1"/>
  <c r="AC4" i="39"/>
  <c r="AC1" i="39"/>
  <c r="AV15" i="39" a="1"/>
  <c r="AV15" i="39" s="1"/>
  <c r="GK5" i="39"/>
  <c r="AV14" i="39" s="1" a="1"/>
  <c r="AV14" i="39" s="1"/>
  <c r="FB11" i="39"/>
  <c r="FA6" i="39"/>
  <c r="E4" i="42" s="1"/>
  <c r="AV16" i="39" a="1"/>
  <c r="AV16" i="39" s="1"/>
  <c r="GJ6" i="39"/>
  <c r="AU17" i="39" s="1" a="1"/>
  <c r="AU17" i="39" s="1"/>
  <c r="AU19" i="39" a="1"/>
  <c r="AU19" i="39" s="1"/>
  <c r="AR16" i="39" a="1"/>
  <c r="AR16" i="39" s="1"/>
  <c r="HE82" i="39"/>
  <c r="HH82" i="39" s="1" a="1"/>
  <c r="HH82" i="39" s="1"/>
  <c r="HE17" i="39"/>
  <c r="HH17" i="39" s="1" a="1"/>
  <c r="HH17" i="39" s="1"/>
  <c r="AR20" i="39" a="1"/>
  <c r="AR20" i="39" s="1"/>
  <c r="GJ4" i="39"/>
  <c r="AU13" i="39" s="1" a="1"/>
  <c r="AU13" i="39" s="1"/>
  <c r="AU15" i="39" a="1"/>
  <c r="AU15" i="39" s="1"/>
  <c r="AR19" i="39" a="1"/>
  <c r="AR19" i="39" s="1"/>
  <c r="HE11" i="39"/>
  <c r="HG144" i="39" a="1"/>
  <c r="HG144" i="39" s="1"/>
  <c r="BC18" i="39" s="1"/>
  <c r="AS21" i="39" a="1"/>
  <c r="AS21" i="39" s="1"/>
  <c r="FP52" i="39"/>
  <c r="FO5" i="39"/>
  <c r="F3" i="42" s="1"/>
  <c r="AV20" i="39" a="1"/>
  <c r="AV20" i="39" s="1"/>
  <c r="HH52" i="39" l="1" a="1"/>
  <c r="HH52" i="39" s="1"/>
  <c r="AS13" i="39" a="1"/>
  <c r="AS13" i="39" s="1"/>
  <c r="AV18" i="39" a="1"/>
  <c r="AV18" i="39" s="1"/>
  <c r="AV17" i="39" a="1"/>
  <c r="AV17" i="39" s="1"/>
  <c r="AU16" i="39" a="1"/>
  <c r="AU16" i="39" s="1"/>
  <c r="BC21" i="39"/>
  <c r="BC22" i="39"/>
  <c r="FQ52" i="39"/>
  <c r="FP5" i="39"/>
  <c r="I3" i="42" s="1"/>
  <c r="HG17" i="39" a="1"/>
  <c r="HG17" i="39" s="1"/>
  <c r="BC20" i="39" s="1"/>
  <c r="AS20" i="39" a="1"/>
  <c r="AS20" i="39" s="1"/>
  <c r="FB6" i="39"/>
  <c r="H4" i="42" s="1"/>
  <c r="FC11" i="39"/>
  <c r="HG82" i="39" a="1"/>
  <c r="HG82" i="39" s="1"/>
  <c r="BC16" i="39" s="1"/>
  <c r="AS16" i="39" a="1"/>
  <c r="AS16" i="39" s="1"/>
  <c r="FC52" i="39"/>
  <c r="FB4" i="39"/>
  <c r="H3" i="42" s="1"/>
  <c r="AS19" i="39" a="1"/>
  <c r="AS19" i="39" s="1"/>
  <c r="HG11" i="39" a="1"/>
  <c r="HG11" i="39" s="1"/>
  <c r="FP7" i="39"/>
  <c r="I4" i="42" s="1"/>
  <c r="FQ11" i="39"/>
  <c r="HH11" i="39" a="1"/>
  <c r="HH11" i="39" s="1"/>
  <c r="AS15" i="39" a="1"/>
  <c r="AS15" i="39" s="1"/>
  <c r="HG52" i="39" a="1"/>
  <c r="HG52" i="39" s="1"/>
  <c r="BC15" i="39" l="1"/>
  <c r="BC13" i="39"/>
  <c r="FQ7" i="39"/>
  <c r="L4" i="42" s="1"/>
  <c r="FR11" i="39"/>
  <c r="FD11" i="39"/>
  <c r="FC6" i="39"/>
  <c r="K4" i="42" s="1"/>
  <c r="BC19" i="39"/>
  <c r="FC4" i="39"/>
  <c r="K3" i="42" s="1"/>
  <c r="FD52" i="39"/>
  <c r="FR52" i="39"/>
  <c r="FQ5" i="39"/>
  <c r="L3" i="42" s="1"/>
  <c r="BC11" i="39" l="1"/>
  <c r="AJ3" i="39" s="1"/>
  <c r="K6" i="39" s="1"/>
  <c r="FD4" i="39"/>
  <c r="N3" i="42" s="1"/>
  <c r="FE52" i="39"/>
  <c r="FE11" i="39"/>
  <c r="FD6" i="39"/>
  <c r="N4" i="42" s="1"/>
  <c r="FS11" i="39"/>
  <c r="FR7" i="39"/>
  <c r="O4" i="42" s="1"/>
  <c r="FR5" i="39"/>
  <c r="O3" i="42" s="1"/>
  <c r="FS52" i="39"/>
  <c r="FT52" i="39" l="1"/>
  <c r="FS5" i="39"/>
  <c r="R3" i="42" s="1"/>
  <c r="FT11" i="39"/>
  <c r="FS7" i="39"/>
  <c r="R4" i="42" s="1"/>
  <c r="FF11" i="39"/>
  <c r="FE6" i="39"/>
  <c r="Q4" i="42" s="1"/>
  <c r="FF52" i="39"/>
  <c r="FE4" i="39"/>
  <c r="Q3" i="42" s="1"/>
  <c r="FG52" i="39" l="1"/>
  <c r="FF4" i="39"/>
  <c r="T3" i="42" s="1"/>
  <c r="FG11" i="39"/>
  <c r="FF6" i="39"/>
  <c r="T4" i="42" s="1"/>
  <c r="FU11" i="39"/>
  <c r="FT7" i="39"/>
  <c r="U4" i="42" s="1"/>
  <c r="FU52" i="39"/>
  <c r="FT5" i="39"/>
  <c r="U3" i="42" s="1"/>
  <c r="FU5" i="39" l="1"/>
  <c r="X3" i="42" s="1"/>
  <c r="FV52" i="39"/>
  <c r="FV11" i="39"/>
  <c r="FU7" i="39"/>
  <c r="X4" i="42" s="1"/>
  <c r="FG6" i="39"/>
  <c r="W4" i="42" s="1"/>
  <c r="FH11" i="39"/>
  <c r="FH52" i="39"/>
  <c r="FG4" i="39"/>
  <c r="W3" i="42" s="1"/>
  <c r="FH4" i="39" l="1"/>
  <c r="Z3" i="42" s="1"/>
  <c r="FI52" i="39"/>
  <c r="FI11" i="39"/>
  <c r="FH6" i="39"/>
  <c r="Z4" i="42" s="1"/>
  <c r="FW11" i="39"/>
  <c r="FV7" i="39"/>
  <c r="AA4" i="42" s="1"/>
  <c r="FW52" i="39"/>
  <c r="FV5" i="39"/>
  <c r="AA3" i="42" s="1"/>
  <c r="FW5" i="39" l="1"/>
  <c r="AD3" i="42" s="1"/>
  <c r="FX52" i="39"/>
  <c r="FX11" i="39"/>
  <c r="FW7" i="39"/>
  <c r="AD4" i="42" s="1"/>
  <c r="FJ11" i="39"/>
  <c r="FI6" i="39"/>
  <c r="AC4" i="42" s="1"/>
  <c r="FI4" i="39"/>
  <c r="AC3" i="42" s="1"/>
  <c r="FJ52" i="39"/>
  <c r="FJ4" i="39" l="1"/>
  <c r="AF3" i="42" s="1"/>
  <c r="FK52" i="39"/>
  <c r="FK11" i="39"/>
  <c r="FJ6" i="39"/>
  <c r="AF4" i="42" s="1"/>
  <c r="FY11" i="39"/>
  <c r="FX7" i="39"/>
  <c r="AG4" i="42" s="1"/>
  <c r="FX5" i="39"/>
  <c r="AG3" i="42" s="1"/>
  <c r="FY52" i="39"/>
  <c r="FY5" i="39" l="1"/>
  <c r="AJ3" i="42" s="1"/>
  <c r="FZ52" i="39"/>
  <c r="FZ5" i="39" s="1"/>
  <c r="AM3" i="42" s="1"/>
  <c r="FY7" i="39"/>
  <c r="AJ4" i="42" s="1"/>
  <c r="FZ11" i="39"/>
  <c r="FZ7" i="39" s="1"/>
  <c r="AM4" i="42" s="1"/>
  <c r="FL11" i="39"/>
  <c r="FL6" i="39" s="1"/>
  <c r="AL4" i="42" s="1"/>
  <c r="FK6" i="39"/>
  <c r="AI4" i="42" s="1"/>
  <c r="FK4" i="39"/>
  <c r="AI3" i="42" s="1"/>
  <c r="FL52" i="39"/>
  <c r="FL4" i="39" s="1"/>
  <c r="AL3"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Offenberger, Konrad (LfL)</author>
    <author>Sperger, Christian (LfL)</author>
    <author>msbo</author>
    <author>Hierlmeier, Michael (LfL)</author>
    <author>Schmücker, Rebekka (LfL)</author>
    <author>Brandl, Maria (LfL)</author>
  </authors>
  <commentList>
    <comment ref="A1" authorId="0" shapeId="0" xr:uid="{00000000-0006-0000-0000-000001000000}">
      <text>
        <r>
          <rPr>
            <sz val="12"/>
            <color indexed="81"/>
            <rFont val="Tahoma"/>
            <family val="2"/>
          </rPr>
          <t>Die Berechnung ist
je Betrieb.
Abfallanlagen können nicht (nur eingeschänkt) berechnet werden.</t>
        </r>
      </text>
    </comment>
    <comment ref="A3" authorId="0" shapeId="0" xr:uid="{00000000-0006-0000-0000-000002000000}">
      <text>
        <r>
          <rPr>
            <sz val="9"/>
            <color indexed="81"/>
            <rFont val="Tahoma"/>
            <family val="2"/>
          </rPr>
          <t>- Dieser Rechner dient ausschließlich der Berechnung der Lagerkapazität nach DüV §12 sowie WDüngV.
- Auf Gefahren beim Absenken des Nachgärers sei hingewiesen (z.B. UEG)
- Einzelbetrieblich muss sowohl aus technischer, genehmigungsrechtlicher als auch aus Sicht weiterer fachrechtlicher Belange geprüft werden, ob eine Absenkung des Nächgärers möglich oder zulässig ist!</t>
        </r>
        <r>
          <rPr>
            <b/>
            <sz val="9"/>
            <color indexed="81"/>
            <rFont val="Tahoma"/>
            <family val="2"/>
          </rPr>
          <t xml:space="preserve">
</t>
        </r>
      </text>
    </comment>
    <comment ref="A5" authorId="1" shapeId="0" xr:uid="{00000000-0006-0000-0000-000003000000}">
      <text>
        <r>
          <rPr>
            <sz val="10"/>
            <color indexed="81"/>
            <rFont val="Tahoma"/>
            <family val="2"/>
          </rPr>
          <t>Pflichtfeld:
Betriebsnummer ist</t>
        </r>
        <r>
          <rPr>
            <b/>
            <sz val="10"/>
            <color indexed="81"/>
            <rFont val="Tahoma"/>
            <family val="2"/>
          </rPr>
          <t xml:space="preserve"> 
</t>
        </r>
        <r>
          <rPr>
            <sz val="10"/>
            <color indexed="81"/>
            <rFont val="Tahoma"/>
            <family val="2"/>
          </rPr>
          <t xml:space="preserve">hier </t>
        </r>
        <r>
          <rPr>
            <b/>
            <sz val="10"/>
            <color indexed="81"/>
            <rFont val="Tahoma"/>
            <family val="2"/>
          </rPr>
          <t>10stellig</t>
        </r>
        <r>
          <rPr>
            <sz val="10"/>
            <color indexed="81"/>
            <rFont val="Tahoma"/>
            <family val="2"/>
          </rPr>
          <t xml:space="preserve"> anzugeben
Bsp.: 1781001010
Betriebe ohne Betriebsnummer müssen mindestens die Landkreisnummer mit 7 Nullen angeben.
Bsp.: 1780000000</t>
        </r>
      </text>
    </comment>
    <comment ref="G5" authorId="2" shapeId="0" xr:uid="{2192312E-6425-478A-8F67-35FA04C0215F}">
      <text>
        <r>
          <rPr>
            <sz val="10"/>
            <color indexed="81"/>
            <rFont val="Tahoma"/>
            <family val="2"/>
          </rPr>
          <t xml:space="preserve">Landwirtschaftlich genutzte Fläche.
</t>
        </r>
      </text>
    </comment>
    <comment ref="Z5" authorId="2" shapeId="0" xr:uid="{00000000-0006-0000-0000-000004000000}">
      <text>
        <r>
          <rPr>
            <sz val="10"/>
            <color indexed="81"/>
            <rFont val="Tahoma"/>
            <family val="2"/>
          </rPr>
          <t xml:space="preserve">Landwirtschaftlich genutzte Fläche.
</t>
        </r>
        <r>
          <rPr>
            <sz val="8"/>
            <color indexed="81"/>
            <rFont val="Tahoma"/>
            <family val="2"/>
          </rPr>
          <t>(Bei gewerblichen Tierhaltern/Biogasanlagen ohne Fläche muss bei  ha LF 0,1 und bei ha gesamte Grünlandfläche 0,1 eingetragen werden.)</t>
        </r>
      </text>
    </comment>
    <comment ref="H7" authorId="0" shapeId="0" xr:uid="{6F484BEA-9829-4F52-8BA8-B1B12F26DAA7}">
      <text>
        <r>
          <rPr>
            <sz val="9"/>
            <color indexed="81"/>
            <rFont val="Tahoma"/>
            <family val="2"/>
          </rPr>
          <t>z.B. Wasserschutzgebiet Zone II, Kulap,Vertragsnaturschutzprogramm.
Stilllegungsflächen sind nicht hier, sondern in H8 anzugeben.</t>
        </r>
      </text>
    </comment>
    <comment ref="H8" authorId="2" shapeId="0" xr:uid="{00000000-0006-0000-0000-000006000000}">
      <text>
        <r>
          <rPr>
            <sz val="10"/>
            <color indexed="81"/>
            <rFont val="Tahoma"/>
            <family val="2"/>
          </rPr>
          <t>Hier sind die Ackerflächen anzugeben, die nicht gedüngt und auch nicht genutzt werden</t>
        </r>
      </text>
    </comment>
    <comment ref="Z9" authorId="0" shapeId="0" xr:uid="{00000000-0006-0000-0000-000007000000}">
      <text>
        <r>
          <rPr>
            <sz val="9"/>
            <color indexed="81"/>
            <rFont val="Tahoma"/>
            <family val="2"/>
          </rPr>
          <t>(Bei gewerblichen Tierhaltern ohne Fläche muss bei  ha LF 0,1 und bei ha gesamt Grünlandfläche 0,1 eingetragen werden.)</t>
        </r>
      </text>
    </comment>
    <comment ref="H10" authorId="0" shapeId="0" xr:uid="{A11FE3B7-69AE-4F90-90B8-FFE9E56EBB4E}">
      <text>
        <r>
          <rPr>
            <sz val="9"/>
            <color indexed="81"/>
            <rFont val="Tahoma"/>
            <family val="2"/>
          </rPr>
          <t>z.B. Wasserschutzgebiet Zone II, Kulap,Vertragsnaturschutzprogramm
Stilllegungsflächen sind nicht hier, sondern in H11 anzugeben.</t>
        </r>
      </text>
    </comment>
    <comment ref="H11" authorId="2" shapeId="0" xr:uid="{00000000-0006-0000-0000-000009000000}">
      <text>
        <r>
          <rPr>
            <sz val="10"/>
            <color indexed="81"/>
            <rFont val="Tahoma"/>
            <family val="2"/>
          </rPr>
          <t>Hier sind die Grünlandflächen anzugeben, die nicht gedüngt und auch nicht genutzt werden.</t>
        </r>
      </text>
    </comment>
    <comment ref="B12" authorId="2" shapeId="0" xr:uid="{00000000-0006-0000-0000-00000A000000}">
      <text>
        <r>
          <rPr>
            <sz val="10"/>
            <color indexed="81"/>
            <rFont val="Tahoma"/>
            <family val="2"/>
          </rPr>
          <t>Milchleistung = Abgelieferte Milchmenge / Anzahl Kühe</t>
        </r>
      </text>
    </comment>
    <comment ref="G12" authorId="0" shapeId="0" xr:uid="{56AB4615-374E-4841-A9A3-E77CEE2E3A2B}">
      <text>
        <r>
          <rPr>
            <sz val="10"/>
            <color indexed="81"/>
            <rFont val="Tahoma"/>
            <family val="2"/>
          </rPr>
          <t>Nur</t>
        </r>
        <r>
          <rPr>
            <b/>
            <sz val="10"/>
            <color indexed="81"/>
            <rFont val="Tahoma"/>
            <family val="2"/>
          </rPr>
          <t xml:space="preserve"> relevant für</t>
        </r>
        <r>
          <rPr>
            <sz val="10"/>
            <color indexed="81"/>
            <rFont val="Tahoma"/>
            <family val="2"/>
          </rPr>
          <t xml:space="preserve"> Betriebe, die ab 2020 mehr als 6 Monate Lagerraum für flüsssige Wirtschaftsdünger belegen müssen (Biogasbetriebe, Betriebe über 3 GV/ha).
Sie können durch "zusätzliche Ausbringfläche" den notwendigen Lagerraum verringern. 
Als </t>
        </r>
        <r>
          <rPr>
            <b/>
            <sz val="10"/>
            <color indexed="81"/>
            <rFont val="Tahoma"/>
            <family val="2"/>
          </rPr>
          <t>zuätzliche Ausbringfläche</t>
        </r>
        <r>
          <rPr>
            <sz val="10"/>
            <color indexed="81"/>
            <rFont val="Tahoma"/>
            <family val="2"/>
          </rPr>
          <t xml:space="preserve"> werden Flächen von anderen Betrieben anerkannt, auf denen </t>
        </r>
        <r>
          <rPr>
            <u/>
            <sz val="10"/>
            <color indexed="81"/>
            <rFont val="Tahoma"/>
            <family val="2"/>
          </rPr>
          <t>vertraglich</t>
        </r>
        <r>
          <rPr>
            <sz val="10"/>
            <color indexed="81"/>
            <rFont val="Tahoma"/>
            <family val="2"/>
          </rPr>
          <t xml:space="preserve"> die Ausbringung der flüssigen Wirtschaftsdünger bis zu einer Menge von 170 kg N/ha geregelt ist.
Flächen, auf denen weniger als 170 kg N/ha  flüssiger org. Dünger ausgebracht werden kann/darf, dürfen nur anteilig berücksichtigt werden. 
Ein Mustervertrag kann über die rechts stehende Verlinkung oder folgende  Internetadresse aufgerufen werden: https://www.lfl.bayern.de/lagerkapazitaet</t>
        </r>
      </text>
    </comment>
    <comment ref="B13" authorId="0" shapeId="0" xr:uid="{92D58B37-286B-4C30-9647-193F75D680D6}">
      <text>
        <r>
          <rPr>
            <sz val="9"/>
            <color indexed="81"/>
            <rFont val="Tahoma"/>
            <family val="2"/>
          </rPr>
          <t>Angaben nur notwendig wenn die tatsächlichen langjährigen (10 Jahre) Niederschläge im Betrieb vom vorgeschlagenen langjährigem Mittel des Landkreises (C13) abweicht.
Eine Liste der Gemarkungsniederschläge finden Sie im entsprechenden Tabellenblatt.</t>
        </r>
      </text>
    </comment>
    <comment ref="I13" authorId="0" shapeId="0" xr:uid="{CBE96F1C-B0D3-4231-AE03-ABA1FB700368}">
      <text>
        <r>
          <rPr>
            <sz val="9"/>
            <color indexed="81"/>
            <rFont val="Tahoma"/>
            <family val="2"/>
          </rPr>
          <t>Betriebe die Erleichterungen nach Ausführungsverordnung Düngeverordnung (AVDüV) nutzen dürfen (weder rote noch gelbe Flächen im Betrieb und weniger als 20 % der Betriebsflächen im Wasserschutzgebiet).
Erleichterungen können nur für rinderhaltende Betriebe mit Grünlandbewirtschaftung die Lagerkapazität zwischen 6 und 9 Monaten verringern.</t>
        </r>
      </text>
    </comment>
    <comment ref="E22" authorId="1" shapeId="0" xr:uid="{00000000-0006-0000-0000-00000E000000}">
      <text>
        <r>
          <rPr>
            <sz val="9"/>
            <color indexed="81"/>
            <rFont val="Tahoma"/>
            <family val="2"/>
          </rPr>
          <t xml:space="preserve">Diese Mengen und Nährstoffgehalte sind für die Plausibilisierung des Betriebes sinnvoll. Die Werte berechnen sich aus den Einsatzstoffen,  eingeleitetem Wasser und der Gasproduktion. Betriebe mit Separation können diese nur für die Gesamtplausibilisierung verwenden.  
Diese Werte dürfen verwendet werden:
- für die Düngebedarfsermittlung (auch auf roten Flächen). Dieses berechnete Ergebnis ist gleich mit einer Untersuchung im Labor zu sehen.
- für die Deklaration bei Zu- und Abgängen von Gärresten (auch für die Aufzeichnung nach Verbringungsverordnung)
Bei Verwendung der berechneten Nährstoffgehalte zu den oben genannten Zwecken ist die Berechnung aufzubewahren und ggf. bei einer Kontrolle vorzulegen.
</t>
        </r>
        <r>
          <rPr>
            <b/>
            <sz val="9"/>
            <color indexed="81"/>
            <rFont val="Tahoma"/>
            <family val="2"/>
          </rPr>
          <t xml:space="preserve">
</t>
        </r>
        <r>
          <rPr>
            <sz val="9"/>
            <color indexed="81"/>
            <rFont val="Tahoma"/>
            <family val="2"/>
          </rPr>
          <t xml:space="preserve">
</t>
        </r>
      </text>
    </comment>
    <comment ref="A35" authorId="0" shapeId="0" xr:uid="{00000000-0006-0000-0000-00000F000000}">
      <text>
        <r>
          <rPr>
            <sz val="9"/>
            <color indexed="81"/>
            <rFont val="Tahoma"/>
            <family val="2"/>
          </rPr>
          <t>Die anrechenbaren Stall-/Lagerverluste sind schon abgezogen.</t>
        </r>
      </text>
    </comment>
    <comment ref="A40" authorId="0" shapeId="0" xr:uid="{00000000-0006-0000-0000-000010000000}">
      <text>
        <r>
          <rPr>
            <b/>
            <sz val="9"/>
            <color indexed="81"/>
            <rFont val="Tahoma"/>
            <family val="2"/>
          </rPr>
          <t>Bei Stickstoff dürfen Stall/Lagerverluste nach DüV berücksichtigt werden.</t>
        </r>
        <r>
          <rPr>
            <sz val="9"/>
            <color indexed="81"/>
            <rFont val="Tahoma"/>
            <family val="2"/>
          </rPr>
          <t xml:space="preserve">
Bei pflanzlichen Stoffen, die in der Biogasanlage verwertet werden, dürfen 
5 % gasf. N-Verluste angerechnet werden.</t>
        </r>
      </text>
    </comment>
    <comment ref="A50" authorId="0" shapeId="0" xr:uid="{00000000-0006-0000-0000-000011000000}">
      <text>
        <r>
          <rPr>
            <sz val="10"/>
            <color indexed="81"/>
            <rFont val="Tahoma"/>
            <family val="2"/>
          </rPr>
          <t>Notwendiger Lagerraum 
laut den angegebenen Tieren und Flächen.</t>
        </r>
        <r>
          <rPr>
            <b/>
            <sz val="10"/>
            <color indexed="81"/>
            <rFont val="Tahoma"/>
            <family val="2"/>
          </rPr>
          <t xml:space="preserve">
Dieser Rechner dient ausschließlich der Berechnung der Lagerkapazität nach DüV § 12, andere rechtliche Belange werden hier nicht miteinbezogen.</t>
        </r>
      </text>
    </comment>
    <comment ref="J51" authorId="1" shapeId="0" xr:uid="{00000000-0006-0000-0000-000012000000}">
      <text>
        <r>
          <rPr>
            <sz val="9"/>
            <color indexed="81"/>
            <rFont val="Tahoma"/>
            <family val="2"/>
          </rPr>
          <t>Beispiel Berechnung des Güllelagerraumes anteilig:
Wenn ein Betrieb 50 % der Gülle auf eigenen Ausbringflächen verwerten kann, sind dafür nur 6 Monate notwendig. Also für den Gesamtbetrieb 7,5 Monate Lagerraum (50 % 6 Monate und 50 % 9 Monate)</t>
        </r>
      </text>
    </comment>
    <comment ref="A53" authorId="0" shapeId="0" xr:uid="{00000000-0006-0000-0000-000013000000}">
      <text>
        <r>
          <rPr>
            <sz val="9"/>
            <color indexed="81"/>
            <rFont val="Tahoma"/>
            <family val="2"/>
          </rPr>
          <t>Nachgärer: Einzelbetrieblich muss sowohl aus technischer und genehmigungsrechtlicher als auch aus Sicht weiterer fachrechtlicher Belange (z.B. Wasserrecht, StörfallVO) geprüft werden, ob eine Absenkung des Nachgärers möglich oder zuslässig ist. 
Auf Gefahren beim Absenken des Nachgärers sei hingewiesen (z.B. UEG).
Berechnungsbeispiel siehe Tabellenblatt "Anrechnung Nachgärer"</t>
        </r>
      </text>
    </comment>
    <comment ref="A54" authorId="0" shapeId="0" xr:uid="{00000000-0006-0000-0000-000014000000}">
      <text>
        <r>
          <rPr>
            <b/>
            <sz val="9"/>
            <color indexed="81"/>
            <rFont val="Tahoma"/>
            <family val="2"/>
          </rPr>
          <t xml:space="preserve">Eine Änderung der Substratzusammensetzung wird meist zu veränderten Lagerkapazitäten führen. </t>
        </r>
        <r>
          <rPr>
            <sz val="9"/>
            <color indexed="81"/>
            <rFont val="Tahoma"/>
            <family val="2"/>
          </rPr>
          <t xml:space="preserve">
</t>
        </r>
      </text>
    </comment>
    <comment ref="A56" authorId="1" shapeId="0" xr:uid="{00000000-0006-0000-0000-000015000000}">
      <text>
        <r>
          <rPr>
            <sz val="9"/>
            <color indexed="81"/>
            <rFont val="Tahoma"/>
            <family val="2"/>
          </rPr>
          <t>Es werden für die Einsatzstoffe (Ausnahme zugekaufte Wirtschaftsdünger) Toleranzen akzeptiert.</t>
        </r>
      </text>
    </comment>
    <comment ref="EP62" authorId="0" shapeId="0" xr:uid="{00000000-0006-0000-0000-000016000000}">
      <text>
        <r>
          <rPr>
            <b/>
            <sz val="9"/>
            <color indexed="81"/>
            <rFont val="Tahoma"/>
            <family val="2"/>
          </rPr>
          <t>15,44 % Gaserzeugung aus Wasser</t>
        </r>
      </text>
    </comment>
    <comment ref="A64" authorId="0" shapeId="0" xr:uid="{00000000-0006-0000-0000-000017000000}">
      <text>
        <r>
          <rPr>
            <sz val="9"/>
            <color indexed="81"/>
            <rFont val="Tahoma"/>
            <family val="2"/>
          </rPr>
          <t xml:space="preserve">Bei Damwild und Rotwild muss bei Weide 100 % angegeben werden. </t>
        </r>
      </text>
    </comment>
    <comment ref="E64" authorId="0" shapeId="0" xr:uid="{00000000-0006-0000-0000-000018000000}">
      <text>
        <r>
          <rPr>
            <sz val="10"/>
            <color indexed="81"/>
            <rFont val="Tahoma"/>
            <family val="2"/>
          </rPr>
          <t>Ø Jahresbestand = Anzahl Tiere * Haltungsdauer in Tagen / 365 Tage</t>
        </r>
      </text>
    </comment>
    <comment ref="M64" authorId="0" shapeId="0" xr:uid="{00000000-0006-0000-0000-000019000000}">
      <text>
        <r>
          <rPr>
            <sz val="10"/>
            <color indexed="81"/>
            <rFont val="Tahoma"/>
            <family val="2"/>
          </rPr>
          <t>Wird die Gülle/Jauche bzw. der Stallmist</t>
        </r>
        <r>
          <rPr>
            <b/>
            <sz val="10"/>
            <color indexed="81"/>
            <rFont val="Tahoma"/>
            <family val="2"/>
          </rPr>
          <t xml:space="preserve"> in der eigenen Biogasanlage </t>
        </r>
        <r>
          <rPr>
            <sz val="10"/>
            <color indexed="81"/>
            <rFont val="Tahoma"/>
            <family val="2"/>
          </rPr>
          <t>vergoren? 
Wenn ja, dann Haken setzen.</t>
        </r>
      </text>
    </comment>
    <comment ref="EM64" authorId="0" shapeId="0" xr:uid="{00000000-0006-0000-0000-00001A000000}">
      <text>
        <r>
          <rPr>
            <b/>
            <sz val="9"/>
            <color indexed="81"/>
            <rFont val="Tahoma"/>
            <family val="2"/>
          </rPr>
          <t>887 = idealisierter Gasertrag</t>
        </r>
      </text>
    </comment>
    <comment ref="EN64" authorId="0" shapeId="0" xr:uid="{00000000-0006-0000-0000-00001B000000}">
      <text>
        <r>
          <rPr>
            <b/>
            <sz val="9"/>
            <color indexed="81"/>
            <rFont val="Tahoma"/>
            <family val="2"/>
          </rPr>
          <t>15,44 % bei idealisertem Gasertrag</t>
        </r>
      </text>
    </comment>
    <comment ref="E65" authorId="0" shapeId="0" xr:uid="{00000000-0006-0000-0000-00001C000000}">
      <text>
        <r>
          <rPr>
            <sz val="10"/>
            <color indexed="81"/>
            <rFont val="Tahoma"/>
            <family val="2"/>
          </rPr>
          <t xml:space="preserve">Angaben bei "Gülle" sind nur für Rinder und Schweine sinnvoll, da nur bei diesen Tierarten Gülle anfällt. 
Bei allen anderen Tierarten entsteht immer "Stallmist".
</t>
        </r>
        <r>
          <rPr>
            <u/>
            <sz val="10"/>
            <color indexed="81"/>
            <rFont val="Tahoma"/>
            <family val="2"/>
          </rPr>
          <t>Ausnahme:</t>
        </r>
        <r>
          <rPr>
            <sz val="10"/>
            <color indexed="81"/>
            <rFont val="Tahoma"/>
            <family val="2"/>
          </rPr>
          <t xml:space="preserve">
Bei Geflügelbetrieben mit Trockenkot ist die Anzahl der Tiere bei Gülle anzugeben. Der Anfall wird bei Stallmist angezeigt.</t>
        </r>
        <r>
          <rPr>
            <sz val="9"/>
            <color indexed="81"/>
            <rFont val="Tahoma"/>
            <family val="2"/>
          </rPr>
          <t xml:space="preserve">
</t>
        </r>
      </text>
    </comment>
    <comment ref="Z65" authorId="0" shapeId="0" xr:uid="{00000000-0006-0000-0000-00001D000000}">
      <text>
        <r>
          <rPr>
            <sz val="9"/>
            <color indexed="81"/>
            <rFont val="Tahoma"/>
            <family val="2"/>
          </rPr>
          <t>Damit Geflügel immer mit Mist gerechnet werden</t>
        </r>
      </text>
    </comment>
    <comment ref="G66" authorId="0" shapeId="0" xr:uid="{00000000-0006-0000-0000-00001E000000}">
      <text>
        <r>
          <rPr>
            <sz val="9"/>
            <color indexed="81"/>
            <rFont val="Tahoma"/>
            <family val="2"/>
          </rPr>
          <t xml:space="preserve">Bei Anbindehaltung kann mit einer geringen und bei Tiefstall mit hoher Einstreumenge gerechnet werden.
Die Einstreumenge muss bei einer Kontrolle nicht belegt werden.
</t>
        </r>
        <r>
          <rPr>
            <u/>
            <sz val="9"/>
            <color indexed="81"/>
            <rFont val="Tahoma"/>
            <family val="2"/>
          </rPr>
          <t>Einstreumenge in kg/GV und Tag</t>
        </r>
        <r>
          <rPr>
            <sz val="9"/>
            <color indexed="81"/>
            <rFont val="Tahoma"/>
            <family val="2"/>
          </rPr>
          <t xml:space="preserve">
gering = 3-4 kg
mittel   = 6-8 kg
hoch    &gt;11 kg</t>
        </r>
      </text>
    </comment>
    <comment ref="H66" authorId="0" shapeId="0" xr:uid="{00000000-0006-0000-0000-00001F000000}">
      <text>
        <r>
          <rPr>
            <sz val="10"/>
            <color indexed="81"/>
            <rFont val="Tahoma"/>
            <family val="2"/>
          </rPr>
          <t>Weide zwischen 01.04. und 30.09. in %.
Beipiel: 30 % bedeutet, dass in 30 % der Stunden die Tiere auf der Weide stehen und 70 % im Stall.</t>
        </r>
        <r>
          <rPr>
            <sz val="9"/>
            <color indexed="81"/>
            <rFont val="Tahoma"/>
            <family val="2"/>
          </rPr>
          <t xml:space="preserve">
</t>
        </r>
      </text>
    </comment>
    <comment ref="I66" authorId="0" shapeId="0" xr:uid="{00000000-0006-0000-0000-000020000000}">
      <text>
        <r>
          <rPr>
            <sz val="10"/>
            <color indexed="81"/>
            <rFont val="Tahoma"/>
            <family val="2"/>
          </rPr>
          <t>Weide zwischen 01.10. und 31.03. in %.
Beipiel: 30 % bedeutet, dass in 30 % der Stunden die Tiere auf der Weide stehen und 70 % im Stall.
(Es ist das Kalenderjahr zu berücksichtigen 01.01.21 - 31.03.21 und 01.10.21 - 31.12.21)</t>
        </r>
      </text>
    </comment>
    <comment ref="A82" authorId="3" shapeId="0" xr:uid="{00000000-0006-0000-0000-000021000000}">
      <text>
        <r>
          <rPr>
            <sz val="9"/>
            <color indexed="81"/>
            <rFont val="Tahoma"/>
            <family val="2"/>
          </rPr>
          <t xml:space="preserve">s. Blatt </t>
        </r>
        <r>
          <rPr>
            <b/>
            <sz val="9"/>
            <color indexed="81"/>
            <rFont val="Tahoma"/>
            <family val="2"/>
          </rPr>
          <t>"Abweichende Werte"</t>
        </r>
        <r>
          <rPr>
            <sz val="9"/>
            <color indexed="81"/>
            <rFont val="Tahoma"/>
            <family val="2"/>
          </rPr>
          <t xml:space="preserve">:
Eigene Zahlen </t>
        </r>
        <r>
          <rPr>
            <b/>
            <sz val="9"/>
            <color indexed="81"/>
            <rFont val="Tahoma"/>
            <family val="2"/>
          </rPr>
          <t>müssen</t>
        </r>
        <r>
          <rPr>
            <sz val="9"/>
            <color indexed="81"/>
            <rFont val="Tahoma"/>
            <family val="2"/>
          </rPr>
          <t xml:space="preserve"> bei einer Kontrolle  belegt werden.
Es dürfen nur Zahlen verwendet werden, die die zuständige Stelle genehmigt hat.</t>
        </r>
      </text>
    </comment>
    <comment ref="AG109" authorId="0" shapeId="0" xr:uid="{00000000-0006-0000-0000-000022000000}">
      <text>
        <r>
          <rPr>
            <b/>
            <sz val="9"/>
            <color indexed="81"/>
            <rFont val="Tahoma"/>
            <family val="2"/>
          </rPr>
          <t>15,44 % Gaserzeugung aus Wasser</t>
        </r>
      </text>
    </comment>
    <comment ref="AD111" authorId="0" shapeId="0" xr:uid="{00000000-0006-0000-0000-000024000000}">
      <text>
        <r>
          <rPr>
            <b/>
            <sz val="9"/>
            <color indexed="81"/>
            <rFont val="Tahoma"/>
            <family val="2"/>
          </rPr>
          <t>887 = idealisierter Gasertrag</t>
        </r>
        <r>
          <rPr>
            <sz val="9"/>
            <color indexed="81"/>
            <rFont val="Tahoma"/>
            <family val="2"/>
          </rPr>
          <t xml:space="preserve">
</t>
        </r>
      </text>
    </comment>
    <comment ref="AE111" authorId="0" shapeId="0" xr:uid="{00000000-0006-0000-0000-000025000000}">
      <text>
        <r>
          <rPr>
            <b/>
            <sz val="9"/>
            <color indexed="81"/>
            <rFont val="Tahoma"/>
            <family val="2"/>
          </rPr>
          <t xml:space="preserve">15,44 % bei idealisertem Gasertrag
</t>
        </r>
      </text>
    </comment>
    <comment ref="D112" authorId="0" shapeId="0" xr:uid="{00000000-0006-0000-0000-000026000000}">
      <text>
        <r>
          <rPr>
            <sz val="9"/>
            <color indexed="81"/>
            <rFont val="Tahoma"/>
            <family val="2"/>
          </rPr>
          <t>Bei Grünland in der Regel TM</t>
        </r>
      </text>
    </comment>
    <comment ref="AW134" authorId="4" shapeId="0" xr:uid="{0AA15922-5074-4B9B-9FD1-D8AA46D59BAF}">
      <text>
        <r>
          <rPr>
            <b/>
            <sz val="9"/>
            <color indexed="81"/>
            <rFont val="Segoe UI"/>
            <family val="2"/>
          </rPr>
          <t>Alte Zielzelle tier. Herkunft</t>
        </r>
      </text>
    </comment>
    <comment ref="A164" authorId="0" shapeId="0" xr:uid="{00000000-0006-0000-0000-000028000000}">
      <text>
        <r>
          <rPr>
            <sz val="10"/>
            <color indexed="81"/>
            <rFont val="Tahoma"/>
            <family val="2"/>
          </rPr>
          <t xml:space="preserve">Bei </t>
        </r>
        <r>
          <rPr>
            <b/>
            <sz val="10"/>
            <color indexed="81"/>
            <rFont val="Tahoma"/>
            <family val="2"/>
          </rPr>
          <t>offenen Gülle- und Jauchebehältern</t>
        </r>
        <r>
          <rPr>
            <sz val="10"/>
            <color indexed="81"/>
            <rFont val="Tahoma"/>
            <family val="2"/>
          </rPr>
          <t xml:space="preserve"> (nicht abgedeckte Läger) werden höhere Verdunstungsraten (30 %) angesetzt als bei abgedeckten Behältern. Deshalb müssen diese Flächen separat erfasst werden.</t>
        </r>
      </text>
    </comment>
    <comment ref="A165" authorId="0" shapeId="0" xr:uid="{00000000-0006-0000-0000-000029000000}">
      <text>
        <r>
          <rPr>
            <b/>
            <sz val="10"/>
            <color indexed="81"/>
            <rFont val="Tahoma"/>
            <family val="2"/>
          </rPr>
          <t>Verunreinigtes Niederschlagswasser</t>
        </r>
        <r>
          <rPr>
            <sz val="10"/>
            <color indexed="81"/>
            <rFont val="Tahoma"/>
            <family val="2"/>
          </rPr>
          <t xml:space="preserve"> von nicht nass gereinigten Siloflächen und Ladeflächen muss separat erfasst werden.
 Die Menge darf zusammen mit dem Gärsaft nur 10 % der Gesamtlagermenge betragen. 
Bei höherem Anteil sind gesonderte Anforderungen an den Güllebehälter notwendig. 
Bei der Mengenberechnung wird eine  Verdunstungsrate von 15 % berücksichtigt.</t>
        </r>
      </text>
    </comment>
    <comment ref="A166" authorId="0" shapeId="0" xr:uid="{00000000-0006-0000-0000-00002A000000}">
      <text>
        <r>
          <rPr>
            <sz val="10"/>
            <color indexed="81"/>
            <rFont val="Tahoma"/>
            <family val="2"/>
          </rPr>
          <t xml:space="preserve">Als </t>
        </r>
        <r>
          <rPr>
            <b/>
            <sz val="10"/>
            <color indexed="81"/>
            <rFont val="Tahoma"/>
            <family val="2"/>
          </rPr>
          <t xml:space="preserve">sauberes Wasser </t>
        </r>
        <r>
          <rPr>
            <sz val="10"/>
            <color indexed="81"/>
            <rFont val="Tahoma"/>
            <family val="2"/>
          </rPr>
          <t>sind folgende Einleitungen zu berücksichtigen:
- nass gereinigte Siloflächen
- mit Plane abgedeckte Siloflächen
- abgedeckte Gülle- und Jaucheläger
- alle Stallmistläger 
Bei der Mengenberechnung wird eine  Verdunstungsrate von 15 % berücksichtigt.</t>
        </r>
        <r>
          <rPr>
            <sz val="9"/>
            <color indexed="81"/>
            <rFont val="Tahoma"/>
            <family val="2"/>
          </rPr>
          <t xml:space="preserve"> </t>
        </r>
      </text>
    </comment>
    <comment ref="U177" authorId="4" shapeId="0" xr:uid="{B34AC0EF-CCAA-4903-820D-187791D37F45}">
      <text>
        <r>
          <rPr>
            <b/>
            <sz val="9"/>
            <color indexed="81"/>
            <rFont val="Segoe UI"/>
            <family val="2"/>
          </rPr>
          <t>1 Liter Zündöl = 9,0816 kWh
1 kg Zündöl = 10,32 kWh</t>
        </r>
      </text>
    </comment>
    <comment ref="G178" authorId="5" shapeId="0" xr:uid="{00000000-0006-0000-0000-00002B000000}">
      <text>
        <r>
          <rPr>
            <sz val="10"/>
            <color indexed="81"/>
            <rFont val="Tahoma"/>
            <family val="2"/>
          </rPr>
          <t>vorgeschlagener</t>
        </r>
        <r>
          <rPr>
            <b/>
            <sz val="10"/>
            <color indexed="81"/>
            <rFont val="Tahoma"/>
            <family val="2"/>
          </rPr>
          <t xml:space="preserve"> Mittelwert: </t>
        </r>
        <r>
          <rPr>
            <sz val="10"/>
            <color indexed="81"/>
            <rFont val="Tahoma"/>
            <family val="2"/>
          </rPr>
          <t>38 %</t>
        </r>
        <r>
          <rPr>
            <b/>
            <sz val="10"/>
            <color indexed="81"/>
            <rFont val="Tahoma"/>
            <family val="2"/>
          </rPr>
          <t xml:space="preserve">
Möglicher Angabebereich: </t>
        </r>
        <r>
          <rPr>
            <sz val="10"/>
            <color indexed="81"/>
            <rFont val="Tahoma"/>
            <family val="2"/>
          </rPr>
          <t>30 - 40 %</t>
        </r>
        <r>
          <rPr>
            <sz val="9"/>
            <color indexed="81"/>
            <rFont val="Tahoma"/>
            <family val="2"/>
          </rPr>
          <t xml:space="preserve">
(in begründeten Ausnahmen auch Angaben bis 44 % möglich)</t>
        </r>
      </text>
    </comment>
    <comment ref="I206" authorId="1" shapeId="0" xr:uid="{00000000-0006-0000-0000-00002C000000}">
      <text>
        <r>
          <rPr>
            <sz val="9"/>
            <color indexed="81"/>
            <rFont val="Tahoma"/>
            <family val="2"/>
          </rPr>
          <t xml:space="preserve">Diese Werte werden in der Düngebedarfsermittlung bei der Anlage eines Düngers mit eigenen Werten benötigt (Anlage 5 der DüV 2020). </t>
        </r>
      </text>
    </comment>
    <comment ref="A227" authorId="0" shapeId="0" xr:uid="{1B2CF7DF-B207-439A-BD7D-EEC874F4888B}">
      <text>
        <r>
          <rPr>
            <sz val="9"/>
            <color indexed="81"/>
            <rFont val="Tahoma"/>
            <family val="2"/>
          </rPr>
          <t>Diese Werte düfen verwendet werden:
- für die Düngebedarfsermittlung (auch für rote Flächen). Dieses berechnete Ergebnis ist gleich mit einer Untersuchung im Labor zu sehen.
- für die Deklaration bei Zu- und Abgängen von Gärrest, Gülle, Jauche und Mist
  (auch für die Aufzeichnungen nach Verbringungsverordnung)
Die Aufteilung der Nährstoffe in die feste und flüssige Phase der Separation wird nach Erfahrungswerten der LfL berechnet. Wird ein abweichender Nährstoffgehalt erwartet, kann/sollte eine Laboruntersuchung herangezogen werden.
Bei Verwendung der berechneten Nährstoffgehalte zu den oben genannten Zwecken ist die Berechnung aufzubewahren und ggf. bei einer Kontrolle vorzulegen.</t>
        </r>
      </text>
    </comment>
    <comment ref="E240" authorId="4" shapeId="0" xr:uid="{4B589767-CE60-4856-945E-A2120C1CC462}">
      <text>
        <r>
          <rPr>
            <sz val="9"/>
            <color indexed="81"/>
            <rFont val="Segoe UI"/>
            <family val="2"/>
          </rPr>
          <t>Die Wassereinleitung im Jahr wird ausschließlich zum Biogasgärrest gerechnet.</t>
        </r>
      </text>
    </comment>
    <comment ref="A253" authorId="0" shapeId="0" xr:uid="{00000000-0006-0000-0000-00002F000000}">
      <text>
        <r>
          <rPr>
            <sz val="10"/>
            <color indexed="81"/>
            <rFont val="Tahoma"/>
            <family val="2"/>
          </rPr>
          <t>In der Spalte "Fermenter" ist anzugeben:
Fermenter = 
 - Gärbehälter der mit Substrat befüllt und
 - Behälter (auch Teilmengen) die nie entleert werden 
    (z.B. Nachgärer oder 2. Fermenter) 
Nachgärer: Einzelbetrieblich muss sowohl aus technischer und genehmigungsrechtlicher als auch aus Sicht weiterer fachrechtlicher Belange (z.B. Wasserrecht) geprüft werden, ob eine Absenkung des Nachgärers möglich oder zulässig ist. 
Auf Gefahren beim Absenken des Nachgärers sein hingewiesen (z.B. UEG).
Berechnungsbeispiel siehe Tabellenblatt "Anrechnung Nachgärer"</t>
        </r>
      </text>
    </comment>
    <comment ref="C255" authorId="0" shapeId="0" xr:uid="{00000000-0006-0000-0000-000030000000}">
      <text>
        <r>
          <rPr>
            <sz val="9"/>
            <color indexed="81"/>
            <rFont val="Tahoma"/>
            <family val="2"/>
          </rPr>
          <t>Es sind alle Fermenter (Nächgärer) anzugeben:
Fermenter = 
 - Gärbehälter der mit Substrat befüllt und
 - Behälter (auch Teilmengen) die nie entleert werden 
    (z.B. Nachgärer oder 2. Fermenter) 
Nachgärer: Einzelbetrieblich muss sowohl aus technischer und genehmigungsrechtlicher, als auch aus Sicht weiterer fachrechtlicher Belange (z.B. Wasserrecht, StörfallVO) geprüft werden, ob eine Absenkung des Nachgärers möglich oder zulässig ist. 
Auf Gefahren beim Absenken des Nachgärers sei hingewiesen (z.B. UEG).
Berechnungsbeispiel siehe Tabellenblatt "Anrechnung Nachgärer"</t>
        </r>
      </text>
    </comment>
    <comment ref="C264" authorId="4" shapeId="0" xr:uid="{4E805108-F186-4E13-976D-6C3F6554EF26}">
      <text>
        <r>
          <rPr>
            <sz val="9"/>
            <color indexed="81"/>
            <rFont val="Segoe UI"/>
            <family val="2"/>
          </rPr>
          <t>Das Berechnungsprogramm ist nur für flüssigverfahren geeignet.</t>
        </r>
      </text>
    </comment>
    <comment ref="A270" authorId="0" shapeId="0" xr:uid="{00000000-0006-0000-0000-000031000000}">
      <text>
        <r>
          <rPr>
            <sz val="10"/>
            <color indexed="81"/>
            <rFont val="Tahoma"/>
            <family val="2"/>
          </rPr>
          <t>Güllekeller und Güllekanäle können auf das Fassungsvermögen angerechnet werden, wenn die Anforderungen nach Anlagenverordnung erfüllt  sind.</t>
        </r>
      </text>
    </comment>
    <comment ref="A276" authorId="3" shapeId="0" xr:uid="{00000000-0006-0000-0000-000032000000}">
      <text>
        <r>
          <rPr>
            <sz val="9"/>
            <color indexed="81"/>
            <rFont val="Tahoma"/>
            <family val="2"/>
          </rPr>
          <t xml:space="preserve">Bei einer </t>
        </r>
        <r>
          <rPr>
            <b/>
            <sz val="9"/>
            <color indexed="81"/>
            <rFont val="Tahoma"/>
            <family val="2"/>
          </rPr>
          <t>Verpachtung</t>
        </r>
        <r>
          <rPr>
            <sz val="9"/>
            <color indexed="81"/>
            <rFont val="Tahoma"/>
            <family val="2"/>
          </rPr>
          <t xml:space="preserve"> von Lagerraum, muss die Zahl mit </t>
        </r>
        <r>
          <rPr>
            <b/>
            <sz val="9"/>
            <color indexed="81"/>
            <rFont val="Tahoma"/>
            <family val="2"/>
          </rPr>
          <t>Minus</t>
        </r>
        <r>
          <rPr>
            <sz val="9"/>
            <color indexed="81"/>
            <rFont val="Tahoma"/>
            <family val="2"/>
          </rPr>
          <t xml:space="preserve"> eingegeben werden.
</t>
        </r>
      </text>
    </comment>
    <comment ref="X290" authorId="0" shapeId="0" xr:uid="{00000000-0006-0000-0000-000033000000}">
      <text>
        <r>
          <rPr>
            <b/>
            <sz val="9"/>
            <color indexed="81"/>
            <rFont val="Tahoma"/>
            <family val="2"/>
          </rPr>
          <t xml:space="preserve">Fläche Rinder Grünland
</t>
        </r>
      </text>
    </comment>
    <comment ref="A292" authorId="0" shapeId="0" xr:uid="{00000000-0006-0000-0000-000034000000}">
      <text>
        <r>
          <rPr>
            <sz val="9"/>
            <color indexed="81"/>
            <rFont val="Tahoma"/>
            <family val="2"/>
          </rPr>
          <t>Wenn der Fermenter kleiner ist als die Menge, die aufgrund der Mindestverweilzeit notwendig ist, wird die Menge, die aus der Mindesverweilzeit berechnet ist, als Fermentergröße verwendet.
Nachgärer: Einzelbetrieblich muss sowohl aus technischer und genehmigungsrechtlicher, als auch aus Sicht weiterer fachrechtlicher Belange (z.B. Wasserrecht, StörfallVO) geprüft werden, ob eine Absenkung des Nachgärers möglich oder zulässig ist. 
Auf Gefahren beim Absenken des Nachgärers sei hingewiesen (z.B. UEG).
Berechnungsbeispiel siehe Tabellenblatt "Anrechnung Nachgärer"</t>
        </r>
      </text>
    </comment>
    <comment ref="P294" authorId="3" shapeId="0" xr:uid="{00000000-0006-0000-0000-000035000000}">
      <text>
        <r>
          <rPr>
            <b/>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A304" authorId="1" shapeId="0" xr:uid="{00000000-0006-0000-0000-000036000000}">
      <text>
        <r>
          <rPr>
            <b/>
            <sz val="9"/>
            <color indexed="81"/>
            <rFont val="Tahoma"/>
            <family val="2"/>
          </rPr>
          <t xml:space="preserve">Es muss auch eigen verwertete Gülle/Mist/BGR angegeben werden. </t>
        </r>
        <r>
          <rPr>
            <sz val="9"/>
            <color indexed="81"/>
            <rFont val="Tahoma"/>
            <family val="2"/>
          </rPr>
          <t xml:space="preserve">
</t>
        </r>
      </text>
    </comment>
    <comment ref="D306" authorId="1" shapeId="0" xr:uid="{00000000-0006-0000-0000-000037000000}">
      <text>
        <r>
          <rPr>
            <sz val="9"/>
            <color indexed="81"/>
            <rFont val="Tahoma"/>
            <family val="2"/>
          </rPr>
          <t>BGR=Biogasgärrest</t>
        </r>
      </text>
    </comment>
    <comment ref="E306" authorId="0" shapeId="0" xr:uid="{00000000-0006-0000-0000-000038000000}">
      <text>
        <r>
          <rPr>
            <b/>
            <sz val="10"/>
            <color indexed="81"/>
            <rFont val="Tahoma"/>
            <family val="2"/>
          </rPr>
          <t xml:space="preserve">Ankreuzen, wenn Abgabe: </t>
        </r>
        <r>
          <rPr>
            <sz val="10"/>
            <color indexed="81"/>
            <rFont val="Tahoma"/>
            <family val="2"/>
          </rPr>
          <t xml:space="preserve">
 - an anderen Betriebe 
 - an die zusätzlichen Ausbringflächen 
Bei Verwertung im eigenen Betrieb nicht ankreuzen.</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A1" authorId="0" shapeId="0" xr:uid="{52EAD4E8-D5A0-4AF4-8DDC-99EF9EE6AC80}">
      <text>
        <r>
          <rPr>
            <sz val="9"/>
            <color indexed="81"/>
            <rFont val="Segoe UI"/>
            <family val="2"/>
          </rPr>
          <t>Die Berechnung der Lagerhaltung ist nicht zwingend notwendig. Zur Plausibilisierungder Gesamtnährstoffe im Betrieb (vgl. Stoffstrombilanz) ist eine Berechnung zu empfehlen.
Das Programm eignet sich für Betriebe mit und ohne Fläche sowie mit und ohne Tiere.</t>
        </r>
      </text>
    </comment>
    <comment ref="GY1" authorId="0" shapeId="0" xr:uid="{9602999F-76EB-41A0-974A-62CDAE4988F2}">
      <text>
        <r>
          <rPr>
            <sz val="9"/>
            <color indexed="81"/>
            <rFont val="Segoe UI"/>
            <family val="2"/>
          </rPr>
          <t>Schwankung zwischen berechnetem Grobfutter und Kraftfutteranteilen</t>
        </r>
      </text>
    </comment>
    <comment ref="HA1" authorId="0" shapeId="0" xr:uid="{6C69BB4E-D5BE-47EA-9AB1-9F67C0A5E599}">
      <text>
        <r>
          <rPr>
            <sz val="9"/>
            <color indexed="81"/>
            <rFont val="Segoe UI"/>
            <family val="2"/>
          </rPr>
          <t>Tolerierte Schwankung zwischen berechnetem und akzepitertem Futterbedarf</t>
        </r>
      </text>
    </comment>
    <comment ref="GB2" authorId="0" shapeId="0" xr:uid="{FDAD74C7-0FB8-4C38-B2F7-F1C10C337748}">
      <text>
        <r>
          <rPr>
            <b/>
            <sz val="9"/>
            <color indexed="81"/>
            <rFont val="Segoe UI"/>
            <family val="2"/>
          </rPr>
          <t xml:space="preserve">Lager + Ernte + Zukauf - Einsatz Biogas
</t>
        </r>
      </text>
    </comment>
    <comment ref="GS3" authorId="0" shapeId="0" xr:uid="{C114D6DD-730A-4093-8D30-4BB32D9A9F31}">
      <text>
        <r>
          <rPr>
            <b/>
            <sz val="9"/>
            <color indexed="81"/>
            <rFont val="Segoe UI"/>
            <family val="2"/>
          </rPr>
          <t xml:space="preserve">Lager + Ernte + Zukauf (alles ohne Verkauf) - Einsatz in Biogas
</t>
        </r>
      </text>
    </comment>
    <comment ref="HB3" authorId="0" shapeId="0" xr:uid="{3FF963AF-6DF7-4FCE-9BF7-6C8DDD636DE9}">
      <text>
        <r>
          <rPr>
            <b/>
            <sz val="9"/>
            <color indexed="81"/>
            <rFont val="Segoe UI"/>
            <family val="2"/>
          </rPr>
          <t xml:space="preserve">Bedarf, der durch verfügbare Substrate gedeckt werden muss
</t>
        </r>
      </text>
    </comment>
    <comment ref="HE3" authorId="0" shapeId="0" xr:uid="{575416AD-CB52-49BD-8BCF-A389E6A0519A}">
      <text>
        <r>
          <rPr>
            <b/>
            <sz val="9"/>
            <color indexed="81"/>
            <rFont val="Segoe UI"/>
            <family val="2"/>
          </rPr>
          <t xml:space="preserve">Zukauf, Ernte, Lager - Biogas Tierfutter
</t>
        </r>
      </text>
    </comment>
    <comment ref="HI3" authorId="0" shapeId="0" xr:uid="{BD556ED7-6E0B-4EFF-ACB9-BCEBCD5BDCA5}">
      <text>
        <r>
          <rPr>
            <b/>
            <sz val="9"/>
            <color indexed="81"/>
            <rFont val="Segoe UI"/>
            <family val="2"/>
          </rPr>
          <t>0=ja, kein Futter
1= ja, Grobfutter
2=ja, Kraftfutter
3=nein</t>
        </r>
      </text>
    </comment>
    <comment ref="GW4" authorId="0" shapeId="0" xr:uid="{A822A0C9-D9F3-4141-843B-9E180587021B}">
      <text>
        <r>
          <rPr>
            <sz val="9"/>
            <color indexed="81"/>
            <rFont val="Segoe UI"/>
            <family val="2"/>
          </rPr>
          <t xml:space="preserve">N über Fütterung (wie angegeben)
</t>
        </r>
      </text>
    </comment>
    <comment ref="HC4" authorId="0" shapeId="0" xr:uid="{D2DA4525-A33E-42D6-8949-93C9E101BB24}">
      <text>
        <r>
          <rPr>
            <sz val="9"/>
            <color indexed="81"/>
            <rFont val="Segoe UI"/>
            <family val="2"/>
          </rPr>
          <t xml:space="preserve">N über Fütterung (wie angegeben)
</t>
        </r>
      </text>
    </comment>
    <comment ref="AP6" authorId="0" shapeId="0" xr:uid="{B1BF0112-4CA7-42E2-9CF4-4C13F05764C5}">
      <text>
        <r>
          <rPr>
            <sz val="9"/>
            <color indexed="81"/>
            <rFont val="Segoe UI"/>
            <family val="2"/>
          </rPr>
          <t>Die vorgeschlagene Futterration ist ausschließlich anhand des Stickstoffbedarfs berechnet.</t>
        </r>
      </text>
    </comment>
    <comment ref="GW6" authorId="0" shapeId="0" xr:uid="{07C838E5-8DF8-4E51-98A5-E06BABEE4A37}">
      <text>
        <r>
          <rPr>
            <sz val="9"/>
            <color indexed="81"/>
            <rFont val="Segoe UI"/>
            <family val="2"/>
          </rPr>
          <t xml:space="preserve">N über Fütterung (wie angegeben)
</t>
        </r>
      </text>
    </comment>
    <comment ref="HC6" authorId="0" shapeId="0" xr:uid="{E90CA48D-B260-4A8F-92D5-C41DC2951F1A}">
      <text>
        <r>
          <rPr>
            <sz val="9"/>
            <color indexed="81"/>
            <rFont val="Segoe UI"/>
            <family val="2"/>
          </rPr>
          <t xml:space="preserve">N über Fütterung (wie angegeben)
</t>
        </r>
      </text>
    </comment>
    <comment ref="I10" authorId="0" shapeId="0" xr:uid="{4117D0D4-3DC6-4DE1-8F24-15899CAE8612}">
      <text>
        <r>
          <rPr>
            <sz val="9"/>
            <color indexed="81"/>
            <rFont val="Segoe UI"/>
            <family val="2"/>
          </rPr>
          <t>Hier ist der Lagerbestand vom 1. Januar zu erfassen.</t>
        </r>
      </text>
    </comment>
    <comment ref="Q10" authorId="1" shapeId="0" xr:uid="{DC3C6D1B-CA0F-4974-8EB6-F9E88C8EE844}">
      <text>
        <r>
          <rPr>
            <sz val="9"/>
            <color indexed="81"/>
            <rFont val="Segoe UI"/>
            <family val="2"/>
          </rPr>
          <t>Verkauf mit negativem Vorzeichen eingeben.
Ernteprodukte, die über den Haken in Spalte P bereits als verkauft angegeben wurden, sind hier nicht nochmal zu erfassen.</t>
        </r>
      </text>
    </comment>
    <comment ref="A11" authorId="0" shapeId="0" xr:uid="{1D581DDD-A8F2-4D2D-8117-E8A5A3C1B024}">
      <text>
        <r>
          <rPr>
            <sz val="9"/>
            <color indexed="81"/>
            <rFont val="Segoe UI"/>
            <family val="2"/>
          </rPr>
          <t>Die Lagerhaltung von Stroh (Getreide- oder Körnermaisstroh) nur erfassen, wenn dieses direkt als Einsatzstoff in die Biogasanlage aufgeführt wird. Es werden keine Strohmengen erfasst, die als Einstreu oder Tierfutter  dienen.</t>
        </r>
      </text>
    </comment>
    <comment ref="I11" authorId="0" shapeId="0" xr:uid="{32A9F786-FF3C-446E-9BE6-4FAB7E726E1A}">
      <text>
        <r>
          <rPr>
            <sz val="9"/>
            <color indexed="81"/>
            <rFont val="Segoe UI"/>
            <family val="2"/>
          </rPr>
          <t xml:space="preserve">Ist der TS bekannt und abweichend von den Basisdaten, kann dieser hier eingeben werden.
</t>
        </r>
      </text>
    </comment>
    <comment ref="J11" authorId="0" shapeId="0" xr:uid="{FCB79301-833E-445B-8965-51883629A08F}">
      <text>
        <r>
          <rPr>
            <sz val="9"/>
            <color indexed="81"/>
            <rFont val="Segoe UI"/>
            <family val="2"/>
          </rPr>
          <t>Frischmasse in t. Bei Grünland i.d.R. TM, alternativ TS anpassen.</t>
        </r>
      </text>
    </comment>
    <comment ref="K11" authorId="0" shapeId="0" xr:uid="{C541A08A-5FF2-48E9-ABFE-6D9942E78DAE}">
      <text>
        <r>
          <rPr>
            <sz val="9"/>
            <color indexed="81"/>
            <rFont val="Segoe UI"/>
            <family val="2"/>
          </rPr>
          <t xml:space="preserve">Ist der TS bekannt und abweichend von den Basisdaten, kann dieser hier eingeben werden.
</t>
        </r>
      </text>
    </comment>
    <comment ref="M11" authorId="0" shapeId="0" xr:uid="{0E195195-57BB-41F8-A6CC-8EAC231816B9}">
      <text>
        <r>
          <rPr>
            <sz val="9"/>
            <color indexed="81"/>
            <rFont val="Segoe UI"/>
            <family val="2"/>
          </rPr>
          <t xml:space="preserve">Frischmasseertrag in dt/ha. Bei Grünland i.d.R. Trockenmasseertrag, alternativ TS anpassen.
</t>
        </r>
      </text>
    </comment>
    <comment ref="P11" authorId="0" shapeId="0" xr:uid="{95EF26C3-E955-4E44-B8BB-D5148672F95A}">
      <text>
        <r>
          <rPr>
            <sz val="9"/>
            <color indexed="81"/>
            <rFont val="Segoe UI"/>
            <family val="2"/>
          </rPr>
          <t>Wird Verkauf ausgewählt, gilt die gesamte geerntete Ware als verkauft und wird nicht in den Lagerbestand eingerechnet. 
Werden nur Teile der Ernte verkauft, sind die entsprechenden Flächen auf zwei Zeilen aufzuteilen oder die Menge rechts mit einem negativen Vorzeichen als Verkauf eingegeben werden.</t>
        </r>
      </text>
    </comment>
    <comment ref="Q11" authorId="0" shapeId="0" xr:uid="{A802CB9A-19B2-4064-B643-FF6361B4EFB7}">
      <text>
        <r>
          <rPr>
            <sz val="9"/>
            <color indexed="81"/>
            <rFont val="Segoe UI"/>
            <family val="2"/>
          </rPr>
          <t xml:space="preserve">Ist der TS bekannt und abweichend von den Basisdaten, kann dieser hier eingeben werden.
</t>
        </r>
      </text>
    </comment>
    <comment ref="R11" authorId="0" shapeId="0" xr:uid="{FEE2E1FB-E23A-4C1C-AF3F-42858E053C34}">
      <text>
        <r>
          <rPr>
            <sz val="9"/>
            <color indexed="81"/>
            <rFont val="Segoe UI"/>
            <family val="2"/>
          </rPr>
          <t>Frischmasse in t. Bei Grünland i.d.R. TM, alternativ TS anpassen.</t>
        </r>
      </text>
    </comment>
    <comment ref="N13" authorId="0" shapeId="0" xr:uid="{1A67B239-8231-4856-A985-FA3BFC9E9798}">
      <text>
        <r>
          <rPr>
            <sz val="9"/>
            <color indexed="81"/>
            <rFont val="Segoe UI"/>
            <family val="2"/>
          </rPr>
          <t>Bei Kulturen des mehrschnittigen Feldfutterbaus und mehrschnittigen Zweitfrüchten muss der Erntezeitraum zusätzlich angegeben werden. Geben Sie in nicht schraffierten Zellen den Monat als Zahl zwischen 1 (Januar) und 12 (Dezember) an.
Bei einmaliger Ernte der Kultur den Erntemonat eingeben. Wird die Kultur mehrfach geerntet wird hier der Erntemonat der ersten Ernte ausgewählt.
Wird eine Kultur nicht in einem zusammenhängenden Zeitraum geerntet (z.B. Ackergras als Zweitfrucht 2020/21 im Frühjahr und Ackergras als Zweitfrucht 2021/22 im Herbst) sind die jeweiligen Ernteperioden einzeln einzugeben.</t>
        </r>
      </text>
    </comment>
    <comment ref="O13" authorId="0" shapeId="0" xr:uid="{01F911B3-CBAD-4139-8A0D-D2A13A07204F}">
      <text>
        <r>
          <rPr>
            <sz val="9"/>
            <color indexed="81"/>
            <rFont val="Segoe UI"/>
            <family val="2"/>
          </rPr>
          <t xml:space="preserve">Geben Sie in nicht schraffierten Zellen den Monat als Zahl zwischen 1 (Januar) und 12 (Dezember) an.
Bei mehrfacher Nutzung einer Kultur (z.B. Grünland, mehrschnittiger Feldfutterbau) ist der erste und letzte Erntemonat einzugeben. Bei einmaliger Ernte ist diese Spalte frei zu lassen.
</t>
        </r>
      </text>
    </comment>
    <comment ref="S13" authorId="0" shapeId="0" xr:uid="{8A05F142-57A2-4935-BEF4-F503C17A79AA}">
      <text>
        <r>
          <rPr>
            <sz val="9"/>
            <color indexed="81"/>
            <rFont val="Segoe UI"/>
            <family val="2"/>
          </rPr>
          <t>Geben Sie den Monat als Zahl zwischen 1 (Januar) und 12 (Dezember) an.
Bei einmaligem Zukauf muss der Monat lediglich einmal angegeben werden. Findet ein regelmäßiger Zukauf statt, wird hier der erste Monat der Zukaufperiode ausgewählt.</t>
        </r>
      </text>
    </comment>
    <comment ref="T13" authorId="0" shapeId="0" xr:uid="{E848F7C5-47F7-435E-8EB2-238D4BC8AF9B}">
      <text>
        <r>
          <rPr>
            <sz val="9"/>
            <color indexed="81"/>
            <rFont val="Segoe UI"/>
            <family val="2"/>
          </rPr>
          <t>Geben Sie den Monat als Zahl zwischen 1 (Januar) und 12 (Dezember) an. Bei regelmäßigem Zukauf muss der hier der letzte Monat der Zukaufperiode angegeben werden. Bei einmaligem Zukauf ist diese Spalte frei zu lassen.</t>
        </r>
      </text>
    </comment>
    <comment ref="I40" authorId="0" shapeId="0" xr:uid="{0832E437-BD4A-4D3D-BED4-BC016B4E0FFD}">
      <text>
        <r>
          <rPr>
            <sz val="9"/>
            <color indexed="81"/>
            <rFont val="Segoe UI"/>
            <family val="2"/>
          </rPr>
          <t>Hier ist der Lagerbestand vom 1. Januar zu erfassen.</t>
        </r>
      </text>
    </comment>
    <comment ref="Q40" authorId="1" shapeId="0" xr:uid="{ECD6B0D8-3377-4E4D-9BD9-9822AFB57973}">
      <text>
        <r>
          <rPr>
            <sz val="9"/>
            <color indexed="81"/>
            <rFont val="Segoe UI"/>
            <family val="2"/>
          </rPr>
          <t>Verkauf mit negativem Vorzeichen eingeben.
Ernteprodukte, die über den Haken in Spalte P bereits als verkauft angegeben wurden, sind hier nicht nochmal zu erfassen.</t>
        </r>
      </text>
    </comment>
    <comment ref="A41" authorId="0" shapeId="0" xr:uid="{8E95054C-9C59-4EFB-A727-4D3B3400E7E2}">
      <text>
        <r>
          <rPr>
            <sz val="9"/>
            <color indexed="81"/>
            <rFont val="Segoe UI"/>
            <family val="2"/>
          </rPr>
          <t>Die Lagerhaltung von Stroh (Getreide- oder Körnermaisstroh) nur erfassen, wenn dieses direkt als Einsatzstoff in die Biogasanlage aufgeführt wird. Es werden keine Strohmengen erfasst, die als Einstreu oder Tierfutter dienen.</t>
        </r>
      </text>
    </comment>
    <comment ref="J41" authorId="0" shapeId="0" xr:uid="{BA43DBF4-14D9-4032-94B7-45E537CA6388}">
      <text>
        <r>
          <rPr>
            <sz val="9"/>
            <color indexed="81"/>
            <rFont val="Segoe UI"/>
            <family val="2"/>
          </rPr>
          <t>Frischmasse in t. Bei Grünland i.d.R. TM, alternativ TS anpassen.</t>
        </r>
      </text>
    </comment>
    <comment ref="M41" authorId="0" shapeId="0" xr:uid="{3F4C89EA-0AE7-4355-8D3A-6538DF8EFDE0}">
      <text>
        <r>
          <rPr>
            <sz val="9"/>
            <color indexed="81"/>
            <rFont val="Segoe UI"/>
            <family val="2"/>
          </rPr>
          <t xml:space="preserve">Frischmasseertrag in dt/ha. Bei Grünland i.d.R. Trockenmasseertrag, alternativ TS anpassen. 
</t>
        </r>
      </text>
    </comment>
    <comment ref="P41" authorId="0" shapeId="0" xr:uid="{AF637012-FA0B-4333-92A3-F80F0740320B}">
      <text>
        <r>
          <rPr>
            <sz val="9"/>
            <color indexed="81"/>
            <rFont val="Segoe UI"/>
            <family val="2"/>
          </rPr>
          <t>Wird Verkauf ausgewählt, gilt die gesamte geerntete Ware als verkauft und wird nicht in den Lagerbestand eingerechnet. 
Werden nur Teile der Ernte verkauft, sind die entsprechenden Flächen auf zwei Zeilen aufzuteilen oder die Menge rechts mit einem negativen Vorzeichen als Verkauf eingegeben werden.</t>
        </r>
      </text>
    </comment>
    <comment ref="R41" authorId="0" shapeId="0" xr:uid="{C7252552-4E98-4D69-908E-5FD6B8709AF9}">
      <text>
        <r>
          <rPr>
            <sz val="9"/>
            <color indexed="81"/>
            <rFont val="Segoe UI"/>
            <family val="2"/>
          </rPr>
          <t>Frischmasse in t. Bei Grünland i.d.R. TM, alternativ TS anpassen.</t>
        </r>
      </text>
    </comment>
    <comment ref="N43" authorId="0" shapeId="0" xr:uid="{5656E398-6CF7-45DA-8A22-DC4A09EDB1A3}">
      <text>
        <r>
          <rPr>
            <sz val="9"/>
            <color indexed="81"/>
            <rFont val="Segoe UI"/>
            <family val="2"/>
          </rPr>
          <t>Bei Kulturen des mehrschnittigen Feldfutterbaus und mehrschnittigen Zweitfrüchten muss der Erntezeitraum zusätzlich angegeben werden. Geben Sie in nicht schraffierten Zellen den Monat als Zahl zwischen 1 (Januar) und 12 (Dezember) an.
Bei einmaliger Ernte der Kultur den Erntemonat eingeben. Wird die Kultur mehrfach geerntet wird hier der Erntemonat der ersten Ernte ausgewählt.
Wird eine Kultur nicht in einem zusammenhängenden Zeitraum geerntet (z.B. Ackergras als Zweitfrucht 2020/21 im Frühjahr und Ackergras als Zweitfrucht 2021/22 im Herbst) sind die jeweiligen Ernteperioden einzeln einzugeben.</t>
        </r>
      </text>
    </comment>
    <comment ref="O43" authorId="0" shapeId="0" xr:uid="{D49CA0B9-8D69-4820-8C91-7706093A1D33}">
      <text>
        <r>
          <rPr>
            <sz val="9"/>
            <color indexed="81"/>
            <rFont val="Segoe UI"/>
            <family val="2"/>
          </rPr>
          <t xml:space="preserve">Geben Sie in nicht schraffierten Zellen den Monat als Zahl zwischen 1 (Januar) und 12 (Dezember) an.
Bei mehrfacher Nutzung einer Kultur (z.B. Grünland, mehrschnittiger Feldfutterbau) ist der erste und letzte Erntemonat einzugeben. Bei einmaliger Ernte ist diese Spalte frei zu lassen.
</t>
        </r>
      </text>
    </comment>
    <comment ref="S43" authorId="0" shapeId="0" xr:uid="{0C9CEA07-5185-4DC8-911B-F857A9469FBC}">
      <text>
        <r>
          <rPr>
            <sz val="9"/>
            <color indexed="81"/>
            <rFont val="Segoe UI"/>
            <family val="2"/>
          </rPr>
          <t>Geben Sie den Monat als Zahl zwischen 1 (Januar) und 12 (Dezember) an.
Bei einmaligem Zukauf muss der Monat lediglich einmal angegeben werden. Findet ein regelmäßiger Zukauf statt, wird hier der erste Monat der Zukaufperiode ausgewählt.</t>
        </r>
      </text>
    </comment>
    <comment ref="T43" authorId="0" shapeId="0" xr:uid="{41DB32B5-C5B3-470A-ADE5-C13B2C2F85CF}">
      <text>
        <r>
          <rPr>
            <sz val="9"/>
            <color indexed="81"/>
            <rFont val="Segoe UI"/>
            <family val="2"/>
          </rPr>
          <t>Geben Sie den Monat als Zahl zwischen 1 (Januar) und 12 (Dezember) an. Bei regelmäßigem Zukauf muss der hier der letzte Monat der Zukaufperiode angegeben werden. Bei einmaligem Zukauf ist diese Spalte frei zu lassen.</t>
        </r>
      </text>
    </comment>
    <comment ref="I71" authorId="0" shapeId="0" xr:uid="{659C8828-3F08-4619-9372-850847D4FB4A}">
      <text>
        <r>
          <rPr>
            <sz val="9"/>
            <color indexed="81"/>
            <rFont val="Segoe UI"/>
            <family val="2"/>
          </rPr>
          <t>Hier ist der Lagerbestand vom 1. Januar zu erfassen.</t>
        </r>
      </text>
    </comment>
    <comment ref="Q71" authorId="1" shapeId="0" xr:uid="{44F5F120-7799-4EB0-8F68-3F09EB301D48}">
      <text>
        <r>
          <rPr>
            <sz val="9"/>
            <color indexed="81"/>
            <rFont val="Segoe UI"/>
            <family val="2"/>
          </rPr>
          <t xml:space="preserve">Verkauf mit negativem Vorzeichen eingeben.
</t>
        </r>
      </text>
    </comment>
    <comment ref="I72" authorId="0" shapeId="0" xr:uid="{F91B3CDE-6273-4588-BF13-01BA8BA0E147}">
      <text>
        <r>
          <rPr>
            <sz val="9"/>
            <color indexed="81"/>
            <rFont val="Segoe UI"/>
            <family val="2"/>
          </rPr>
          <t xml:space="preserve">Ist der TS bekannt und abweichend von den Basisdaten, kann dieser hier eingeben werden.
</t>
        </r>
      </text>
    </comment>
    <comment ref="J72" authorId="0" shapeId="0" xr:uid="{525FE3CB-7AC2-4058-90B6-DE31E9765DE3}">
      <text>
        <r>
          <rPr>
            <sz val="9"/>
            <color indexed="81"/>
            <rFont val="Segoe UI"/>
            <family val="2"/>
          </rPr>
          <t>Frischmasse in t. Bei Grünland i.d.R. TM, alternativ TS anpassen.</t>
        </r>
      </text>
    </comment>
    <comment ref="Q72" authorId="0" shapeId="0" xr:uid="{F5B7189E-6ECF-4DA2-A9DA-26EEE0B645A7}">
      <text>
        <r>
          <rPr>
            <sz val="9"/>
            <color indexed="81"/>
            <rFont val="Segoe UI"/>
            <family val="2"/>
          </rPr>
          <t xml:space="preserve">Ist der TS bekannt und abweichend von den Basisdaten, kann dieser hier eingeben werden.
</t>
        </r>
      </text>
    </comment>
    <comment ref="R72" authorId="0" shapeId="0" xr:uid="{C5859B7D-0A0E-41C6-8F1A-1DAF959E837D}">
      <text>
        <r>
          <rPr>
            <sz val="9"/>
            <color indexed="81"/>
            <rFont val="Segoe UI"/>
            <family val="2"/>
          </rPr>
          <t>Frischmasse in t. Bei Grünland i.d.R. TM, alternativ TS anpassen.</t>
        </r>
      </text>
    </comment>
    <comment ref="S74" authorId="0" shapeId="0" xr:uid="{952C0ABE-C3FE-4FE4-8228-F6A05B9883B1}">
      <text>
        <r>
          <rPr>
            <sz val="9"/>
            <color indexed="81"/>
            <rFont val="Segoe UI"/>
            <family val="2"/>
          </rPr>
          <t>Geben Sie den Monat als Zahl zwischen 1 (Januar) und 12 (Dezember) an.
Bei einmaligem Zukauf muss der Monat lediglich einmal angegeben werden. Findet ein regelmäßiger Zukauf statt, wird hier der erste Monat der Zukaufperiode ausgewählt.</t>
        </r>
      </text>
    </comment>
    <comment ref="T74" authorId="0" shapeId="0" xr:uid="{B4C732E0-472F-4EA8-B758-4C93AC78237B}">
      <text>
        <r>
          <rPr>
            <sz val="9"/>
            <color indexed="81"/>
            <rFont val="Segoe UI"/>
            <family val="2"/>
          </rPr>
          <t>Geben Sie den Monat als Zahl zwischen 1 (Januar) und 12 (Dezember) an. Bei regelmäßigem Zukauf muss der hier der letzte Monat der Zukaufperiode angegeben werden. Bei einmaligem Zukauf ist diese Spalte frei zu lassen.</t>
        </r>
      </text>
    </comment>
    <comment ref="A99" authorId="0" shapeId="0" xr:uid="{33C54695-31AF-4685-B72E-27C5177176EE}">
      <text>
        <r>
          <rPr>
            <sz val="9"/>
            <color indexed="81"/>
            <rFont val="Segoe UI"/>
            <family val="2"/>
          </rPr>
          <t>Zuwachs Tierkörper: Summe Verkauf Tierkörper (Lebendgewicht) im Jahr (inkl. verendete Tiere) - Zukauf Tierkörper (Lebendgewicht) im Jahr.</t>
        </r>
      </text>
    </comment>
    <comment ref="CA103" authorId="0" shapeId="0" xr:uid="{DE48A0FC-CE69-44CC-87B2-FBCF9BAD1DE6}">
      <text>
        <r>
          <rPr>
            <sz val="9"/>
            <color indexed="81"/>
            <rFont val="Segoe UI"/>
            <family val="2"/>
          </rPr>
          <t>die eingegebenen tier. Produkte (Fleisch) dürfen max x % von den Basisdaten abweichen</t>
        </r>
        <r>
          <rPr>
            <b/>
            <sz val="9"/>
            <color indexed="81"/>
            <rFont val="Segoe UI"/>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Hierlmeier, Michael (LfL)</author>
    <author>Schubert, David (LfL)</author>
    <author>Offenberger, Konrad (LfL)</author>
  </authors>
  <commentList>
    <comment ref="A1" authorId="0" shapeId="0" xr:uid="{00000000-0006-0000-0100-000001000000}">
      <text>
        <r>
          <rPr>
            <sz val="9"/>
            <color indexed="81"/>
            <rFont val="Tahoma"/>
            <family val="2"/>
          </rPr>
          <t>Abweichende Werte müssen bei einer Kontrolle  belegt werden.
Es dürfen nur Zahlen verwendet werden, die die landeszuständige Stelle genehmigt hat.</t>
        </r>
      </text>
    </comment>
    <comment ref="G5" authorId="1" shapeId="0" xr:uid="{00000000-0006-0000-0100-000002000000}">
      <text>
        <r>
          <rPr>
            <sz val="9"/>
            <color indexed="81"/>
            <rFont val="Tahoma"/>
            <family val="2"/>
          </rPr>
          <t>Bei Geflügel ist der Anfall bei Mist einzutragen (bei Gülle keine Angabe erlaubt)</t>
        </r>
      </text>
    </comment>
    <comment ref="H5" authorId="2" shapeId="0" xr:uid="{00000000-0006-0000-0100-000003000000}">
      <text>
        <r>
          <rPr>
            <sz val="9"/>
            <color indexed="81"/>
            <rFont val="Tahoma"/>
            <family val="2"/>
          </rPr>
          <t xml:space="preserve">Jaucheanfall bei geringer Einstreumenge. Angaben zum Jaucheanfall darf nur bei Rindern und Schweinen erfolgen.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Schmücker, Rebekka (LfL)</author>
    <author>Brandl, Maria (LfL)</author>
  </authors>
  <commentList>
    <comment ref="BH5" authorId="0" shapeId="0" xr:uid="{E6B4CB6F-D2BB-4331-A241-82D54039F49D}">
      <text>
        <r>
          <rPr>
            <sz val="9"/>
            <color indexed="81"/>
            <rFont val="Segoe UI"/>
            <family val="2"/>
          </rPr>
          <t>Alle Rinder: Nährstoffgehalte von Rinderjauche etc.</t>
        </r>
      </text>
    </comment>
    <comment ref="BM5" authorId="0" shapeId="0" xr:uid="{91663C14-A3BE-4689-A4B6-0EE6EC8E2313}">
      <text>
        <r>
          <rPr>
            <sz val="9"/>
            <color indexed="81"/>
            <rFont val="Segoe UI"/>
            <family val="2"/>
          </rPr>
          <t>Alle Rinder: Nährstoffgehalte von Rinderjauche
Schweine: Nährstoffgehalte von Schweinejauche (Basisdaten org. Dünger)
Andere Tierarten haben keine Jauche, daher 0</t>
        </r>
      </text>
    </comment>
    <comment ref="C6" authorId="1" shapeId="0" xr:uid="{60A92796-920A-45C6-BA48-77048981E565}">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BL8" authorId="0" shapeId="0" xr:uid="{35E6BA88-89C5-4ED6-B3A6-2FF525726CF8}">
      <text>
        <r>
          <rPr>
            <sz val="9"/>
            <color indexed="81"/>
            <rFont val="Segoe UI"/>
            <family val="2"/>
          </rPr>
          <t xml:space="preserve">1=Rind
2=Schwein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J6" authorId="0" shapeId="0" xr:uid="{B81D6B30-14BF-464F-9423-34DD58D84C2E}">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H23" authorId="1" shapeId="0" xr:uid="{768AA80F-B87B-4D72-91B4-FDC01D8ABCA7}">
      <text>
        <r>
          <rPr>
            <b/>
            <sz val="9"/>
            <color indexed="81"/>
            <rFont val="Segoe UI"/>
            <family val="2"/>
          </rPr>
          <t>für Dropdown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E2" authorId="0" shapeId="0" xr:uid="{00000000-0006-0000-0900-000001000000}">
      <text>
        <r>
          <rPr>
            <b/>
            <u/>
            <sz val="9"/>
            <color indexed="81"/>
            <rFont val="Tahoma"/>
            <family val="2"/>
          </rPr>
          <t>NBB: Erzeugt auf</t>
        </r>
        <r>
          <rPr>
            <sz val="9"/>
            <color indexed="81"/>
            <rFont val="Tahoma"/>
            <family val="2"/>
          </rPr>
          <t xml:space="preserve">
Acker
Grünland
</t>
        </r>
      </text>
    </comment>
    <comment ref="F2" authorId="0" shapeId="0" xr:uid="{00000000-0006-0000-0900-000002000000}">
      <text>
        <r>
          <rPr>
            <b/>
            <sz val="9"/>
            <color indexed="81"/>
            <rFont val="Tahoma"/>
            <family val="2"/>
          </rPr>
          <t>Status in der Fruchtfolge:</t>
        </r>
        <r>
          <rPr>
            <sz val="9"/>
            <color indexed="81"/>
            <rFont val="Tahoma"/>
            <family val="2"/>
          </rPr>
          <t xml:space="preserve">
Hfru=Hauptfrucht Acker
Nfru = Nebenfrucht (Zwischen- oder Zweitfrucht) 
GRL= Grünland </t>
        </r>
      </text>
    </comment>
    <comment ref="G2" authorId="0" shapeId="0" xr:uid="{00000000-0006-0000-0900-000003000000}">
      <text>
        <r>
          <rPr>
            <b/>
            <sz val="9"/>
            <color indexed="81"/>
            <rFont val="Tahoma"/>
            <family val="2"/>
          </rPr>
          <t xml:space="preserve">Fruchtartengruppe (in den Basisdaten Tab. 1+2): 
</t>
        </r>
        <r>
          <rPr>
            <sz val="9"/>
            <color indexed="81"/>
            <rFont val="Tahoma"/>
            <family val="2"/>
          </rPr>
          <t>1 = Getreide
2 = Körnerleguminosen
3 = Ölfrüchte
4 = Faserpflanzen 
5 = Hackfrüchte
6 = Mehrschnittiger Feldfutterbau
7 = Futterpflanzen
8 = Energiepflanzen
9 = Vermehrungspflanzen
10 = Dauerkulturen
11= Sonstiges
12 = Gemüse
13 = Grünland
14 = Heil- und Gewürzpflanze
15 = Zierpflanzen
16= Körnermais, sonstige Körnernutzung</t>
        </r>
      </text>
    </comment>
    <comment ref="H2" authorId="0" shapeId="0" xr:uid="{00000000-0006-0000-0900-000004000000}">
      <text>
        <r>
          <rPr>
            <b/>
            <sz val="9"/>
            <color indexed="81"/>
            <rFont val="Tahoma"/>
            <family val="2"/>
          </rPr>
          <t xml:space="preserve">Ernteprodukt:
</t>
        </r>
        <r>
          <rPr>
            <sz val="9"/>
            <color indexed="81"/>
            <rFont val="Tahoma"/>
            <family val="2"/>
          </rPr>
          <t xml:space="preserve">1 = Haupternteprodukt
2 = Nebenernteprodukt
3 = Haupt- und Nebenernteprodukt (ganze Pflanze)
</t>
        </r>
      </text>
    </comment>
    <comment ref="I2" authorId="0" shapeId="0" xr:uid="{00000000-0006-0000-0900-000005000000}">
      <text>
        <r>
          <rPr>
            <b/>
            <u/>
            <sz val="9"/>
            <color indexed="81"/>
            <rFont val="Tahoma"/>
            <family val="2"/>
          </rPr>
          <t xml:space="preserve">Futtermittel </t>
        </r>
        <r>
          <rPr>
            <u/>
            <sz val="9"/>
            <color indexed="81"/>
            <rFont val="Tahoma"/>
            <family val="2"/>
          </rPr>
          <t>(für Liste Grobfuttermittel in NBB sowie Berechnung Grobfutteraufnahme):</t>
        </r>
        <r>
          <rPr>
            <sz val="9"/>
            <color indexed="81"/>
            <rFont val="Tahoma"/>
            <family val="2"/>
          </rPr>
          <t xml:space="preserve">
1=Grobfutter (GF)
2=Nichtgrobfutter
0 = üblicherweise kein Futtermittel für Tiere bzw. für Futtermitteltabell nicht nötig ist
</t>
        </r>
      </text>
    </comment>
    <comment ref="J2" authorId="0" shapeId="0" xr:uid="{00000000-0006-0000-0900-000006000000}">
      <text>
        <r>
          <rPr>
            <b/>
            <u/>
            <sz val="9"/>
            <color indexed="81"/>
            <rFont val="Tahoma"/>
            <family val="2"/>
          </rPr>
          <t>Sortierung der komplette Liste Futtermittel und Ernteprodukte:</t>
        </r>
        <r>
          <rPr>
            <sz val="9"/>
            <color indexed="81"/>
            <rFont val="Tahoma"/>
            <family val="2"/>
          </rPr>
          <t xml:space="preserve">
1 = Getreide und Körnermais
2 = Körnerleguminosen
3 = Ölfrüchte und Faserpflanzen 
4 = Hackfrüchte
5 = Futterbau (z.B. Mais)
6 = Grünland
7 = Energiepflanzen
8 = Vermehrungspflanzen
9 = Dauerkulturen
10 = Gemüse
11 = Heil- und Gewürzpflanze
12 = Zierpflanzen
16 = Stroh
20 = sonstige Futtermittel
</t>
        </r>
      </text>
    </comment>
    <comment ref="B3" authorId="1" shapeId="0" xr:uid="{A5F2DAF3-BA24-4D3C-8890-66957793C533}">
      <text>
        <r>
          <rPr>
            <b/>
            <sz val="9"/>
            <color indexed="81"/>
            <rFont val="Segoe UI"/>
            <family val="2"/>
          </rPr>
          <t>Schmücker, Rebekka (LfL):</t>
        </r>
        <r>
          <rPr>
            <sz val="9"/>
            <color indexed="81"/>
            <rFont val="Segoe UI"/>
            <family val="2"/>
          </rPr>
          <t xml:space="preserve">
Sonstige Kulturen sind am Ende der Kulturenliste. Indexgibt an, an welcher stelle die links ausgewählten Produkte in der rechten liste sind, damit nur eine Matrix genutzt werden kann.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<sst xmlns="http://schemas.openxmlformats.org/spreadsheetml/2006/main" count="11355" uniqueCount="8543">
  <si>
    <t>Gülle</t>
  </si>
  <si>
    <t>m³</t>
  </si>
  <si>
    <t>%</t>
  </si>
  <si>
    <t>Nährstoffausscheidung</t>
  </si>
  <si>
    <t>N</t>
  </si>
  <si>
    <t>P2O5</t>
  </si>
  <si>
    <t>K2O</t>
  </si>
  <si>
    <t xml:space="preserve">Kälber (Zucht/Mast) bis 6 Monate </t>
  </si>
  <si>
    <t xml:space="preserve">Männliche Rinder über 2 Jahre, Zuchtbullen </t>
  </si>
  <si>
    <t>Weibliche Rinder über 1 Jahr bis 2 Jahre</t>
  </si>
  <si>
    <t>Andere weibliche Rinder über 2 Jahre</t>
  </si>
  <si>
    <t>Jauche</t>
  </si>
  <si>
    <t>nach</t>
  </si>
  <si>
    <t>Mist</t>
  </si>
  <si>
    <t>Anzahl</t>
  </si>
  <si>
    <t>Vorname/Name:</t>
  </si>
  <si>
    <t>Straße:</t>
  </si>
  <si>
    <t>PLZ/Ort:</t>
  </si>
  <si>
    <t>Telefon:</t>
  </si>
  <si>
    <t>Kalenderjahr:</t>
  </si>
  <si>
    <t>Milchleistung:</t>
  </si>
  <si>
    <t>kg/Kuh und Jahr</t>
  </si>
  <si>
    <t>Milchkuh ohne Kalb</t>
  </si>
  <si>
    <t xml:space="preserve"> --</t>
  </si>
  <si>
    <t>ha gesamte Ackerfläche</t>
  </si>
  <si>
    <t>ha gesamte Grünlandfläche</t>
  </si>
  <si>
    <t>Niederschlag:</t>
  </si>
  <si>
    <t>% Grünlandanteil</t>
  </si>
  <si>
    <t>Durchmesser</t>
  </si>
  <si>
    <r>
      <t>Behälter</t>
    </r>
    <r>
      <rPr>
        <sz val="10"/>
        <rFont val="Arial"/>
        <family val="2"/>
      </rPr>
      <t xml:space="preserve"> 1</t>
    </r>
  </si>
  <si>
    <r>
      <t>Behälter</t>
    </r>
    <r>
      <rPr>
        <sz val="10"/>
        <rFont val="Arial"/>
        <family val="2"/>
      </rPr>
      <t xml:space="preserve"> 2</t>
    </r>
    <r>
      <rPr>
        <sz val="10"/>
        <rFont val="Arial"/>
        <family val="2"/>
      </rPr>
      <t/>
    </r>
  </si>
  <si>
    <r>
      <t>Behälter</t>
    </r>
    <r>
      <rPr>
        <sz val="10"/>
        <rFont val="Arial"/>
        <family val="2"/>
      </rPr>
      <t xml:space="preserve"> 3</t>
    </r>
    <r>
      <rPr>
        <sz val="10"/>
        <rFont val="Arial"/>
        <family val="2"/>
      </rPr>
      <t/>
    </r>
  </si>
  <si>
    <t>Länge</t>
  </si>
  <si>
    <t>Breite</t>
  </si>
  <si>
    <t>menge</t>
  </si>
  <si>
    <t>Weide</t>
  </si>
  <si>
    <t>in %</t>
  </si>
  <si>
    <t>gering</t>
  </si>
  <si>
    <t>mittel</t>
  </si>
  <si>
    <t>hoch</t>
  </si>
  <si>
    <t>t</t>
  </si>
  <si>
    <t>Stall-</t>
  </si>
  <si>
    <t>mist</t>
  </si>
  <si>
    <t>Gülle,</t>
  </si>
  <si>
    <t>Okt-Mär</t>
  </si>
  <si>
    <t>Apr-Sep</t>
  </si>
  <si>
    <r>
      <t>Stallmist</t>
    </r>
    <r>
      <rPr>
        <sz val="8"/>
        <rFont val="Arial"/>
        <family val="2"/>
      </rPr>
      <t>/Jauche</t>
    </r>
  </si>
  <si>
    <t>Einstreu-</t>
  </si>
  <si>
    <t>Programmname</t>
  </si>
  <si>
    <t>Rinder</t>
  </si>
  <si>
    <t>Männl. Rinder über 6 Monate bis 1 Jahr</t>
  </si>
  <si>
    <t>Männl. Rinder über 1 Jahr bis zwei Jahre (Mast)</t>
  </si>
  <si>
    <t>Mutterkuh mit Kalb bis 6 Monate</t>
  </si>
  <si>
    <t>Zuchtsauen mit 25 Ferkel bis 8 kg, Standard</t>
  </si>
  <si>
    <t>Zuchtsauen mit 25 Ferkel bis 8 kg, N-/P-reduziert</t>
  </si>
  <si>
    <t>Zuchtsauen mit 28 Ferkel bis 8 kg, Standard</t>
  </si>
  <si>
    <t>Zuchtsauen mit 28 Ferkel bis 8 kg, N-/P-reduziert</t>
  </si>
  <si>
    <t>Zuchtsauen mit 25 Ferkel bis 28 kg, Standard</t>
  </si>
  <si>
    <t>Zuchtsauen mit 25 Ferkel bis 28 kg, N-/P-reduziert</t>
  </si>
  <si>
    <t>Zuchtsauen mit 28 Ferkel bis 28 kg, Standard</t>
  </si>
  <si>
    <t>Zuchtsauen mit 28 Ferkel bis 28 kg, N-/P-reduziert</t>
  </si>
  <si>
    <t>Ferkel von 8 bis 28 kg, Standard</t>
  </si>
  <si>
    <t>Ferkel von 8 bis 28 kg, N-/P-reduziert</t>
  </si>
  <si>
    <t>Mastschweine (750 g TZ), Jungsauenaufzucht, Standard</t>
  </si>
  <si>
    <t>Mastschweine (750 g TZ), Jungsauenaufzucht, N-/P-reduziert</t>
  </si>
  <si>
    <t>Mastschweine (850 g TZ), Standard</t>
  </si>
  <si>
    <t>Mastschweine (850 g TZ), N-/P-reduziert</t>
  </si>
  <si>
    <t>Zuchteber</t>
  </si>
  <si>
    <t>Legehennen über 16 Wochen, Standard</t>
  </si>
  <si>
    <t>Legehennen über 16 Wochen, N-/P-reduziert</t>
  </si>
  <si>
    <t>Junghennen bis 16 Wochen, Standard</t>
  </si>
  <si>
    <t>Junghennen bis 16 Wochen, N-/P-reduziert</t>
  </si>
  <si>
    <t>Masthähnchen, Standard</t>
  </si>
  <si>
    <t>Masthähnchen, N-/P-reduziert</t>
  </si>
  <si>
    <t>Putenhähne bis 21 Wochen Mast, Standard</t>
  </si>
  <si>
    <t>Putenhähne bis 21 Wochen Mast, N-/P-reduziert</t>
  </si>
  <si>
    <t>Putenhennen bis 16 Wochen Mast, Standard</t>
  </si>
  <si>
    <t>Putenhennen bis 16 Wochen Mast, N-/P-reduziert</t>
  </si>
  <si>
    <t>Gänse Spätmast/Weidemast</t>
  </si>
  <si>
    <t>Pekingenten</t>
  </si>
  <si>
    <t>Flugenten</t>
  </si>
  <si>
    <t>Perlhuhn</t>
  </si>
  <si>
    <t>Lämmer, Schafe bis 1 Jahr, konventionell</t>
  </si>
  <si>
    <t>Mutterschafe (ohne Lamm), andere Schafe, konventionell</t>
  </si>
  <si>
    <t>Milchziegen mit Lämmer, andere Ziegen</t>
  </si>
  <si>
    <t>Pferde bis ein Jahr, Ponys und Kleinpferde</t>
  </si>
  <si>
    <t>Pferde über ein Jahr</t>
  </si>
  <si>
    <t>Kaninchenaufz. bis 3 kg (Häsin + 52 Jungtiere je Jahr)</t>
  </si>
  <si>
    <t>Damwild Alttier</t>
  </si>
  <si>
    <t>Damwild Kalb</t>
  </si>
  <si>
    <t>Rotwild Alttier</t>
  </si>
  <si>
    <t>Rotwild Kalb</t>
  </si>
  <si>
    <t>Lama/Alpaka</t>
  </si>
  <si>
    <t>Schweine</t>
  </si>
  <si>
    <t>Geflügel</t>
  </si>
  <si>
    <t xml:space="preserve">andere Tiere </t>
  </si>
  <si>
    <t>Erläuterung zur Zuordnung der Tiergruppen vom Mehrfachantrag zum 170 kg Programm</t>
  </si>
  <si>
    <t>Mehrfachantrag</t>
  </si>
  <si>
    <t>Excel Programm 170 kg</t>
  </si>
  <si>
    <t>Code</t>
  </si>
  <si>
    <t>Viehverzeichnis</t>
  </si>
  <si>
    <t>Tierauswahl</t>
  </si>
  <si>
    <t>01</t>
  </si>
  <si>
    <t xml:space="preserve">  Kälber (Zucht/Mast) bis 6 Monate</t>
  </si>
  <si>
    <t xml:space="preserve">  Kälber (Zucht/Mast) bis 6 Monate </t>
  </si>
  <si>
    <t>04</t>
  </si>
  <si>
    <t xml:space="preserve">  Männliche Rinder über 6 Monate bis 1 Jahr</t>
  </si>
  <si>
    <t>05</t>
  </si>
  <si>
    <t xml:space="preserve">  Männliche Rinder über 1 Jahr bis 2 Jahre</t>
  </si>
  <si>
    <t xml:space="preserve">  Männliche Rinder über 1 Jahr bis zwei Jahre (Mast)</t>
  </si>
  <si>
    <t>06</t>
  </si>
  <si>
    <t xml:space="preserve">  Männliche Rinder über 2 Jahre, Zuchtbullen</t>
  </si>
  <si>
    <t xml:space="preserve">  Männliche Rinder über 2 Jahre, Zuchtbullen </t>
  </si>
  <si>
    <t>07</t>
  </si>
  <si>
    <t xml:space="preserve">  Weibliche Rinder über 6 Monate bis 1 Jahr</t>
  </si>
  <si>
    <t xml:space="preserve">  Weibliche Rinder über 6 Monate bis 1 Jahr </t>
  </si>
  <si>
    <t>10</t>
  </si>
  <si>
    <t xml:space="preserve">  Weibliche Rinder über 1 Jahr bis 2 Jahre</t>
  </si>
  <si>
    <t>13</t>
  </si>
  <si>
    <t xml:space="preserve">  Andere weibliche Rinder über 2 Jahre</t>
  </si>
  <si>
    <t xml:space="preserve">  Kühe (Milch-, Mutter- und Ammenkühe)</t>
  </si>
  <si>
    <t xml:space="preserve">  Milchkuh </t>
  </si>
  <si>
    <t xml:space="preserve">  Mutterkuh mit Kalb bis 6 Monate</t>
  </si>
  <si>
    <t>21</t>
  </si>
  <si>
    <t xml:space="preserve">  Lämmer, Schafe bis 1 Jahr</t>
  </si>
  <si>
    <t xml:space="preserve">  Lämmer, Schafe bis 1 Jahr, konventionell</t>
  </si>
  <si>
    <t>22</t>
  </si>
  <si>
    <t xml:space="preserve">  Mutterschafe</t>
  </si>
  <si>
    <t>23</t>
  </si>
  <si>
    <t xml:space="preserve">  Andere Schafe über 1 Jahr, einschl. Hammel</t>
  </si>
  <si>
    <t xml:space="preserve">  Mutterschafe (ohne Lamm), andere Schafe, konvent.</t>
  </si>
  <si>
    <t>24</t>
  </si>
  <si>
    <t xml:space="preserve">  Schafböcke</t>
  </si>
  <si>
    <t>31</t>
  </si>
  <si>
    <t xml:space="preserve">  Mutterziegen, einschl. gedeckte Jungziegen</t>
  </si>
  <si>
    <t xml:space="preserve">  Milchziegen mit Lämmer, andere Ziegen</t>
  </si>
  <si>
    <t>32</t>
  </si>
  <si>
    <t xml:space="preserve">  Andere Ziegen über 1 Jahr</t>
  </si>
  <si>
    <t>41</t>
  </si>
  <si>
    <t xml:space="preserve">  Pferde bis 1 Jahr, Ponys und Kleinpferde</t>
  </si>
  <si>
    <t xml:space="preserve">  Pferde bis ein Jahr, Ponys und Kleinpferde</t>
  </si>
  <si>
    <t>42</t>
  </si>
  <si>
    <t xml:space="preserve">  Pferde über 1 Jahr</t>
  </si>
  <si>
    <t xml:space="preserve">  Pferde über ein Jahr</t>
  </si>
  <si>
    <t>50</t>
  </si>
  <si>
    <t xml:space="preserve">  Ferkel bis unter 30 kg</t>
  </si>
  <si>
    <t xml:space="preserve">  Ferkel von 8 bis 28 kg, Standard</t>
  </si>
  <si>
    <t xml:space="preserve">  Ferkel von 8 bis 28 kg, N-/P-reduziert</t>
  </si>
  <si>
    <t xml:space="preserve">  Zuchtsauen mit 25 Ferkel bis 8 kg, Standard</t>
  </si>
  <si>
    <t xml:space="preserve">  Zuchtsauen mit 25 Ferkel bis 8 kg, N-/P-reduziert</t>
  </si>
  <si>
    <t xml:space="preserve">  Zuchtsauen mit 28 Ferkel bis 8 kg, Standard</t>
  </si>
  <si>
    <t>51</t>
  </si>
  <si>
    <t xml:space="preserve"> Zuchtsauen ab erstem Abferkeln, Jungsauen trächtig</t>
  </si>
  <si>
    <t xml:space="preserve">  Zuchtsauen mit 28 Ferkel bis 8 kg, N-/P-reduziert</t>
  </si>
  <si>
    <t xml:space="preserve">  Zuchtsauen mit 25 Ferkel bis 28 kg, Standard</t>
  </si>
  <si>
    <t xml:space="preserve">  Zuchtsauen mit 25 Ferkel bis 28 kg, N-/P-reduziert</t>
  </si>
  <si>
    <t xml:space="preserve">  Zuchtsauen mit 28 Ferkel bis 28 kg, Standard</t>
  </si>
  <si>
    <t xml:space="preserve">  Zuchtsauen mit 28 Ferkel bis 28 kg, N-/P-reduziert</t>
  </si>
  <si>
    <t xml:space="preserve">  Mastschweine (750 g TZ), Jungsauenaufzucht, Standard</t>
  </si>
  <si>
    <t>53</t>
  </si>
  <si>
    <t xml:space="preserve">  Andere Zuchtschweine (ohne Eber) ab 50 kg</t>
  </si>
  <si>
    <t xml:space="preserve">  Mastschweine (750 g TZ), Jungsauenaufzucht, N-/P-red.</t>
  </si>
  <si>
    <t>54</t>
  </si>
  <si>
    <t xml:space="preserve">  Jungschweine (Zucht/Mast) 30 kg bis unter 50 kg</t>
  </si>
  <si>
    <t xml:space="preserve">  Mastschweine (850 g TZ), Standard</t>
  </si>
  <si>
    <t>55</t>
  </si>
  <si>
    <t xml:space="preserve">  Mastschweine (einschl. Eber) ab 50 kg</t>
  </si>
  <si>
    <t xml:space="preserve">  Mastschweine (850 g TZ), N-/P-reduziert</t>
  </si>
  <si>
    <t xml:space="preserve">  Zuchteber</t>
  </si>
  <si>
    <t>61</t>
  </si>
  <si>
    <t xml:space="preserve">  Legehennen über 6 Monate</t>
  </si>
  <si>
    <t xml:space="preserve">  Legehennen über 16 Wochen, Standard</t>
  </si>
  <si>
    <t xml:space="preserve">  Legehennen über 16 Wochen, N-/P-reduziert</t>
  </si>
  <si>
    <t>62</t>
  </si>
  <si>
    <t xml:space="preserve">  Küken und Junghennen bis 6 Monate zur Aufzucht</t>
  </si>
  <si>
    <t xml:space="preserve">  Junghennen bis 16 Wochen, Standard</t>
  </si>
  <si>
    <t xml:space="preserve">  Junghennen bis 16 Wochen, N-/P-reduziert</t>
  </si>
  <si>
    <t>63</t>
  </si>
  <si>
    <t xml:space="preserve">  Masthühner/-hähne und übrige Küken</t>
  </si>
  <si>
    <t xml:space="preserve">  Masthähnchen, Standard</t>
  </si>
  <si>
    <t xml:space="preserve">  Masthähnchen, N-/P-reduziert</t>
  </si>
  <si>
    <t>64</t>
  </si>
  <si>
    <t xml:space="preserve">  Enten</t>
  </si>
  <si>
    <t xml:space="preserve">  Pekingenten</t>
  </si>
  <si>
    <t xml:space="preserve">  Flugenten</t>
  </si>
  <si>
    <t>65</t>
  </si>
  <si>
    <t xml:space="preserve">  Gänse</t>
  </si>
  <si>
    <t xml:space="preserve">  Gänse Spätmast/Weidemast</t>
  </si>
  <si>
    <t xml:space="preserve">  Putenhähne bis 21 Wochen Mast, Standard</t>
  </si>
  <si>
    <t>66</t>
  </si>
  <si>
    <t xml:space="preserve">  Puten</t>
  </si>
  <si>
    <t xml:space="preserve">  Putenhähne bis 21 Wochen Mast, N-/P-reduziert</t>
  </si>
  <si>
    <t xml:space="preserve">  Putenhennen bis 16 Wochen Mast, Standard</t>
  </si>
  <si>
    <t xml:space="preserve">  Putenhennen bis 16 Wochen Mast, N-/P-reduziert</t>
  </si>
  <si>
    <t>72</t>
  </si>
  <si>
    <t xml:space="preserve">  Kaninchen</t>
  </si>
  <si>
    <t xml:space="preserve">  Kaninchenaufz. bis 3 kg (Häsin + 52 Jungtiere je Jahr)</t>
  </si>
  <si>
    <t>73</t>
  </si>
  <si>
    <t xml:space="preserve">  Damwild</t>
  </si>
  <si>
    <t xml:space="preserve">  Damwild Alttier</t>
  </si>
  <si>
    <t xml:space="preserve">  Damwild Kalb</t>
  </si>
  <si>
    <t>74</t>
  </si>
  <si>
    <t xml:space="preserve">  Rotwild</t>
  </si>
  <si>
    <t xml:space="preserve">  Rotwild Alttier</t>
  </si>
  <si>
    <t xml:space="preserve">  Rotwild Kalb</t>
  </si>
  <si>
    <t>82</t>
  </si>
  <si>
    <t xml:space="preserve">  Neuweltkameliden (Lama/Alpaka)</t>
  </si>
  <si>
    <t xml:space="preserve">  Lama/Alpaka</t>
  </si>
  <si>
    <t>85</t>
  </si>
  <si>
    <t xml:space="preserve">  Perlhühner</t>
  </si>
  <si>
    <t xml:space="preserve">  Perlhuhn</t>
  </si>
  <si>
    <t>Stallmist</t>
  </si>
  <si>
    <t>GV</t>
  </si>
  <si>
    <t>Milchleistung</t>
  </si>
  <si>
    <t xml:space="preserve"> </t>
  </si>
  <si>
    <t>TM</t>
  </si>
  <si>
    <t>in</t>
  </si>
  <si>
    <t>Rind</t>
  </si>
  <si>
    <t>Schwein</t>
  </si>
  <si>
    <t xml:space="preserve">                     (Stand: Januar 2018)</t>
  </si>
  <si>
    <t>Im Programm hinterlegte Daten aus Tabelle 4a+b+c</t>
  </si>
  <si>
    <t>Großvieh-</t>
  </si>
  <si>
    <r>
      <t>Gülleanfall in m</t>
    </r>
    <r>
      <rPr>
        <b/>
        <vertAlign val="superscript"/>
        <sz val="10"/>
        <rFont val="Arial"/>
        <family val="2"/>
      </rPr>
      <t>3</t>
    </r>
  </si>
  <si>
    <t xml:space="preserve">Einstreu </t>
  </si>
  <si>
    <r>
      <t xml:space="preserve">Festmist (nach DüV) </t>
    </r>
    <r>
      <rPr>
        <b/>
        <vertAlign val="superscript"/>
        <sz val="10"/>
        <rFont val="Arial"/>
        <family val="2"/>
      </rPr>
      <t>5)</t>
    </r>
  </si>
  <si>
    <t>Jaucheanfall</t>
  </si>
  <si>
    <r>
      <t xml:space="preserve">Jaucheanfall </t>
    </r>
    <r>
      <rPr>
        <b/>
        <vertAlign val="superscript"/>
        <sz val="10"/>
        <rFont val="Arial"/>
        <family val="2"/>
      </rPr>
      <t>4)</t>
    </r>
  </si>
  <si>
    <t>Verluste in %</t>
  </si>
  <si>
    <t>einheit</t>
  </si>
  <si>
    <t>kg je mittl.</t>
  </si>
  <si>
    <r>
      <t xml:space="preserve">je mittl. Jahresbestand </t>
    </r>
    <r>
      <rPr>
        <b/>
        <vertAlign val="superscript"/>
        <sz val="10"/>
        <rFont val="Arial"/>
        <family val="2"/>
      </rPr>
      <t>2)</t>
    </r>
  </si>
  <si>
    <r>
      <t>in m</t>
    </r>
    <r>
      <rPr>
        <b/>
        <vertAlign val="superscript"/>
        <sz val="10"/>
        <rFont val="Arial"/>
        <family val="2"/>
      </rPr>
      <t xml:space="preserve">3 </t>
    </r>
    <r>
      <rPr>
        <b/>
        <sz val="10"/>
        <rFont val="Arial"/>
        <family val="2"/>
      </rPr>
      <t xml:space="preserve">je mittl. </t>
    </r>
  </si>
  <si>
    <t>Stall- und Lager</t>
  </si>
  <si>
    <t>nach DüV</t>
  </si>
  <si>
    <r>
      <t xml:space="preserve">Jahresbestand </t>
    </r>
    <r>
      <rPr>
        <b/>
        <vertAlign val="superscript"/>
        <sz val="10"/>
        <rFont val="Arial"/>
        <family val="2"/>
      </rPr>
      <t>2)</t>
    </r>
  </si>
  <si>
    <t>(nach DüV)</t>
  </si>
  <si>
    <t>Anfall in t/Jahr</t>
  </si>
  <si>
    <r>
      <t>Jahresbest.²</t>
    </r>
    <r>
      <rPr>
        <b/>
        <vertAlign val="superscript"/>
        <sz val="10"/>
        <rFont val="Arial"/>
        <family val="2"/>
      </rPr>
      <t>)</t>
    </r>
  </si>
  <si>
    <t>Mist,</t>
  </si>
  <si>
    <r>
      <t>P</t>
    </r>
    <r>
      <rPr>
        <b/>
        <vertAlign val="subscript"/>
        <sz val="10"/>
        <rFont val="Arial"/>
        <family val="2"/>
      </rPr>
      <t>2</t>
    </r>
    <r>
      <rPr>
        <b/>
        <sz val="10"/>
        <rFont val="Arial"/>
        <family val="2"/>
      </rPr>
      <t>O</t>
    </r>
    <r>
      <rPr>
        <b/>
        <vertAlign val="subscript"/>
        <sz val="10"/>
        <rFont val="Arial"/>
        <family val="2"/>
      </rPr>
      <t>5</t>
    </r>
  </si>
  <si>
    <r>
      <t>K</t>
    </r>
    <r>
      <rPr>
        <b/>
        <vertAlign val="subscript"/>
        <sz val="10"/>
        <rFont val="Arial"/>
        <family val="2"/>
      </rPr>
      <t>2</t>
    </r>
    <r>
      <rPr>
        <b/>
        <sz val="10"/>
        <rFont val="Arial"/>
        <family val="2"/>
      </rPr>
      <t>O</t>
    </r>
  </si>
  <si>
    <r>
      <t xml:space="preserve">DüV </t>
    </r>
    <r>
      <rPr>
        <b/>
        <vertAlign val="superscript"/>
        <sz val="10"/>
        <rFont val="Arial"/>
        <family val="2"/>
      </rPr>
      <t>3)</t>
    </r>
  </si>
  <si>
    <t>kg/Tag</t>
  </si>
  <si>
    <t>LfL</t>
  </si>
  <si>
    <t xml:space="preserve">nach DüV </t>
  </si>
  <si>
    <r>
      <t xml:space="preserve">Ackerbetrieb </t>
    </r>
    <r>
      <rPr>
        <b/>
        <vertAlign val="superscript"/>
        <sz val="10"/>
        <rFont val="Arial"/>
        <family val="2"/>
      </rPr>
      <t>1)</t>
    </r>
    <r>
      <rPr>
        <b/>
        <sz val="10"/>
        <rFont val="Arial"/>
        <family val="2"/>
      </rPr>
      <t>, Stallhaltung</t>
    </r>
  </si>
  <si>
    <t xml:space="preserve">Weibliche Rinder über 6 Monate bis 1 Jahr </t>
  </si>
  <si>
    <t>Milchkuh (6000 kg Milch)</t>
  </si>
  <si>
    <t>Milchkuh (8000 kg Milch)</t>
  </si>
  <si>
    <t>Milchkuh (10000 kg Milch)</t>
  </si>
  <si>
    <t>Milchkuh (12000 kg Milch)</t>
  </si>
  <si>
    <r>
      <t xml:space="preserve">Grünlandbetrieb </t>
    </r>
    <r>
      <rPr>
        <b/>
        <vertAlign val="superscript"/>
        <sz val="10"/>
        <rFont val="Arial"/>
        <family val="2"/>
      </rPr>
      <t>1)</t>
    </r>
    <r>
      <rPr>
        <b/>
        <sz val="10"/>
        <rFont val="Arial"/>
        <family val="2"/>
      </rPr>
      <t>, konventionell</t>
    </r>
  </si>
  <si>
    <t>je 1000 Tiere</t>
  </si>
  <si>
    <t>Sonstige</t>
  </si>
  <si>
    <t>je Tier</t>
  </si>
  <si>
    <t>49 Tierartengruppen</t>
  </si>
  <si>
    <t>Grünlandanteil in %</t>
  </si>
  <si>
    <t>Milchkuh Acker</t>
  </si>
  <si>
    <t>Milchkuh GL</t>
  </si>
  <si>
    <t>Stroh</t>
  </si>
  <si>
    <t>Anfall</t>
  </si>
  <si>
    <t>Verluste</t>
  </si>
  <si>
    <t>Mist,Jauche</t>
  </si>
  <si>
    <t>Tiergruppe</t>
  </si>
  <si>
    <t>Anzahl ohne Weide</t>
  </si>
  <si>
    <t>m³/Jahr</t>
  </si>
  <si>
    <t>t/Jahr</t>
  </si>
  <si>
    <t>Nährstoffanfall Betrieb</t>
  </si>
  <si>
    <t>Festmist</t>
  </si>
  <si>
    <t>P205</t>
  </si>
  <si>
    <t>Tierart</t>
  </si>
  <si>
    <t>Jauche Nährstoffg.</t>
  </si>
  <si>
    <t>Tierbezeichnung</t>
  </si>
  <si>
    <t>Nährstoffanfall</t>
  </si>
  <si>
    <t>Anfall Mist</t>
  </si>
  <si>
    <t>Nährstoffauss. Anfall</t>
  </si>
  <si>
    <t>Tierart wählen</t>
  </si>
  <si>
    <t>Gesamt</t>
  </si>
  <si>
    <t>kg/t bzw. m³</t>
  </si>
  <si>
    <t>flüssig</t>
  </si>
  <si>
    <t>fest</t>
  </si>
  <si>
    <t>fest in t</t>
  </si>
  <si>
    <t>je Tier und Jahr (365 Tage)</t>
  </si>
  <si>
    <t>kg</t>
  </si>
  <si>
    <t>Nährstoffgehalt/t</t>
  </si>
  <si>
    <t>spez. Gewicht</t>
  </si>
  <si>
    <t>Ø Jahresbestand</t>
  </si>
  <si>
    <t>spez.Gew.</t>
  </si>
  <si>
    <t>SM</t>
  </si>
  <si>
    <t>Lager</t>
  </si>
  <si>
    <t>Lagerraum m³</t>
  </si>
  <si>
    <t>Zu-/Verpacht</t>
  </si>
  <si>
    <t>Lager 4</t>
  </si>
  <si>
    <t xml:space="preserve">Zu- und Verpacht von Lagerkapazität </t>
  </si>
  <si>
    <t xml:space="preserve">Mindestanforderung nach DüV wird eingehalten: </t>
  </si>
  <si>
    <t>GV/ha</t>
  </si>
  <si>
    <t>bei Anteil</t>
  </si>
  <si>
    <t>ger.</t>
  </si>
  <si>
    <t>Nähstoffgehalt Stroh kg/t</t>
  </si>
  <si>
    <t>Einstreu</t>
  </si>
  <si>
    <t>kg je GV und Tag</t>
  </si>
  <si>
    <t>Einstreu kg je GV und Tag</t>
  </si>
  <si>
    <t>Menge Zu- und Verpacht m³</t>
  </si>
  <si>
    <t>Anfall in dieser Zeit (bzw. mindestens benötigter Lagerraum) in m³</t>
  </si>
  <si>
    <t>Zupacht</t>
  </si>
  <si>
    <t>Verpacht</t>
  </si>
  <si>
    <t>Fläche im grünen Gebiet (%) ab 2020</t>
  </si>
  <si>
    <t>Plaus. Tiere ohne Gülle</t>
  </si>
  <si>
    <t>kg/GV und Tag</t>
  </si>
  <si>
    <t>GV/ha im Betrieb:</t>
  </si>
  <si>
    <t>bis 2020</t>
  </si>
  <si>
    <t>ab 2020</t>
  </si>
  <si>
    <t>Lager in Monaten Stallmist</t>
  </si>
  <si>
    <t>Silosaft</t>
  </si>
  <si>
    <t>% TS</t>
  </si>
  <si>
    <t>spez. Gew.</t>
  </si>
  <si>
    <t xml:space="preserve">Anfall Gülle </t>
  </si>
  <si>
    <t xml:space="preserve">gesamt </t>
  </si>
  <si>
    <t xml:space="preserve">Anfall Jauche </t>
  </si>
  <si>
    <t>gesamt</t>
  </si>
  <si>
    <t>Menge</t>
  </si>
  <si>
    <t>TS</t>
  </si>
  <si>
    <t>Wasser</t>
  </si>
  <si>
    <t>org. Dünger</t>
  </si>
  <si>
    <t>Menge in m³</t>
  </si>
  <si>
    <t>Menge in t</t>
  </si>
  <si>
    <t>TS in %</t>
  </si>
  <si>
    <t>mit Lichti</t>
  </si>
  <si>
    <t>für Biogas wird es eine Zeile "sonstige Einsatzstoffe" geben/ diese sonstigen Einsatzstoffe dürfen bis zu 5% der FM betragen</t>
  </si>
  <si>
    <t>Eigenstromanteil: wird mit 9% angesetzt</t>
  </si>
  <si>
    <t>basisdaten werden von der Landtechnik ergänzt</t>
  </si>
  <si>
    <t>mit Gasertrag L / kg org TS</t>
  </si>
  <si>
    <t xml:space="preserve">Methangehalt </t>
  </si>
  <si>
    <t>org TS</t>
  </si>
  <si>
    <t xml:space="preserve">Methangewicht </t>
  </si>
  <si>
    <t>CO2 Gewicht</t>
  </si>
  <si>
    <t>Wasser in TS (Gewicht)</t>
  </si>
  <si>
    <t>mittlere Verweildauer in Tagen</t>
  </si>
  <si>
    <t>Abbaurate wird mit verkaufen Gasertrag korrigiert</t>
  </si>
  <si>
    <t>t/m³</t>
  </si>
  <si>
    <t>kann von Gasertrag und Methangehalt abgeleitet werden</t>
  </si>
  <si>
    <t>ja</t>
  </si>
  <si>
    <t>nein</t>
  </si>
  <si>
    <t>Tiere für Beech. Lagerraum flüssig+fest</t>
  </si>
  <si>
    <t>fest in m³</t>
  </si>
  <si>
    <t xml:space="preserve">1) Bei offenen Behältern sind von der Höhe 20 cm (Freiraum) und bei geschlossenen Behältern 10 cm abzuziehen. </t>
  </si>
  <si>
    <r>
      <t>Höhe</t>
    </r>
    <r>
      <rPr>
        <b/>
        <vertAlign val="superscript"/>
        <sz val="10"/>
        <rFont val="Arial"/>
        <family val="2"/>
      </rPr>
      <t>1)</t>
    </r>
  </si>
  <si>
    <t>Eingabemöglichkeit für abweichende Werte</t>
  </si>
  <si>
    <t>TS-Gehalt</t>
  </si>
  <si>
    <t>Hausabwässer Anzahl Personen</t>
  </si>
  <si>
    <t>ha zusätzliche Ausbringfläche</t>
  </si>
  <si>
    <t xml:space="preserve"> welcher Anteil in % wird separiert</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</si>
  <si>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</si>
  <si>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</si>
  <si>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ha</t>
  </si>
  <si>
    <t>Zwiz.</t>
  </si>
  <si>
    <t>Mindestanfall für Gärsaft  - mind. 3 % des Volumens des größten Silos</t>
  </si>
  <si>
    <r>
      <t>Sonstige Wasserzugabe im Jahr</t>
    </r>
    <r>
      <rPr>
        <sz val="9"/>
        <rFont val="Arial"/>
        <family val="2"/>
      </rPr>
      <t xml:space="preserve"> </t>
    </r>
    <r>
      <rPr>
        <sz val="8"/>
        <rFont val="Arial"/>
        <family val="2"/>
      </rPr>
      <t>(z.B. Dachrinnenwasser, Reinigungswasser)</t>
    </r>
  </si>
  <si>
    <t>Flächen nicht abgedeckter Gülle- und Jaucheläger</t>
  </si>
  <si>
    <t>Fläche verunreinigtes Wasser z.B. ungereinigte Silofläche oder Ladefläche</t>
  </si>
  <si>
    <r>
      <t>Sonstige Flächen</t>
    </r>
    <r>
      <rPr>
        <sz val="8"/>
        <rFont val="Arial"/>
        <family val="2"/>
      </rPr>
      <t xml:space="preserve"> (gereinigte Siloflächen, Stallmistläger, abgedeckte Silo- und Gülleläger)</t>
    </r>
  </si>
  <si>
    <t>ha LF nach MFA</t>
  </si>
  <si>
    <t>LKR_txt</t>
  </si>
  <si>
    <t>lkrname</t>
  </si>
  <si>
    <t>mm</t>
  </si>
  <si>
    <t>Ingolstadt</t>
  </si>
  <si>
    <t>M┬ünchen</t>
  </si>
  <si>
    <t>München</t>
  </si>
  <si>
    <t>Rosenheim</t>
  </si>
  <si>
    <t>AltÔÇØtting</t>
  </si>
  <si>
    <t>Altötting</t>
  </si>
  <si>
    <t>Berchtesgadener Land</t>
  </si>
  <si>
    <t>Bad TÔÇØlz-Wolfratshausen</t>
  </si>
  <si>
    <t>Bad Tölz-Wolfratshausen</t>
  </si>
  <si>
    <t>Dachau</t>
  </si>
  <si>
    <t>Ebersberg</t>
  </si>
  <si>
    <t>EichstÔÇ×tt</t>
  </si>
  <si>
    <t>Eichstätt</t>
  </si>
  <si>
    <t>Erding</t>
  </si>
  <si>
    <t>Freising</t>
  </si>
  <si>
    <t>F┬ürstenfeldbruck</t>
  </si>
  <si>
    <t>Fürstenfeldbruck</t>
  </si>
  <si>
    <t>Garmisch-Partenkirchen</t>
  </si>
  <si>
    <t>Landsberg am Lech</t>
  </si>
  <si>
    <t>Miesbach</t>
  </si>
  <si>
    <t>M┬ühldorf a.Inn</t>
  </si>
  <si>
    <t>Mühldorf a.Inn</t>
  </si>
  <si>
    <t>Neuburg-Schrobenhausen</t>
  </si>
  <si>
    <t>Pfaffenhofen a.d.Ilm</t>
  </si>
  <si>
    <t>Starnberg</t>
  </si>
  <si>
    <t>Traunstein</t>
  </si>
  <si>
    <t>Weilheim-Schongau</t>
  </si>
  <si>
    <t>Landshut</t>
  </si>
  <si>
    <t>Passau</t>
  </si>
  <si>
    <t>Straubing</t>
  </si>
  <si>
    <t>Deggendorf</t>
  </si>
  <si>
    <t>Freyung-Grafenau</t>
  </si>
  <si>
    <t>Kelheim</t>
  </si>
  <si>
    <t>Regen</t>
  </si>
  <si>
    <t>Rottal-Inn</t>
  </si>
  <si>
    <t>Straubing-Bogen</t>
  </si>
  <si>
    <t>Dingolfing-Landau</t>
  </si>
  <si>
    <t>Amberg</t>
  </si>
  <si>
    <t>Regensburg</t>
  </si>
  <si>
    <t>Weiden i.d.OPf.</t>
  </si>
  <si>
    <t>Amberg-Sulzbach</t>
  </si>
  <si>
    <t>Cham</t>
  </si>
  <si>
    <t>Neumarkt i.d.OPf.</t>
  </si>
  <si>
    <t>Neustadt a.d.Waldnaab</t>
  </si>
  <si>
    <t>Schwandorf</t>
  </si>
  <si>
    <t>Tirschenreuth</t>
  </si>
  <si>
    <t>Bamberg</t>
  </si>
  <si>
    <t>Bayreuth</t>
  </si>
  <si>
    <t>Coburg</t>
  </si>
  <si>
    <t>Hof</t>
  </si>
  <si>
    <t>Forchheim</t>
  </si>
  <si>
    <t>Kronach</t>
  </si>
  <si>
    <t>Kulmbach</t>
  </si>
  <si>
    <t>Lichtenfels</t>
  </si>
  <si>
    <t>Wunsiedel i.Fichtelgebirge</t>
  </si>
  <si>
    <t>Ansbach</t>
  </si>
  <si>
    <t>Erlangen</t>
  </si>
  <si>
    <t>F┬ürth</t>
  </si>
  <si>
    <t>Fürth</t>
  </si>
  <si>
    <t>N┬ürnberg</t>
  </si>
  <si>
    <t>Nürnberg</t>
  </si>
  <si>
    <t>Schwabach</t>
  </si>
  <si>
    <t>Erlangen-HÔÇØchstadt</t>
  </si>
  <si>
    <t>Erlangen-Höchstadt</t>
  </si>
  <si>
    <t>N┬ürnberger Land</t>
  </si>
  <si>
    <t>Nürnberger Land</t>
  </si>
  <si>
    <t>Neustadt a.d.Aisch-Bad Windsheim</t>
  </si>
  <si>
    <t>Roth</t>
  </si>
  <si>
    <t>Wei├íenburg-Gunzenhausen</t>
  </si>
  <si>
    <t>Weißenburg-Gunzenhausen</t>
  </si>
  <si>
    <t>Aschaffenburg</t>
  </si>
  <si>
    <t>Schweinfurt</t>
  </si>
  <si>
    <t>W┬ürzburg</t>
  </si>
  <si>
    <t>Würzburg</t>
  </si>
  <si>
    <t>Bad Kissingen</t>
  </si>
  <si>
    <t>RhÔÇØn-Grabfeld</t>
  </si>
  <si>
    <t>Rhön-Grabfeld</t>
  </si>
  <si>
    <t>Ha├íberge</t>
  </si>
  <si>
    <t>Haßberge</t>
  </si>
  <si>
    <t>Kitzingen</t>
  </si>
  <si>
    <t>Miltenberg</t>
  </si>
  <si>
    <t>Main-Spessart</t>
  </si>
  <si>
    <t>Augsburg</t>
  </si>
  <si>
    <t>Kaufbeuren</t>
  </si>
  <si>
    <t>Kempten (AllgÔÇ×u)</t>
  </si>
  <si>
    <t>Kempten (Allgäu)</t>
  </si>
  <si>
    <t>Memmingen</t>
  </si>
  <si>
    <t>Aichach-Friedberg</t>
  </si>
  <si>
    <t>Dillingen a.d.Donau</t>
  </si>
  <si>
    <t>G┬ünzburg</t>
  </si>
  <si>
    <t>Günzburg</t>
  </si>
  <si>
    <t>Neu-Ulm</t>
  </si>
  <si>
    <t>Lindau (Bodensee)</t>
  </si>
  <si>
    <t>OstallgÔÇ×u</t>
  </si>
  <si>
    <t>Ostallgäu</t>
  </si>
  <si>
    <t>UnterallgÔÇ×u</t>
  </si>
  <si>
    <t>Unterallgäu</t>
  </si>
  <si>
    <t>Donau-Ries</t>
  </si>
  <si>
    <t>OberallgÔÇ×u</t>
  </si>
  <si>
    <t>Oberallgäu</t>
  </si>
  <si>
    <t>Landkreis aus Betriebsnummer</t>
  </si>
  <si>
    <t>NH4-N Anteil</t>
  </si>
  <si>
    <t xml:space="preserve">Jauche </t>
  </si>
  <si>
    <t>NH4-Gehalt</t>
  </si>
  <si>
    <t>NH4 in kg N</t>
  </si>
  <si>
    <t>Gülle/Jauche</t>
  </si>
  <si>
    <t>Sommer</t>
  </si>
  <si>
    <t>Winter</t>
  </si>
  <si>
    <t xml:space="preserve">Gülle </t>
  </si>
  <si>
    <t>Anfall Betrieb t/Jahr</t>
  </si>
  <si>
    <t>Mist für Stroh Geflügel</t>
  </si>
  <si>
    <t>Notwendiger Lagerraum nach DüV in Monate</t>
  </si>
  <si>
    <t xml:space="preserve"> in Tonnen im Betrieb</t>
  </si>
  <si>
    <t>Nährstoffe</t>
  </si>
  <si>
    <t>Betrieb</t>
  </si>
  <si>
    <t>1: Zugang in Biogasanlage</t>
  </si>
  <si>
    <t>4: Biogasgärrestanfall im Jahr</t>
  </si>
  <si>
    <t>TS (%)</t>
  </si>
  <si>
    <t>Menge:</t>
  </si>
  <si>
    <t>TS:</t>
  </si>
  <si>
    <t>N:</t>
  </si>
  <si>
    <t>Zusammenfassung</t>
  </si>
  <si>
    <t>Summe Anfall eigene Tierhaltung</t>
  </si>
  <si>
    <t>Gas</t>
  </si>
  <si>
    <t>Methan</t>
  </si>
  <si>
    <r>
      <t>P</t>
    </r>
    <r>
      <rPr>
        <vertAlign val="subscript"/>
        <sz val="11"/>
        <color indexed="8"/>
        <rFont val="Calibri"/>
        <family val="2"/>
      </rPr>
      <t>2</t>
    </r>
    <r>
      <rPr>
        <sz val="10"/>
        <rFont val="Arial"/>
        <family val="2"/>
      </rPr>
      <t>O</t>
    </r>
    <r>
      <rPr>
        <vertAlign val="subscript"/>
        <sz val="11"/>
        <color indexed="8"/>
        <rFont val="Calibri"/>
        <family val="2"/>
      </rPr>
      <t>5</t>
    </r>
  </si>
  <si>
    <r>
      <t>K</t>
    </r>
    <r>
      <rPr>
        <vertAlign val="subscript"/>
        <sz val="11"/>
        <color indexed="8"/>
        <rFont val="Calibri"/>
        <family val="2"/>
      </rPr>
      <t>2</t>
    </r>
    <r>
      <rPr>
        <sz val="10"/>
        <rFont val="Arial"/>
        <family val="2"/>
      </rPr>
      <t>O</t>
    </r>
  </si>
  <si>
    <t>Gas in</t>
  </si>
  <si>
    <t>t, m³</t>
  </si>
  <si>
    <t>falls</t>
  </si>
  <si>
    <t>in TS</t>
  </si>
  <si>
    <t>Liter/kg</t>
  </si>
  <si>
    <t>Gehalt</t>
  </si>
  <si>
    <t>1000 m³</t>
  </si>
  <si>
    <t>in Tonnen</t>
  </si>
  <si>
    <t>FM</t>
  </si>
  <si>
    <t>bekannt</t>
  </si>
  <si>
    <t>5: Lagerraum siehe unten</t>
  </si>
  <si>
    <t xml:space="preserve">Mindestanforderung Lagerraum nach DüV wird eingehalten: </t>
  </si>
  <si>
    <t xml:space="preserve">        a) davon Wirtschaftsdünger aus eigener Tierhaltung</t>
  </si>
  <si>
    <t>Einsatzstoffe mit eigenen Daten</t>
  </si>
  <si>
    <r>
      <t xml:space="preserve">    Verbleibende Mengen </t>
    </r>
    <r>
      <rPr>
        <sz val="8"/>
        <rFont val="Arial"/>
        <family val="2"/>
      </rPr>
      <t>(Über-, Unterhang)</t>
    </r>
  </si>
  <si>
    <t>Verbleibende Nährstoffmenge in kg/Betrieb</t>
  </si>
  <si>
    <t>Anfall im Jahr</t>
  </si>
  <si>
    <t xml:space="preserve">in </t>
  </si>
  <si>
    <t>Bio-</t>
  </si>
  <si>
    <t>gas</t>
  </si>
  <si>
    <t>anlage</t>
  </si>
  <si>
    <t>Tonnen</t>
  </si>
  <si>
    <t>Zukauf</t>
  </si>
  <si>
    <t>kultur_edvname</t>
  </si>
  <si>
    <t>edv_code</t>
  </si>
  <si>
    <t>erzeugt_auf</t>
  </si>
  <si>
    <t>status_fruchtfolge</t>
  </si>
  <si>
    <t>fruchtartengruppe</t>
  </si>
  <si>
    <t>ernteprodukt_art</t>
  </si>
  <si>
    <t>futtermittel_art</t>
  </si>
  <si>
    <t>futmit_sortierung</t>
  </si>
  <si>
    <t>pflanzenteil</t>
  </si>
  <si>
    <t>tm%</t>
  </si>
  <si>
    <t>gehalt_hauptprodukt_fm_n</t>
  </si>
  <si>
    <t>gehalt_hauptprodukt_fm_p2o5</t>
  </si>
  <si>
    <t>gehalt_hauptprodukt_fm_k2o</t>
  </si>
  <si>
    <t>rp_tm</t>
  </si>
  <si>
    <t>bgr_ots</t>
  </si>
  <si>
    <t>bgr_gas_ots</t>
  </si>
  <si>
    <t>bgr_methangehalt</t>
  </si>
  <si>
    <t>#biogas_lagerraum</t>
  </si>
  <si>
    <t>Kultur</t>
  </si>
  <si>
    <t>erzeugt</t>
  </si>
  <si>
    <t xml:space="preserve">Status in </t>
  </si>
  <si>
    <t>Frucharten-</t>
  </si>
  <si>
    <t>Ernteprodukt</t>
  </si>
  <si>
    <t>Futtermittel</t>
  </si>
  <si>
    <t>Sortierung</t>
  </si>
  <si>
    <t>Nährstoffgehalt Haupternteprodukt</t>
  </si>
  <si>
    <t>Roh-</t>
  </si>
  <si>
    <t>Summe</t>
  </si>
  <si>
    <t>Gasausbeute</t>
  </si>
  <si>
    <t>Methan-</t>
  </si>
  <si>
    <t>auf</t>
  </si>
  <si>
    <t>der Fruchtfolge</t>
  </si>
  <si>
    <t>gruppe</t>
  </si>
  <si>
    <t>FutMit</t>
  </si>
  <si>
    <t>Ernteprodukt/Pflanzenteil</t>
  </si>
  <si>
    <t>protein</t>
  </si>
  <si>
    <t xml:space="preserve">oTS </t>
  </si>
  <si>
    <t>l/kg</t>
  </si>
  <si>
    <t>gehalt</t>
  </si>
  <si>
    <t>Lagerraum Biogas</t>
  </si>
  <si>
    <t>% in TM</t>
  </si>
  <si>
    <t>oTS</t>
  </si>
  <si>
    <t>l/kg oTS</t>
  </si>
  <si>
    <t>Winterweizen C-Sorte</t>
  </si>
  <si>
    <t>WW-C</t>
  </si>
  <si>
    <t>Acker</t>
  </si>
  <si>
    <t>Hfru</t>
  </si>
  <si>
    <t>Korn</t>
  </si>
  <si>
    <t>Winterweizen A/B-Sorte</t>
  </si>
  <si>
    <t>WW-AB</t>
  </si>
  <si>
    <t>Sommerweizen</t>
  </si>
  <si>
    <t>SW</t>
  </si>
  <si>
    <t/>
  </si>
  <si>
    <t xml:space="preserve">Wintergerste </t>
  </si>
  <si>
    <t>WG</t>
  </si>
  <si>
    <t>Sommerfuttergerste</t>
  </si>
  <si>
    <t>SG-F</t>
  </si>
  <si>
    <t>Winterroggen</t>
  </si>
  <si>
    <t>WRO</t>
  </si>
  <si>
    <t>Hafer</t>
  </si>
  <si>
    <t>HA</t>
  </si>
  <si>
    <t>Triticale</t>
  </si>
  <si>
    <t>TR</t>
  </si>
  <si>
    <t>Dinkel</t>
  </si>
  <si>
    <t>DI</t>
  </si>
  <si>
    <t>Körnermaisstroh</t>
  </si>
  <si>
    <t>STRO-M1</t>
  </si>
  <si>
    <t xml:space="preserve">Körnermais </t>
  </si>
  <si>
    <t>KM</t>
  </si>
  <si>
    <t>Ganzpflanze</t>
  </si>
  <si>
    <t xml:space="preserve"> +++Hackfrüchte+++</t>
  </si>
  <si>
    <t>KA</t>
  </si>
  <si>
    <t>Knolle</t>
  </si>
  <si>
    <t>Zuckerrüben</t>
  </si>
  <si>
    <t>ZR</t>
  </si>
  <si>
    <t>Rübe</t>
  </si>
  <si>
    <t>Futter-, Runkelrüben</t>
  </si>
  <si>
    <t>FR-G</t>
  </si>
  <si>
    <t xml:space="preserve"> +++Mehrschnittiger Feldfutterbau +++</t>
  </si>
  <si>
    <t xml:space="preserve">Ackergras 3-4 Schnitte/Jahr </t>
  </si>
  <si>
    <t>WEG3</t>
  </si>
  <si>
    <t>Ackergras 5 Schnitte/Jahr</t>
  </si>
  <si>
    <t>WEG5</t>
  </si>
  <si>
    <t>Kleegras (Kleeanteil 30 %)</t>
  </si>
  <si>
    <t>KLG30</t>
  </si>
  <si>
    <t>Kleegras (Kleeanteil 50 %)</t>
  </si>
  <si>
    <t>KLG50</t>
  </si>
  <si>
    <t>Kleegras (Kleeanteil 70 %)</t>
  </si>
  <si>
    <t>KLG70</t>
  </si>
  <si>
    <t>Luzernegras (Luz.anteil 30 %)</t>
  </si>
  <si>
    <t>LUZG30</t>
  </si>
  <si>
    <t>Luzernegras (Luz.anteil 50 %)</t>
  </si>
  <si>
    <t>LUZG50</t>
  </si>
  <si>
    <t>Luzernegras (Luz.anteil 70 %)</t>
  </si>
  <si>
    <t>LUZG70</t>
  </si>
  <si>
    <t>Klee (Reinkultur)</t>
  </si>
  <si>
    <t>RKL</t>
  </si>
  <si>
    <t>Luzerne (Reinkultur)</t>
  </si>
  <si>
    <t>LUZ</t>
  </si>
  <si>
    <t xml:space="preserve"> +++Futterpflanzen+++</t>
  </si>
  <si>
    <t>Corn-Cop-Mix (CCM)</t>
  </si>
  <si>
    <t>CCM</t>
  </si>
  <si>
    <t>Kolben</t>
  </si>
  <si>
    <t>GPS Weizen</t>
  </si>
  <si>
    <t>GPS-W</t>
  </si>
  <si>
    <t xml:space="preserve">Ganzpflanze </t>
  </si>
  <si>
    <t>GPS-G</t>
  </si>
  <si>
    <t>GPS-T</t>
  </si>
  <si>
    <t>GPS Roggen</t>
  </si>
  <si>
    <t>GPS-RO</t>
  </si>
  <si>
    <t>GPS Hafer</t>
  </si>
  <si>
    <t>GPS-HA</t>
  </si>
  <si>
    <t xml:space="preserve"> +++Energiepflanzen+++</t>
  </si>
  <si>
    <t>Sorgumhirse</t>
  </si>
  <si>
    <t>SUG</t>
  </si>
  <si>
    <t xml:space="preserve"> +++Zweitfrucht (2. Hauptfrucht)+++</t>
  </si>
  <si>
    <t xml:space="preserve">Weidelgras </t>
  </si>
  <si>
    <t>2F-WEG</t>
  </si>
  <si>
    <t>Nfru</t>
  </si>
  <si>
    <t>Alexandrinerklee</t>
  </si>
  <si>
    <t>2F-AKL</t>
  </si>
  <si>
    <t>GPS Sommerraps</t>
  </si>
  <si>
    <t>2F-RAS</t>
  </si>
  <si>
    <t>GPS Winterraps</t>
  </si>
  <si>
    <t>2F-RAW</t>
  </si>
  <si>
    <t>GPS Winterrübsen</t>
  </si>
  <si>
    <t>2F-RUW</t>
  </si>
  <si>
    <t>GPS Senf weiß/gelb</t>
  </si>
  <si>
    <t>2F-SF</t>
  </si>
  <si>
    <t>GPS Winterroggen/Grünroggen</t>
  </si>
  <si>
    <t>2F-RO</t>
  </si>
  <si>
    <t>GPS Sorghumhirse</t>
  </si>
  <si>
    <t>2F-HI</t>
  </si>
  <si>
    <t xml:space="preserve"> +++Zwischenfrucht+++</t>
  </si>
  <si>
    <t>Zwischenfrucht mit 0 - 25 % Leg.</t>
  </si>
  <si>
    <t>Z-L25</t>
  </si>
  <si>
    <t>Zwischenfrucht mit 25 - 75 % Leg.</t>
  </si>
  <si>
    <t>Z-L50</t>
  </si>
  <si>
    <t>Z-L75</t>
  </si>
  <si>
    <t xml:space="preserve"> +++Grünland+++</t>
  </si>
  <si>
    <t>GRL</t>
  </si>
  <si>
    <t>Grünland</t>
  </si>
  <si>
    <t>2 Schnittnutzungen</t>
  </si>
  <si>
    <t>GRL-2S</t>
  </si>
  <si>
    <t>3 Schnittnutzungen</t>
  </si>
  <si>
    <t>GRL-3S</t>
  </si>
  <si>
    <t>4 Schnittnutzungen</t>
  </si>
  <si>
    <t>GRL-4S</t>
  </si>
  <si>
    <t>5 Schnittnutzungen</t>
  </si>
  <si>
    <t>GRL-5S</t>
  </si>
  <si>
    <t>6 Schnittnutzungen</t>
  </si>
  <si>
    <t>GRL-6S</t>
  </si>
  <si>
    <t>Biogas</t>
  </si>
  <si>
    <t>Gasaus-</t>
  </si>
  <si>
    <t>beute</t>
  </si>
  <si>
    <t>Kartoffel</t>
  </si>
  <si>
    <t>O TS</t>
  </si>
  <si>
    <t>L/kg TS</t>
  </si>
  <si>
    <t>Eigener Anbau</t>
  </si>
  <si>
    <t>Menge*</t>
  </si>
  <si>
    <t>Biogasgärrest</t>
  </si>
  <si>
    <t>Menge (flüssig)</t>
  </si>
  <si>
    <t>Relativ in %</t>
  </si>
  <si>
    <t>t im Betrieb</t>
  </si>
  <si>
    <t>Lager 1</t>
  </si>
  <si>
    <r>
      <t>Lager 2</t>
    </r>
    <r>
      <rPr>
        <sz val="10"/>
        <rFont val="Arial"/>
        <family val="2"/>
      </rPr>
      <t/>
    </r>
  </si>
  <si>
    <r>
      <t>Lager 3</t>
    </r>
    <r>
      <rPr>
        <sz val="10"/>
        <rFont val="Arial"/>
        <family val="2"/>
      </rPr>
      <t/>
    </r>
  </si>
  <si>
    <r>
      <t>Behälter 4</t>
    </r>
    <r>
      <rPr>
        <sz val="10"/>
        <rFont val="Arial"/>
        <family val="2"/>
      </rPr>
      <t/>
    </r>
  </si>
  <si>
    <r>
      <t>Behälter 5</t>
    </r>
    <r>
      <rPr>
        <sz val="10"/>
        <rFont val="Arial"/>
        <family val="2"/>
      </rPr>
      <t/>
    </r>
  </si>
  <si>
    <t>Behälter 6</t>
  </si>
  <si>
    <t>oder Monat</t>
  </si>
  <si>
    <t xml:space="preserve">Datum </t>
  </si>
  <si>
    <t>Name/Adresse</t>
  </si>
  <si>
    <t>Abgang</t>
  </si>
  <si>
    <t>Berechneter Gasertrag aus Einsatzstoffe Biogas ohne Korrektur</t>
  </si>
  <si>
    <t>Berechneter Gasertrag aus Einsatzstoffe Biogas mit Korrektur</t>
  </si>
  <si>
    <t>Verkauftes Gas (bzw. aus Stromverkauf/-verbrauch berechnet)</t>
  </si>
  <si>
    <t>in 1000 kWh</t>
  </si>
  <si>
    <t xml:space="preserve">Verkauf Strom im Jahr </t>
  </si>
  <si>
    <t xml:space="preserve">plus Eigenstromverbrauch im Jahr </t>
  </si>
  <si>
    <t xml:space="preserve">Gasertrag gegenüber "normal"  </t>
  </si>
  <si>
    <t xml:space="preserve">Vorschlag: </t>
  </si>
  <si>
    <t>Gausausb.</t>
  </si>
  <si>
    <t>Methangeh.</t>
  </si>
  <si>
    <t>Festmist ohne Stroh</t>
  </si>
  <si>
    <t>Nährstoffanfall Weide (netto)</t>
  </si>
  <si>
    <t>Nährstoffanfall Stall ohne Biogas  (netto)</t>
  </si>
  <si>
    <t>Nährstoffanfall über Biogas  (netto)</t>
  </si>
  <si>
    <t>Tiere</t>
  </si>
  <si>
    <t xml:space="preserve">TS </t>
  </si>
  <si>
    <t xml:space="preserve"> Gülle/Jauche</t>
  </si>
  <si>
    <t>Gülle/Jauche + Mist</t>
  </si>
  <si>
    <t>CO2</t>
  </si>
  <si>
    <t>oTM</t>
  </si>
  <si>
    <t>org. FM</t>
  </si>
  <si>
    <t xml:space="preserve"> + CO2</t>
  </si>
  <si>
    <t>aus TS</t>
  </si>
  <si>
    <t>aus H2O</t>
  </si>
  <si>
    <t>Basis für</t>
  </si>
  <si>
    <t>Hydratberechnung</t>
  </si>
  <si>
    <t>Gas/887</t>
  </si>
  <si>
    <t>Volumen</t>
  </si>
  <si>
    <t>Gärrest</t>
  </si>
  <si>
    <t>Eigene Tier</t>
  </si>
  <si>
    <t>Korrektur Gas</t>
  </si>
  <si>
    <t>Verweilzeit</t>
  </si>
  <si>
    <t>Fermenter</t>
  </si>
  <si>
    <t>mind.</t>
  </si>
  <si>
    <t>Biogas Verweilzeit mind.</t>
  </si>
  <si>
    <t>Tage</t>
  </si>
  <si>
    <t>zeit</t>
  </si>
  <si>
    <t>m²</t>
  </si>
  <si>
    <t>Anz.</t>
  </si>
  <si>
    <t>cbm</t>
  </si>
  <si>
    <t>tierisch</t>
  </si>
  <si>
    <t>1=ja</t>
  </si>
  <si>
    <t>Endlager</t>
  </si>
  <si>
    <t>Fermenter/</t>
  </si>
  <si>
    <t>in Biogas</t>
  </si>
  <si>
    <t xml:space="preserve">t </t>
  </si>
  <si>
    <t>Summe aller Tiere</t>
  </si>
  <si>
    <t xml:space="preserve">   davon Gülle/Mist in Biogasanlage</t>
  </si>
  <si>
    <t xml:space="preserve">   davon Gülle/Mist nicht in Biogasanlage</t>
  </si>
  <si>
    <t xml:space="preserve">   davon Weide</t>
  </si>
  <si>
    <t>Tonnen im Betrieb</t>
  </si>
  <si>
    <t>Zukauf+Eigenanbau</t>
  </si>
  <si>
    <t>Abgabe anderer Betrieb</t>
  </si>
  <si>
    <t>Verwertung eigener Betrieb</t>
  </si>
  <si>
    <t>6: Abgabe an andere Betriebe</t>
  </si>
  <si>
    <t>Gesamtmenge mit/ohne Biogas</t>
  </si>
  <si>
    <t>einge Flächen zur Düngung</t>
  </si>
  <si>
    <t>kg N/ha</t>
  </si>
  <si>
    <t xml:space="preserve">     Wirtschaftsdünger eigene Tierhaltung (nicht in Biogasanlage)</t>
  </si>
  <si>
    <t xml:space="preserve">N </t>
  </si>
  <si>
    <t>Grenze absolut</t>
  </si>
  <si>
    <t>ges</t>
  </si>
  <si>
    <t>nicht Biogas</t>
  </si>
  <si>
    <t>Lagerrraum Mist</t>
  </si>
  <si>
    <t>Monate</t>
  </si>
  <si>
    <t>ohne Biogas</t>
  </si>
  <si>
    <t>LF Grünland</t>
  </si>
  <si>
    <t>normal</t>
  </si>
  <si>
    <t>grün</t>
  </si>
  <si>
    <t>Max. Verwertung 6 Mo</t>
  </si>
  <si>
    <t>Monate ohne Biogas</t>
  </si>
  <si>
    <t>Lagerung 9 Mo</t>
  </si>
  <si>
    <t>Anfall Rinder Gülle N</t>
  </si>
  <si>
    <t>Zusätzliche Flächen</t>
  </si>
  <si>
    <t>Monate ohne Biogas (korr)</t>
  </si>
  <si>
    <t>ha "nur" Verbot der org. Düngung</t>
  </si>
  <si>
    <t>ha Stilllegung</t>
  </si>
  <si>
    <t>Gülle und Jauche (netto)</t>
  </si>
  <si>
    <t>S-Mist</t>
  </si>
  <si>
    <t>je Monat</t>
  </si>
  <si>
    <t>Gülle/Jauche ohne Biogas</t>
  </si>
  <si>
    <t>Jahr</t>
  </si>
  <si>
    <t>Rechengang flüssig: ohne Biogas</t>
  </si>
  <si>
    <t>Rechengang flüssig mit Biogas</t>
  </si>
  <si>
    <t>davon Gülle/Jauche</t>
  </si>
  <si>
    <t>Gesamt 6 Monte</t>
  </si>
  <si>
    <t>Gesamt 9 Monate</t>
  </si>
  <si>
    <t xml:space="preserve">Für </t>
  </si>
  <si>
    <t>Tiere in 6 Monate</t>
  </si>
  <si>
    <t>Summe in 6 Monate</t>
  </si>
  <si>
    <t>rot/grün</t>
  </si>
  <si>
    <t>N/m³</t>
  </si>
  <si>
    <t xml:space="preserve">   davon Mist nicht in Biogasanlage</t>
  </si>
  <si>
    <t>kg N</t>
  </si>
  <si>
    <t>eigene Tierhaltung</t>
  </si>
  <si>
    <t>Eigene pflanzliche (Mais, …)</t>
  </si>
  <si>
    <t>Zukauf pflanzliche (Mais, …)</t>
  </si>
  <si>
    <t xml:space="preserve"> +++org. Dünger+++</t>
  </si>
  <si>
    <t>tierisch  1=ja</t>
  </si>
  <si>
    <t>Abweichung plausibel</t>
  </si>
  <si>
    <r>
      <t xml:space="preserve">Wassereinleitung im Jahr </t>
    </r>
    <r>
      <rPr>
        <sz val="11"/>
        <rFont val="Arial"/>
        <family val="2"/>
      </rPr>
      <t>(in Fermenter oder Endlager)</t>
    </r>
  </si>
  <si>
    <t xml:space="preserve">in  </t>
  </si>
  <si>
    <t>in 1000 m³</t>
  </si>
  <si>
    <t xml:space="preserve">ggf. Verkauf Biogas im Jahr </t>
  </si>
  <si>
    <t xml:space="preserve">Plausibilisierung Gasertrag </t>
  </si>
  <si>
    <t>NH4-N</t>
  </si>
  <si>
    <t>Behälter 7</t>
  </si>
  <si>
    <t>(Fermenter bitte ankreuzen)</t>
  </si>
  <si>
    <t>so. Tiere</t>
  </si>
  <si>
    <r>
      <t>P</t>
    </r>
    <r>
      <rPr>
        <b/>
        <vertAlign val="subscript"/>
        <sz val="10"/>
        <color indexed="8"/>
        <rFont val="Arial"/>
        <family val="2"/>
      </rPr>
      <t>2</t>
    </r>
    <r>
      <rPr>
        <b/>
        <sz val="10"/>
        <color indexed="8"/>
        <rFont val="Arial"/>
        <family val="2"/>
      </rPr>
      <t>O</t>
    </r>
    <r>
      <rPr>
        <b/>
        <vertAlign val="subscript"/>
        <sz val="10"/>
        <color indexed="8"/>
        <rFont val="Arial"/>
        <family val="2"/>
      </rPr>
      <t>5</t>
    </r>
  </si>
  <si>
    <r>
      <t>K</t>
    </r>
    <r>
      <rPr>
        <b/>
        <vertAlign val="subscript"/>
        <sz val="10"/>
        <color indexed="8"/>
        <rFont val="Arial"/>
        <family val="2"/>
      </rPr>
      <t>2</t>
    </r>
    <r>
      <rPr>
        <b/>
        <sz val="10"/>
        <color indexed="8"/>
        <rFont val="Arial"/>
        <family val="2"/>
      </rPr>
      <t>O</t>
    </r>
  </si>
  <si>
    <t>zwi</t>
  </si>
  <si>
    <t>Mindest</t>
  </si>
  <si>
    <t>Verweil-</t>
  </si>
  <si>
    <t>Substrat</t>
  </si>
  <si>
    <t>max</t>
  </si>
  <si>
    <t>Fehler</t>
  </si>
  <si>
    <t>NH4-Anteil</t>
  </si>
  <si>
    <t>je ha **</t>
  </si>
  <si>
    <t>kg/N</t>
  </si>
  <si>
    <t>Mögliche Nährstoffausbringung nach DüV § 6 (170 kg N/ha)</t>
  </si>
  <si>
    <t xml:space="preserve">ha </t>
  </si>
  <si>
    <t xml:space="preserve">Ausgebrachte Stickstoffmenge im Betrieb </t>
  </si>
  <si>
    <t>NH-4</t>
  </si>
  <si>
    <t>Anteil</t>
  </si>
  <si>
    <t xml:space="preserve">Mittel </t>
  </si>
  <si>
    <t>Mittel</t>
  </si>
  <si>
    <t>1=nein</t>
  </si>
  <si>
    <t>2=Rind, 3=schwein, 4=Geflügel, 5=sont.</t>
  </si>
  <si>
    <t>Tatsächlich</t>
  </si>
  <si>
    <t>NH-N</t>
  </si>
  <si>
    <t>tierischer Anteil in %</t>
  </si>
  <si>
    <t xml:space="preserve"> +++Rind+++</t>
  </si>
  <si>
    <t xml:space="preserve"> +++Schwein+++</t>
  </si>
  <si>
    <t xml:space="preserve"> +++Geflügel+++</t>
  </si>
  <si>
    <t xml:space="preserve"> +++sonstige tierische Herkunft+++</t>
  </si>
  <si>
    <t>Angabe der Weideflächen</t>
  </si>
  <si>
    <t>Nährstoffanfall in kg/ha</t>
  </si>
  <si>
    <t>mit Stroh</t>
  </si>
  <si>
    <t>ohne Stroh</t>
  </si>
  <si>
    <t xml:space="preserve">Maximal akzeptierter Überhang in kg/Betrieb </t>
  </si>
  <si>
    <t xml:space="preserve">Überschreitung des akzeptierten Überhangs in kg/Betrieb </t>
  </si>
  <si>
    <t>Überschreitung nach DüV § 6 (170 kg N/ha)</t>
  </si>
  <si>
    <r>
      <t>P</t>
    </r>
    <r>
      <rPr>
        <vertAlign val="subscript"/>
        <sz val="11"/>
        <rFont val="Arial"/>
        <family val="2"/>
      </rPr>
      <t>2</t>
    </r>
    <r>
      <rPr>
        <sz val="11"/>
        <rFont val="Arial"/>
        <family val="2"/>
      </rPr>
      <t>O</t>
    </r>
    <r>
      <rPr>
        <vertAlign val="subscript"/>
        <sz val="11"/>
        <rFont val="Arial"/>
        <family val="2"/>
      </rPr>
      <t>5</t>
    </r>
  </si>
  <si>
    <r>
      <t>K</t>
    </r>
    <r>
      <rPr>
        <vertAlign val="subscript"/>
        <sz val="11"/>
        <rFont val="Arial"/>
        <family val="2"/>
      </rPr>
      <t>2</t>
    </r>
    <r>
      <rPr>
        <sz val="11"/>
        <rFont val="Arial"/>
        <family val="2"/>
      </rPr>
      <t>O</t>
    </r>
  </si>
  <si>
    <t>7: Verwertung im eigenen Betrieb</t>
  </si>
  <si>
    <t>Relativ (%)</t>
  </si>
  <si>
    <t xml:space="preserve">1a: Anfall flüssiger/fester Wirtschaftsdünger (Gülle/Stallmist) aus eigener Tierhaltung </t>
  </si>
  <si>
    <t>Eingabemöglichkeit für andere Haltungsverfahren</t>
  </si>
  <si>
    <r>
      <t>K</t>
    </r>
    <r>
      <rPr>
        <vertAlign val="subscript"/>
        <sz val="10"/>
        <rFont val="Arial"/>
        <family val="2"/>
      </rPr>
      <t>2</t>
    </r>
    <r>
      <rPr>
        <sz val="10"/>
        <rFont val="Arial"/>
        <family val="2"/>
      </rPr>
      <t>O</t>
    </r>
  </si>
  <si>
    <t>Anfall eigene Tierhaltung im Jahr</t>
  </si>
  <si>
    <r>
      <t>NH</t>
    </r>
    <r>
      <rPr>
        <b/>
        <vertAlign val="subscript"/>
        <sz val="10"/>
        <rFont val="Arial"/>
        <family val="2"/>
      </rPr>
      <t>4</t>
    </r>
    <r>
      <rPr>
        <b/>
        <sz val="10"/>
        <rFont val="Arial"/>
        <family val="2"/>
      </rPr>
      <t>-N:</t>
    </r>
  </si>
  <si>
    <r>
      <t>P</t>
    </r>
    <r>
      <rPr>
        <b/>
        <vertAlign val="subscript"/>
        <sz val="10"/>
        <rFont val="Arial"/>
        <family val="2"/>
      </rPr>
      <t>2</t>
    </r>
    <r>
      <rPr>
        <b/>
        <sz val="10"/>
        <rFont val="Arial"/>
        <family val="2"/>
      </rPr>
      <t>O</t>
    </r>
    <r>
      <rPr>
        <b/>
        <vertAlign val="subscript"/>
        <sz val="10"/>
        <rFont val="Arial"/>
        <family val="2"/>
      </rPr>
      <t>5</t>
    </r>
    <r>
      <rPr>
        <b/>
        <sz val="10"/>
        <rFont val="Arial"/>
        <family val="2"/>
      </rPr>
      <t>:</t>
    </r>
  </si>
  <si>
    <r>
      <t>K</t>
    </r>
    <r>
      <rPr>
        <b/>
        <vertAlign val="subscript"/>
        <sz val="10"/>
        <rFont val="Arial"/>
        <family val="2"/>
      </rPr>
      <t>2</t>
    </r>
    <r>
      <rPr>
        <b/>
        <sz val="10"/>
        <rFont val="Arial"/>
        <family val="2"/>
      </rPr>
      <t>O:</t>
    </r>
  </si>
  <si>
    <t>Es werden nur die  Lagerverluste berücksichtigt (ggf. anfallende Ausbringverluste sind nicht zu berücksichtigen)</t>
  </si>
  <si>
    <t>Rechteckige Behälter (flüssig)</t>
  </si>
  <si>
    <t>bzw. Lagerflächen (fest)</t>
  </si>
  <si>
    <t>Runde Behälter (flüssig)</t>
  </si>
  <si>
    <t>Sonstige Lagerkapazitäten</t>
  </si>
  <si>
    <t>Adresse des Betriebs</t>
  </si>
  <si>
    <r>
      <t>P</t>
    </r>
    <r>
      <rPr>
        <b/>
        <vertAlign val="subscript"/>
        <sz val="12"/>
        <rFont val="Arial"/>
        <family val="2"/>
      </rPr>
      <t>2</t>
    </r>
    <r>
      <rPr>
        <b/>
        <sz val="12"/>
        <rFont val="Arial"/>
        <family val="2"/>
      </rPr>
      <t>O</t>
    </r>
    <r>
      <rPr>
        <b/>
        <vertAlign val="subscript"/>
        <sz val="12"/>
        <rFont val="Arial"/>
        <family val="2"/>
      </rPr>
      <t>5</t>
    </r>
  </si>
  <si>
    <t>Anforderungen nach DüV § 6 (170 kg N/ha) eingehalten?</t>
  </si>
  <si>
    <t>Vorgaben der DüV § 6 (170 kg N/ha) eingehalten</t>
  </si>
  <si>
    <t>Berechnung Nährstoffflüsse und notwendiger Lagerraum</t>
  </si>
  <si>
    <t xml:space="preserve">        d) davon eingeleitetes Wasser</t>
  </si>
  <si>
    <t>Bewertung Nährstoffflüsse nach WDüngV</t>
  </si>
  <si>
    <t>(nach Abzug der Stall-/Lagerverluste)</t>
  </si>
  <si>
    <r>
      <t>P</t>
    </r>
    <r>
      <rPr>
        <b/>
        <vertAlign val="subscript"/>
        <sz val="11"/>
        <color indexed="8"/>
        <rFont val="Calibri"/>
        <family val="2"/>
      </rPr>
      <t>2</t>
    </r>
    <r>
      <rPr>
        <b/>
        <sz val="10"/>
        <rFont val="Arial"/>
        <family val="2"/>
      </rPr>
      <t>O</t>
    </r>
    <r>
      <rPr>
        <b/>
        <vertAlign val="subscript"/>
        <sz val="11"/>
        <color indexed="8"/>
        <rFont val="Calibri"/>
        <family val="2"/>
      </rPr>
      <t>5</t>
    </r>
  </si>
  <si>
    <t>Gasertrag (von - 10 % bis + 20 %)</t>
  </si>
  <si>
    <t>Gasertrag in</t>
  </si>
  <si>
    <t>1000 m³ im Jahr</t>
  </si>
  <si>
    <t>1d) Niederschlagswasser und sonstiges Abwasser, das eingeleitet wird</t>
  </si>
  <si>
    <t>2: Verkauf von Biogas oder Strom</t>
  </si>
  <si>
    <r>
      <t>NH</t>
    </r>
    <r>
      <rPr>
        <b/>
        <vertAlign val="subscript"/>
        <sz val="10"/>
        <rFont val="Arial"/>
        <family val="2"/>
      </rPr>
      <t>4</t>
    </r>
    <r>
      <rPr>
        <b/>
        <sz val="10"/>
        <rFont val="Arial"/>
        <family val="2"/>
      </rPr>
      <t>-N</t>
    </r>
  </si>
  <si>
    <r>
      <t>K</t>
    </r>
    <r>
      <rPr>
        <b/>
        <vertAlign val="subscript"/>
        <sz val="11"/>
        <color indexed="8"/>
        <rFont val="Calibri"/>
        <family val="2"/>
      </rPr>
      <t>2</t>
    </r>
    <r>
      <rPr>
        <b/>
        <sz val="10"/>
        <rFont val="Arial"/>
        <family val="2"/>
      </rPr>
      <t>O</t>
    </r>
  </si>
  <si>
    <r>
      <t>Biogasgärreste</t>
    </r>
    <r>
      <rPr>
        <b/>
        <sz val="10"/>
        <rFont val="Arial"/>
        <family val="2"/>
      </rPr>
      <t xml:space="preserve"> </t>
    </r>
    <r>
      <rPr>
        <sz val="10"/>
        <rFont val="Arial"/>
        <family val="2"/>
      </rPr>
      <t>bzw. Gülle/Mist</t>
    </r>
  </si>
  <si>
    <r>
      <t xml:space="preserve">t </t>
    </r>
    <r>
      <rPr>
        <sz val="7"/>
        <rFont val="Arial"/>
        <family val="2"/>
      </rPr>
      <t>bzw.</t>
    </r>
    <r>
      <rPr>
        <b/>
        <sz val="10"/>
        <rFont val="Arial"/>
        <family val="2"/>
      </rPr>
      <t xml:space="preserve"> m³</t>
    </r>
  </si>
  <si>
    <r>
      <rPr>
        <b/>
        <sz val="10"/>
        <rFont val="Arial"/>
        <family val="2"/>
      </rPr>
      <t>in kg/t</t>
    </r>
    <r>
      <rPr>
        <sz val="10"/>
        <rFont val="Arial"/>
        <family val="2"/>
      </rPr>
      <t xml:space="preserve">                        </t>
    </r>
    <r>
      <rPr>
        <sz val="8"/>
        <rFont val="Arial"/>
        <family val="2"/>
      </rPr>
      <t>bzw.</t>
    </r>
    <r>
      <rPr>
        <sz val="10"/>
        <rFont val="Arial"/>
        <family val="2"/>
      </rPr>
      <t xml:space="preserve"> kg/m³</t>
    </r>
  </si>
  <si>
    <t>3: Die anrechenbaren gasf. N-Verluste (Lager)</t>
  </si>
  <si>
    <t>Milchviehgülle (Grünland)</t>
  </si>
  <si>
    <t>Milchviehgülle (Acker)</t>
  </si>
  <si>
    <t xml:space="preserve">Rinderjauche </t>
  </si>
  <si>
    <t>Mastschweinegülle, N-/P-red. Fütterung</t>
  </si>
  <si>
    <t>Schweinejauche</t>
  </si>
  <si>
    <t>Putenmist</t>
  </si>
  <si>
    <t>Flugentenmist</t>
  </si>
  <si>
    <t>Pferdemist</t>
  </si>
  <si>
    <t>Einsatzstoffe mit Inhaltsstoffen nach Basisdaten</t>
  </si>
  <si>
    <t>Wirkungsgrad Motor (wenn bekannt 30-40 %)</t>
  </si>
  <si>
    <t>5: Behälter für flüssige und feste Wirtschaftsdünger</t>
  </si>
  <si>
    <t>Beispiel:</t>
  </si>
  <si>
    <t>1 Fermenter mit 393 m³</t>
  </si>
  <si>
    <t>1 Nachgärer mit 393 m³ der um 70 % abgesenkt werden kann/darf</t>
  </si>
  <si>
    <t xml:space="preserve">Biogasanlage mit </t>
  </si>
  <si>
    <t>1 Endlager mit 1060 m³</t>
  </si>
  <si>
    <t xml:space="preserve">Das Endlager "Behälter 4" ist in einer Zeile zu erfassen. </t>
  </si>
  <si>
    <t>Fermenter mit 393 m³</t>
  </si>
  <si>
    <t>Nachgärer mit 393 m³ der um 70 % abgesenkt werden kann/darf</t>
  </si>
  <si>
    <t>Endlager mit 1060 m³</t>
  </si>
  <si>
    <t>Der Nachgärer muss in "zwei" Behälter geteilt und erfasst werden, weil ein Teil als Endlager genutzt werden kann. Dazu sind 30 % als Fermenter und 70 % als Endlager zu erfassen.</t>
  </si>
  <si>
    <r>
      <t xml:space="preserve">Der nicht absenkbare Teil des Nachgärers (Behälter 2) ist wie ein Fermenter zu behandeln, weil er nicht als Endlager genutzt werden kann. Dazu kann die Höhe des Behälters zur Aufteilung verwendet werden. Im Beispiel sind 30 % als Fermenter zu erfassen (30 % von 5 m = 1,5 m). In der Spalte Fermenter </t>
    </r>
    <r>
      <rPr>
        <b/>
        <sz val="12"/>
        <rFont val="Wingdings"/>
        <charset val="2"/>
      </rPr>
      <t>þ</t>
    </r>
    <r>
      <rPr>
        <sz val="10"/>
        <rFont val="Arial"/>
        <family val="2"/>
      </rPr>
      <t xml:space="preserve"> setzen.</t>
    </r>
  </si>
  <si>
    <r>
      <t xml:space="preserve">Der Fermenter "Behälter 1" muss als Fermenter </t>
    </r>
    <r>
      <rPr>
        <b/>
        <sz val="12"/>
        <rFont val="Wingdings"/>
        <charset val="2"/>
      </rPr>
      <t>þ</t>
    </r>
    <r>
      <rPr>
        <b/>
        <sz val="10"/>
        <rFont val="Arial"/>
        <family val="2"/>
      </rPr>
      <t xml:space="preserve"> </t>
    </r>
    <r>
      <rPr>
        <sz val="10"/>
        <rFont val="Arial"/>
        <family val="2"/>
      </rPr>
      <t>werden.</t>
    </r>
  </si>
  <si>
    <t xml:space="preserve">Der absenkbare Teil des Nachgärers (Behälter 3) kann als Endlager genutzt werden. Dazu kann die Höhe des Behälters zur Aufteilung verwendet werden. Im Beispiel sind 70 % als Endlager zu erfassen (70 % von 5 m = 3,5 m). </t>
  </si>
  <si>
    <t>Wie sind die Behälter Fermenter, Nachgärer und Endlager                                               im Programm zu erfassen?</t>
  </si>
  <si>
    <t>Summe N FM ohne Stroh in Biogas</t>
  </si>
  <si>
    <t>Summe N Mist ohne Stroh nicht in Biogas</t>
  </si>
  <si>
    <t>BGR</t>
  </si>
  <si>
    <t>Dünger</t>
  </si>
  <si>
    <t>Art</t>
  </si>
  <si>
    <t>Dünger Art</t>
  </si>
  <si>
    <t>N-Anteil</t>
  </si>
  <si>
    <t xml:space="preserve">             davon Gülle nicht in Biogasanlage </t>
  </si>
  <si>
    <t xml:space="preserve">             davon Mist nicht in Biogasanlage</t>
  </si>
  <si>
    <t>Zusammenfassung und Ergebnis (nach Dateneingabe)</t>
  </si>
  <si>
    <t>Betriebsnr.:</t>
  </si>
  <si>
    <t xml:space="preserve">Hinweis: Es müssen alle Werte vollständig eingetragen werden. </t>
  </si>
  <si>
    <t>Bewertung notwendiger Lagerraum nach DüV § 12</t>
  </si>
  <si>
    <t>Überschreitung 170 ohne Toleranz</t>
  </si>
  <si>
    <t>Verbleibende Toleranz aus WDüngV</t>
  </si>
  <si>
    <t>Max Toleranz</t>
  </si>
  <si>
    <t>ausblenden</t>
  </si>
  <si>
    <t>Summe Stroh in Biogas</t>
  </si>
  <si>
    <t>Nährstofffluss Biogasbetrieb</t>
  </si>
  <si>
    <t>P-Anteil</t>
  </si>
  <si>
    <r>
      <t xml:space="preserve">Notwendiger Lagerraum DüV § 12 </t>
    </r>
    <r>
      <rPr>
        <sz val="12"/>
        <rFont val="Arial"/>
        <family val="2"/>
      </rPr>
      <t>(</t>
    </r>
    <r>
      <rPr>
        <sz val="10"/>
        <rFont val="Arial"/>
        <family val="2"/>
      </rPr>
      <t>bei erfassten Tieren und Flächen</t>
    </r>
    <r>
      <rPr>
        <vertAlign val="superscript"/>
        <sz val="10"/>
        <rFont val="Arial"/>
        <family val="2"/>
      </rPr>
      <t>2)</t>
    </r>
    <r>
      <rPr>
        <sz val="10"/>
        <rFont val="Arial"/>
        <family val="2"/>
      </rPr>
      <t xml:space="preserve">) </t>
    </r>
  </si>
  <si>
    <t>Betriebe mit Separation</t>
  </si>
  <si>
    <t>Basisdaten: Nährstoffgehalte, Gasausbeute und Methangehalte von Biogassubstraten</t>
  </si>
  <si>
    <t>Pflanzenteil</t>
  </si>
  <si>
    <t>Nährstoffgehalt</t>
  </si>
  <si>
    <t>Winterweizen E-Sorte</t>
  </si>
  <si>
    <t>Winterbrauweizen</t>
  </si>
  <si>
    <t>Weizenstroh</t>
  </si>
  <si>
    <t>Gerstenstroh</t>
  </si>
  <si>
    <t xml:space="preserve">Winterbraugerste </t>
  </si>
  <si>
    <t>Sommerbraugerste</t>
  </si>
  <si>
    <t>Roggenstroh</t>
  </si>
  <si>
    <t>Sommerroggen</t>
  </si>
  <si>
    <t>Haferstroh</t>
  </si>
  <si>
    <t>Emmer/Einkorn</t>
  </si>
  <si>
    <t>Hartweizen (Durum)</t>
  </si>
  <si>
    <t xml:space="preserve"> +++Körnerleguminosen+++</t>
  </si>
  <si>
    <t>Ackerbohnen</t>
  </si>
  <si>
    <t>Erbsen</t>
  </si>
  <si>
    <t>Lupinen blau</t>
  </si>
  <si>
    <t>Sojabohnen</t>
  </si>
  <si>
    <t xml:space="preserve"> +++Ölfrüchte+++</t>
  </si>
  <si>
    <t>Winterraps</t>
  </si>
  <si>
    <t>Sommerraps</t>
  </si>
  <si>
    <t>Rübsen</t>
  </si>
  <si>
    <t xml:space="preserve">Sonnenblumen </t>
  </si>
  <si>
    <t xml:space="preserve">Öllein, Faserflachs </t>
  </si>
  <si>
    <t>Leindotter</t>
  </si>
  <si>
    <t>Kartoffel (Speise, Stärke)</t>
  </si>
  <si>
    <t>Kartoffel (Veredelung)</t>
  </si>
  <si>
    <t>Frühkartoffel</t>
  </si>
  <si>
    <t>Kohl-, Steckrüben</t>
  </si>
  <si>
    <t>Esparsette</t>
  </si>
  <si>
    <t>Silomais (32 % TM)</t>
  </si>
  <si>
    <t>Lieschkolbensilage</t>
  </si>
  <si>
    <t>Kolben/Liesch.</t>
  </si>
  <si>
    <t>GPS Lupinen</t>
  </si>
  <si>
    <t>GPS Erbsen/Ackerb.</t>
  </si>
  <si>
    <t xml:space="preserve">GPS Wicken </t>
  </si>
  <si>
    <t>GPS Sonnenblumen</t>
  </si>
  <si>
    <t xml:space="preserve">GPS Rübsen </t>
  </si>
  <si>
    <t>Silphie (ab 2. Standjahr)</t>
  </si>
  <si>
    <t>Sida (Virginiamalve)</t>
  </si>
  <si>
    <t xml:space="preserve">Igniscum </t>
  </si>
  <si>
    <t>Riesenweizengras (Szarvasi)</t>
  </si>
  <si>
    <t>Chinaschilf (Miscanthus)</t>
  </si>
  <si>
    <t>Switchgras</t>
  </si>
  <si>
    <t>Rohrglanzgras</t>
  </si>
  <si>
    <t xml:space="preserve">GPS Amarant </t>
  </si>
  <si>
    <t xml:space="preserve">GPS Quinoa </t>
  </si>
  <si>
    <t>GPS Futtererbsen/Ackerbohnen</t>
  </si>
  <si>
    <t>GPS Sommerrübsen</t>
  </si>
  <si>
    <t xml:space="preserve">GPS Sonnenblumen </t>
  </si>
  <si>
    <t>Streuwiese</t>
  </si>
  <si>
    <t>1 Schnittnutzung</t>
  </si>
  <si>
    <t>Mähweide ext. 20 % Weide</t>
  </si>
  <si>
    <t>Mähweide mittelint. 20 % Weide</t>
  </si>
  <si>
    <t>Mähweide int. 20 % Weide</t>
  </si>
  <si>
    <t>Mähweide ext. 60 % Weide</t>
  </si>
  <si>
    <t>Mähweide mittelint. 60 % Weide</t>
  </si>
  <si>
    <t>Mähweide int. 60 % Weide</t>
  </si>
  <si>
    <t xml:space="preserve"> +++Futtermittel Stoffstrombilanz+++</t>
  </si>
  <si>
    <t>Altbrot</t>
  </si>
  <si>
    <t>Apfeltrester</t>
  </si>
  <si>
    <t>Bierhefe, flüssig</t>
  </si>
  <si>
    <t>Biertreber, siliert</t>
  </si>
  <si>
    <t>Fischmehl</t>
  </si>
  <si>
    <t>Getreideschlempe, frisch (Weizen)</t>
  </si>
  <si>
    <t>Getreideschlempe, getrocknet (Weizen)</t>
  </si>
  <si>
    <t>Haferschälkleie</t>
  </si>
  <si>
    <t>Kartoffelpülpe, siliert</t>
  </si>
  <si>
    <t>Kartoffelschlempe, frisch</t>
  </si>
  <si>
    <t>Leinextraktionsschrot</t>
  </si>
  <si>
    <t>Leinkuchen</t>
  </si>
  <si>
    <t>Luzernegrünmehl</t>
  </si>
  <si>
    <t>Magermilch, frisch</t>
  </si>
  <si>
    <t>Maiskeimextraktionsschrot</t>
  </si>
  <si>
    <t>Maiskleberfutter (23-35 % RP)</t>
  </si>
  <si>
    <t>Malzkeime</t>
  </si>
  <si>
    <t>Maniok</t>
  </si>
  <si>
    <t>Melasseschnitzel</t>
  </si>
  <si>
    <t>Molke, Permeat</t>
  </si>
  <si>
    <t>Pressschnitzel, siliert</t>
  </si>
  <si>
    <t>Rapsextraktionsschrot</t>
  </si>
  <si>
    <t>Rapskuchen, fettarm</t>
  </si>
  <si>
    <t>Roggengrießkleie</t>
  </si>
  <si>
    <t>Roggenkleie</t>
  </si>
  <si>
    <t>Rübenkleinteile</t>
  </si>
  <si>
    <t>Sojaextraktionsschrot, geschält, 48 % RP</t>
  </si>
  <si>
    <t>Sojaextraktionsschrot, ungeschält, 44 % RP</t>
  </si>
  <si>
    <t>Sojaschalen</t>
  </si>
  <si>
    <t>Sonnenblumenextraktionsschrot, teilgeschält</t>
  </si>
  <si>
    <t>Sauermolke, frisch</t>
  </si>
  <si>
    <t>Süßmolke, frisch</t>
  </si>
  <si>
    <t>Trockenschnitzel</t>
  </si>
  <si>
    <t>Weizengrießkleie</t>
  </si>
  <si>
    <t>Weizenkleie</t>
  </si>
  <si>
    <t>Weizennachmehl</t>
  </si>
  <si>
    <t>Zuckerrübenmelasse</t>
  </si>
  <si>
    <t>Toleranz 2019 u. 2020</t>
  </si>
  <si>
    <t>nach Düngeverordnung (DüV) und Verbringungsverordnung (WDüngV)</t>
  </si>
  <si>
    <t>3: Anrechenbare gasförmige N-Verluste Lager</t>
  </si>
  <si>
    <t>Summe Behälter, die dem Betrieb zur Verfügung stehen, in m³</t>
  </si>
  <si>
    <t>Berechnung 170 kg N/ha Grenze</t>
  </si>
  <si>
    <t>Summe Fermenter + Nachgärer + Endlager, die dem Betrieb zur Verfügung steht, in m³</t>
  </si>
  <si>
    <t>Fermenter (Nachgärer), in m³</t>
  </si>
  <si>
    <t>Summe Behälter im Betrieb für flüssige und feste Wirtschaftsdünger m³</t>
  </si>
  <si>
    <t xml:space="preserve">    Zusätzlich sind für nicht abpumpfähige Mengen 10 cm zu berücksichtigen und von der Höhe abzuziehen.   
    Individuell sind z.B. bei gasdicht ausgeführten Behältern von Biogasanlagen teils mehr als 10 cm nicht nutzbar 
    (z.B. 50 cm durch Gasraum, Schaugläser, Überläufe usw.). Diese sind bei der Eingabe der Behälterhöhe abzuziehen.</t>
  </si>
  <si>
    <t>Endlager (Nachgärer) das dem Betrieb zur Verfügung steht, in m³ (ohne Fermenter)</t>
  </si>
  <si>
    <t>5: Endlager (Nachgärer) das dem Betrieb zur Verfügung steht, in m³ (ohne Fermenter)</t>
  </si>
  <si>
    <t>Nährstoffanfall Weide (kg/ha)</t>
  </si>
  <si>
    <t>Biogasbetrieb</t>
  </si>
  <si>
    <t>in m</t>
  </si>
  <si>
    <t>Flächen korrektur</t>
  </si>
  <si>
    <t>Fläche nach DüV</t>
  </si>
  <si>
    <t>LF nach DüV gesamt</t>
  </si>
  <si>
    <t>2) LF abzüglich Flächen ohne Nutzung und ohne Düngung, abzüglich Flächen mit Verbot der org. Düngung:</t>
  </si>
  <si>
    <t xml:space="preserve">     zusätzliche Ausbringflächen</t>
  </si>
  <si>
    <t>** LF abzüglich Flächen ohne Nutzung und ohne Düngung, abzüglich Flächen mit Verbot der org. Düngung:</t>
  </si>
  <si>
    <r>
      <t>mm/Jahr</t>
    </r>
    <r>
      <rPr>
        <sz val="8"/>
        <rFont val="Arial"/>
        <family val="2"/>
      </rPr>
      <t xml:space="preserve">            </t>
    </r>
  </si>
  <si>
    <t>Betrieb mit Erleichterungen</t>
  </si>
  <si>
    <r>
      <rPr>
        <b/>
        <sz val="11"/>
        <rFont val="Arial"/>
        <family val="2"/>
      </rPr>
      <t>1b/c: Einsatzstoffe Biogasanlage</t>
    </r>
    <r>
      <rPr>
        <sz val="10"/>
        <rFont val="Arial"/>
        <family val="2"/>
      </rPr>
      <t xml:space="preserve"> (Wirtschaftsdünger aus eigener Tierhaltung bereits in 1a enthalten)</t>
    </r>
  </si>
  <si>
    <r>
      <t xml:space="preserve">6/7: Abgabe an andere Betriebe </t>
    </r>
    <r>
      <rPr>
        <b/>
        <i/>
        <sz val="11"/>
        <rFont val="Arial"/>
        <family val="2"/>
      </rPr>
      <t>und</t>
    </r>
    <r>
      <rPr>
        <b/>
        <sz val="11"/>
        <rFont val="Arial"/>
        <family val="2"/>
      </rPr>
      <t xml:space="preserve"> Ausbringung im eigenen Betrieb </t>
    </r>
  </si>
  <si>
    <t>in Liter</t>
  </si>
  <si>
    <t>eingesetztes Zündöl</t>
  </si>
  <si>
    <t>Zündöl</t>
  </si>
  <si>
    <r>
      <t>NH</t>
    </r>
    <r>
      <rPr>
        <vertAlign val="subscript"/>
        <sz val="10"/>
        <rFont val="Arial"/>
        <family val="2"/>
      </rPr>
      <t>4</t>
    </r>
    <r>
      <rPr>
        <sz val="10"/>
        <rFont val="Arial"/>
        <family val="2"/>
      </rPr>
      <t>-N</t>
    </r>
  </si>
  <si>
    <t>1000 kWh</t>
  </si>
  <si>
    <t>#tabellenblock_naehrstoffgehalt</t>
  </si>
  <si>
    <t>NÄHRSTOFFGEHALT</t>
  </si>
  <si>
    <t>MgO</t>
  </si>
  <si>
    <t>gehalt_hauptprodukt_fm_mgo</t>
  </si>
  <si>
    <t>Anfall Stroh (t/Jahr)</t>
  </si>
  <si>
    <t>P</t>
  </si>
  <si>
    <t>K</t>
  </si>
  <si>
    <t>Nährstoffe durch</t>
  </si>
  <si>
    <t>Nährstoffe nach Separation</t>
  </si>
  <si>
    <t>gelöst</t>
  </si>
  <si>
    <r>
      <t>NH</t>
    </r>
    <r>
      <rPr>
        <vertAlign val="subscript"/>
        <sz val="8"/>
        <rFont val="Arial"/>
        <family val="2"/>
      </rPr>
      <t>4</t>
    </r>
    <r>
      <rPr>
        <sz val="8"/>
        <rFont val="Arial"/>
        <family val="2"/>
      </rPr>
      <t>-N</t>
    </r>
  </si>
  <si>
    <r>
      <t>P</t>
    </r>
    <r>
      <rPr>
        <vertAlign val="subscript"/>
        <sz val="8"/>
        <rFont val="Arial"/>
        <family val="2"/>
      </rPr>
      <t>2</t>
    </r>
    <r>
      <rPr>
        <sz val="8"/>
        <rFont val="Arial"/>
        <family val="2"/>
      </rPr>
      <t>O</t>
    </r>
    <r>
      <rPr>
        <vertAlign val="subscript"/>
        <sz val="8"/>
        <rFont val="Arial"/>
        <family val="2"/>
      </rPr>
      <t>5</t>
    </r>
  </si>
  <si>
    <r>
      <t>K</t>
    </r>
    <r>
      <rPr>
        <vertAlign val="subscript"/>
        <sz val="8"/>
        <rFont val="Arial"/>
        <family val="2"/>
      </rPr>
      <t>2</t>
    </r>
    <r>
      <rPr>
        <sz val="8"/>
        <rFont val="Arial"/>
        <family val="2"/>
      </rPr>
      <t>O</t>
    </r>
  </si>
  <si>
    <t>Anfall im Jahr 
- flüssig -</t>
  </si>
  <si>
    <t>Anfall im Jahr
- fest -</t>
  </si>
  <si>
    <t>Biogas-gärrest</t>
  </si>
  <si>
    <t>nicht in Biogas</t>
  </si>
  <si>
    <t>Summe SM gesamt nicht in Biogas</t>
  </si>
  <si>
    <t xml:space="preserve">TS Mist </t>
  </si>
  <si>
    <t>Summe Stoh nicht in Biogas</t>
  </si>
  <si>
    <t>Gehalte Mist ohne Stroh nicht in Biogas</t>
  </si>
  <si>
    <t>Gehalte Mist mit Stroh nicht in Biogas</t>
  </si>
  <si>
    <t>Summe nicht in Biogas</t>
  </si>
  <si>
    <t>Gehalte nicht in Biogas</t>
  </si>
  <si>
    <t>Basisdaten</t>
  </si>
  <si>
    <t>Düngerart</t>
  </si>
  <si>
    <t>N Sommer</t>
  </si>
  <si>
    <t>N Winter</t>
  </si>
  <si>
    <t>N Gesamt</t>
  </si>
  <si>
    <t>sonstige</t>
  </si>
  <si>
    <t>2: Verkauf Biogas/Strom (TS + Wasser)</t>
  </si>
  <si>
    <t>Tierhaltung nicht in Biogasanlage</t>
  </si>
  <si>
    <t>org. TS</t>
  </si>
  <si>
    <t>org. TM</t>
  </si>
  <si>
    <r>
      <t>P</t>
    </r>
    <r>
      <rPr>
        <vertAlign val="subscript"/>
        <sz val="11"/>
        <color indexed="8"/>
        <rFont val="Arial"/>
        <family val="2"/>
      </rPr>
      <t>2</t>
    </r>
    <r>
      <rPr>
        <sz val="10"/>
        <rFont val="Arial"/>
        <family val="2"/>
      </rPr>
      <t>O</t>
    </r>
    <r>
      <rPr>
        <vertAlign val="subscript"/>
        <sz val="11"/>
        <color indexed="8"/>
        <rFont val="Arial"/>
        <family val="2"/>
      </rPr>
      <t>5</t>
    </r>
  </si>
  <si>
    <t>Jan</t>
  </si>
  <si>
    <t>Feb</t>
  </si>
  <si>
    <t>Mrz</t>
  </si>
  <si>
    <t>Apr</t>
  </si>
  <si>
    <t>Mai</t>
  </si>
  <si>
    <t>Jun</t>
  </si>
  <si>
    <t>Jul</t>
  </si>
  <si>
    <t>Aug</t>
  </si>
  <si>
    <t>Sep</t>
  </si>
  <si>
    <t>Okt</t>
  </si>
  <si>
    <t>Nov</t>
  </si>
  <si>
    <t>Dez</t>
  </si>
  <si>
    <t xml:space="preserve">Nährstoffgehalt </t>
  </si>
  <si>
    <t>Haupternteprodukt</t>
  </si>
  <si>
    <r>
      <rPr>
        <b/>
        <sz val="10"/>
        <color rgb="FFFF0000"/>
        <rFont val="Arial"/>
        <family val="2"/>
      </rPr>
      <t>kg/dt</t>
    </r>
    <r>
      <rPr>
        <b/>
        <sz val="10"/>
        <rFont val="Arial"/>
        <family val="2"/>
      </rPr>
      <t xml:space="preserve"> Frischmasse</t>
    </r>
  </si>
  <si>
    <t>#tabellenblock_biogas</t>
  </si>
  <si>
    <t>BIOGAS</t>
  </si>
  <si>
    <t>nicht aus Basisdaten</t>
  </si>
  <si>
    <r>
      <rPr>
        <b/>
        <sz val="10"/>
        <color rgb="FFFF0000"/>
        <rFont val="Arial"/>
        <family val="2"/>
      </rPr>
      <t>kg/t</t>
    </r>
    <r>
      <rPr>
        <b/>
        <sz val="10"/>
        <rFont val="Arial"/>
        <family val="2"/>
      </rPr>
      <t xml:space="preserve"> Frischmasse</t>
    </r>
    <r>
      <rPr>
        <b/>
        <sz val="10"/>
        <color rgb="FFFF0000"/>
        <rFont val="Arial"/>
        <family val="2"/>
      </rPr>
      <t xml:space="preserve"> </t>
    </r>
  </si>
  <si>
    <t xml:space="preserve">oTM </t>
  </si>
  <si>
    <t>in % TM</t>
  </si>
  <si>
    <t>Verkauf</t>
  </si>
  <si>
    <t>bis</t>
  </si>
  <si>
    <t>Verkauf tierischer Produkte</t>
  </si>
  <si>
    <t xml:space="preserve"> a) Nährstoffgehalte im Tierkörper in Abhängigkeit von der Tierart </t>
  </si>
  <si>
    <t>Nährstoffgehalt in kg je dt Lebendgewicht</t>
  </si>
  <si>
    <t>S</t>
  </si>
  <si>
    <t>Rinder, fleischbetont</t>
  </si>
  <si>
    <t>Zuchtschweine, Mastschweine, Ferkel</t>
  </si>
  <si>
    <t>Legehennen</t>
  </si>
  <si>
    <t>Masthähnchen</t>
  </si>
  <si>
    <t>Puten</t>
  </si>
  <si>
    <t xml:space="preserve">Gänse </t>
  </si>
  <si>
    <t>Enten</t>
  </si>
  <si>
    <t>Ziegen</t>
  </si>
  <si>
    <t>Pferde über 5 Monate</t>
  </si>
  <si>
    <t>Kaninchen</t>
  </si>
  <si>
    <t>Gehegewild</t>
  </si>
  <si>
    <t xml:space="preserve">Orientierungswerte für die  </t>
  </si>
  <si>
    <t>Umrechnung des angegebenen Schlachtgewichts (%) in Lebendgewicht</t>
  </si>
  <si>
    <t>alle</t>
  </si>
  <si>
    <t>männl. Tiere</t>
  </si>
  <si>
    <t>weibl. Tiere</t>
  </si>
  <si>
    <t>Milchkühe</t>
  </si>
  <si>
    <t>Rinder, milchbetont</t>
  </si>
  <si>
    <t>Schafe (mit Nachzucht), Damtiere</t>
  </si>
  <si>
    <t xml:space="preserve"> b) Nährstoffgehalte in der Milch (Kuh-, Schaf-, Ziegen-, Pferdemilch)</t>
  </si>
  <si>
    <t>Milch</t>
  </si>
  <si>
    <t>Nährstoffgehalt in kg je 1000 kg Milch FM</t>
  </si>
  <si>
    <t>RP</t>
  </si>
  <si>
    <t>Kuhmilch (3,2 % Eiweiß)</t>
  </si>
  <si>
    <t>Kuhmilch (3,4 % Eiweiß)</t>
  </si>
  <si>
    <t>Kuhmilch (3,6 % Eiweiß)</t>
  </si>
  <si>
    <t>Stutenmilch</t>
  </si>
  <si>
    <t>Ziegenmilch</t>
  </si>
  <si>
    <t>Schafmilch</t>
  </si>
  <si>
    <t>Die Berechnung des N-Gehaltes der Milch ist auch über den Eiweißgehalt möglich.</t>
  </si>
  <si>
    <r>
      <t>Rechengang: (Eiweißgehalt/</t>
    </r>
    <r>
      <rPr>
        <sz val="10"/>
        <rFont val="Arial"/>
        <family val="2"/>
      </rPr>
      <t>6,38</t>
    </r>
    <r>
      <rPr>
        <sz val="10"/>
        <color indexed="8"/>
        <rFont val="Arial"/>
        <family val="2"/>
      </rPr>
      <t>) * 10</t>
    </r>
  </si>
  <si>
    <t>c) Nährstoffgehalte in Eiern</t>
  </si>
  <si>
    <t>Eier</t>
  </si>
  <si>
    <t>Nährstoffgehalt in kg FM</t>
  </si>
  <si>
    <t>d) Nährstoffgehalte in Wolle</t>
  </si>
  <si>
    <t>Wolle</t>
  </si>
  <si>
    <t>Nährstoffgehalt in kg je 1000 kg Wolle FM</t>
  </si>
  <si>
    <t>Schafwolle</t>
  </si>
  <si>
    <t>Tabelle 6:  Nährstoffgehalte tierischer Produkte</t>
  </si>
  <si>
    <t xml:space="preserve">                 (Stand: Januar 2018)</t>
  </si>
  <si>
    <t>Verkauf/Jahr</t>
  </si>
  <si>
    <t>Ei</t>
  </si>
  <si>
    <t>Schaf</t>
  </si>
  <si>
    <t>Ziege</t>
  </si>
  <si>
    <t>Pferd</t>
  </si>
  <si>
    <t>in 1000 kg</t>
  </si>
  <si>
    <t>Anzahl Monate</t>
  </si>
  <si>
    <t>Summe in Biogas</t>
  </si>
  <si>
    <t xml:space="preserve">Summe </t>
  </si>
  <si>
    <t>tier. Produkte</t>
  </si>
  <si>
    <t>in dt</t>
  </si>
  <si>
    <t xml:space="preserve">Ausscheidung (brutto) </t>
  </si>
  <si>
    <t xml:space="preserve">P </t>
  </si>
  <si>
    <t>für Berechnung Toleranzen</t>
  </si>
  <si>
    <t>CC</t>
  </si>
  <si>
    <t>WdüngV</t>
  </si>
  <si>
    <t>Soja</t>
  </si>
  <si>
    <t>Sonstiges</t>
  </si>
  <si>
    <t>Grob-</t>
  </si>
  <si>
    <t>Kraft-</t>
  </si>
  <si>
    <t>Auswahl</t>
  </si>
  <si>
    <t>Kraftfutter</t>
  </si>
  <si>
    <t>Sonstige Wirtschaftsdünger - Geflügel</t>
  </si>
  <si>
    <t>Sonstige Wirtschaftsdünger - Schwein</t>
  </si>
  <si>
    <t>Sonstige Wirtschaftsdünger - Rind</t>
  </si>
  <si>
    <t>Sonstige Wirtschaftsdünger - sonstige Tiere</t>
  </si>
  <si>
    <t>TS 
in %</t>
  </si>
  <si>
    <t>Menge
in t</t>
  </si>
  <si>
    <t>Ernte im Betrieb</t>
  </si>
  <si>
    <t>Fläche in ha</t>
  </si>
  <si>
    <t>Ertrag in dt/ha</t>
  </si>
  <si>
    <t>Index Pflanzen</t>
  </si>
  <si>
    <t>Grobfutter (1); Kraftfutter 2, Sonstiges 3</t>
  </si>
  <si>
    <t>Lagerbestand in t N</t>
  </si>
  <si>
    <t xml:space="preserve">Mai </t>
  </si>
  <si>
    <t xml:space="preserve">Jun </t>
  </si>
  <si>
    <t>Bestand t</t>
  </si>
  <si>
    <t>Ernte von</t>
  </si>
  <si>
    <t>Ernte bis</t>
  </si>
  <si>
    <t>kg/t; kg/m³</t>
  </si>
  <si>
    <t xml:space="preserve">TS 
in % </t>
  </si>
  <si>
    <t>Ernte</t>
  </si>
  <si>
    <t>t N je Monat</t>
  </si>
  <si>
    <t>Summe N (t)</t>
  </si>
  <si>
    <t>Aus Eingabe</t>
  </si>
  <si>
    <t>Aus Basisdaten</t>
  </si>
  <si>
    <t>Berechnung</t>
  </si>
  <si>
    <t>Status in FF</t>
  </si>
  <si>
    <t>Notiz</t>
  </si>
  <si>
    <t>Korrektur Zukauf von</t>
  </si>
  <si>
    <t>Korrektur Zukauf bis</t>
  </si>
  <si>
    <t>Summe Grünland in ha</t>
  </si>
  <si>
    <t>Summe Ackerflächen in ha</t>
  </si>
  <si>
    <t xml:space="preserve"> +++Zukauf org. Dünger+++</t>
  </si>
  <si>
    <t>NUR Zukauf organische (Gülle,…)</t>
  </si>
  <si>
    <t>Zielzelle Auswahl</t>
  </si>
  <si>
    <t>1=Rind, 2 = Schwein, 3= Geflügel, 4=sonst. Tier., rest = Pflanze</t>
  </si>
  <si>
    <t>Pflanzlich</t>
  </si>
  <si>
    <t>Zukauf Tierisch</t>
  </si>
  <si>
    <t>0=nein</t>
  </si>
  <si>
    <t xml:space="preserve">        b) davon Zukauf Wirtschaftsdünger </t>
  </si>
  <si>
    <t>Zukauf tierisch</t>
  </si>
  <si>
    <t xml:space="preserve">        c) davon pflanzliche Einsatzstoffe (Zukauf + eigener Anbau)</t>
  </si>
  <si>
    <t>Summe Zukauf Wirtschaftsdünger (1b)</t>
  </si>
  <si>
    <t>Summe pflanzliche Einsatzstoffe (1c)</t>
  </si>
  <si>
    <t>Produkt</t>
  </si>
  <si>
    <t>t FM</t>
  </si>
  <si>
    <t>Korrektur Ernte von</t>
  </si>
  <si>
    <t>Korrektur Ernte bis</t>
  </si>
  <si>
    <t>Kultur ausgeben</t>
  </si>
  <si>
    <t>Summe ohne Abgabe Biogas (t N)</t>
  </si>
  <si>
    <t>Einsatz Biogas (t)</t>
  </si>
  <si>
    <t>Bestand Lager+Ernte + Zukauf</t>
  </si>
  <si>
    <t>Einsatz Biogasanlage</t>
  </si>
  <si>
    <t>N in t</t>
  </si>
  <si>
    <t>Index</t>
  </si>
  <si>
    <t>Grobfutteraufnahme</t>
  </si>
  <si>
    <t>kg je mittl. Jahresbestand</t>
  </si>
  <si>
    <t>kg N je Jahresbest.</t>
  </si>
  <si>
    <t>t N</t>
  </si>
  <si>
    <t>Tierarten</t>
  </si>
  <si>
    <t>Index 1-4</t>
  </si>
  <si>
    <t>Index 1-9</t>
  </si>
  <si>
    <t>&gt;3</t>
  </si>
  <si>
    <t>Ausscheidungen brutto</t>
  </si>
  <si>
    <t>Bedarf Tiere</t>
  </si>
  <si>
    <t>% vom Lager</t>
  </si>
  <si>
    <t>Vorschlag Ration t</t>
  </si>
  <si>
    <t>Bedarf Korrigiert</t>
  </si>
  <si>
    <t>Korrektur</t>
  </si>
  <si>
    <t>Korrektur eingegeben?</t>
  </si>
  <si>
    <t>% vom Lager nach Korrektur</t>
  </si>
  <si>
    <t>N nicht abrufbar</t>
  </si>
  <si>
    <t>Korrektur Bedarf</t>
  </si>
  <si>
    <t>N fest durch Korrektur</t>
  </si>
  <si>
    <t>Toleranz Abweichung</t>
  </si>
  <si>
    <t>Veränderte Ration (t)</t>
  </si>
  <si>
    <t>Lagerbestand (t)</t>
  </si>
  <si>
    <t>Bedarf Tiere korrigiert t N</t>
  </si>
  <si>
    <t>Toleranz</t>
  </si>
  <si>
    <t>t N im Jahr</t>
  </si>
  <si>
    <t>Fläche nach DüV:</t>
  </si>
  <si>
    <t xml:space="preserve">    davon Acker:</t>
  </si>
  <si>
    <t xml:space="preserve">    davon Grünland:</t>
  </si>
  <si>
    <t>Betriebsnummer:</t>
  </si>
  <si>
    <t>eig. Wirtschaftsdünger in BGA</t>
  </si>
  <si>
    <t>N lager</t>
  </si>
  <si>
    <t>Ankauf und Produktion</t>
  </si>
  <si>
    <t xml:space="preserve"> +++Sonst. Biogas-Einsatzstoffe+++</t>
  </si>
  <si>
    <t>Mögl. Ration</t>
  </si>
  <si>
    <t>Futter-ration</t>
  </si>
  <si>
    <t>Eingabemaske</t>
  </si>
  <si>
    <t>Dyn. Tabelle</t>
  </si>
  <si>
    <t>Bestand abzüglich Biogaseinsatzstoffe</t>
  </si>
  <si>
    <t>Lagerbestand Jahresende</t>
  </si>
  <si>
    <t>Mischung</t>
  </si>
  <si>
    <t>Kauf</t>
  </si>
  <si>
    <t>Prod</t>
  </si>
  <si>
    <t>01.01.</t>
  </si>
  <si>
    <t>Nährstoffgehalt Jauche</t>
  </si>
  <si>
    <t>kg/m³</t>
  </si>
  <si>
    <t>Grobfutter</t>
  </si>
  <si>
    <t>Sonst. Biogas-Einsatzstoffe</t>
  </si>
  <si>
    <t>Toleranz Futter</t>
  </si>
  <si>
    <t xml:space="preserve">Ration </t>
  </si>
  <si>
    <t>zu hoch</t>
  </si>
  <si>
    <t>Druckbereich</t>
  </si>
  <si>
    <t>Teil 1</t>
  </si>
  <si>
    <t>Länge Dyn Tab</t>
  </si>
  <si>
    <t>X1:AR</t>
  </si>
  <si>
    <t>Tolerierte Abweichung</t>
  </si>
  <si>
    <t>%nach unten</t>
  </si>
  <si>
    <t>% nach oben</t>
  </si>
  <si>
    <t>Mittlerer Jahresniederschlag je Gemarkung</t>
  </si>
  <si>
    <t>Gemarkungs- nummer</t>
  </si>
  <si>
    <t>Gemarkungsname</t>
  </si>
  <si>
    <t>Mittlerer Jahresniederschlag 2011-2020 (mm)</t>
  </si>
  <si>
    <t>Huflar</t>
  </si>
  <si>
    <t>Leubach</t>
  </si>
  <si>
    <t>Oberfladungen</t>
  </si>
  <si>
    <t>Brüchs</t>
  </si>
  <si>
    <t>Weimarschmieden</t>
  </si>
  <si>
    <t>Rüdenschwinden</t>
  </si>
  <si>
    <t>Fladungen</t>
  </si>
  <si>
    <t>Sands</t>
  </si>
  <si>
    <t>Mellrichstadter Forst</t>
  </si>
  <si>
    <t>Filke</t>
  </si>
  <si>
    <t>Hausen</t>
  </si>
  <si>
    <t>Heufurt</t>
  </si>
  <si>
    <t>Neustädtles</t>
  </si>
  <si>
    <t>Willmars</t>
  </si>
  <si>
    <t>Altenfeld</t>
  </si>
  <si>
    <t>Stetten</t>
  </si>
  <si>
    <t>Nordheim v.d.Rhön</t>
  </si>
  <si>
    <t>Forst Ostheim v.d.Rhön</t>
  </si>
  <si>
    <t>Völkershausen</t>
  </si>
  <si>
    <t>Ginolfs</t>
  </si>
  <si>
    <t>Oberelsbach</t>
  </si>
  <si>
    <t>Urspringen</t>
  </si>
  <si>
    <t>Sondheim v.d.Rhön</t>
  </si>
  <si>
    <t>Ostheim v.d.Rhön</t>
  </si>
  <si>
    <t>Stockheim</t>
  </si>
  <si>
    <t>Eußenhausen</t>
  </si>
  <si>
    <t>Oberweißenbrunn</t>
  </si>
  <si>
    <t>Frankenheim</t>
  </si>
  <si>
    <t>Bischofsheim a.d.Rhön</t>
  </si>
  <si>
    <t>Weisbach</t>
  </si>
  <si>
    <t>Sondernau</t>
  </si>
  <si>
    <t>Unterelsbach</t>
  </si>
  <si>
    <t>Oberwaldbehrungen</t>
  </si>
  <si>
    <t>Unterwaldbehrungen</t>
  </si>
  <si>
    <t>Mellrichstadt</t>
  </si>
  <si>
    <t>Mühlfeld</t>
  </si>
  <si>
    <t>Roßrieth</t>
  </si>
  <si>
    <t>Haselbach i.d.Rhön</t>
  </si>
  <si>
    <t>Unterweißenbrunn</t>
  </si>
  <si>
    <t>Wegfurt</t>
  </si>
  <si>
    <t>Schönau a.d.Brend</t>
  </si>
  <si>
    <t>Reyersbach</t>
  </si>
  <si>
    <t>Bastheim</t>
  </si>
  <si>
    <t>Frickenhausen</t>
  </si>
  <si>
    <t>Oberstreu</t>
  </si>
  <si>
    <t>Sondheim</t>
  </si>
  <si>
    <t>Wechterswinkeler Forst</t>
  </si>
  <si>
    <t>Rödles</t>
  </si>
  <si>
    <t>Braidbach</t>
  </si>
  <si>
    <t>Wechterswinkel</t>
  </si>
  <si>
    <t>Unsleben</t>
  </si>
  <si>
    <t>Mittelstreu</t>
  </si>
  <si>
    <t>Bahra</t>
  </si>
  <si>
    <t>Hendungen</t>
  </si>
  <si>
    <t>Rappershausen</t>
  </si>
  <si>
    <t>Rothausen</t>
  </si>
  <si>
    <t>Sandberg</t>
  </si>
  <si>
    <t>Forst Schmalwasser-Nord</t>
  </si>
  <si>
    <t>Burgwallbacher Forst</t>
  </si>
  <si>
    <t>Burgwallbach</t>
  </si>
  <si>
    <t>Lebenhan</t>
  </si>
  <si>
    <t>Wollbach</t>
  </si>
  <si>
    <t>Heustreu</t>
  </si>
  <si>
    <t>Hollstadt</t>
  </si>
  <si>
    <t>Junkershausen</t>
  </si>
  <si>
    <t>Wargolshausen</t>
  </si>
  <si>
    <t>Weigler</t>
  </si>
  <si>
    <t>Gollmuthhausen</t>
  </si>
  <si>
    <t>Höchheim</t>
  </si>
  <si>
    <t>Irmelshausen</t>
  </si>
  <si>
    <t>Breitensee</t>
  </si>
  <si>
    <t>Langenleiten</t>
  </si>
  <si>
    <t>Waldberg</t>
  </si>
  <si>
    <t>Schmalwasser</t>
  </si>
  <si>
    <t>Forst Schmalwasser-Süd</t>
  </si>
  <si>
    <t>Steinacher Forst r.d.Saale</t>
  </si>
  <si>
    <t>Windshausen</t>
  </si>
  <si>
    <t>Leutershausen</t>
  </si>
  <si>
    <t>Brendlorenzen</t>
  </si>
  <si>
    <t>Herschfeld</t>
  </si>
  <si>
    <t>Wülfershausen a.d.Saale</t>
  </si>
  <si>
    <t>Waltershausen</t>
  </si>
  <si>
    <t>Aubstadt</t>
  </si>
  <si>
    <t>Ottelmannshausen</t>
  </si>
  <si>
    <t>Herbstadt</t>
  </si>
  <si>
    <t>Unterebersbach</t>
  </si>
  <si>
    <t>Hohenroth</t>
  </si>
  <si>
    <t>Bad Neustadt a.d.Saale</t>
  </si>
  <si>
    <t>Mühlbach</t>
  </si>
  <si>
    <t>Bad Neuhaus</t>
  </si>
  <si>
    <t>Dürrnhof</t>
  </si>
  <si>
    <t>Rödelmaier</t>
  </si>
  <si>
    <t>Eichenhausen</t>
  </si>
  <si>
    <t>Saal a.d.Saale</t>
  </si>
  <si>
    <t>Großeibstadt</t>
  </si>
  <si>
    <t>Bad Königshofen i.Grabfeld</t>
  </si>
  <si>
    <t>Ipthausen</t>
  </si>
  <si>
    <t>Eyershausen</t>
  </si>
  <si>
    <t>Trappstadt</t>
  </si>
  <si>
    <t>Oberebersbach</t>
  </si>
  <si>
    <t>Niederlauer</t>
  </si>
  <si>
    <t>Salz</t>
  </si>
  <si>
    <t>Löhrieth</t>
  </si>
  <si>
    <t>Kleineibstadt</t>
  </si>
  <si>
    <t>Kleinbardorf</t>
  </si>
  <si>
    <t>Merkershausen</t>
  </si>
  <si>
    <t>Alsleben</t>
  </si>
  <si>
    <t>Burglauer Wald</t>
  </si>
  <si>
    <t>Burglauer</t>
  </si>
  <si>
    <t>Strahlungen</t>
  </si>
  <si>
    <t>Großbardorf</t>
  </si>
  <si>
    <t>Sulzfeld</t>
  </si>
  <si>
    <t>Althausen</t>
  </si>
  <si>
    <t>Aub</t>
  </si>
  <si>
    <t>Gabolshausen</t>
  </si>
  <si>
    <t>Untereßfeld</t>
  </si>
  <si>
    <t>Obereßfeld</t>
  </si>
  <si>
    <t>Sternberg i.Grabfeld</t>
  </si>
  <si>
    <t>Zimmerau</t>
  </si>
  <si>
    <t>Leinach</t>
  </si>
  <si>
    <t>Sulzfelder Forst</t>
  </si>
  <si>
    <t>Bundorfer Forst</t>
  </si>
  <si>
    <t>Sulzdorf a.d.Lederhecke</t>
  </si>
  <si>
    <t>Schwanhausen</t>
  </si>
  <si>
    <t>Serrfeld</t>
  </si>
  <si>
    <t>Steinach - gemeindefrei</t>
  </si>
  <si>
    <t>Motten</t>
  </si>
  <si>
    <t>Mottener Forst-Nord</t>
  </si>
  <si>
    <t>Neuwildflecken</t>
  </si>
  <si>
    <t>Mottener Forst-West</t>
  </si>
  <si>
    <t>Kothen</t>
  </si>
  <si>
    <t>Wildflecken</t>
  </si>
  <si>
    <t>Oberwildflecken</t>
  </si>
  <si>
    <t>Speicherz</t>
  </si>
  <si>
    <t>Mottener Forst-Süd</t>
  </si>
  <si>
    <t>Oberbach</t>
  </si>
  <si>
    <t>Römershager Forst-Nord</t>
  </si>
  <si>
    <t>Großer Auersberg</t>
  </si>
  <si>
    <t>Volkers</t>
  </si>
  <si>
    <t>Oberriedenberg</t>
  </si>
  <si>
    <t>Römershager Forst-West</t>
  </si>
  <si>
    <t>Römershag</t>
  </si>
  <si>
    <t>Bad Brückenau</t>
  </si>
  <si>
    <t>Römershager Forst-Ost</t>
  </si>
  <si>
    <t>Unterriedenberg</t>
  </si>
  <si>
    <t>Salzforst</t>
  </si>
  <si>
    <t>Gefäll</t>
  </si>
  <si>
    <t>Premich</t>
  </si>
  <si>
    <t>Wernarz</t>
  </si>
  <si>
    <t>Römershager Forst-Süd</t>
  </si>
  <si>
    <t>Breitenbach</t>
  </si>
  <si>
    <t>Mitgenfeld</t>
  </si>
  <si>
    <t>Geroda</t>
  </si>
  <si>
    <t>Stangenroth</t>
  </si>
  <si>
    <t>Steinach</t>
  </si>
  <si>
    <t>Nickersfelden</t>
  </si>
  <si>
    <t>Eckarts-Rupboden</t>
  </si>
  <si>
    <t>Dreistelzer Forst</t>
  </si>
  <si>
    <t>Oberleichtersbach</t>
  </si>
  <si>
    <t>Roth a.d.Saale</t>
  </si>
  <si>
    <t>Bildhausen-Nordost</t>
  </si>
  <si>
    <t>Schondra</t>
  </si>
  <si>
    <t>Platz</t>
  </si>
  <si>
    <t>Burkardroth</t>
  </si>
  <si>
    <t>Klauswald-Nord</t>
  </si>
  <si>
    <t>Hohn</t>
  </si>
  <si>
    <t>Steinacher Forst l.d.Saale</t>
  </si>
  <si>
    <t>Bildhausen-Südwest</t>
  </si>
  <si>
    <t>Zeitlofs</t>
  </si>
  <si>
    <t>Rupbodener Forst</t>
  </si>
  <si>
    <t>Forst Detter-Nord</t>
  </si>
  <si>
    <t>Modlos</t>
  </si>
  <si>
    <t>Unterleichtersbach</t>
  </si>
  <si>
    <t>Waldfensterer Forst</t>
  </si>
  <si>
    <t>Waldfenster</t>
  </si>
  <si>
    <t>Zahlbach</t>
  </si>
  <si>
    <t>Frauenroth</t>
  </si>
  <si>
    <t>Aschach</t>
  </si>
  <si>
    <t>Bad Bocklet</t>
  </si>
  <si>
    <t>Windheim/Münnerstadt</t>
  </si>
  <si>
    <t>Reichenbach</t>
  </si>
  <si>
    <t>Fridritt</t>
  </si>
  <si>
    <t>Kleinwenkheim</t>
  </si>
  <si>
    <t>Großwenkheim</t>
  </si>
  <si>
    <t>Singenrain</t>
  </si>
  <si>
    <t>Oehrberg</t>
  </si>
  <si>
    <t>Roßbach</t>
  </si>
  <si>
    <t>Weißenbach</t>
  </si>
  <si>
    <t>Schönderling</t>
  </si>
  <si>
    <t>Lauter</t>
  </si>
  <si>
    <t>Großenbrach</t>
  </si>
  <si>
    <t>Burghausen</t>
  </si>
  <si>
    <t>Geiersnest-West</t>
  </si>
  <si>
    <t>Katzenbach</t>
  </si>
  <si>
    <t>Stralsbach</t>
  </si>
  <si>
    <t>Haard</t>
  </si>
  <si>
    <t>Münnerstadt</t>
  </si>
  <si>
    <t>Brünn</t>
  </si>
  <si>
    <t>Roßbacher Forst</t>
  </si>
  <si>
    <t>Detter</t>
  </si>
  <si>
    <t>Geiersnest-Ost</t>
  </si>
  <si>
    <t>Kleinbrach</t>
  </si>
  <si>
    <t>Wermerichshausen</t>
  </si>
  <si>
    <t>Hassenbach</t>
  </si>
  <si>
    <t>Poppenroth</t>
  </si>
  <si>
    <t>Klauswald-Süd</t>
  </si>
  <si>
    <t>Seubrigshausen</t>
  </si>
  <si>
    <t>Forst Detter-Süd</t>
  </si>
  <si>
    <t>Neuwirtshauser Forst</t>
  </si>
  <si>
    <t>Schlimpfhof</t>
  </si>
  <si>
    <t>Nüdlingen</t>
  </si>
  <si>
    <t>Gressertshof</t>
  </si>
  <si>
    <t>Poppenlauer</t>
  </si>
  <si>
    <t>Weichtungen</t>
  </si>
  <si>
    <t>Theinfeld</t>
  </si>
  <si>
    <t>Heiligkreuz</t>
  </si>
  <si>
    <t>Oberthulba</t>
  </si>
  <si>
    <t>Albertshausen</t>
  </si>
  <si>
    <t>Winkels</t>
  </si>
  <si>
    <t>Völkersleier</t>
  </si>
  <si>
    <t>Schwärzelbach</t>
  </si>
  <si>
    <t>Hetzlos</t>
  </si>
  <si>
    <t>Frankenbrunn</t>
  </si>
  <si>
    <t>Reith</t>
  </si>
  <si>
    <t>Euerdorfer Forst</t>
  </si>
  <si>
    <t>Garitz</t>
  </si>
  <si>
    <t>Reiterswiesen</t>
  </si>
  <si>
    <t>Thundorf i.UFr.</t>
  </si>
  <si>
    <t>Thulba</t>
  </si>
  <si>
    <t>Wittershausen</t>
  </si>
  <si>
    <t>Dittlofsroda</t>
  </si>
  <si>
    <t>Wartmannsroth</t>
  </si>
  <si>
    <t>Windheim/Wartmannsroth</t>
  </si>
  <si>
    <t>Untererthal</t>
  </si>
  <si>
    <t>Obererthal</t>
  </si>
  <si>
    <t>Feuerthal</t>
  </si>
  <si>
    <t>Elfershausen</t>
  </si>
  <si>
    <t>Aura a.d.Saale</t>
  </si>
  <si>
    <t>Euerdorf</t>
  </si>
  <si>
    <t>Arnshausen</t>
  </si>
  <si>
    <t>Eltingshausen</t>
  </si>
  <si>
    <t>Rottershausen</t>
  </si>
  <si>
    <t>Rannungen</t>
  </si>
  <si>
    <t>Maßberg</t>
  </si>
  <si>
    <t>Maßbach</t>
  </si>
  <si>
    <t>Rothhausen</t>
  </si>
  <si>
    <t>Volkershausen</t>
  </si>
  <si>
    <t>Waizenbach</t>
  </si>
  <si>
    <t>Wirmsthal</t>
  </si>
  <si>
    <t>Diebach</t>
  </si>
  <si>
    <t>Hammelburg</t>
  </si>
  <si>
    <t>Westheim</t>
  </si>
  <si>
    <t>Trimberg</t>
  </si>
  <si>
    <t>Engenthal</t>
  </si>
  <si>
    <t>Oerlenbach</t>
  </si>
  <si>
    <t>Morlesau</t>
  </si>
  <si>
    <t>Untereschenbach</t>
  </si>
  <si>
    <t>Langendorf</t>
  </si>
  <si>
    <t>Machtilshausen</t>
  </si>
  <si>
    <t>Sulzthal</t>
  </si>
  <si>
    <t>Ramsthal</t>
  </si>
  <si>
    <t>Ebenhausen</t>
  </si>
  <si>
    <t>Obereschenbach</t>
  </si>
  <si>
    <t>Pfaffenhausen</t>
  </si>
  <si>
    <t>Fuchsstadt</t>
  </si>
  <si>
    <t>Hundsfeld</t>
  </si>
  <si>
    <t>Bonnland</t>
  </si>
  <si>
    <t>Gauaschach</t>
  </si>
  <si>
    <t>Geiselbacher Forst</t>
  </si>
  <si>
    <t>Albstadt</t>
  </si>
  <si>
    <t>Geiselbach</t>
  </si>
  <si>
    <t>Huckelheim</t>
  </si>
  <si>
    <t>Oberwestern</t>
  </si>
  <si>
    <t>Alzenau</t>
  </si>
  <si>
    <t>Kälberau</t>
  </si>
  <si>
    <t>Michelbach</t>
  </si>
  <si>
    <t>Dörnsteinbach</t>
  </si>
  <si>
    <t>Omersbach</t>
  </si>
  <si>
    <t>Hofstädten</t>
  </si>
  <si>
    <t>Schneppenbach</t>
  </si>
  <si>
    <t>Unterwestern</t>
  </si>
  <si>
    <t>Großlaudenbach</t>
  </si>
  <si>
    <t>Kleinlaudenbach</t>
  </si>
  <si>
    <t>Kleinkahl</t>
  </si>
  <si>
    <t>Großkahl</t>
  </si>
  <si>
    <t>Edelbach</t>
  </si>
  <si>
    <t>Wiesener Forst</t>
  </si>
  <si>
    <t>Wiesen</t>
  </si>
  <si>
    <t>Kahl a.Main</t>
  </si>
  <si>
    <t>Wasserlos</t>
  </si>
  <si>
    <t>Hemsbach</t>
  </si>
  <si>
    <t>Niedersteinbach</t>
  </si>
  <si>
    <t>Mömbris</t>
  </si>
  <si>
    <t>Mensengesäß</t>
  </si>
  <si>
    <t>Krombach</t>
  </si>
  <si>
    <t>Schöllkrippen</t>
  </si>
  <si>
    <t>Sommerkahl</t>
  </si>
  <si>
    <t>Schöllkrippener Forst</t>
  </si>
  <si>
    <t>Heinrichsthal</t>
  </si>
  <si>
    <t>Großwelzheim</t>
  </si>
  <si>
    <t>Hörstein</t>
  </si>
  <si>
    <t>Hohl</t>
  </si>
  <si>
    <t>Schimborn</t>
  </si>
  <si>
    <t>Königshofen a.d.Kahl</t>
  </si>
  <si>
    <t>Großblankenbach</t>
  </si>
  <si>
    <t>Kleinblankenbach</t>
  </si>
  <si>
    <t>Eichenberg</t>
  </si>
  <si>
    <t>Jakobsthal</t>
  </si>
  <si>
    <t>Heinrichsthaler Forst</t>
  </si>
  <si>
    <t>Dettingen a.Main</t>
  </si>
  <si>
    <t>Rückersbach</t>
  </si>
  <si>
    <t>Oberafferbach</t>
  </si>
  <si>
    <t>Johannesberg</t>
  </si>
  <si>
    <t>Breunsberg</t>
  </si>
  <si>
    <t>Daxberg</t>
  </si>
  <si>
    <t>Wenighösbach</t>
  </si>
  <si>
    <t>Feldkahl</t>
  </si>
  <si>
    <t>Rottenberg</t>
  </si>
  <si>
    <t>Sailaufer Forst</t>
  </si>
  <si>
    <t>Steinbach</t>
  </si>
  <si>
    <t>Glattbach</t>
  </si>
  <si>
    <t>Unterafferbach</t>
  </si>
  <si>
    <t>Sailauf</t>
  </si>
  <si>
    <t>Laufach</t>
  </si>
  <si>
    <t>Hain i.Spessart</t>
  </si>
  <si>
    <t>Heigenbrücken</t>
  </si>
  <si>
    <t>Kleinostheim</t>
  </si>
  <si>
    <t>Stockstadt a.Main</t>
  </si>
  <si>
    <t>Damm</t>
  </si>
  <si>
    <t>Goldbach</t>
  </si>
  <si>
    <t>Hösbach</t>
  </si>
  <si>
    <t>Forst Hain i.Spessart</t>
  </si>
  <si>
    <t>Mainaschaff</t>
  </si>
  <si>
    <t>Leider</t>
  </si>
  <si>
    <t>Haibach</t>
  </si>
  <si>
    <t>Winzenhohl</t>
  </si>
  <si>
    <t>Keilberg</t>
  </si>
  <si>
    <t>Waldaschaff</t>
  </si>
  <si>
    <t>Waldaschaffer Forst</t>
  </si>
  <si>
    <t>Rothenbuch</t>
  </si>
  <si>
    <t>Schweinheim</t>
  </si>
  <si>
    <t>Gailbach</t>
  </si>
  <si>
    <t>Grünmorsbach</t>
  </si>
  <si>
    <t>Dörrmorsbach</t>
  </si>
  <si>
    <t>Straßbessenbach</t>
  </si>
  <si>
    <t>Oberbessenbach</t>
  </si>
  <si>
    <t>Rothenbucher Forst</t>
  </si>
  <si>
    <t>Großostheim</t>
  </si>
  <si>
    <t>Obernau</t>
  </si>
  <si>
    <t>Hessenthal</t>
  </si>
  <si>
    <t>Weibersbrunn</t>
  </si>
  <si>
    <t>Pflaumheim</t>
  </si>
  <si>
    <t>Mespelbrunn</t>
  </si>
  <si>
    <t>Rohrbrunner Forst</t>
  </si>
  <si>
    <t>Wenigumstadt</t>
  </si>
  <si>
    <t>Heimbuchenthal</t>
  </si>
  <si>
    <t>Wintersbach</t>
  </si>
  <si>
    <t>Krausenbach</t>
  </si>
  <si>
    <t>Krausenbacher Forst</t>
  </si>
  <si>
    <t>Niedernberg</t>
  </si>
  <si>
    <t>Sulzbach a.Main</t>
  </si>
  <si>
    <t>Soden</t>
  </si>
  <si>
    <t>Ebersbach</t>
  </si>
  <si>
    <t>Leidersbach</t>
  </si>
  <si>
    <t>Hohe Wart</t>
  </si>
  <si>
    <t>Dornau</t>
  </si>
  <si>
    <t>Volkersbrunn</t>
  </si>
  <si>
    <t>Großwallstadt</t>
  </si>
  <si>
    <t>Kleinwallstadt</t>
  </si>
  <si>
    <t>Mömlingen</t>
  </si>
  <si>
    <t>Eisenbach</t>
  </si>
  <si>
    <t>Obernburg a.Main</t>
  </si>
  <si>
    <t>Elsenfeld</t>
  </si>
  <si>
    <t>Hofstetten</t>
  </si>
  <si>
    <t>Eichelsbach</t>
  </si>
  <si>
    <t>Hobbach</t>
  </si>
  <si>
    <t>Erlenbach a.Main</t>
  </si>
  <si>
    <t>Forstwald</t>
  </si>
  <si>
    <t>Rück</t>
  </si>
  <si>
    <t>Schippach/Els</t>
  </si>
  <si>
    <t>Sommerau</t>
  </si>
  <si>
    <t>Oberaulenbach</t>
  </si>
  <si>
    <t>Altenbucher Forst</t>
  </si>
  <si>
    <t>Eschau</t>
  </si>
  <si>
    <t>Wildensee</t>
  </si>
  <si>
    <t>Oberaltenbuch</t>
  </si>
  <si>
    <t>Unteraltenbuch</t>
  </si>
  <si>
    <t>Wörth a.Main</t>
  </si>
  <si>
    <t>Klingenberg a.Main</t>
  </si>
  <si>
    <t>Mechenhard</t>
  </si>
  <si>
    <t>Streit</t>
  </si>
  <si>
    <t>Schmachtenberg</t>
  </si>
  <si>
    <t>Mönchberg</t>
  </si>
  <si>
    <t>Fechenbach</t>
  </si>
  <si>
    <t>Dorfprozelten</t>
  </si>
  <si>
    <t>Stadtprozelten</t>
  </si>
  <si>
    <t>Neuenbuch</t>
  </si>
  <si>
    <t>Hoher Berg</t>
  </si>
  <si>
    <t>Breitenbrunn</t>
  </si>
  <si>
    <t>Faulbach</t>
  </si>
  <si>
    <t>Trennfurt</t>
  </si>
  <si>
    <t>Röllfeld</t>
  </si>
  <si>
    <t>Röllbach</t>
  </si>
  <si>
    <t>Reistenhausen</t>
  </si>
  <si>
    <t>Laudenbach</t>
  </si>
  <si>
    <t>Großheubach</t>
  </si>
  <si>
    <t>Kleinheubach</t>
  </si>
  <si>
    <t>Bürgstadt</t>
  </si>
  <si>
    <t>Rüdenau</t>
  </si>
  <si>
    <t>Mainbullau</t>
  </si>
  <si>
    <t>Breitendiel</t>
  </si>
  <si>
    <t>Eichenbühl</t>
  </si>
  <si>
    <t>Umpfenbach</t>
  </si>
  <si>
    <t>Neunkirchen</t>
  </si>
  <si>
    <t>Richelbach</t>
  </si>
  <si>
    <t>Ohrenbach</t>
  </si>
  <si>
    <t>Weckbach</t>
  </si>
  <si>
    <t>Weilbach</t>
  </si>
  <si>
    <t>Wenschdorf</t>
  </si>
  <si>
    <t>Schippach/Mil</t>
  </si>
  <si>
    <t>Heppdiel</t>
  </si>
  <si>
    <t>Boxbrunn i.Odenwald</t>
  </si>
  <si>
    <t>Amorbach</t>
  </si>
  <si>
    <t>Schneeberg</t>
  </si>
  <si>
    <t>Reichartshausen</t>
  </si>
  <si>
    <t>Windischbuchen</t>
  </si>
  <si>
    <t>Riedern</t>
  </si>
  <si>
    <t>Otterbach</t>
  </si>
  <si>
    <t>Watterbach</t>
  </si>
  <si>
    <t>Kirchzell</t>
  </si>
  <si>
    <t>Ottorfszell</t>
  </si>
  <si>
    <t>Preunschen</t>
  </si>
  <si>
    <t>Beuchen</t>
  </si>
  <si>
    <t>Zittenfelden</t>
  </si>
  <si>
    <t>Hambrunn</t>
  </si>
  <si>
    <t>Burgjoß</t>
  </si>
  <si>
    <t>Obersinn</t>
  </si>
  <si>
    <t>Forst Aura</t>
  </si>
  <si>
    <t>Mittelsinn</t>
  </si>
  <si>
    <t>Aura i.Sinngrund</t>
  </si>
  <si>
    <t>Fellen</t>
  </si>
  <si>
    <t>Burgsinn</t>
  </si>
  <si>
    <t>Rengersbrunn</t>
  </si>
  <si>
    <t>Herrnwald</t>
  </si>
  <si>
    <t>Rieneck</t>
  </si>
  <si>
    <t>Schaippach</t>
  </si>
  <si>
    <t>Wolfsmünster</t>
  </si>
  <si>
    <t>Schonderfeld</t>
  </si>
  <si>
    <t>Gräfendorf</t>
  </si>
  <si>
    <t>Michelau a.d.Saale</t>
  </si>
  <si>
    <t>Weickersgrüben</t>
  </si>
  <si>
    <t>Aschenroth</t>
  </si>
  <si>
    <t>Weyersfeld</t>
  </si>
  <si>
    <t>Seifriedsburg</t>
  </si>
  <si>
    <t>Höllrich</t>
  </si>
  <si>
    <t>Habichsthal</t>
  </si>
  <si>
    <t>Frammersbacher Forst</t>
  </si>
  <si>
    <t>Frammersbach</t>
  </si>
  <si>
    <t>Haurain</t>
  </si>
  <si>
    <t>Ruppertshüttener Forst</t>
  </si>
  <si>
    <t>Ruppertshütten</t>
  </si>
  <si>
    <t>Langenprozeltener Forst</t>
  </si>
  <si>
    <t>Langenprozelten</t>
  </si>
  <si>
    <t>Gemünden a.Main</t>
  </si>
  <si>
    <t>Heßdorf</t>
  </si>
  <si>
    <t>Karsbach</t>
  </si>
  <si>
    <t>Wiesthal</t>
  </si>
  <si>
    <t>Neuhütten</t>
  </si>
  <si>
    <t>Krommenthal</t>
  </si>
  <si>
    <t>Partensteiner Forst</t>
  </si>
  <si>
    <t>Partenstein</t>
  </si>
  <si>
    <t>Neuendorf</t>
  </si>
  <si>
    <t>Massenbuch</t>
  </si>
  <si>
    <t>Wernfeld</t>
  </si>
  <si>
    <t>Harrbach</t>
  </si>
  <si>
    <t>Adelsberg</t>
  </si>
  <si>
    <t>Sachsenheim</t>
  </si>
  <si>
    <t>Gössenheim</t>
  </si>
  <si>
    <t>Aschfeld</t>
  </si>
  <si>
    <t>Eußenheim</t>
  </si>
  <si>
    <t>Münster</t>
  </si>
  <si>
    <t>Bühler</t>
  </si>
  <si>
    <t>Hundsbach</t>
  </si>
  <si>
    <t>Obersfeld</t>
  </si>
  <si>
    <t>Forst Lohrerstraße</t>
  </si>
  <si>
    <t>Rechtenbach</t>
  </si>
  <si>
    <t>Rothenberg</t>
  </si>
  <si>
    <t>Wombach</t>
  </si>
  <si>
    <t>Lohr a.Main</t>
  </si>
  <si>
    <t>Sackenbach</t>
  </si>
  <si>
    <t>Sendelbach</t>
  </si>
  <si>
    <t>Rodenbach</t>
  </si>
  <si>
    <t>Pflochsbach</t>
  </si>
  <si>
    <t>Halsbach</t>
  </si>
  <si>
    <t>Wiesenfeld</t>
  </si>
  <si>
    <t>Steinfeld</t>
  </si>
  <si>
    <t>Rohrbach</t>
  </si>
  <si>
    <t>Gainfurter Markung</t>
  </si>
  <si>
    <t>Gambach</t>
  </si>
  <si>
    <t>Karlburg</t>
  </si>
  <si>
    <t>Karlstadt</t>
  </si>
  <si>
    <t>Heßlar</t>
  </si>
  <si>
    <t>Fürstl.Löwenstein'scher Park</t>
  </si>
  <si>
    <t>Neustadt a.Main</t>
  </si>
  <si>
    <t>Erlach a.Main</t>
  </si>
  <si>
    <t>Waldzell</t>
  </si>
  <si>
    <t>Stadelhofen</t>
  </si>
  <si>
    <t>Bergrothenfels</t>
  </si>
  <si>
    <t>Rothenfels</t>
  </si>
  <si>
    <t>Windheim</t>
  </si>
  <si>
    <t>Zimmern</t>
  </si>
  <si>
    <t>Roden</t>
  </si>
  <si>
    <t>Bischbrunner Forst</t>
  </si>
  <si>
    <t>Bischbrunn</t>
  </si>
  <si>
    <t>Oberndorf</t>
  </si>
  <si>
    <t>Steinmark</t>
  </si>
  <si>
    <t>Esselbach</t>
  </si>
  <si>
    <t>Kredenbach</t>
  </si>
  <si>
    <t>Marienbrunn</t>
  </si>
  <si>
    <t>Hafenlohr</t>
  </si>
  <si>
    <t>Karbach</t>
  </si>
  <si>
    <t>Billingshausen</t>
  </si>
  <si>
    <t>Birkenfeld</t>
  </si>
  <si>
    <t>Schollbrunn</t>
  </si>
  <si>
    <t>Michelrieth</t>
  </si>
  <si>
    <t>Altfeld</t>
  </si>
  <si>
    <t>Marktheidenfeld</t>
  </si>
  <si>
    <t>Glasofen</t>
  </si>
  <si>
    <t>Hasselberg</t>
  </si>
  <si>
    <t>Hasloch</t>
  </si>
  <si>
    <t>Röttbach</t>
  </si>
  <si>
    <t>Oberwittbach</t>
  </si>
  <si>
    <t>Wiebelbach</t>
  </si>
  <si>
    <t>Kreuzwertheim</t>
  </si>
  <si>
    <t>Unterwittbach</t>
  </si>
  <si>
    <t>Rettersheim</t>
  </si>
  <si>
    <t>Lengfurt</t>
  </si>
  <si>
    <t>Erlenbach b.Marktheidenfeld</t>
  </si>
  <si>
    <t>Tiefenthal</t>
  </si>
  <si>
    <t>Trennfeld</t>
  </si>
  <si>
    <t>Homburg a.Main</t>
  </si>
  <si>
    <t>Duttenbrunn</t>
  </si>
  <si>
    <t>Himmelstadt</t>
  </si>
  <si>
    <t>Zellingen</t>
  </si>
  <si>
    <t>Markt Retzbach</t>
  </si>
  <si>
    <t>Thüngen</t>
  </si>
  <si>
    <t>Retzstadt</t>
  </si>
  <si>
    <t>Gramschatzer Wald</t>
  </si>
  <si>
    <t>Gramschatz</t>
  </si>
  <si>
    <t>Erbshausen</t>
  </si>
  <si>
    <t>Rieden</t>
  </si>
  <si>
    <t>Opferbaum</t>
  </si>
  <si>
    <t>Unterleinach</t>
  </si>
  <si>
    <t>Oberleinach</t>
  </si>
  <si>
    <t>Erlabrunn</t>
  </si>
  <si>
    <t>Thüngersheim</t>
  </si>
  <si>
    <t>Güntersleben</t>
  </si>
  <si>
    <t>Rimpar</t>
  </si>
  <si>
    <t>Hilpertshausen</t>
  </si>
  <si>
    <t>Burggrumbach</t>
  </si>
  <si>
    <t>Bergtheim</t>
  </si>
  <si>
    <t>Dipbach</t>
  </si>
  <si>
    <t>Untereisenheim</t>
  </si>
  <si>
    <t>Obereisenheim</t>
  </si>
  <si>
    <t>Maidbronner Wald</t>
  </si>
  <si>
    <t>Maidbronn</t>
  </si>
  <si>
    <t>Mühlhausen</t>
  </si>
  <si>
    <t>Unterpleichfeld</t>
  </si>
  <si>
    <t>Oberpleichfeld</t>
  </si>
  <si>
    <t>Püssensheim</t>
  </si>
  <si>
    <t>Prosselsheim</t>
  </si>
  <si>
    <t>Remlingen</t>
  </si>
  <si>
    <t>Greußenheim</t>
  </si>
  <si>
    <t>Margetshöchheim</t>
  </si>
  <si>
    <t>Veitshöchheim</t>
  </si>
  <si>
    <t>Oberdürrbach</t>
  </si>
  <si>
    <t>Versbach</t>
  </si>
  <si>
    <t>Estenfeld</t>
  </si>
  <si>
    <t>Kürnach</t>
  </si>
  <si>
    <t>Wüstenzell</t>
  </si>
  <si>
    <t>Holzkirchen</t>
  </si>
  <si>
    <t>Uettingen</t>
  </si>
  <si>
    <t>Roßbrunn</t>
  </si>
  <si>
    <t>Hettstadt</t>
  </si>
  <si>
    <t>Zell a.Main</t>
  </si>
  <si>
    <t>Unterdürrbach</t>
  </si>
  <si>
    <t>Lengfeld</t>
  </si>
  <si>
    <t>Rottendorf</t>
  </si>
  <si>
    <t>Holzkirchhausen</t>
  </si>
  <si>
    <t>Helmstadt</t>
  </si>
  <si>
    <t>Waldbrunn</t>
  </si>
  <si>
    <t>Waldbüttelbrunn</t>
  </si>
  <si>
    <t>Eisingen</t>
  </si>
  <si>
    <t>Höchberg</t>
  </si>
  <si>
    <t>Guttenberger Wald</t>
  </si>
  <si>
    <t>Heidingsfeld</t>
  </si>
  <si>
    <t>Gerbrunn</t>
  </si>
  <si>
    <t>Randersacker</t>
  </si>
  <si>
    <t>Theilheim</t>
  </si>
  <si>
    <t>Neubrunn</t>
  </si>
  <si>
    <t>Unteraltertheim</t>
  </si>
  <si>
    <t>Oberaltertheim</t>
  </si>
  <si>
    <t>Irtenberger Wald</t>
  </si>
  <si>
    <t>Kist</t>
  </si>
  <si>
    <t>Reichenberg</t>
  </si>
  <si>
    <t>Böttigheim</t>
  </si>
  <si>
    <t>Kleinrinderfeld</t>
  </si>
  <si>
    <t>Uengershausen</t>
  </si>
  <si>
    <t>Lindflur</t>
  </si>
  <si>
    <t>Rottenbauer</t>
  </si>
  <si>
    <t>Eibelstadt</t>
  </si>
  <si>
    <t>Lindelbach</t>
  </si>
  <si>
    <t>Winterhausen</t>
  </si>
  <si>
    <t>Sommerhausen</t>
  </si>
  <si>
    <t>Erlach</t>
  </si>
  <si>
    <t>Moos</t>
  </si>
  <si>
    <t>Geroldshausen</t>
  </si>
  <si>
    <t>Kirchheim</t>
  </si>
  <si>
    <t>Sulzdorf</t>
  </si>
  <si>
    <t>Ingolstadt i.UFr.</t>
  </si>
  <si>
    <t>Eßfeld</t>
  </si>
  <si>
    <t>Darstadt</t>
  </si>
  <si>
    <t>Goßmannsdorf a.Main</t>
  </si>
  <si>
    <t>Kleinochsenfurt</t>
  </si>
  <si>
    <t>Zeubelried</t>
  </si>
  <si>
    <t>Giebelstadt</t>
  </si>
  <si>
    <t>Acholshausen</t>
  </si>
  <si>
    <t>Tückelhausen</t>
  </si>
  <si>
    <t>Hohestadt</t>
  </si>
  <si>
    <t>Ochsenfurt</t>
  </si>
  <si>
    <t>Frickenhausen a.Main</t>
  </si>
  <si>
    <t>Gaubüttelbrunn</t>
  </si>
  <si>
    <t>Gützingen</t>
  </si>
  <si>
    <t>Allersheim</t>
  </si>
  <si>
    <t>Herchsheim</t>
  </si>
  <si>
    <t>Gaukönigshofen</t>
  </si>
  <si>
    <t>Eichelsee</t>
  </si>
  <si>
    <t>Hopferstadt</t>
  </si>
  <si>
    <t>Bütthard</t>
  </si>
  <si>
    <t>Höttingen</t>
  </si>
  <si>
    <t>Euerhausen</t>
  </si>
  <si>
    <t>Wolkshausen</t>
  </si>
  <si>
    <t>Rittershausen</t>
  </si>
  <si>
    <t>Gaurettersheim</t>
  </si>
  <si>
    <t>Sächsenheim</t>
  </si>
  <si>
    <t>Sonderhofen</t>
  </si>
  <si>
    <t>Bolzhausen</t>
  </si>
  <si>
    <t>Osthausen</t>
  </si>
  <si>
    <t>Oesfeld</t>
  </si>
  <si>
    <t>Stalldorf</t>
  </si>
  <si>
    <t>Gelchsheim</t>
  </si>
  <si>
    <t>Oellingen</t>
  </si>
  <si>
    <t>Riedenheim</t>
  </si>
  <si>
    <t>Baldersheim</t>
  </si>
  <si>
    <t>Strüth</t>
  </si>
  <si>
    <t>Aufstetten</t>
  </si>
  <si>
    <t>Burgerroth</t>
  </si>
  <si>
    <t>Röttingen</t>
  </si>
  <si>
    <t>Bieberehren</t>
  </si>
  <si>
    <t>Buch</t>
  </si>
  <si>
    <t>Tauberrettersheim</t>
  </si>
  <si>
    <t>Klingen</t>
  </si>
  <si>
    <t>Oberlauringen</t>
  </si>
  <si>
    <t>Bundorf</t>
  </si>
  <si>
    <t>Mailes</t>
  </si>
  <si>
    <t>Wetzhausen</t>
  </si>
  <si>
    <t>Birnfeld</t>
  </si>
  <si>
    <t>Kimmelsbach</t>
  </si>
  <si>
    <t>Neuses</t>
  </si>
  <si>
    <t>Stadtlauringen</t>
  </si>
  <si>
    <t>Nassach</t>
  </si>
  <si>
    <t>Rottensteiner Forst</t>
  </si>
  <si>
    <t>Stöckach</t>
  </si>
  <si>
    <t>Schweinshaupten</t>
  </si>
  <si>
    <t>Ballingshausen</t>
  </si>
  <si>
    <t>Altenmünster</t>
  </si>
  <si>
    <t>Wettringen</t>
  </si>
  <si>
    <t>Aidhausen</t>
  </si>
  <si>
    <t>Happertshausen</t>
  </si>
  <si>
    <t>Friesenhausen</t>
  </si>
  <si>
    <t>Reckertshausen</t>
  </si>
  <si>
    <t>Eichelsdorf</t>
  </si>
  <si>
    <t>Walchenfeld</t>
  </si>
  <si>
    <t>Manau</t>
  </si>
  <si>
    <t>Sulzbach</t>
  </si>
  <si>
    <t>Erlsdorf</t>
  </si>
  <si>
    <t>Ueschersdorf</t>
  </si>
  <si>
    <t>Birkach</t>
  </si>
  <si>
    <t>Gemeinfeld</t>
  </si>
  <si>
    <t>Pfersdorf</t>
  </si>
  <si>
    <t>Pfändhausen</t>
  </si>
  <si>
    <t>Jeusing</t>
  </si>
  <si>
    <t>Madenhausen</t>
  </si>
  <si>
    <t>Ebertshausen</t>
  </si>
  <si>
    <t>Kerbfeld</t>
  </si>
  <si>
    <t>Lendershausen</t>
  </si>
  <si>
    <t>Hofheim i.UFr.</t>
  </si>
  <si>
    <t>Goßmannsdorf</t>
  </si>
  <si>
    <t>Fitzendorf</t>
  </si>
  <si>
    <t>Ibind</t>
  </si>
  <si>
    <t>Burgpreppach</t>
  </si>
  <si>
    <t>Leuzendorf i.UFr.</t>
  </si>
  <si>
    <t>Hain</t>
  </si>
  <si>
    <t>Holzhausen</t>
  </si>
  <si>
    <t>Weipoltshausen</t>
  </si>
  <si>
    <t>Hesselbach</t>
  </si>
  <si>
    <t>Reichmannshausen</t>
  </si>
  <si>
    <t>Humprechtshausen</t>
  </si>
  <si>
    <t>Kleinsteinach</t>
  </si>
  <si>
    <t>Rügheim</t>
  </si>
  <si>
    <t>Ostheim</t>
  </si>
  <si>
    <t>Hohnhausen</t>
  </si>
  <si>
    <t>Goßmannsdorfer Forst</t>
  </si>
  <si>
    <t>Wasserlosen</t>
  </si>
  <si>
    <t>Poppenhausen</t>
  </si>
  <si>
    <t>Kronungen</t>
  </si>
  <si>
    <t>Maibach</t>
  </si>
  <si>
    <t>Hambach</t>
  </si>
  <si>
    <t>Zell</t>
  </si>
  <si>
    <t>Üchtelhausen</t>
  </si>
  <si>
    <t>Löffelsterz</t>
  </si>
  <si>
    <t>Kleinmünster</t>
  </si>
  <si>
    <t>Mechenried</t>
  </si>
  <si>
    <t>Junkersdorf</t>
  </si>
  <si>
    <t>Unfinden</t>
  </si>
  <si>
    <t>Greßthal</t>
  </si>
  <si>
    <t>Schwemmelsbach</t>
  </si>
  <si>
    <t>Rütschenhausen</t>
  </si>
  <si>
    <t>Obbach</t>
  </si>
  <si>
    <t>Kützberg</t>
  </si>
  <si>
    <t>Euerbach</t>
  </si>
  <si>
    <t>Oberwerrn</t>
  </si>
  <si>
    <t>Niederwerrn</t>
  </si>
  <si>
    <t>Dittelbrunn</t>
  </si>
  <si>
    <t>Marktsteinach</t>
  </si>
  <si>
    <t>Abersfeld</t>
  </si>
  <si>
    <t>Uchenhofen</t>
  </si>
  <si>
    <t>Römershofen</t>
  </si>
  <si>
    <t>Hellingen</t>
  </si>
  <si>
    <t>Königsberg i.Bay.</t>
  </si>
  <si>
    <t>Neubessingen</t>
  </si>
  <si>
    <t>Wülfershausen</t>
  </si>
  <si>
    <t>Kaisten</t>
  </si>
  <si>
    <t>Brebersdorf</t>
  </si>
  <si>
    <t>Sömmersdorf</t>
  </si>
  <si>
    <t>Geldersheim</t>
  </si>
  <si>
    <t>Sennfeld</t>
  </si>
  <si>
    <t>Mainberg</t>
  </si>
  <si>
    <t>Schonungen</t>
  </si>
  <si>
    <t>Waldsachsen</t>
  </si>
  <si>
    <t>Sailershausen</t>
  </si>
  <si>
    <t>Oberhohenried</t>
  </si>
  <si>
    <t>Unterhohenried</t>
  </si>
  <si>
    <t>Sylbach</t>
  </si>
  <si>
    <t>Prappach</t>
  </si>
  <si>
    <t>Sechsthal</t>
  </si>
  <si>
    <t>Altershausen</t>
  </si>
  <si>
    <t>Windberger Forst</t>
  </si>
  <si>
    <t>Kottenbrunn</t>
  </si>
  <si>
    <t>Köslau</t>
  </si>
  <si>
    <t>Pettstadt</t>
  </si>
  <si>
    <t>Altbessingen</t>
  </si>
  <si>
    <t>Schwebenried</t>
  </si>
  <si>
    <t>Vasbühl</t>
  </si>
  <si>
    <t>Egenhausen</t>
  </si>
  <si>
    <t>Weyer</t>
  </si>
  <si>
    <t>Forst</t>
  </si>
  <si>
    <t>Gädheim</t>
  </si>
  <si>
    <t>Greßhausen</t>
  </si>
  <si>
    <t>Wülflingen</t>
  </si>
  <si>
    <t>Haßfurt</t>
  </si>
  <si>
    <t>Krum</t>
  </si>
  <si>
    <t>Bischofsheim</t>
  </si>
  <si>
    <t>Bischofsheimer Forst-Südwest</t>
  </si>
  <si>
    <t>Bischofsheimer Forst-Nordost</t>
  </si>
  <si>
    <t>Dörflis</t>
  </si>
  <si>
    <t>Kirchlauter</t>
  </si>
  <si>
    <t>Büchold</t>
  </si>
  <si>
    <t>Stettbach</t>
  </si>
  <si>
    <t>Eckartshausen</t>
  </si>
  <si>
    <t>Schleerieth</t>
  </si>
  <si>
    <t>Rundelshausen</t>
  </si>
  <si>
    <t>Schnackenwerth</t>
  </si>
  <si>
    <t>Bergrheinfeld</t>
  </si>
  <si>
    <t>Grafenrheinfeld</t>
  </si>
  <si>
    <t>Gochsheim</t>
  </si>
  <si>
    <t>Untereuerheim</t>
  </si>
  <si>
    <t>Obereuerheim</t>
  </si>
  <si>
    <t>Ottendorf</t>
  </si>
  <si>
    <t>Untertheres</t>
  </si>
  <si>
    <t>Horhausen</t>
  </si>
  <si>
    <t>Obertheres</t>
  </si>
  <si>
    <t>Wonfurt</t>
  </si>
  <si>
    <t>Augsfeld</t>
  </si>
  <si>
    <t>Zeil a.Main</t>
  </si>
  <si>
    <t>Schönbach</t>
  </si>
  <si>
    <t>Breitbrunn</t>
  </si>
  <si>
    <t>Hermannsberg</t>
  </si>
  <si>
    <t>Lußberg</t>
  </si>
  <si>
    <t>Heugrumbach</t>
  </si>
  <si>
    <t>Arnstein</t>
  </si>
  <si>
    <t>Schraudenbach</t>
  </si>
  <si>
    <t>Werneck</t>
  </si>
  <si>
    <t>Ettleben</t>
  </si>
  <si>
    <t>Röthlein</t>
  </si>
  <si>
    <t>Schwebheim</t>
  </si>
  <si>
    <t>Grettstadt</t>
  </si>
  <si>
    <t>Dürrfeld</t>
  </si>
  <si>
    <t>Pusselsheim</t>
  </si>
  <si>
    <t>Dampfach</t>
  </si>
  <si>
    <t>Steinsfeld</t>
  </si>
  <si>
    <t>Hainert</t>
  </si>
  <si>
    <t>Knetzgau</t>
  </si>
  <si>
    <t>Sand a.Main</t>
  </si>
  <si>
    <t>Ziegelanger</t>
  </si>
  <si>
    <t>Limbach</t>
  </si>
  <si>
    <t>Ebelsbach</t>
  </si>
  <si>
    <t>Gleisenau</t>
  </si>
  <si>
    <t>Schönbrunn</t>
  </si>
  <si>
    <t>Rudendorf</t>
  </si>
  <si>
    <t>Halsheim</t>
  </si>
  <si>
    <t>Müdesheim</t>
  </si>
  <si>
    <t>Reuchelheim</t>
  </si>
  <si>
    <t>Gänheim</t>
  </si>
  <si>
    <t>Zeuzleben</t>
  </si>
  <si>
    <t>Waigolshausen</t>
  </si>
  <si>
    <t>Hergolshausen</t>
  </si>
  <si>
    <t>Garstadt</t>
  </si>
  <si>
    <t>Heidenfeld</t>
  </si>
  <si>
    <t>Tugendorf</t>
  </si>
  <si>
    <t>Donnersdorf</t>
  </si>
  <si>
    <t>Falkenstein</t>
  </si>
  <si>
    <t>Reinhardswinden</t>
  </si>
  <si>
    <t>Wohnau</t>
  </si>
  <si>
    <t>Unterschwappach</t>
  </si>
  <si>
    <t>Oberschwappach</t>
  </si>
  <si>
    <t>Eschenau</t>
  </si>
  <si>
    <t>Zell a.Ebersberg</t>
  </si>
  <si>
    <t>Zeller Forst-West</t>
  </si>
  <si>
    <t>Eltmann</t>
  </si>
  <si>
    <t>Eschenbach</t>
  </si>
  <si>
    <t>Stettfeld</t>
  </si>
  <si>
    <t>Binsfeld</t>
  </si>
  <si>
    <t>Binsbach</t>
  </si>
  <si>
    <t>Eßleben</t>
  </si>
  <si>
    <t>Hirschfeld</t>
  </si>
  <si>
    <t>Gernach</t>
  </si>
  <si>
    <t>Unterspiesheim</t>
  </si>
  <si>
    <t>Oberspiesheim</t>
  </si>
  <si>
    <t>Sulzheim</t>
  </si>
  <si>
    <t>Kleinrheinfeld</t>
  </si>
  <si>
    <t>Traustadt</t>
  </si>
  <si>
    <t>Neuhauser Forst</t>
  </si>
  <si>
    <t>Neuschleichach</t>
  </si>
  <si>
    <t>Oberschleichach</t>
  </si>
  <si>
    <t>Unterschleichach</t>
  </si>
  <si>
    <t>Zeller Forst-Ost</t>
  </si>
  <si>
    <t>Dippach a.Main</t>
  </si>
  <si>
    <t>Roßstadt</t>
  </si>
  <si>
    <t>Schwanfeld</t>
  </si>
  <si>
    <t>Wipfeld</t>
  </si>
  <si>
    <t>Lindach</t>
  </si>
  <si>
    <t>Kolitzheim</t>
  </si>
  <si>
    <t>Herlheim</t>
  </si>
  <si>
    <t>Alitzheim</t>
  </si>
  <si>
    <t>Mönchstockheim</t>
  </si>
  <si>
    <t>Vögnitz</t>
  </si>
  <si>
    <t>Bischwind</t>
  </si>
  <si>
    <t>Hundelshausen</t>
  </si>
  <si>
    <t>Altmannsdorf</t>
  </si>
  <si>
    <t>Fabrik-Schleichacher Forst-SW</t>
  </si>
  <si>
    <t>Fabrik-Schleichacher Forst-NO</t>
  </si>
  <si>
    <t>Fabrikschleichach</t>
  </si>
  <si>
    <t>Fatschenbrunn</t>
  </si>
  <si>
    <t>Tretzendorf</t>
  </si>
  <si>
    <t>Trossenfurt</t>
  </si>
  <si>
    <t>Weisbrunn</t>
  </si>
  <si>
    <t>Lembach</t>
  </si>
  <si>
    <t>Stammheim</t>
  </si>
  <si>
    <t>Zeilitzheim</t>
  </si>
  <si>
    <t>Brünnstadt</t>
  </si>
  <si>
    <t>Gerolzhofen</t>
  </si>
  <si>
    <t>Rügshofen</t>
  </si>
  <si>
    <t>Dingolshausen</t>
  </si>
  <si>
    <t>Michelau i.Steigerwald</t>
  </si>
  <si>
    <t>Prüßberg</t>
  </si>
  <si>
    <t>Wustvieler Forst</t>
  </si>
  <si>
    <t>Obersteinbach</t>
  </si>
  <si>
    <t>Kirchaich</t>
  </si>
  <si>
    <t>Dankenfeld</t>
  </si>
  <si>
    <t>Frankenwinheim</t>
  </si>
  <si>
    <t>Wiebelsberg</t>
  </si>
  <si>
    <t>Geusfeld</t>
  </si>
  <si>
    <t>Wustviel</t>
  </si>
  <si>
    <t>Untersteinbach</t>
  </si>
  <si>
    <t>Theinheim</t>
  </si>
  <si>
    <t>Falsbrunn</t>
  </si>
  <si>
    <t>Fürnbach</t>
  </si>
  <si>
    <t>Lülsfeld</t>
  </si>
  <si>
    <t>Schallfeld</t>
  </si>
  <si>
    <t>Mutzenroth</t>
  </si>
  <si>
    <t>Oberschwarzach</t>
  </si>
  <si>
    <t>Handthal</t>
  </si>
  <si>
    <t>Koppenwind</t>
  </si>
  <si>
    <t>Prölsdorf</t>
  </si>
  <si>
    <t>Breitbach</t>
  </si>
  <si>
    <t>Siegendorf</t>
  </si>
  <si>
    <t>Fahr</t>
  </si>
  <si>
    <t>Gaibach</t>
  </si>
  <si>
    <t>Escherndorf</t>
  </si>
  <si>
    <t>Astheim</t>
  </si>
  <si>
    <t>Volkach</t>
  </si>
  <si>
    <t>Obervolkach</t>
  </si>
  <si>
    <t>Krautheim</t>
  </si>
  <si>
    <t>Neusetz</t>
  </si>
  <si>
    <t>Köhler</t>
  </si>
  <si>
    <t>Nordheim a.Main</t>
  </si>
  <si>
    <t>Hallburg</t>
  </si>
  <si>
    <t>Rimbach</t>
  </si>
  <si>
    <t>Eichfeld</t>
  </si>
  <si>
    <t>Järkendorf</t>
  </si>
  <si>
    <t>Brünnau</t>
  </si>
  <si>
    <t>Neuses a.Sand</t>
  </si>
  <si>
    <t>Bimbach</t>
  </si>
  <si>
    <t>Neudorf</t>
  </si>
  <si>
    <t>Euerfeld</t>
  </si>
  <si>
    <t>Schernau</t>
  </si>
  <si>
    <t>Schnepfenbach</t>
  </si>
  <si>
    <t>Brück</t>
  </si>
  <si>
    <t>Neuses a.Berg</t>
  </si>
  <si>
    <t>Sommerach</t>
  </si>
  <si>
    <t>Gerlachshausen</t>
  </si>
  <si>
    <t>Dimbach</t>
  </si>
  <si>
    <t>Reupelsdorf</t>
  </si>
  <si>
    <t>Laub</t>
  </si>
  <si>
    <t>Stadelschwarzach</t>
  </si>
  <si>
    <t>Prichsenstadt</t>
  </si>
  <si>
    <t>Kirchschönbach</t>
  </si>
  <si>
    <t>Altenschönbach</t>
  </si>
  <si>
    <t>Effeldorf</t>
  </si>
  <si>
    <t>Bibergau</t>
  </si>
  <si>
    <t>Dettelbach</t>
  </si>
  <si>
    <t>Mainsondheim</t>
  </si>
  <si>
    <t>Schwarzenau</t>
  </si>
  <si>
    <t>Münsterschwarzach</t>
  </si>
  <si>
    <t>Stadtschwarzach</t>
  </si>
  <si>
    <t>Düllstadt</t>
  </si>
  <si>
    <t>Atzhausen</t>
  </si>
  <si>
    <t>Feuerbach</t>
  </si>
  <si>
    <t>Wiesentheid</t>
  </si>
  <si>
    <t>Geesdorf</t>
  </si>
  <si>
    <t>Rüdern</t>
  </si>
  <si>
    <t>Gräfenneuses</t>
  </si>
  <si>
    <t>Ebersbrunn</t>
  </si>
  <si>
    <t>Biebelried</t>
  </si>
  <si>
    <t>Mainstockheim</t>
  </si>
  <si>
    <t>Albertshofen</t>
  </si>
  <si>
    <t>Klosterforst</t>
  </si>
  <si>
    <t>Hörblach</t>
  </si>
  <si>
    <t>Haidt</t>
  </si>
  <si>
    <t>Kleinlangheim</t>
  </si>
  <si>
    <t>Rüdenhausen</t>
  </si>
  <si>
    <t>Abtswind</t>
  </si>
  <si>
    <t>Untersambach</t>
  </si>
  <si>
    <t>Langenberg</t>
  </si>
  <si>
    <t>Geiselwind</t>
  </si>
  <si>
    <t>Füttersee</t>
  </si>
  <si>
    <t>Ilmenau</t>
  </si>
  <si>
    <t>Burggrub</t>
  </si>
  <si>
    <t>Holzberndorf</t>
  </si>
  <si>
    <t>Kaltensondheim</t>
  </si>
  <si>
    <t>Repperndorf</t>
  </si>
  <si>
    <t>Buchbrunn</t>
  </si>
  <si>
    <t>Großlangheim</t>
  </si>
  <si>
    <t>Wiesenbronn</t>
  </si>
  <si>
    <t>Greuth</t>
  </si>
  <si>
    <t>Castell</t>
  </si>
  <si>
    <t>Herper</t>
  </si>
  <si>
    <t>Rehweiler</t>
  </si>
  <si>
    <t>Dürrnbuch</t>
  </si>
  <si>
    <t>Wasserberndorf</t>
  </si>
  <si>
    <t>Burghöchstadt</t>
  </si>
  <si>
    <t>Freihaslach</t>
  </si>
  <si>
    <t>Fürstenforst</t>
  </si>
  <si>
    <t>Sulzfeld a.Main</t>
  </si>
  <si>
    <t>Hohenfeld</t>
  </si>
  <si>
    <t>Sickershausen</t>
  </si>
  <si>
    <t>Hoheim</t>
  </si>
  <si>
    <t>Mainbernheim</t>
  </si>
  <si>
    <t>Fröhstockheim</t>
  </si>
  <si>
    <t>Rödelsee</t>
  </si>
  <si>
    <t>Iphofen</t>
  </si>
  <si>
    <t>Birklingen</t>
  </si>
  <si>
    <t>Wüstenfelden</t>
  </si>
  <si>
    <t>Mannhofer Forst</t>
  </si>
  <si>
    <t>Stierhöfstetten</t>
  </si>
  <si>
    <t>Krettenbach</t>
  </si>
  <si>
    <t>Oberscheinfeld</t>
  </si>
  <si>
    <t>Prühl</t>
  </si>
  <si>
    <t>Appenfelden</t>
  </si>
  <si>
    <t>Oberrimbach</t>
  </si>
  <si>
    <t>Seitenbuch</t>
  </si>
  <si>
    <t>Markt Taschendorf</t>
  </si>
  <si>
    <t>Burghaslach</t>
  </si>
  <si>
    <t>Breitenlohe</t>
  </si>
  <si>
    <t>Niederndorf</t>
  </si>
  <si>
    <t>Gleißenberg</t>
  </si>
  <si>
    <t>Segnitz</t>
  </si>
  <si>
    <t>Marktsteft</t>
  </si>
  <si>
    <t>Michelfeld</t>
  </si>
  <si>
    <t>Willanzheim</t>
  </si>
  <si>
    <t>Markt Einersheim</t>
  </si>
  <si>
    <t>Possenheim</t>
  </si>
  <si>
    <t>Ziegenbach</t>
  </si>
  <si>
    <t>Schönaich</t>
  </si>
  <si>
    <t>Herpersdorf</t>
  </si>
  <si>
    <t>Erlabronn</t>
  </si>
  <si>
    <t>Schnodsenbach</t>
  </si>
  <si>
    <t>Kornhöfstadt</t>
  </si>
  <si>
    <t>Frankfurt</t>
  </si>
  <si>
    <t>Hombeer</t>
  </si>
  <si>
    <t>Marktbreit</t>
  </si>
  <si>
    <t>Obernbreit</t>
  </si>
  <si>
    <t>Tiefenstockheim</t>
  </si>
  <si>
    <t>Markt Herrnsheim</t>
  </si>
  <si>
    <t>Mönchsondheim</t>
  </si>
  <si>
    <t>Hellmitzheim</t>
  </si>
  <si>
    <t>Altmannshausen</t>
  </si>
  <si>
    <t>Burgambach</t>
  </si>
  <si>
    <t>Grappertshofen</t>
  </si>
  <si>
    <t>Scheinfeld</t>
  </si>
  <si>
    <t>Schwarzenberg</t>
  </si>
  <si>
    <t>Thierberg</t>
  </si>
  <si>
    <t>Gnodstadt</t>
  </si>
  <si>
    <t>Enheim</t>
  </si>
  <si>
    <t>Martinsheim</t>
  </si>
  <si>
    <t>Unterickelsheim</t>
  </si>
  <si>
    <t>Gnötzheim</t>
  </si>
  <si>
    <t>Wässerndorf</t>
  </si>
  <si>
    <t>Iffigheim</t>
  </si>
  <si>
    <t>Seinsheim</t>
  </si>
  <si>
    <t>Hüttenheim i.Bay.</t>
  </si>
  <si>
    <t>Nenzenheim</t>
  </si>
  <si>
    <t>Dornheim</t>
  </si>
  <si>
    <t>Limpurgerforst</t>
  </si>
  <si>
    <t>Neundorf</t>
  </si>
  <si>
    <t>Markt Bibart</t>
  </si>
  <si>
    <t>Oberlaimbach</t>
  </si>
  <si>
    <t>Unterlaimbach</t>
  </si>
  <si>
    <t>Ruthmannsweiler</t>
  </si>
  <si>
    <t>Krassolzheim</t>
  </si>
  <si>
    <t>Ezelheim</t>
  </si>
  <si>
    <t>Krautostheim</t>
  </si>
  <si>
    <t>Deutenheim</t>
  </si>
  <si>
    <t>Sugenheim</t>
  </si>
  <si>
    <t>Ullstadt</t>
  </si>
  <si>
    <t>Langenfeld</t>
  </si>
  <si>
    <t>Altmannshausen Nordwest</t>
  </si>
  <si>
    <t>Freihaslach Nordwest</t>
  </si>
  <si>
    <t>Ahlstadt</t>
  </si>
  <si>
    <t>Ahorn</t>
  </si>
  <si>
    <t>Aicha</t>
  </si>
  <si>
    <t>Altenbanz</t>
  </si>
  <si>
    <t>Altenhof</t>
  </si>
  <si>
    <t>Autenhausen</t>
  </si>
  <si>
    <t>Beiersdorf b.Coburg</t>
  </si>
  <si>
    <t>Bertelsdorf</t>
  </si>
  <si>
    <t>Beuerfeld</t>
  </si>
  <si>
    <t>Bieberbach</t>
  </si>
  <si>
    <t>Birkach a.Forst</t>
  </si>
  <si>
    <t>Birkig</t>
  </si>
  <si>
    <t>Blumenrod</t>
  </si>
  <si>
    <t>Boderndorf</t>
  </si>
  <si>
    <t>Breitenau</t>
  </si>
  <si>
    <t>Breitenauer Forst</t>
  </si>
  <si>
    <t>Breitengüßbacher Forst</t>
  </si>
  <si>
    <t>Brüx</t>
  </si>
  <si>
    <t>Brüxer Forst</t>
  </si>
  <si>
    <t>Buch a.Forst</t>
  </si>
  <si>
    <t>Buchenrod</t>
  </si>
  <si>
    <t>Burgberg</t>
  </si>
  <si>
    <t>Callenberger Forst-West</t>
  </si>
  <si>
    <t>Coburger Forst-Nordwest</t>
  </si>
  <si>
    <t>Coburger Forst-Südost</t>
  </si>
  <si>
    <t>Cortendorf</t>
  </si>
  <si>
    <t>Creidlitz</t>
  </si>
  <si>
    <t>Dietersdorf</t>
  </si>
  <si>
    <t>Dittersbrunn</t>
  </si>
  <si>
    <t>Dörfles b.Coburg</t>
  </si>
  <si>
    <t>Döringstadt</t>
  </si>
  <si>
    <t>Draisdorf</t>
  </si>
  <si>
    <t>Drossenhausen</t>
  </si>
  <si>
    <t>Ebensfeld</t>
  </si>
  <si>
    <t>Ebersdorf b.Coburg</t>
  </si>
  <si>
    <t>Ebersdorf</t>
  </si>
  <si>
    <t>Eggenbach</t>
  </si>
  <si>
    <t>Einberg</t>
  </si>
  <si>
    <t>Elsa</t>
  </si>
  <si>
    <t>Esbach</t>
  </si>
  <si>
    <t>Fechheim</t>
  </si>
  <si>
    <t>Fischbach</t>
  </si>
  <si>
    <t>Fornbach</t>
  </si>
  <si>
    <t>Forst Buch a.Forst</t>
  </si>
  <si>
    <t>Frauendorf</t>
  </si>
  <si>
    <t>Freiberg</t>
  </si>
  <si>
    <t>Friesendorf</t>
  </si>
  <si>
    <t>Frohnlach</t>
  </si>
  <si>
    <t>Fürth a.Berg</t>
  </si>
  <si>
    <t>Gauerstadt</t>
  </si>
  <si>
    <t>Gellnhausen</t>
  </si>
  <si>
    <t>Gemünda i.OFr.</t>
  </si>
  <si>
    <t>Gestungshausen</t>
  </si>
  <si>
    <t>Gleismuthhausen</t>
  </si>
  <si>
    <t>Gleußen</t>
  </si>
  <si>
    <t>Gossenberg</t>
  </si>
  <si>
    <t>Grattstadt</t>
  </si>
  <si>
    <t>Großgarnstadt</t>
  </si>
  <si>
    <t>Großheirath</t>
  </si>
  <si>
    <t>Großwalbur</t>
  </si>
  <si>
    <t>Grub a.Forst</t>
  </si>
  <si>
    <t>Grundfeld</t>
  </si>
  <si>
    <t>Haarbrücken</t>
  </si>
  <si>
    <t>Haarth</t>
  </si>
  <si>
    <t>Hähnles</t>
  </si>
  <si>
    <t>Hassenberg</t>
  </si>
  <si>
    <t>Hattersdorf</t>
  </si>
  <si>
    <t>Heilgersdorf</t>
  </si>
  <si>
    <t>Heldritt</t>
  </si>
  <si>
    <t>Herbartsdorf</t>
  </si>
  <si>
    <t>Herreth</t>
  </si>
  <si>
    <t>Hochstadt a.Main</t>
  </si>
  <si>
    <t>Höhn</t>
  </si>
  <si>
    <t>Hohensteiner Forst</t>
  </si>
  <si>
    <t>Horb b.Fürth a.Berg</t>
  </si>
  <si>
    <t>Horsdorf</t>
  </si>
  <si>
    <t>Isling</t>
  </si>
  <si>
    <t>Kaltenbrunn</t>
  </si>
  <si>
    <t>Kemmaten</t>
  </si>
  <si>
    <t>Ketschenbach</t>
  </si>
  <si>
    <t>Ketschendorf</t>
  </si>
  <si>
    <t>Kipfendorf</t>
  </si>
  <si>
    <t>Kirchberg</t>
  </si>
  <si>
    <t>Kleingarnstadt</t>
  </si>
  <si>
    <t>Kleinwalbur</t>
  </si>
  <si>
    <t>Kleukheim</t>
  </si>
  <si>
    <t>Köllnholz</t>
  </si>
  <si>
    <t>Kösfeld</t>
  </si>
  <si>
    <t>Kösten</t>
  </si>
  <si>
    <t>Köttel</t>
  </si>
  <si>
    <t>Kümmel</t>
  </si>
  <si>
    <t>Lahm b.Lichtenfels</t>
  </si>
  <si>
    <t>Lahm</t>
  </si>
  <si>
    <t>Langheim</t>
  </si>
  <si>
    <t>Lauterburg</t>
  </si>
  <si>
    <t>Lechenroth</t>
  </si>
  <si>
    <t>Lempertshausen</t>
  </si>
  <si>
    <t>Lettenreuth</t>
  </si>
  <si>
    <t>Lützelbuch</t>
  </si>
  <si>
    <t>Mährenhausen</t>
  </si>
  <si>
    <t>Mannsgereuth</t>
  </si>
  <si>
    <t>Marktgraitz</t>
  </si>
  <si>
    <t>Marktzeuln</t>
  </si>
  <si>
    <t>Meilschnitz</t>
  </si>
  <si>
    <t>Meeder</t>
  </si>
  <si>
    <t>Merlach</t>
  </si>
  <si>
    <t>Messenfeld</t>
  </si>
  <si>
    <t>Meschenbach</t>
  </si>
  <si>
    <t>Michelau i.OFr.</t>
  </si>
  <si>
    <t>Mirsdorf</t>
  </si>
  <si>
    <t>Mistelfeld</t>
  </si>
  <si>
    <t>Mittelberg</t>
  </si>
  <si>
    <t>Mittelwasungen</t>
  </si>
  <si>
    <t>Mönchkröttendorf</t>
  </si>
  <si>
    <t>Mönchröden</t>
  </si>
  <si>
    <t>Mönchrödener Forst</t>
  </si>
  <si>
    <t>Moggenbrunn</t>
  </si>
  <si>
    <t>Nedensdorf</t>
  </si>
  <si>
    <t>Neida</t>
  </si>
  <si>
    <t>Neuensee</t>
  </si>
  <si>
    <t>Neuensorg</t>
  </si>
  <si>
    <t>Neuensorger Forst</t>
  </si>
  <si>
    <t>Neukirchen</t>
  </si>
  <si>
    <t>Neuses a.Brand</t>
  </si>
  <si>
    <t>Neuses a.d.Eichen</t>
  </si>
  <si>
    <t>Neuses b.Coburg</t>
  </si>
  <si>
    <t>Neustadt b.Coburg</t>
  </si>
  <si>
    <t>Neustadter Forst</t>
  </si>
  <si>
    <t>Neu- u.Neershof</t>
  </si>
  <si>
    <t>Niederfüllbach</t>
  </si>
  <si>
    <t>Oberbrunn</t>
  </si>
  <si>
    <t>Oberelldorf</t>
  </si>
  <si>
    <t>Oberküps</t>
  </si>
  <si>
    <t>Oberfüllbach</t>
  </si>
  <si>
    <t>Oberlangheim</t>
  </si>
  <si>
    <t>Oberlauter</t>
  </si>
  <si>
    <t>Obersdorf</t>
  </si>
  <si>
    <t>Obersiemau</t>
  </si>
  <si>
    <t>Oberwohlsbach</t>
  </si>
  <si>
    <t>Oberwallenstadt</t>
  </si>
  <si>
    <t>Oberwasungen</t>
  </si>
  <si>
    <t>Oeslau</t>
  </si>
  <si>
    <t>Oettingshausen</t>
  </si>
  <si>
    <t>Ottowind</t>
  </si>
  <si>
    <t>Plesten</t>
  </si>
  <si>
    <t>Prächting</t>
  </si>
  <si>
    <t>Redwitz a.d.Rodach</t>
  </si>
  <si>
    <t>Reundorf</t>
  </si>
  <si>
    <t>Rodach</t>
  </si>
  <si>
    <t>Rögen</t>
  </si>
  <si>
    <t>Rossach</t>
  </si>
  <si>
    <t>Roßfeld</t>
  </si>
  <si>
    <t>Roth a.Forst</t>
  </si>
  <si>
    <t>Rothenhof</t>
  </si>
  <si>
    <t>Rothmannsthal</t>
  </si>
  <si>
    <t>Rottenbach</t>
  </si>
  <si>
    <t>Rüttmannsdorf</t>
  </si>
  <si>
    <t>Rudelsdorf</t>
  </si>
  <si>
    <t>Schafhof</t>
  </si>
  <si>
    <t>Scherneck</t>
  </si>
  <si>
    <t>Scheuerfeld</t>
  </si>
  <si>
    <t>Schney</t>
  </si>
  <si>
    <t>Schönstädt</t>
  </si>
  <si>
    <t>Schottenstein</t>
  </si>
  <si>
    <t>Schorkendorf</t>
  </si>
  <si>
    <t>Schwabthal</t>
  </si>
  <si>
    <t>Schwürbitz</t>
  </si>
  <si>
    <t>Seidmannsdorf</t>
  </si>
  <si>
    <t>Seßlach</t>
  </si>
  <si>
    <t>Seubelsdorf</t>
  </si>
  <si>
    <t>Sonnefeld</t>
  </si>
  <si>
    <t>Sonnefelder Forst-Nord</t>
  </si>
  <si>
    <t>Sonnefelder Forst-Süd</t>
  </si>
  <si>
    <t>Sonnefelder Forst-West</t>
  </si>
  <si>
    <t>Spittelstein</t>
  </si>
  <si>
    <t>Stadel</t>
  </si>
  <si>
    <t>Bad Staffelstein</t>
  </si>
  <si>
    <t>Stöppach</t>
  </si>
  <si>
    <t>Stublang</t>
  </si>
  <si>
    <t>Sülzfeld</t>
  </si>
  <si>
    <t>Thann</t>
  </si>
  <si>
    <t>Tiefenlauter</t>
  </si>
  <si>
    <t>Trainau</t>
  </si>
  <si>
    <t>Tremersdorf</t>
  </si>
  <si>
    <t>Trieb</t>
  </si>
  <si>
    <t>Trübenbach</t>
  </si>
  <si>
    <t>Uetzing</t>
  </si>
  <si>
    <t>Unnersdorf</t>
  </si>
  <si>
    <t>Unterbrunn</t>
  </si>
  <si>
    <t>Unterelldorf</t>
  </si>
  <si>
    <t>Unterlangenstadt</t>
  </si>
  <si>
    <t>Unterlauter</t>
  </si>
  <si>
    <t>Unterneuses</t>
  </si>
  <si>
    <t>Untersiemau</t>
  </si>
  <si>
    <t>Unterwasungen</t>
  </si>
  <si>
    <t>Unterwohlsbach</t>
  </si>
  <si>
    <t>Unterzettlitz</t>
  </si>
  <si>
    <t>Waltersdorf</t>
  </si>
  <si>
    <t>Watzendorf</t>
  </si>
  <si>
    <t>Weickenbach</t>
  </si>
  <si>
    <t>Weidach</t>
  </si>
  <si>
    <t>Weidhausen b.Coburg</t>
  </si>
  <si>
    <t>Weimersdorf</t>
  </si>
  <si>
    <t>Weingarten</t>
  </si>
  <si>
    <t>Weischau</t>
  </si>
  <si>
    <t>Weitramsdorf</t>
  </si>
  <si>
    <t>Weißenbrunn a.Forst</t>
  </si>
  <si>
    <t>Weißenbrunn vorm Wald</t>
  </si>
  <si>
    <t>Wellmersdorf</t>
  </si>
  <si>
    <t>Welsberg</t>
  </si>
  <si>
    <t>Wiesenfeld b.Coburg</t>
  </si>
  <si>
    <t>Wildenheid</t>
  </si>
  <si>
    <t>Witzmannsberg</t>
  </si>
  <si>
    <t>Wörlsdorf</t>
  </si>
  <si>
    <t>Wohlbach</t>
  </si>
  <si>
    <t>Wolfsdorf</t>
  </si>
  <si>
    <t>Wolfsloch</t>
  </si>
  <si>
    <t>Wüstenahorn</t>
  </si>
  <si>
    <t>Zedersdorf</t>
  </si>
  <si>
    <t>Zeickhorn</t>
  </si>
  <si>
    <t>Zettlitz</t>
  </si>
  <si>
    <t>Ziegelsdorf</t>
  </si>
  <si>
    <t>Lauenstein</t>
  </si>
  <si>
    <t>Steinbach a.d.Haide</t>
  </si>
  <si>
    <t>Ludwigsstadt</t>
  </si>
  <si>
    <t>Lauenhain</t>
  </si>
  <si>
    <t>Tettau</t>
  </si>
  <si>
    <t>Kleintettau</t>
  </si>
  <si>
    <t>Kehlbach</t>
  </si>
  <si>
    <t>Langenau</t>
  </si>
  <si>
    <t>Steinbach a.Wald</t>
  </si>
  <si>
    <t>Buchbach</t>
  </si>
  <si>
    <t>Haßlach</t>
  </si>
  <si>
    <t>Teuschnitz</t>
  </si>
  <si>
    <t>Rappoltengrün</t>
  </si>
  <si>
    <t>Wickendorf</t>
  </si>
  <si>
    <t>Tschirn</t>
  </si>
  <si>
    <t>Förtschendorf</t>
  </si>
  <si>
    <t>Friedersdorf</t>
  </si>
  <si>
    <t>Rothenkirchen</t>
  </si>
  <si>
    <t>Marienroth</t>
  </si>
  <si>
    <t>Welitsch</t>
  </si>
  <si>
    <t>Pressig</t>
  </si>
  <si>
    <t>Brauersdorf</t>
  </si>
  <si>
    <t>Eila</t>
  </si>
  <si>
    <t>Posseck i.Bay.</t>
  </si>
  <si>
    <t>Grössau</t>
  </si>
  <si>
    <t>Effelter</t>
  </si>
  <si>
    <t>Gifting</t>
  </si>
  <si>
    <t>Wilhelmsthal</t>
  </si>
  <si>
    <t>Steinberg</t>
  </si>
  <si>
    <t>Eibenberg</t>
  </si>
  <si>
    <t>Roßlach</t>
  </si>
  <si>
    <t>Nordhalben</t>
  </si>
  <si>
    <t>Heinersberg</t>
  </si>
  <si>
    <t>Langenbacher Forst</t>
  </si>
  <si>
    <t>Birnbaum</t>
  </si>
  <si>
    <t>Nurn</t>
  </si>
  <si>
    <t>Neufang</t>
  </si>
  <si>
    <t>Steinwiesen</t>
  </si>
  <si>
    <t>Neukenroth</t>
  </si>
  <si>
    <t>Wolfersdorf</t>
  </si>
  <si>
    <t>Reitsch</t>
  </si>
  <si>
    <t>Haßlach b.Kronach</t>
  </si>
  <si>
    <t>Haig</t>
  </si>
  <si>
    <t>Glosberg</t>
  </si>
  <si>
    <t>Gundelsdorf</t>
  </si>
  <si>
    <t>Knellendorf</t>
  </si>
  <si>
    <t>Friesen</t>
  </si>
  <si>
    <t>Dörfles</t>
  </si>
  <si>
    <t>Rotschreuth</t>
  </si>
  <si>
    <t>Seelach</t>
  </si>
  <si>
    <t>Gehülz</t>
  </si>
  <si>
    <t>Dobersgrund</t>
  </si>
  <si>
    <t>Ziegelerden</t>
  </si>
  <si>
    <t>Vogtendorf</t>
  </si>
  <si>
    <t>Höfles</t>
  </si>
  <si>
    <t>Wötzelsdorf</t>
  </si>
  <si>
    <t>Wolfersgrün</t>
  </si>
  <si>
    <t>Neuengrün</t>
  </si>
  <si>
    <t>Schnaid</t>
  </si>
  <si>
    <t>Wallenfels</t>
  </si>
  <si>
    <t>Dörnach</t>
  </si>
  <si>
    <t>Geuser</t>
  </si>
  <si>
    <t>Zeyern</t>
  </si>
  <si>
    <t>Oberrodach</t>
  </si>
  <si>
    <t>Unterrodach</t>
  </si>
  <si>
    <t>Großvichtach</t>
  </si>
  <si>
    <t>Seibelsdorf</t>
  </si>
  <si>
    <t>Schwärzdorf</t>
  </si>
  <si>
    <t>Steinach a.d.Steinach</t>
  </si>
  <si>
    <t>Mitwitz</t>
  </si>
  <si>
    <t>Burgstall</t>
  </si>
  <si>
    <t>Hof a.d.Steinach</t>
  </si>
  <si>
    <t>Horb a.d.Steinach</t>
  </si>
  <si>
    <t>Leutendorf</t>
  </si>
  <si>
    <t>Mödlitz</t>
  </si>
  <si>
    <t>Schneckenlohe</t>
  </si>
  <si>
    <t>Beikheim</t>
  </si>
  <si>
    <t>Theisenort</t>
  </si>
  <si>
    <t>Schmölz</t>
  </si>
  <si>
    <t>Johannisthal</t>
  </si>
  <si>
    <t>Tüschnitz</t>
  </si>
  <si>
    <t>Au</t>
  </si>
  <si>
    <t>Oberlangenstadt</t>
  </si>
  <si>
    <t>Küps</t>
  </si>
  <si>
    <t>Burkersdorf</t>
  </si>
  <si>
    <t>Thonberg</t>
  </si>
  <si>
    <t>Hummendorf</t>
  </si>
  <si>
    <t>Reuth</t>
  </si>
  <si>
    <t>Weißenbrunn</t>
  </si>
  <si>
    <t>Wildenberg</t>
  </si>
  <si>
    <t>Gössersdorf</t>
  </si>
  <si>
    <t>Köstenberg</t>
  </si>
  <si>
    <t>Heinersreuth</t>
  </si>
  <si>
    <t>Oberehesberg</t>
  </si>
  <si>
    <t>Wartenfels</t>
  </si>
  <si>
    <t>Presseck</t>
  </si>
  <si>
    <t>Schnebes</t>
  </si>
  <si>
    <t>Schlackenreuth</t>
  </si>
  <si>
    <t>Wildenstein</t>
  </si>
  <si>
    <t>Rodecker Forst-West</t>
  </si>
  <si>
    <t>Rugendorf</t>
  </si>
  <si>
    <t>Schwand</t>
  </si>
  <si>
    <t>Zaubach</t>
  </si>
  <si>
    <t>Stadtsteinacher Forst</t>
  </si>
  <si>
    <t>Triebenreuth</t>
  </si>
  <si>
    <t>Stadtsteinach</t>
  </si>
  <si>
    <t>Grafengehaig</t>
  </si>
  <si>
    <t>Eppenreuth</t>
  </si>
  <si>
    <t>Schlockenau</t>
  </si>
  <si>
    <t>Walberngrün</t>
  </si>
  <si>
    <t>Horbach</t>
  </si>
  <si>
    <t>Rappetenreuth</t>
  </si>
  <si>
    <t>Grünlas</t>
  </si>
  <si>
    <t>Weidmes</t>
  </si>
  <si>
    <t>Hohenberg</t>
  </si>
  <si>
    <t>Marktleugast</t>
  </si>
  <si>
    <t>Traindorf</t>
  </si>
  <si>
    <t>Marienweiher</t>
  </si>
  <si>
    <t>Schimmendorf</t>
  </si>
  <si>
    <t>Danndorf</t>
  </si>
  <si>
    <t>Schmeilsdorf</t>
  </si>
  <si>
    <t>Veitlahm</t>
  </si>
  <si>
    <t>Schwarzach b.Kulmbach</t>
  </si>
  <si>
    <t>Wernstein</t>
  </si>
  <si>
    <t>Motschenbach</t>
  </si>
  <si>
    <t>Willmersreuth</t>
  </si>
  <si>
    <t>Mainleus</t>
  </si>
  <si>
    <t>Buchau</t>
  </si>
  <si>
    <t>Wüstendorf</t>
  </si>
  <si>
    <t>Proß</t>
  </si>
  <si>
    <t>Kirchleus</t>
  </si>
  <si>
    <t>Lösau</t>
  </si>
  <si>
    <t>Lehenthal</t>
  </si>
  <si>
    <t>Oberdornlach</t>
  </si>
  <si>
    <t>Ziegelhüttener Forst</t>
  </si>
  <si>
    <t>Höferänger</t>
  </si>
  <si>
    <t>Burghaig</t>
  </si>
  <si>
    <t>Metzdorf</t>
  </si>
  <si>
    <t>Blaich</t>
  </si>
  <si>
    <t>Kauernburg</t>
  </si>
  <si>
    <t>Melkendorf</t>
  </si>
  <si>
    <t>Mangersreuth</t>
  </si>
  <si>
    <t>Kulmbacher Forst</t>
  </si>
  <si>
    <t>Katschenreuth</t>
  </si>
  <si>
    <t>Leuchau</t>
  </si>
  <si>
    <t>Untersteinach</t>
  </si>
  <si>
    <t>Guttenberg</t>
  </si>
  <si>
    <t>Kupferberg</t>
  </si>
  <si>
    <t>Ludwigschorgast</t>
  </si>
  <si>
    <t>Kauerndorf</t>
  </si>
  <si>
    <t>Ködnitz</t>
  </si>
  <si>
    <t>Trebgaster Forst</t>
  </si>
  <si>
    <t>Lindau</t>
  </si>
  <si>
    <t>Trebgast</t>
  </si>
  <si>
    <t>Harsdorf</t>
  </si>
  <si>
    <t>Hegnabrunn</t>
  </si>
  <si>
    <t>Neuenmarkt</t>
  </si>
  <si>
    <t>Wirsberg</t>
  </si>
  <si>
    <t>Ziegenburg</t>
  </si>
  <si>
    <t>Marktschorgast</t>
  </si>
  <si>
    <t>Pulst</t>
  </si>
  <si>
    <t>Himmelkroner Forst</t>
  </si>
  <si>
    <t>Himmelkron</t>
  </si>
  <si>
    <t>Gössenreuth</t>
  </si>
  <si>
    <t>Lanzendorf</t>
  </si>
  <si>
    <t>Lopp</t>
  </si>
  <si>
    <t>Peesten</t>
  </si>
  <si>
    <t>Döllnitz</t>
  </si>
  <si>
    <t>Azendorf</t>
  </si>
  <si>
    <t>Kasendorf</t>
  </si>
  <si>
    <t>Heubsch</t>
  </si>
  <si>
    <t>Wonsees</t>
  </si>
  <si>
    <t>Schirradorf</t>
  </si>
  <si>
    <t>Sanspareil</t>
  </si>
  <si>
    <t>Hutschdorf</t>
  </si>
  <si>
    <t>Thurnau</t>
  </si>
  <si>
    <t>Menchau</t>
  </si>
  <si>
    <t>Berndorf</t>
  </si>
  <si>
    <t>Limmersdorf I</t>
  </si>
  <si>
    <t>Limmersdorf II</t>
  </si>
  <si>
    <t>Limmersdorf III</t>
  </si>
  <si>
    <t>Felkendorf</t>
  </si>
  <si>
    <t>Tannfeld</t>
  </si>
  <si>
    <t>Alladorf</t>
  </si>
  <si>
    <t>Limmersdorfer Forst</t>
  </si>
  <si>
    <t>Langenstadt</t>
  </si>
  <si>
    <t>Neuenreuth a.Main</t>
  </si>
  <si>
    <t>Brücklein</t>
  </si>
  <si>
    <t>Neudrossenfeld</t>
  </si>
  <si>
    <t>Pechgraben</t>
  </si>
  <si>
    <t>Muckenreuth</t>
  </si>
  <si>
    <t>Altdrossenfeld</t>
  </si>
  <si>
    <t>Ebneth</t>
  </si>
  <si>
    <t>Kirchlein</t>
  </si>
  <si>
    <t>Gärtenroth</t>
  </si>
  <si>
    <t>Neuses a.Main</t>
  </si>
  <si>
    <t>Weidnitz</t>
  </si>
  <si>
    <t>Burgkunstadt</t>
  </si>
  <si>
    <t>Theisau</t>
  </si>
  <si>
    <t>Mainroth</t>
  </si>
  <si>
    <t>Zeublitz</t>
  </si>
  <si>
    <t>Strössendorf</t>
  </si>
  <si>
    <t>Burkheim</t>
  </si>
  <si>
    <t>Pfaffendorf</t>
  </si>
  <si>
    <t>Altenkunstadt</t>
  </si>
  <si>
    <t>Maineck</t>
  </si>
  <si>
    <t>Mainecker Forst (West)</t>
  </si>
  <si>
    <t>Kaspauer</t>
  </si>
  <si>
    <t>Weismain</t>
  </si>
  <si>
    <t>Geutenreuth</t>
  </si>
  <si>
    <t>Wallersberg</t>
  </si>
  <si>
    <t>Modschiedel</t>
  </si>
  <si>
    <t>Weiden</t>
  </si>
  <si>
    <t>Großziegenfeld</t>
  </si>
  <si>
    <t>Kleinziegenfeld</t>
  </si>
  <si>
    <t>Fesselsdorf</t>
  </si>
  <si>
    <t>Buckendorf</t>
  </si>
  <si>
    <t>Mainecker Forst (Ost)</t>
  </si>
  <si>
    <t>Geroldsgrün</t>
  </si>
  <si>
    <t>Dürrenwaid</t>
  </si>
  <si>
    <t>Steinbach b.Geroldsgrün</t>
  </si>
  <si>
    <t>Langenbach</t>
  </si>
  <si>
    <t>Bad Steben</t>
  </si>
  <si>
    <t>Thierbach</t>
  </si>
  <si>
    <t>Bobengrün</t>
  </si>
  <si>
    <t>Obersteben</t>
  </si>
  <si>
    <t>Carlsgrün</t>
  </si>
  <si>
    <t>Lichtenberg</t>
  </si>
  <si>
    <t>Issigau</t>
  </si>
  <si>
    <t>Eichenstein</t>
  </si>
  <si>
    <t>Kemlas</t>
  </si>
  <si>
    <t>Reitzenstein</t>
  </si>
  <si>
    <t>Berg</t>
  </si>
  <si>
    <t>Hadermannsgrün</t>
  </si>
  <si>
    <t>Eisenbühl</t>
  </si>
  <si>
    <t>Rudolphstein</t>
  </si>
  <si>
    <t>Tiefengrün</t>
  </si>
  <si>
    <t>Schnarchenreuth</t>
  </si>
  <si>
    <t>Gottsmannsgrün</t>
  </si>
  <si>
    <t>Bug b.Berg</t>
  </si>
  <si>
    <t>Bruck</t>
  </si>
  <si>
    <t>Köditz</t>
  </si>
  <si>
    <t>Schlegel</t>
  </si>
  <si>
    <t>Joditz</t>
  </si>
  <si>
    <t>Brunnenthal</t>
  </si>
  <si>
    <t>Töpen</t>
  </si>
  <si>
    <t>Isaar</t>
  </si>
  <si>
    <t>Münchenreuth</t>
  </si>
  <si>
    <t>Zedtwitz</t>
  </si>
  <si>
    <t>Feilitzsch</t>
  </si>
  <si>
    <t>Trogen</t>
  </si>
  <si>
    <t>Gattendorf</t>
  </si>
  <si>
    <t>Leimitz</t>
  </si>
  <si>
    <t>Unterkotzau</t>
  </si>
  <si>
    <t>Hofeck</t>
  </si>
  <si>
    <t>Moschendorf</t>
  </si>
  <si>
    <t>Wölbattendorf</t>
  </si>
  <si>
    <t>Föhrenreuth</t>
  </si>
  <si>
    <t>Martinsreuth</t>
  </si>
  <si>
    <t>Konradsreuth</t>
  </si>
  <si>
    <t>Silberbach</t>
  </si>
  <si>
    <t>Gottfriedsreuth</t>
  </si>
  <si>
    <t>Markersreuth</t>
  </si>
  <si>
    <t>Ahornberg</t>
  </si>
  <si>
    <t>Helmbrechts</t>
  </si>
  <si>
    <t>Kleinschwarzenbach</t>
  </si>
  <si>
    <t>Baiergrün</t>
  </si>
  <si>
    <t>Enchenreuth</t>
  </si>
  <si>
    <t>Gösmes</t>
  </si>
  <si>
    <t>Oberweißenbach</t>
  </si>
  <si>
    <t>Wüstenselbitz</t>
  </si>
  <si>
    <t>Dörnthal</t>
  </si>
  <si>
    <t>Neuhaus</t>
  </si>
  <si>
    <t>Rodesgrün</t>
  </si>
  <si>
    <t>Selbitz</t>
  </si>
  <si>
    <t>Weidesgrün</t>
  </si>
  <si>
    <t>Froschgrün</t>
  </si>
  <si>
    <t>Naila</t>
  </si>
  <si>
    <t>Marxgrün</t>
  </si>
  <si>
    <t>Culmitz</t>
  </si>
  <si>
    <t>Lippertsgrün</t>
  </si>
  <si>
    <t>Marlesreuth</t>
  </si>
  <si>
    <t>Bernstein a.Wald</t>
  </si>
  <si>
    <t>Löhmar</t>
  </si>
  <si>
    <t>Räumlas</t>
  </si>
  <si>
    <t>Meierhof</t>
  </si>
  <si>
    <t>Schwarzenstein</t>
  </si>
  <si>
    <t>Kleindöbra</t>
  </si>
  <si>
    <t>Forst Schwarzenbach a.Wald</t>
  </si>
  <si>
    <t>Straßdorf</t>
  </si>
  <si>
    <t>Schwarzenbach a.Wald</t>
  </si>
  <si>
    <t>Döbra</t>
  </si>
  <si>
    <t>Rodecker Forst-Ost</t>
  </si>
  <si>
    <t>Rodeck</t>
  </si>
  <si>
    <t>Windischengrün</t>
  </si>
  <si>
    <t>Volkmannsgrün</t>
  </si>
  <si>
    <t>Schauenstein</t>
  </si>
  <si>
    <t>Haidengrün</t>
  </si>
  <si>
    <t>Leupoldsgrün</t>
  </si>
  <si>
    <t>Lipperts</t>
  </si>
  <si>
    <t>Poppenreuth</t>
  </si>
  <si>
    <t>Meierhof b.Münchberg</t>
  </si>
  <si>
    <t>Münchberg</t>
  </si>
  <si>
    <t>Mechlenreuth</t>
  </si>
  <si>
    <t>Sauerhof</t>
  </si>
  <si>
    <t>Straas</t>
  </si>
  <si>
    <t>Gundlitz</t>
  </si>
  <si>
    <t>Stammbach</t>
  </si>
  <si>
    <t>Fleisnitz</t>
  </si>
  <si>
    <t>Förstenreuth</t>
  </si>
  <si>
    <t>Grossenau</t>
  </si>
  <si>
    <t>Walpenreuth</t>
  </si>
  <si>
    <t>Zell im Fichtelgebirge</t>
  </si>
  <si>
    <t>Kleinlosnitz</t>
  </si>
  <si>
    <t>Friedmannsdorf</t>
  </si>
  <si>
    <t>Sparneck</t>
  </si>
  <si>
    <t>Weißdorf</t>
  </si>
  <si>
    <t>Bug</t>
  </si>
  <si>
    <t>Wulmersreuth</t>
  </si>
  <si>
    <t>Seulbitz</t>
  </si>
  <si>
    <t>Hallerstein</t>
  </si>
  <si>
    <t>Schwarzenbach a.d.Saale</t>
  </si>
  <si>
    <t>Martinlamitz</t>
  </si>
  <si>
    <t>Quellenreuth</t>
  </si>
  <si>
    <t>Stobersreuth</t>
  </si>
  <si>
    <t>Förbau</t>
  </si>
  <si>
    <t>Hallersteiner Forst-Nordwest</t>
  </si>
  <si>
    <t>Fattigau</t>
  </si>
  <si>
    <t>Autengrün</t>
  </si>
  <si>
    <t>Oberkotzau</t>
  </si>
  <si>
    <t>Martinlamitzer Forst-Nord</t>
  </si>
  <si>
    <t>Neuhausen</t>
  </si>
  <si>
    <t>Fohrenreuth</t>
  </si>
  <si>
    <t>Pilgramsreuth</t>
  </si>
  <si>
    <t>Rehau</t>
  </si>
  <si>
    <t>Wurlitz</t>
  </si>
  <si>
    <t>Faßmannsreuth</t>
  </si>
  <si>
    <t>Rehauer Forst</t>
  </si>
  <si>
    <t>Kautendorf</t>
  </si>
  <si>
    <t>Döhlau</t>
  </si>
  <si>
    <t>Tauperlitz</t>
  </si>
  <si>
    <t>Draisendorf</t>
  </si>
  <si>
    <t>Vierschau</t>
  </si>
  <si>
    <t>Regnitzlosau</t>
  </si>
  <si>
    <t>Schwesendorf</t>
  </si>
  <si>
    <t>Prex</t>
  </si>
  <si>
    <t>Kühschwitz</t>
  </si>
  <si>
    <t>Nentschau</t>
  </si>
  <si>
    <t>Gerlaser Forst</t>
  </si>
  <si>
    <t>Geroldsgrüner Forst</t>
  </si>
  <si>
    <t>Sparnecker Forst</t>
  </si>
  <si>
    <t>Schönwald</t>
  </si>
  <si>
    <t>Lauterbach</t>
  </si>
  <si>
    <t>Vielitz</t>
  </si>
  <si>
    <t>Selb-Plößberg</t>
  </si>
  <si>
    <t>Erkersreuth</t>
  </si>
  <si>
    <t>Selb</t>
  </si>
  <si>
    <t>Längenau</t>
  </si>
  <si>
    <t>Buchwald</t>
  </si>
  <si>
    <t>Steinselb</t>
  </si>
  <si>
    <t>Unterweißenbach</t>
  </si>
  <si>
    <t>Spielberg</t>
  </si>
  <si>
    <t>Heidelheim</t>
  </si>
  <si>
    <t>Hallersteiner Forst-Nordost</t>
  </si>
  <si>
    <t>Unterschieda</t>
  </si>
  <si>
    <t>Dörflas b.Kirchenlamitz</t>
  </si>
  <si>
    <t>Kirchenlamitz</t>
  </si>
  <si>
    <t>Niederlamitz</t>
  </si>
  <si>
    <t>Raumetengrün</t>
  </si>
  <si>
    <t>Reicholdsgrün</t>
  </si>
  <si>
    <t>Martinlamitzer Forst-Süd</t>
  </si>
  <si>
    <t>Hallersteiner Forst-Süd</t>
  </si>
  <si>
    <t>Selber Forst</t>
  </si>
  <si>
    <t>Hohenberger Forst</t>
  </si>
  <si>
    <t>Kaiserhammer Forst-Ost</t>
  </si>
  <si>
    <t>Weißenstadter Forst-Nord</t>
  </si>
  <si>
    <t>Großwendern</t>
  </si>
  <si>
    <t>Marktleuthen</t>
  </si>
  <si>
    <t>Schwarzenhammer</t>
  </si>
  <si>
    <t>Neudes</t>
  </si>
  <si>
    <t>Thierstein</t>
  </si>
  <si>
    <t>Birkenbühl</t>
  </si>
  <si>
    <t>Hendelhammer</t>
  </si>
  <si>
    <t>Höchstädt i.Fichtelgebirge</t>
  </si>
  <si>
    <t>Neuhaus a.d.Eger</t>
  </si>
  <si>
    <t>Hohenberg a.d.Eger</t>
  </si>
  <si>
    <t>Fischern</t>
  </si>
  <si>
    <t>Schirnding</t>
  </si>
  <si>
    <t>Kothigenbibersbach</t>
  </si>
  <si>
    <t>Seedorf</t>
  </si>
  <si>
    <t>Arzberger Forst</t>
  </si>
  <si>
    <t>Weißenstadt</t>
  </si>
  <si>
    <t>Voitsumra</t>
  </si>
  <si>
    <t>Franken</t>
  </si>
  <si>
    <t>Oberröslau</t>
  </si>
  <si>
    <t>Bödlas</t>
  </si>
  <si>
    <t>Dürnberg</t>
  </si>
  <si>
    <t>Grün</t>
  </si>
  <si>
    <t>Thiersheim</t>
  </si>
  <si>
    <t>Grafenreuth</t>
  </si>
  <si>
    <t>Stemmas</t>
  </si>
  <si>
    <t>Weißenstadter Forst-Süd</t>
  </si>
  <si>
    <t>Meierhöfer Seite</t>
  </si>
  <si>
    <t>Vordorfer Forst</t>
  </si>
  <si>
    <t>Neubauer Forst-Süd</t>
  </si>
  <si>
    <t>Tröstauer Forst-West</t>
  </si>
  <si>
    <t>Tröstauer Forst-Ost</t>
  </si>
  <si>
    <t>Vordorf</t>
  </si>
  <si>
    <t>Tröstau</t>
  </si>
  <si>
    <t>Nagel</t>
  </si>
  <si>
    <t>Bad Alexandersbad</t>
  </si>
  <si>
    <t>Hildenbach</t>
  </si>
  <si>
    <t>Wunsiedel</t>
  </si>
  <si>
    <t>Bernstein</t>
  </si>
  <si>
    <t>Holenbrunn</t>
  </si>
  <si>
    <t>Bergnersreuth</t>
  </si>
  <si>
    <t>Schlottenhof</t>
  </si>
  <si>
    <t>Oschwitz</t>
  </si>
  <si>
    <t>Röthenbach</t>
  </si>
  <si>
    <t>Arzberg</t>
  </si>
  <si>
    <t>Seußen</t>
  </si>
  <si>
    <t>Haid</t>
  </si>
  <si>
    <t>Thölau</t>
  </si>
  <si>
    <t>Lorenzreuth</t>
  </si>
  <si>
    <t>Brand</t>
  </si>
  <si>
    <t>Oberredwitz</t>
  </si>
  <si>
    <t>Marktredwitz</t>
  </si>
  <si>
    <t>Wölsau</t>
  </si>
  <si>
    <t>Wölsauerhammer</t>
  </si>
  <si>
    <t>Haingrün</t>
  </si>
  <si>
    <t>Dörflas</t>
  </si>
  <si>
    <t>Korbersdorf</t>
  </si>
  <si>
    <t>Albersdorf</t>
  </si>
  <si>
    <t>Allertshausen</t>
  </si>
  <si>
    <t>Altendorf</t>
  </si>
  <si>
    <t>Altenstein</t>
  </si>
  <si>
    <t>Amlingstadt</t>
  </si>
  <si>
    <t>Ampferbach</t>
  </si>
  <si>
    <t>Appendorf</t>
  </si>
  <si>
    <t>Aschbach</t>
  </si>
  <si>
    <t>Baunach</t>
  </si>
  <si>
    <t>Birkacher Wald</t>
  </si>
  <si>
    <t>Bischwind a.Raueneck</t>
  </si>
  <si>
    <t>Bischberg</t>
  </si>
  <si>
    <t>Bojendorf</t>
  </si>
  <si>
    <t>Bramberg</t>
  </si>
  <si>
    <t>Bramberger Wald</t>
  </si>
  <si>
    <t>Breitengüßbach</t>
  </si>
  <si>
    <t>Bruderwald</t>
  </si>
  <si>
    <t>Brunn</t>
  </si>
  <si>
    <t>Burgebrach</t>
  </si>
  <si>
    <t>Burgellern</t>
  </si>
  <si>
    <t>Burgholz</t>
  </si>
  <si>
    <t>Burglesau</t>
  </si>
  <si>
    <t>Burgwindheim</t>
  </si>
  <si>
    <t>Busendorf</t>
  </si>
  <si>
    <t>Buttenheim</t>
  </si>
  <si>
    <t>Daschendorf</t>
  </si>
  <si>
    <t>Daschendorfer Forst</t>
  </si>
  <si>
    <t>Demmelsdorf</t>
  </si>
  <si>
    <t>Deusdorf</t>
  </si>
  <si>
    <t>Dippach</t>
  </si>
  <si>
    <t>Ditterswind</t>
  </si>
  <si>
    <t>Dörfleins</t>
  </si>
  <si>
    <t>Dörrnwasserlos</t>
  </si>
  <si>
    <t>Dorgendorf</t>
  </si>
  <si>
    <t>Dreuschendorf</t>
  </si>
  <si>
    <t>Drosendorf</t>
  </si>
  <si>
    <t>Dürrenried</t>
  </si>
  <si>
    <t>Ebern</t>
  </si>
  <si>
    <t>Ebing</t>
  </si>
  <si>
    <t>Ebrach</t>
  </si>
  <si>
    <t>Eckersbach</t>
  </si>
  <si>
    <t>Ehrl</t>
  </si>
  <si>
    <t>Eichelberg</t>
  </si>
  <si>
    <t>Eichwald</t>
  </si>
  <si>
    <t>Elsendorf</t>
  </si>
  <si>
    <t>Erlau</t>
  </si>
  <si>
    <t>Ermershausen</t>
  </si>
  <si>
    <t>Eyrichshof</t>
  </si>
  <si>
    <t>Frankendorf</t>
  </si>
  <si>
    <t>Frensdorf</t>
  </si>
  <si>
    <t>Gaustadt</t>
  </si>
  <si>
    <t>Geisberger Forst</t>
  </si>
  <si>
    <t>Geisfeld</t>
  </si>
  <si>
    <t>Gerach</t>
  </si>
  <si>
    <t>Gereuth</t>
  </si>
  <si>
    <t>Gleusdorf</t>
  </si>
  <si>
    <t>Gräfenhäusling</t>
  </si>
  <si>
    <t>Grasmannsdorf</t>
  </si>
  <si>
    <t>Großbirkach</t>
  </si>
  <si>
    <t>Großgressingen</t>
  </si>
  <si>
    <t>Grub</t>
  </si>
  <si>
    <t>Grumbach</t>
  </si>
  <si>
    <t>Gückelhirn</t>
  </si>
  <si>
    <t>Gundelsheim</t>
  </si>
  <si>
    <t>Gunzendorf</t>
  </si>
  <si>
    <t>Hafenpreppach</t>
  </si>
  <si>
    <t>Halbersdorf</t>
  </si>
  <si>
    <t>Hallstadt</t>
  </si>
  <si>
    <t>Hartlanden</t>
  </si>
  <si>
    <t>Haßwald-Nord</t>
  </si>
  <si>
    <t>Haßwald-Süd</t>
  </si>
  <si>
    <t>Haube</t>
  </si>
  <si>
    <t>Hauptsmoor</t>
  </si>
  <si>
    <t>Heiligenstadt i.OFr.</t>
  </si>
  <si>
    <t>Herrnsdorf</t>
  </si>
  <si>
    <t>Herzogenreuth</t>
  </si>
  <si>
    <t>Heubach</t>
  </si>
  <si>
    <t>Heuchelheim</t>
  </si>
  <si>
    <t>Hirschaid</t>
  </si>
  <si>
    <t>Höfen</t>
  </si>
  <si>
    <t>Höfen b.Rattelsdorf</t>
  </si>
  <si>
    <t>Hohenhäusling</t>
  </si>
  <si>
    <t>Hohengüßbach</t>
  </si>
  <si>
    <t>Hohenpölz</t>
  </si>
  <si>
    <t>Huppendorf</t>
  </si>
  <si>
    <t>Jesserndorf</t>
  </si>
  <si>
    <t>Junkersdorf a.d.Weisach</t>
  </si>
  <si>
    <t>Kalteneggolsfeld</t>
  </si>
  <si>
    <t>Kemmern</t>
  </si>
  <si>
    <t>Kirchschletten</t>
  </si>
  <si>
    <t>Königsfeld</t>
  </si>
  <si>
    <t>Kötsch</t>
  </si>
  <si>
    <t>Kolmsdorf</t>
  </si>
  <si>
    <t>Kraisdorf</t>
  </si>
  <si>
    <t>Kremmeldorf</t>
  </si>
  <si>
    <t>Laimbach</t>
  </si>
  <si>
    <t>Lauf</t>
  </si>
  <si>
    <t>Leesten</t>
  </si>
  <si>
    <t>Lichtenstein</t>
  </si>
  <si>
    <t>Lindach b.Maroldsweisach</t>
  </si>
  <si>
    <t>Lisberg</t>
  </si>
  <si>
    <t>Litzendorf</t>
  </si>
  <si>
    <t>Lohndorf</t>
  </si>
  <si>
    <t>Lohr</t>
  </si>
  <si>
    <t>Losbergsgereuth</t>
  </si>
  <si>
    <t>Ludwag</t>
  </si>
  <si>
    <t>Lußberger Forst</t>
  </si>
  <si>
    <t>Marbach</t>
  </si>
  <si>
    <t>Maroldsweisach</t>
  </si>
  <si>
    <t>Medlitz</t>
  </si>
  <si>
    <t>Meedensdorf</t>
  </si>
  <si>
    <t>Memmelsdorf</t>
  </si>
  <si>
    <t>Memmelsdorf i.UFr.</t>
  </si>
  <si>
    <t>Merkendorf</t>
  </si>
  <si>
    <t>Mistendorf</t>
  </si>
  <si>
    <t>Mönchherrnsdorf</t>
  </si>
  <si>
    <t>Mönchsambach</t>
  </si>
  <si>
    <t>Mühlendorf</t>
  </si>
  <si>
    <t>Mürsbach</t>
  </si>
  <si>
    <t>Naisa</t>
  </si>
  <si>
    <t>Neudorf b.Scheßlitz</t>
  </si>
  <si>
    <t>Neudorf b.Ebrach</t>
  </si>
  <si>
    <t>Neuses a.Raueneck</t>
  </si>
  <si>
    <t>Oberhaid</t>
  </si>
  <si>
    <t>Oberharnsbach</t>
  </si>
  <si>
    <t>Oberköst</t>
  </si>
  <si>
    <t>Oberleinleiter</t>
  </si>
  <si>
    <t>Oberleiterbach</t>
  </si>
  <si>
    <t>Obermerzbach</t>
  </si>
  <si>
    <t>Oberngrub</t>
  </si>
  <si>
    <t>Oberoberndorf</t>
  </si>
  <si>
    <t>Peulendorf</t>
  </si>
  <si>
    <t>Pfarrweisach</t>
  </si>
  <si>
    <t>Pödeldorf</t>
  </si>
  <si>
    <t>Pommersfelden</t>
  </si>
  <si>
    <t>Poxdorf</t>
  </si>
  <si>
    <t>Priegendorf</t>
  </si>
  <si>
    <t>Priesendorf</t>
  </si>
  <si>
    <t>Rabelsdorf</t>
  </si>
  <si>
    <t>Rattelsdorf</t>
  </si>
  <si>
    <t>Recheldorf</t>
  </si>
  <si>
    <t>Reckendorf</t>
  </si>
  <si>
    <t>Reckenneusig</t>
  </si>
  <si>
    <t>Reichmannsdorf</t>
  </si>
  <si>
    <t>Rentweinsdorf</t>
  </si>
  <si>
    <t>Rentweinsdorfer Hauptwald</t>
  </si>
  <si>
    <t>Reuthlos</t>
  </si>
  <si>
    <t>Reutersbrunn</t>
  </si>
  <si>
    <t>Röbersdorf</t>
  </si>
  <si>
    <t>Roschlaub</t>
  </si>
  <si>
    <t>Roßdorf a.Forst</t>
  </si>
  <si>
    <t>Rothensand</t>
  </si>
  <si>
    <t>Salmsdorf</t>
  </si>
  <si>
    <t>Sambach</t>
  </si>
  <si>
    <t>Sassanfahrt</t>
  </si>
  <si>
    <t>Sassendorf</t>
  </si>
  <si>
    <t>Schammelsdorf</t>
  </si>
  <si>
    <t>Schederndorf</t>
  </si>
  <si>
    <t>Scheßlitz</t>
  </si>
  <si>
    <t>Schlüsselfeld</t>
  </si>
  <si>
    <t>Schönbrunn i.Steigerwald</t>
  </si>
  <si>
    <t>Schweisdorf</t>
  </si>
  <si>
    <t>Seigendorf</t>
  </si>
  <si>
    <t>Semberg</t>
  </si>
  <si>
    <t>Seußling</t>
  </si>
  <si>
    <t>Siegritz</t>
  </si>
  <si>
    <t>Stackendorf</t>
  </si>
  <si>
    <t>Staffelbach</t>
  </si>
  <si>
    <t>Stappenbach</t>
  </si>
  <si>
    <t>Stegaurach</t>
  </si>
  <si>
    <t>Steinsdorf</t>
  </si>
  <si>
    <t>Steppach</t>
  </si>
  <si>
    <t>Stiefenberg</t>
  </si>
  <si>
    <t>Straßgiech</t>
  </si>
  <si>
    <t>Strullendorf</t>
  </si>
  <si>
    <t>Stübig</t>
  </si>
  <si>
    <t>Stücht</t>
  </si>
  <si>
    <t>Teuchatz</t>
  </si>
  <si>
    <t>Thüngfeld</t>
  </si>
  <si>
    <t>Tiefenellern</t>
  </si>
  <si>
    <t>Tiefenhöchstadt</t>
  </si>
  <si>
    <t>Tiefenpölz</t>
  </si>
  <si>
    <t>Trabelsdorf</t>
  </si>
  <si>
    <t>Treinfeld</t>
  </si>
  <si>
    <t>Treppendorf</t>
  </si>
  <si>
    <t>Treunitz</t>
  </si>
  <si>
    <t>Trosdorf</t>
  </si>
  <si>
    <t>Trunstadt</t>
  </si>
  <si>
    <t>Tütschengereuth</t>
  </si>
  <si>
    <t>Unterhaid</t>
  </si>
  <si>
    <t>Unterleiterbach</t>
  </si>
  <si>
    <t>Untermelsendorf</t>
  </si>
  <si>
    <t>Untermerzbach</t>
  </si>
  <si>
    <t>Unteroberndorf</t>
  </si>
  <si>
    <t>Unterpreppach</t>
  </si>
  <si>
    <t>Unterweiler</t>
  </si>
  <si>
    <t>Viereth</t>
  </si>
  <si>
    <t>Voccawind</t>
  </si>
  <si>
    <t>Voitmannsdorf</t>
  </si>
  <si>
    <t>Vollmannsdorf</t>
  </si>
  <si>
    <t>Vorbach</t>
  </si>
  <si>
    <t>Walsdorf</t>
  </si>
  <si>
    <t>Wasmuthhausen</t>
  </si>
  <si>
    <t>Wattendorf</t>
  </si>
  <si>
    <t>Weichendorf</t>
  </si>
  <si>
    <t>Weichenwasserlos</t>
  </si>
  <si>
    <t>Welkendorf</t>
  </si>
  <si>
    <t>Wernsdorf</t>
  </si>
  <si>
    <t>Wiesengiech</t>
  </si>
  <si>
    <t>Wildensorg</t>
  </si>
  <si>
    <t>Windischletten</t>
  </si>
  <si>
    <t>Wölkendorf</t>
  </si>
  <si>
    <t>Würgau</t>
  </si>
  <si>
    <t>Wüstenwelsberg</t>
  </si>
  <si>
    <t>Zapfendorf</t>
  </si>
  <si>
    <t>Zeckendorf</t>
  </si>
  <si>
    <t>Zeegendorf</t>
  </si>
  <si>
    <t>Zettmannsdorf</t>
  </si>
  <si>
    <t>Ziegelsambach</t>
  </si>
  <si>
    <t>Zoggendorf</t>
  </si>
  <si>
    <t>Zückshut</t>
  </si>
  <si>
    <t>Zückshuter Forst</t>
  </si>
  <si>
    <t>Streitau</t>
  </si>
  <si>
    <t>Falls</t>
  </si>
  <si>
    <t>Witzleshofen</t>
  </si>
  <si>
    <t>Wundenbach</t>
  </si>
  <si>
    <t>Gefrees</t>
  </si>
  <si>
    <t>Kornbach</t>
  </si>
  <si>
    <t>Lützenreuth</t>
  </si>
  <si>
    <t>Grünstein</t>
  </si>
  <si>
    <t>Metzlersreuth</t>
  </si>
  <si>
    <t>Wasserknoden</t>
  </si>
  <si>
    <t>Rimlas</t>
  </si>
  <si>
    <t>Bad Berneck i.Fichtelgebirge</t>
  </si>
  <si>
    <t>Bärnreuth</t>
  </si>
  <si>
    <t>Nenntmannsreuth</t>
  </si>
  <si>
    <t>Goldmühl</t>
  </si>
  <si>
    <t>Escherlich</t>
  </si>
  <si>
    <t>Wülfersreuth</t>
  </si>
  <si>
    <t>Bischofsgrün</t>
  </si>
  <si>
    <t>Bischofsgrüner Forst</t>
  </si>
  <si>
    <t>Neubauer Forst-Nord</t>
  </si>
  <si>
    <t>Benk</t>
  </si>
  <si>
    <t>Ramsenthal</t>
  </si>
  <si>
    <t>Crottendorf</t>
  </si>
  <si>
    <t>Euben</t>
  </si>
  <si>
    <t>Bindlach</t>
  </si>
  <si>
    <t>Leisau</t>
  </si>
  <si>
    <t>Brandholz</t>
  </si>
  <si>
    <t>Goldkronach</t>
  </si>
  <si>
    <t>Dressendorf</t>
  </si>
  <si>
    <t>Nemmersdorf</t>
  </si>
  <si>
    <t>Goldkronacher Forst</t>
  </si>
  <si>
    <t>Warmensteinacher Forst-Nord</t>
  </si>
  <si>
    <t>Warmensteinach</t>
  </si>
  <si>
    <t>Oberwarmensteinach</t>
  </si>
  <si>
    <t>Mähring</t>
  </si>
  <si>
    <t>Fichtelberg</t>
  </si>
  <si>
    <t>Neugrün</t>
  </si>
  <si>
    <t>Mehlmeisel</t>
  </si>
  <si>
    <t>Krögelstein</t>
  </si>
  <si>
    <t>Wiesentfels</t>
  </si>
  <si>
    <t>Freienfels</t>
  </si>
  <si>
    <t>Kainach</t>
  </si>
  <si>
    <t>Weiher</t>
  </si>
  <si>
    <t>Hollfeld</t>
  </si>
  <si>
    <t>Schönfeld</t>
  </si>
  <si>
    <t>Drosendorf a.d.Aufseß</t>
  </si>
  <si>
    <t>Stechendorf</t>
  </si>
  <si>
    <t>Sachsendorf</t>
  </si>
  <si>
    <t>Aufseß</t>
  </si>
  <si>
    <t>Hochstahl</t>
  </si>
  <si>
    <t>Zochenreuth</t>
  </si>
  <si>
    <t>Schressendorf</t>
  </si>
  <si>
    <t>Plankenfels</t>
  </si>
  <si>
    <t>Obernsees</t>
  </si>
  <si>
    <t>Seitenbach</t>
  </si>
  <si>
    <t>Truppach</t>
  </si>
  <si>
    <t>Mengersdorf</t>
  </si>
  <si>
    <t>Frankenhaag</t>
  </si>
  <si>
    <t>Mistelgau</t>
  </si>
  <si>
    <t>Wohnsgehaig</t>
  </si>
  <si>
    <t>Plösen</t>
  </si>
  <si>
    <t>Glashütten</t>
  </si>
  <si>
    <t>Neustädtlein a.Forst</t>
  </si>
  <si>
    <t>Busbach</t>
  </si>
  <si>
    <t>Eschen</t>
  </si>
  <si>
    <t>Oberwaiz</t>
  </si>
  <si>
    <t>Donndorf</t>
  </si>
  <si>
    <t>Eckersdorf</t>
  </si>
  <si>
    <t>Forst Neustädtlein a.Forst</t>
  </si>
  <si>
    <t>Heinersreuther Forst</t>
  </si>
  <si>
    <t>Altenplos</t>
  </si>
  <si>
    <t>Unterwaiz</t>
  </si>
  <si>
    <t>Cottenbach</t>
  </si>
  <si>
    <t>Laineck</t>
  </si>
  <si>
    <t>Oberpreuschwitz</t>
  </si>
  <si>
    <t>Sankt Johannis</t>
  </si>
  <si>
    <t>Meyernberg</t>
  </si>
  <si>
    <t>Colmdorf</t>
  </si>
  <si>
    <t>Aichig</t>
  </si>
  <si>
    <t>Oberkonnersreuth</t>
  </si>
  <si>
    <t>Thiergarten</t>
  </si>
  <si>
    <t>Wolfsbach</t>
  </si>
  <si>
    <t>Schamelsberg</t>
  </si>
  <si>
    <t>Emtmannsberg</t>
  </si>
  <si>
    <t>Hauendorf</t>
  </si>
  <si>
    <t>Birk</t>
  </si>
  <si>
    <t>Görschnitz</t>
  </si>
  <si>
    <t>Sophienthal</t>
  </si>
  <si>
    <t>Lankendorf</t>
  </si>
  <si>
    <t>Weidenberg</t>
  </si>
  <si>
    <t>Mengersreuth</t>
  </si>
  <si>
    <t>Neunkirchen a.Main</t>
  </si>
  <si>
    <t>Lessau</t>
  </si>
  <si>
    <t>Lehen</t>
  </si>
  <si>
    <t>Kirchenpingarten</t>
  </si>
  <si>
    <t>Lienlas</t>
  </si>
  <si>
    <t>Reislas</t>
  </si>
  <si>
    <t>Tressau</t>
  </si>
  <si>
    <t>Seybothenreuth</t>
  </si>
  <si>
    <t>Sophienthaler Forst</t>
  </si>
  <si>
    <t>Warmensteinacher Forst-Süd</t>
  </si>
  <si>
    <t>Mistelbach</t>
  </si>
  <si>
    <t>Forkendorf</t>
  </si>
  <si>
    <t>Gesees</t>
  </si>
  <si>
    <t>Pittersdorf</t>
  </si>
  <si>
    <t>Pettendorf</t>
  </si>
  <si>
    <t>Creez</t>
  </si>
  <si>
    <t>Hinterkleebach</t>
  </si>
  <si>
    <t>Forst Thiergarten</t>
  </si>
  <si>
    <t>Seybothenreuther Forst</t>
  </si>
  <si>
    <t>Breitenlesau</t>
  </si>
  <si>
    <t>Nankendorf</t>
  </si>
  <si>
    <t>Löhlitz</t>
  </si>
  <si>
    <t>Waischenfeld</t>
  </si>
  <si>
    <t>Hannberg</t>
  </si>
  <si>
    <t>Seelig</t>
  </si>
  <si>
    <t>Gösseldorf</t>
  </si>
  <si>
    <t>Langenloh</t>
  </si>
  <si>
    <t>Eichenbirkig</t>
  </si>
  <si>
    <t>Köttweinsdorf</t>
  </si>
  <si>
    <t>Löhlitzer Wald</t>
  </si>
  <si>
    <t>Langweiler Wald</t>
  </si>
  <si>
    <t>Glashüttener Forst</t>
  </si>
  <si>
    <t>Lindenhardter Forst-Nordwest</t>
  </si>
  <si>
    <t>Obernschreez</t>
  </si>
  <si>
    <t>Unternschreez</t>
  </si>
  <si>
    <t>Haag</t>
  </si>
  <si>
    <t>Boden</t>
  </si>
  <si>
    <t>Seidwitz</t>
  </si>
  <si>
    <t>Creußen</t>
  </si>
  <si>
    <t>Gottsfeld</t>
  </si>
  <si>
    <t>Bühl</t>
  </si>
  <si>
    <t>Neuhof</t>
  </si>
  <si>
    <t>Lindenhardt</t>
  </si>
  <si>
    <t>Stockmühle</t>
  </si>
  <si>
    <t>Haidhof</t>
  </si>
  <si>
    <t>Prebitz</t>
  </si>
  <si>
    <t>Schnabelwaid</t>
  </si>
  <si>
    <t>Preunersfeld</t>
  </si>
  <si>
    <t>Schnabelwaider Kütschenrain</t>
  </si>
  <si>
    <t>Zeulenreuth</t>
  </si>
  <si>
    <t>Haidenaab</t>
  </si>
  <si>
    <t>Kirchenlaibach</t>
  </si>
  <si>
    <t>Speichersdorf</t>
  </si>
  <si>
    <t>Wirbenz</t>
  </si>
  <si>
    <t>Windischenlaibach</t>
  </si>
  <si>
    <t>Roslas</t>
  </si>
  <si>
    <t>Nairitz</t>
  </si>
  <si>
    <t>Plössen</t>
  </si>
  <si>
    <t>Kodlitz</t>
  </si>
  <si>
    <t>Ramlesreuth</t>
  </si>
  <si>
    <t>Guttenthau</t>
  </si>
  <si>
    <t>Volsbach</t>
  </si>
  <si>
    <t>Körzendorf</t>
  </si>
  <si>
    <t>Reizendorf</t>
  </si>
  <si>
    <t>Poppendorfer Wald</t>
  </si>
  <si>
    <t>Freiahorn</t>
  </si>
  <si>
    <t>Kirchahorn</t>
  </si>
  <si>
    <t>Christanz</t>
  </si>
  <si>
    <t>Poppendorf</t>
  </si>
  <si>
    <t>Adlitz</t>
  </si>
  <si>
    <t>Oberailsfeld</t>
  </si>
  <si>
    <t>Vorderkleebach</t>
  </si>
  <si>
    <t>Hohenmirsberg</t>
  </si>
  <si>
    <t>Püttlach</t>
  </si>
  <si>
    <t>Tüchersfeld</t>
  </si>
  <si>
    <t>Pottenstein</t>
  </si>
  <si>
    <t>Elbersberg</t>
  </si>
  <si>
    <t>Kirchenbirkig</t>
  </si>
  <si>
    <t>Kühlenfels</t>
  </si>
  <si>
    <t>Regenthal</t>
  </si>
  <si>
    <t>Leienfels</t>
  </si>
  <si>
    <t>Prüll</t>
  </si>
  <si>
    <t>Trockau</t>
  </si>
  <si>
    <t>Leups</t>
  </si>
  <si>
    <t>Büchenbach</t>
  </si>
  <si>
    <t>Zips</t>
  </si>
  <si>
    <t>Körbeldorf</t>
  </si>
  <si>
    <t>Troschenreuth</t>
  </si>
  <si>
    <t>Pegnitz</t>
  </si>
  <si>
    <t>Hainbronn</t>
  </si>
  <si>
    <t>Penzenreuth</t>
  </si>
  <si>
    <t>Bronn</t>
  </si>
  <si>
    <t>Waidacher Forst</t>
  </si>
  <si>
    <t>Ottenberg</t>
  </si>
  <si>
    <t>Weidensees</t>
  </si>
  <si>
    <t>Leupoldstein</t>
  </si>
  <si>
    <t>Stierberg</t>
  </si>
  <si>
    <t>Betzenstein</t>
  </si>
  <si>
    <t>Spies</t>
  </si>
  <si>
    <t>Ottenhof</t>
  </si>
  <si>
    <t>Plech</t>
  </si>
  <si>
    <t>Veldensteinerforst</t>
  </si>
  <si>
    <t>Wüstenstein</t>
  </si>
  <si>
    <t>Oberfellendorf</t>
  </si>
  <si>
    <t>Albertshof</t>
  </si>
  <si>
    <t>Streitberg</t>
  </si>
  <si>
    <t>Muggendorf</t>
  </si>
  <si>
    <t>Engelhardsberg</t>
  </si>
  <si>
    <t>Birkenreuth</t>
  </si>
  <si>
    <t>Wohlmannsgesees</t>
  </si>
  <si>
    <t>Tiefenstürmig</t>
  </si>
  <si>
    <t>Götzendorf</t>
  </si>
  <si>
    <t>Drügendorf</t>
  </si>
  <si>
    <t>Drosendorf a.Eggerbach</t>
  </si>
  <si>
    <t>Unterstürmig</t>
  </si>
  <si>
    <t>Weigelshofen</t>
  </si>
  <si>
    <t>Neuses a.d.Regnitz</t>
  </si>
  <si>
    <t>Eggolsheim</t>
  </si>
  <si>
    <t>Kauernhofen</t>
  </si>
  <si>
    <t>Rettern</t>
  </si>
  <si>
    <t>Bammersdorf</t>
  </si>
  <si>
    <t>Dürrbrunn</t>
  </si>
  <si>
    <t>Unterleinleiter</t>
  </si>
  <si>
    <t>Eschlipp</t>
  </si>
  <si>
    <t>Gasseldorf</t>
  </si>
  <si>
    <t>Niedermirsberg</t>
  </si>
  <si>
    <t>Ebermannstadt</t>
  </si>
  <si>
    <t>Rüssenbach</t>
  </si>
  <si>
    <t>Wohlmuthshüll</t>
  </si>
  <si>
    <t>Burggaillenreuth</t>
  </si>
  <si>
    <t>Moggast</t>
  </si>
  <si>
    <t>Pretzfeld</t>
  </si>
  <si>
    <t>Lützelsdorf</t>
  </si>
  <si>
    <t>Hagenbach</t>
  </si>
  <si>
    <t>Wannbach</t>
  </si>
  <si>
    <t>Hetzelsdorf</t>
  </si>
  <si>
    <t>Zaunsbach</t>
  </si>
  <si>
    <t>Unterailsfeld</t>
  </si>
  <si>
    <t>Behringersmühle</t>
  </si>
  <si>
    <t>Gößweinstein</t>
  </si>
  <si>
    <t>Leutzdorf</t>
  </si>
  <si>
    <t>Morschreuth</t>
  </si>
  <si>
    <t>Wichsenstein</t>
  </si>
  <si>
    <t>Kleingesee</t>
  </si>
  <si>
    <t>Hallerndorf</t>
  </si>
  <si>
    <t>Trailsdorf</t>
  </si>
  <si>
    <t>Schlammersdorf</t>
  </si>
  <si>
    <t>Pautzfeld</t>
  </si>
  <si>
    <t>Willersdorf</t>
  </si>
  <si>
    <t>Untere Mark</t>
  </si>
  <si>
    <t>Buckenhofen</t>
  </si>
  <si>
    <t>Burk</t>
  </si>
  <si>
    <t>Kersbach</t>
  </si>
  <si>
    <t>Oberweilersbach</t>
  </si>
  <si>
    <t>Unterweilersbach</t>
  </si>
  <si>
    <t>Reifenberg</t>
  </si>
  <si>
    <t>Kirchehrenbach</t>
  </si>
  <si>
    <t>Leutenbach</t>
  </si>
  <si>
    <t>Mittelehrenbach</t>
  </si>
  <si>
    <t>Oberehrenbach</t>
  </si>
  <si>
    <t>Hundshaupten</t>
  </si>
  <si>
    <t>Egloffstein</t>
  </si>
  <si>
    <t>Affalterthal</t>
  </si>
  <si>
    <t>Geschwand</t>
  </si>
  <si>
    <t>Wolfsberg</t>
  </si>
  <si>
    <t>Obertrubach</t>
  </si>
  <si>
    <t>Oesdorf</t>
  </si>
  <si>
    <t>Heroldsbach</t>
  </si>
  <si>
    <t>Thurn</t>
  </si>
  <si>
    <t>Wimmelbach</t>
  </si>
  <si>
    <t>Wiesenthau</t>
  </si>
  <si>
    <t>Schlaifhausen</t>
  </si>
  <si>
    <t>Gosberg</t>
  </si>
  <si>
    <t>Pinzberg</t>
  </si>
  <si>
    <t>Dobenreuth</t>
  </si>
  <si>
    <t>Kunreuth</t>
  </si>
  <si>
    <t>Ermreus</t>
  </si>
  <si>
    <t>Gaiganz</t>
  </si>
  <si>
    <t>Effeltrich</t>
  </si>
  <si>
    <t>Langensendelbach</t>
  </si>
  <si>
    <t>Thuisbrunn</t>
  </si>
  <si>
    <t>Walkersbrunn</t>
  </si>
  <si>
    <t>Gräfenberg</t>
  </si>
  <si>
    <t>Guttenburg</t>
  </si>
  <si>
    <t>Lilling</t>
  </si>
  <si>
    <t>Schossaritz</t>
  </si>
  <si>
    <t>Kappel</t>
  </si>
  <si>
    <t>Hiltpoltstein</t>
  </si>
  <si>
    <t>Pommer</t>
  </si>
  <si>
    <t>Dachstadt</t>
  </si>
  <si>
    <t>Igensdorf</t>
  </si>
  <si>
    <t>Pettensiedel</t>
  </si>
  <si>
    <t>Rüsselbach</t>
  </si>
  <si>
    <t>Weißenohe</t>
  </si>
  <si>
    <t>Hetzles</t>
  </si>
  <si>
    <t>Ermreuth</t>
  </si>
  <si>
    <t>Rödlas</t>
  </si>
  <si>
    <t>Neunkirchen a.Brand</t>
  </si>
  <si>
    <t>Großenbuch</t>
  </si>
  <si>
    <t>Rosenbach</t>
  </si>
  <si>
    <t>Dormitz</t>
  </si>
  <si>
    <t>Kleinsendelbach</t>
  </si>
  <si>
    <t>Adelsdorf</t>
  </si>
  <si>
    <t>Aisch</t>
  </si>
  <si>
    <t>Atzelsberg</t>
  </si>
  <si>
    <t>Baiersdorf</t>
  </si>
  <si>
    <t>Benzendorf</t>
  </si>
  <si>
    <t>Biengarten</t>
  </si>
  <si>
    <t>Boxbrunn</t>
  </si>
  <si>
    <t>Bubenreuth</t>
  </si>
  <si>
    <t>Buckenhof</t>
  </si>
  <si>
    <t>Buckenhofer Forst</t>
  </si>
  <si>
    <t>Büg</t>
  </si>
  <si>
    <t>Dormitzer Forst</t>
  </si>
  <si>
    <t>Dutendorf</t>
  </si>
  <si>
    <t>Eckenhaid</t>
  </si>
  <si>
    <t>Eltersdorf</t>
  </si>
  <si>
    <t>Erlenstegener Forst</t>
  </si>
  <si>
    <t>Etzelskirchen</t>
  </si>
  <si>
    <t>Falkendorf</t>
  </si>
  <si>
    <t>Fetzelhofen</t>
  </si>
  <si>
    <t>Forst Tennenlohe</t>
  </si>
  <si>
    <t>Forth</t>
  </si>
  <si>
    <t>Frauenaurach</t>
  </si>
  <si>
    <t>Frickenhöchstadt</t>
  </si>
  <si>
    <t>Frimmersdorf</t>
  </si>
  <si>
    <t>Geschaidt</t>
  </si>
  <si>
    <t>Gremsdorf</t>
  </si>
  <si>
    <t>Großdechsendorf</t>
  </si>
  <si>
    <t>Großenseebach</t>
  </si>
  <si>
    <t>Großgeschaidt</t>
  </si>
  <si>
    <t>Hammerbach</t>
  </si>
  <si>
    <t>Haundorf</t>
  </si>
  <si>
    <t>Hemhofen</t>
  </si>
  <si>
    <t>Heppstädt</t>
  </si>
  <si>
    <t>Heroldsberg</t>
  </si>
  <si>
    <t>Herzogenaurach</t>
  </si>
  <si>
    <t>Hesselberg</t>
  </si>
  <si>
    <t>Höchstadt a.d.Aisch</t>
  </si>
  <si>
    <t>Hüttendorf</t>
  </si>
  <si>
    <t>Käferhölzlein u.Eichelberg</t>
  </si>
  <si>
    <t>Kairlindach</t>
  </si>
  <si>
    <t>Kalchreuth</t>
  </si>
  <si>
    <t>Kalchreuther Forst</t>
  </si>
  <si>
    <t>Kleingeschaidt</t>
  </si>
  <si>
    <t>Kleinseebach</t>
  </si>
  <si>
    <t>Kleinweisach</t>
  </si>
  <si>
    <t>Klosterwald</t>
  </si>
  <si>
    <t>Kosbach</t>
  </si>
  <si>
    <t>Kraftshofer Forst</t>
  </si>
  <si>
    <t>Kriegenbrunn</t>
  </si>
  <si>
    <t>Lonnerstadt</t>
  </si>
  <si>
    <t>Mailach</t>
  </si>
  <si>
    <t>Mark</t>
  </si>
  <si>
    <t>Marloffstein</t>
  </si>
  <si>
    <t>Möhrendorf</t>
  </si>
  <si>
    <t>Mönau</t>
  </si>
  <si>
    <t>Münchaurach</t>
  </si>
  <si>
    <t>Neunhofer Forst</t>
  </si>
  <si>
    <t>Oberlindach</t>
  </si>
  <si>
    <t>Oberreichenbach</t>
  </si>
  <si>
    <t>Oberschöllenbach</t>
  </si>
  <si>
    <t>Reinersdorf</t>
  </si>
  <si>
    <t>Rezelsdorf</t>
  </si>
  <si>
    <t>Röckenhof</t>
  </si>
  <si>
    <t>Röttenbach</t>
  </si>
  <si>
    <t>Sauerheim</t>
  </si>
  <si>
    <t>Schirnsdorf</t>
  </si>
  <si>
    <t>Schwarzenbach</t>
  </si>
  <si>
    <t>Spardorf</t>
  </si>
  <si>
    <t>Sterpersdorf</t>
  </si>
  <si>
    <t>Tennenlohe</t>
  </si>
  <si>
    <t>Unterreichenbach</t>
  </si>
  <si>
    <t>Unterschöllenbach</t>
  </si>
  <si>
    <t>Uttenreuth</t>
  </si>
  <si>
    <t>Uttstadt</t>
  </si>
  <si>
    <t>Vestenbergsgreuth</t>
  </si>
  <si>
    <t>Wachenroth</t>
  </si>
  <si>
    <t>Warmersdorf</t>
  </si>
  <si>
    <t>Weingartsgreuth</t>
  </si>
  <si>
    <t>Weisendorf</t>
  </si>
  <si>
    <t>Wellerstadt</t>
  </si>
  <si>
    <t>Weppersdorf</t>
  </si>
  <si>
    <t>Wiesendorf</t>
  </si>
  <si>
    <t>Zeckern</t>
  </si>
  <si>
    <t>Zentbechhofen</t>
  </si>
  <si>
    <t>Zweifelsheim</t>
  </si>
  <si>
    <t>Adelhofen</t>
  </si>
  <si>
    <t>Adelshofen</t>
  </si>
  <si>
    <t>Aichau</t>
  </si>
  <si>
    <t>Aichenzell</t>
  </si>
  <si>
    <t>Altheim</t>
  </si>
  <si>
    <t>Auernhofen</t>
  </si>
  <si>
    <t>Bad Windsheim</t>
  </si>
  <si>
    <t>Banzenweiler</t>
  </si>
  <si>
    <t>Beerbach</t>
  </si>
  <si>
    <t>Bellershausen</t>
  </si>
  <si>
    <t>Berolzheim</t>
  </si>
  <si>
    <t>Bettenfeld</t>
  </si>
  <si>
    <t>Bettwar</t>
  </si>
  <si>
    <t>Bockenfeld</t>
  </si>
  <si>
    <t>Brackenlohr</t>
  </si>
  <si>
    <t>Buch a.Wald</t>
  </si>
  <si>
    <t>Buchheim</t>
  </si>
  <si>
    <t>Bullenheim</t>
  </si>
  <si>
    <t>Burgbernheim</t>
  </si>
  <si>
    <t>Cadolzhofen</t>
  </si>
  <si>
    <t>Custenlohr</t>
  </si>
  <si>
    <t>Deffersdorf</t>
  </si>
  <si>
    <t>Dentlein a.Forst</t>
  </si>
  <si>
    <t>Dickersbronn</t>
  </si>
  <si>
    <t>Dietersheim</t>
  </si>
  <si>
    <t>Dinkelsbühl</t>
  </si>
  <si>
    <t>Dombühl</t>
  </si>
  <si>
    <t>Dorfgütingen</t>
  </si>
  <si>
    <t>Dornhausen</t>
  </si>
  <si>
    <t>Dottenheim</t>
  </si>
  <si>
    <t>Dürrwangen</t>
  </si>
  <si>
    <t>Endsee</t>
  </si>
  <si>
    <t>Equarhofen</t>
  </si>
  <si>
    <t>Ergersheim</t>
  </si>
  <si>
    <t>Ermetzhof</t>
  </si>
  <si>
    <t>Ermetzhofen</t>
  </si>
  <si>
    <t>Erzberg</t>
  </si>
  <si>
    <t>Faulenberg</t>
  </si>
  <si>
    <t>Feuchtwangen</t>
  </si>
  <si>
    <t>Schloß Frankenberg</t>
  </si>
  <si>
    <t>Gailnau</t>
  </si>
  <si>
    <t>Gailroth</t>
  </si>
  <si>
    <t>Gallmersgarten</t>
  </si>
  <si>
    <t>Gastenfelden</t>
  </si>
  <si>
    <t>Gattenhofen</t>
  </si>
  <si>
    <t>Gebsattel</t>
  </si>
  <si>
    <t>Geckenheim</t>
  </si>
  <si>
    <t>Geißlingen</t>
  </si>
  <si>
    <t>Geslau</t>
  </si>
  <si>
    <t>Gollachostheim</t>
  </si>
  <si>
    <t>Gollhofen</t>
  </si>
  <si>
    <t>Großharbach</t>
  </si>
  <si>
    <t>Gülchsheim</t>
  </si>
  <si>
    <t>Habelsee</t>
  </si>
  <si>
    <t>Hagenau</t>
  </si>
  <si>
    <t>Hartershofen</t>
  </si>
  <si>
    <t>Haslach</t>
  </si>
  <si>
    <t>Heilbronn</t>
  </si>
  <si>
    <t>Hellenbach</t>
  </si>
  <si>
    <t>Hemmersheim</t>
  </si>
  <si>
    <t>Herbolzheim</t>
  </si>
  <si>
    <t>Herrnberchtheim</t>
  </si>
  <si>
    <t>Hohlach</t>
  </si>
  <si>
    <t>Humprechtsau</t>
  </si>
  <si>
    <t>Ickelheim</t>
  </si>
  <si>
    <t>Illesheim</t>
  </si>
  <si>
    <t>Insingen</t>
  </si>
  <si>
    <t>Ippesheim</t>
  </si>
  <si>
    <t>Ipsheim</t>
  </si>
  <si>
    <t>Kaubenheim</t>
  </si>
  <si>
    <t>Kirnberg</t>
  </si>
  <si>
    <t>Kloster Sulz</t>
  </si>
  <si>
    <t>Krapfenau</t>
  </si>
  <si>
    <t>Külsheim</t>
  </si>
  <si>
    <t>Langensteinach</t>
  </si>
  <si>
    <t>Langensteinbach</t>
  </si>
  <si>
    <t>Larrieden</t>
  </si>
  <si>
    <t>Lehengütingen</t>
  </si>
  <si>
    <t>Lenkersheim</t>
  </si>
  <si>
    <t>Leuzenbronn</t>
  </si>
  <si>
    <t>Lipprichhausen</t>
  </si>
  <si>
    <t>Mailheim</t>
  </si>
  <si>
    <t>Marktbergel</t>
  </si>
  <si>
    <t>Markt Nordheim</t>
  </si>
  <si>
    <t>Meierndorf</t>
  </si>
  <si>
    <t>Mörlbach</t>
  </si>
  <si>
    <t>Mosbach</t>
  </si>
  <si>
    <t>Neuherberg</t>
  </si>
  <si>
    <t>Neusitz</t>
  </si>
  <si>
    <t>Neustädtlein</t>
  </si>
  <si>
    <t>Neustett</t>
  </si>
  <si>
    <t>Nordenberg</t>
  </si>
  <si>
    <t>Oberaltenbernheim</t>
  </si>
  <si>
    <t>Oberampfrach</t>
  </si>
  <si>
    <t>Oberickelsheim</t>
  </si>
  <si>
    <t>Obernesselbach</t>
  </si>
  <si>
    <t>Oberntief</t>
  </si>
  <si>
    <t>Obernzenn</t>
  </si>
  <si>
    <t>Oberradach</t>
  </si>
  <si>
    <t>Oberroßbach</t>
  </si>
  <si>
    <t>Oberscheckenbach</t>
  </si>
  <si>
    <t>Oestheim</t>
  </si>
  <si>
    <t>Ottenhofen</t>
  </si>
  <si>
    <t>Pfaffenhofen</t>
  </si>
  <si>
    <t>Pfahlenheim</t>
  </si>
  <si>
    <t>Preuntsfelden</t>
  </si>
  <si>
    <t>Reusch</t>
  </si>
  <si>
    <t>Rodheim</t>
  </si>
  <si>
    <t>Rothenburg ob der Tauber</t>
  </si>
  <si>
    <t>Rüdisbronn</t>
  </si>
  <si>
    <t>Rudolzhofen</t>
  </si>
  <si>
    <t>Schillingsfürst</t>
  </si>
  <si>
    <t>Schopfloch</t>
  </si>
  <si>
    <t>Schwabsroth</t>
  </si>
  <si>
    <t>Schweinsdorf</t>
  </si>
  <si>
    <t>Seenheim</t>
  </si>
  <si>
    <t>Segringen</t>
  </si>
  <si>
    <t>Seidelsdorf</t>
  </si>
  <si>
    <t>Simmershofen</t>
  </si>
  <si>
    <t>Sinbronn</t>
  </si>
  <si>
    <t>Steinach a.d.Ens</t>
  </si>
  <si>
    <t>Stettberg</t>
  </si>
  <si>
    <t>Stilzendorf</t>
  </si>
  <si>
    <t>Sulzach</t>
  </si>
  <si>
    <t>Tauberscheckenbach</t>
  </si>
  <si>
    <t>Tauberzell</t>
  </si>
  <si>
    <t>Thürnhofen</t>
  </si>
  <si>
    <t>Uffenheim</t>
  </si>
  <si>
    <t>Ulsenheim</t>
  </si>
  <si>
    <t>Unteraltenbernheim</t>
  </si>
  <si>
    <t>Unterampfrach</t>
  </si>
  <si>
    <t>Unternesselbach</t>
  </si>
  <si>
    <t>Unternzenn</t>
  </si>
  <si>
    <t>Urfersheim</t>
  </si>
  <si>
    <t>Urphertshofen</t>
  </si>
  <si>
    <t>Uttenhofen</t>
  </si>
  <si>
    <t>Vorderbreitenthann</t>
  </si>
  <si>
    <t>Walddachsbach</t>
  </si>
  <si>
    <t>Waldeck</t>
  </si>
  <si>
    <t>Waldhäuslein</t>
  </si>
  <si>
    <t>Walkershofen</t>
  </si>
  <si>
    <t>Wallmersbach</t>
  </si>
  <si>
    <t>Weidelbach</t>
  </si>
  <si>
    <t>Weigenheim</t>
  </si>
  <si>
    <t>Welbhausen</t>
  </si>
  <si>
    <t>Wiebelsheim</t>
  </si>
  <si>
    <t>Wieseth</t>
  </si>
  <si>
    <t>Wildenholz</t>
  </si>
  <si>
    <t>Windelsbach</t>
  </si>
  <si>
    <t>Wörnitz</t>
  </si>
  <si>
    <t>Wolfertsbronn</t>
  </si>
  <si>
    <t>Zwernberg</t>
  </si>
  <si>
    <t>Aich</t>
  </si>
  <si>
    <t>Alberndorf</t>
  </si>
  <si>
    <t>Altendettelsau</t>
  </si>
  <si>
    <t>Anfelden</t>
  </si>
  <si>
    <t>Arberg</t>
  </si>
  <si>
    <t>Auerbach</t>
  </si>
  <si>
    <t>Aurach</t>
  </si>
  <si>
    <t>Bechhofen</t>
  </si>
  <si>
    <t>Bechhofen b.Neuendettelsau</t>
  </si>
  <si>
    <t>Bernhardswinden</t>
  </si>
  <si>
    <t>Bertholdsdorf</t>
  </si>
  <si>
    <t>Betzendorf</t>
  </si>
  <si>
    <t>Biederbach</t>
  </si>
  <si>
    <t>Binzwangen</t>
  </si>
  <si>
    <t>Bonnhof</t>
  </si>
  <si>
    <t>Brodswinden</t>
  </si>
  <si>
    <t>Bruckberg</t>
  </si>
  <si>
    <t>Brünst</t>
  </si>
  <si>
    <t>Brunst</t>
  </si>
  <si>
    <t>Büchelberg</t>
  </si>
  <si>
    <t>Bürglein</t>
  </si>
  <si>
    <t>Burgoberbach</t>
  </si>
  <si>
    <t>Claffheim</t>
  </si>
  <si>
    <t>Colmberg</t>
  </si>
  <si>
    <t>Dierersdorf</t>
  </si>
  <si>
    <t>Dietenhofen</t>
  </si>
  <si>
    <t>Eckartsweiler</t>
  </si>
  <si>
    <t>Elbersroth</t>
  </si>
  <si>
    <t>Elpersdorf b.Ansbach</t>
  </si>
  <si>
    <t>Elpersdorf b.Windsbach</t>
  </si>
  <si>
    <t>Erlbach</t>
  </si>
  <si>
    <t>Eyb</t>
  </si>
  <si>
    <t>Flachslanden</t>
  </si>
  <si>
    <t>Frommetsfelden</t>
  </si>
  <si>
    <t>Gebersdorf</t>
  </si>
  <si>
    <t>Gerbersdorf</t>
  </si>
  <si>
    <t>Gern</t>
  </si>
  <si>
    <t>Götteldorf</t>
  </si>
  <si>
    <t>Gräfenbuch</t>
  </si>
  <si>
    <t>Großbreitenbronn</t>
  </si>
  <si>
    <t>Großenried</t>
  </si>
  <si>
    <t>Großhaslach</t>
  </si>
  <si>
    <t>Großlellenfeld</t>
  </si>
  <si>
    <t>Haasgang</t>
  </si>
  <si>
    <t>Heglau</t>
  </si>
  <si>
    <t>Heilsbronn</t>
  </si>
  <si>
    <t>Hennenbach</t>
  </si>
  <si>
    <t>Hergersbach</t>
  </si>
  <si>
    <t>Herpersdorf b.Dietenhofen</t>
  </si>
  <si>
    <t>Herrieden</t>
  </si>
  <si>
    <t>Heßbach</t>
  </si>
  <si>
    <t>Heuberg</t>
  </si>
  <si>
    <t>Hirschlach</t>
  </si>
  <si>
    <t>Höfstetten</t>
  </si>
  <si>
    <t>Immeldorf</t>
  </si>
  <si>
    <t>Ismannsdorf</t>
  </si>
  <si>
    <t>Jochsberg</t>
  </si>
  <si>
    <t>Kaudorf</t>
  </si>
  <si>
    <t>Kehlmünz</t>
  </si>
  <si>
    <t>Kemmathen</t>
  </si>
  <si>
    <t>Ketteldorf</t>
  </si>
  <si>
    <t>Kettenhöfstetten</t>
  </si>
  <si>
    <t>Kleinhaslach</t>
  </si>
  <si>
    <t>Kleinlellenfeld</t>
  </si>
  <si>
    <t>Königshofen a.d.Heide</t>
  </si>
  <si>
    <t>Lammelbach</t>
  </si>
  <si>
    <t>Lehrberg</t>
  </si>
  <si>
    <t>Leidendorf</t>
  </si>
  <si>
    <t>Leonrod</t>
  </si>
  <si>
    <t>Lichtenau</t>
  </si>
  <si>
    <t>Liebersdorf</t>
  </si>
  <si>
    <t>Malmersdorf</t>
  </si>
  <si>
    <t>Mitteldachstetten</t>
  </si>
  <si>
    <t>Mitteleschenbach</t>
  </si>
  <si>
    <t>Mittelramstadt</t>
  </si>
  <si>
    <t>Mörlach</t>
  </si>
  <si>
    <t>Mörsach</t>
  </si>
  <si>
    <t>Moosbach</t>
  </si>
  <si>
    <t>Müncherlbach</t>
  </si>
  <si>
    <t>Neuendettelsau</t>
  </si>
  <si>
    <t>Neunkirchen b.Leutershausen</t>
  </si>
  <si>
    <t>Neunstetten</t>
  </si>
  <si>
    <t>Neuses b.Ansbach</t>
  </si>
  <si>
    <t>Neustetten</t>
  </si>
  <si>
    <t>Niederoberbach</t>
  </si>
  <si>
    <t>Oberdachstetten</t>
  </si>
  <si>
    <t>Oberfelden</t>
  </si>
  <si>
    <t>Oberschönbronn</t>
  </si>
  <si>
    <t>Obersulzbach</t>
  </si>
  <si>
    <t>Ornbau</t>
  </si>
  <si>
    <t>Petersaurach</t>
  </si>
  <si>
    <t>Poppenbach</t>
  </si>
  <si>
    <t>Ratzenwinden</t>
  </si>
  <si>
    <t>Rauenbuch</t>
  </si>
  <si>
    <t>Rauenzell</t>
  </si>
  <si>
    <t>Retzendorf</t>
  </si>
  <si>
    <t>Reutern</t>
  </si>
  <si>
    <t>Rügland</t>
  </si>
  <si>
    <t>Sachsbach</t>
  </si>
  <si>
    <t>Sachsen b.Ansbach</t>
  </si>
  <si>
    <t>Sauernheim</t>
  </si>
  <si>
    <t>Schalkhausen</t>
  </si>
  <si>
    <t>Schlauersbach</t>
  </si>
  <si>
    <t>Seitendorf</t>
  </si>
  <si>
    <t>Selgenstadt</t>
  </si>
  <si>
    <t>Seubersdorf</t>
  </si>
  <si>
    <t>Sommersdorf</t>
  </si>
  <si>
    <t>Sondernohe</t>
  </si>
  <si>
    <t>Suddersdorf</t>
  </si>
  <si>
    <t>Unternbibert</t>
  </si>
  <si>
    <t>Unterrottmannsdorf</t>
  </si>
  <si>
    <t>Veitsaurach</t>
  </si>
  <si>
    <t>Vestenberg</t>
  </si>
  <si>
    <t>Virnsberg</t>
  </si>
  <si>
    <t>Volkersdorf</t>
  </si>
  <si>
    <t>Waizendorf</t>
  </si>
  <si>
    <t>Wattenbach</t>
  </si>
  <si>
    <t>Weidenbach</t>
  </si>
  <si>
    <t>Weihenzell</t>
  </si>
  <si>
    <t>Weinberg</t>
  </si>
  <si>
    <t>Weißenbronn</t>
  </si>
  <si>
    <t>Weiterndorf</t>
  </si>
  <si>
    <t>Wernsbach</t>
  </si>
  <si>
    <t>Wernsbach b.Ansbach</t>
  </si>
  <si>
    <t>Wiedersbach</t>
  </si>
  <si>
    <t>Wiesethbruck</t>
  </si>
  <si>
    <t>Windsbach</t>
  </si>
  <si>
    <t>Winkelhaid</t>
  </si>
  <si>
    <t>Wolframs-Eschenbach</t>
  </si>
  <si>
    <t>Wollersdorf</t>
  </si>
  <si>
    <t>Baudenbach</t>
  </si>
  <si>
    <t>Frankenfeld</t>
  </si>
  <si>
    <t>Mönchsberg</t>
  </si>
  <si>
    <t>Hambühl</t>
  </si>
  <si>
    <t>Münchsteinach</t>
  </si>
  <si>
    <t>Abtsgreuth</t>
  </si>
  <si>
    <t>Neuebersbach</t>
  </si>
  <si>
    <t>Gutenstetten</t>
  </si>
  <si>
    <t>Rockenbach</t>
  </si>
  <si>
    <t>Reinhardshofen</t>
  </si>
  <si>
    <t>Pahres</t>
  </si>
  <si>
    <t>Diespeck</t>
  </si>
  <si>
    <t>Stübach</t>
  </si>
  <si>
    <t>Dettendorf</t>
  </si>
  <si>
    <t>Uehlfeld</t>
  </si>
  <si>
    <t>Schornweisach</t>
  </si>
  <si>
    <t>Tragelhöchstädt</t>
  </si>
  <si>
    <t>Demantsfürth</t>
  </si>
  <si>
    <t>Peppenhöchstädt</t>
  </si>
  <si>
    <t>Dachsbach</t>
  </si>
  <si>
    <t>Rauschenberg</t>
  </si>
  <si>
    <t>Oberhöchstädt</t>
  </si>
  <si>
    <t>Traishöchstädt</t>
  </si>
  <si>
    <t>Gerhardshofen</t>
  </si>
  <si>
    <t>Kästel</t>
  </si>
  <si>
    <t>Willmersbach</t>
  </si>
  <si>
    <t>Göttelhöf</t>
  </si>
  <si>
    <t>Neustadt a.d.Aisch</t>
  </si>
  <si>
    <t>Schauerheim</t>
  </si>
  <si>
    <t>Unterschweinach</t>
  </si>
  <si>
    <t>Herrnneuses</t>
  </si>
  <si>
    <t>Schellert</t>
  </si>
  <si>
    <t>Emskirchen</t>
  </si>
  <si>
    <t>Hohholz</t>
  </si>
  <si>
    <t>Eckenberg</t>
  </si>
  <si>
    <t>Rennhofen</t>
  </si>
  <si>
    <t>Buchklingen</t>
  </si>
  <si>
    <t>Schauerberg</t>
  </si>
  <si>
    <t>Mausdorf</t>
  </si>
  <si>
    <t>Pirkach</t>
  </si>
  <si>
    <t>Neidhardswinden</t>
  </si>
  <si>
    <t>Wilhelmsdorf</t>
  </si>
  <si>
    <t>Hagenbüchach</t>
  </si>
  <si>
    <t>Bräuersdorf</t>
  </si>
  <si>
    <t>Markt Erlbach</t>
  </si>
  <si>
    <t>Klausaurach</t>
  </si>
  <si>
    <t>Buchen</t>
  </si>
  <si>
    <t>Losaurach</t>
  </si>
  <si>
    <t>Kotzenaurach</t>
  </si>
  <si>
    <t>Siedelbach</t>
  </si>
  <si>
    <t>Jobstgreuth</t>
  </si>
  <si>
    <t>Linden</t>
  </si>
  <si>
    <t>Altselingsbach</t>
  </si>
  <si>
    <t>Trautskirchen</t>
  </si>
  <si>
    <t>Neuhof a.d.Zenn</t>
  </si>
  <si>
    <t>Neuziegenrück</t>
  </si>
  <si>
    <t>Oberfeldbrecht</t>
  </si>
  <si>
    <t>Hirschneuses</t>
  </si>
  <si>
    <t>Wilhermsdorf</t>
  </si>
  <si>
    <t>Dippoldsberg</t>
  </si>
  <si>
    <t>Katterbach</t>
  </si>
  <si>
    <t>Kirchfarrnbach</t>
  </si>
  <si>
    <t>Langenzenn</t>
  </si>
  <si>
    <t>Laubendorf</t>
  </si>
  <si>
    <t>Kirchfembach</t>
  </si>
  <si>
    <t>Keidenzell</t>
  </si>
  <si>
    <t>Puschendorf</t>
  </si>
  <si>
    <t>Tuchenbach</t>
  </si>
  <si>
    <t>Veitsbronn</t>
  </si>
  <si>
    <t>Obermichelbach</t>
  </si>
  <si>
    <t>Seukendorf</t>
  </si>
  <si>
    <t>Vach</t>
  </si>
  <si>
    <t>Stadeln</t>
  </si>
  <si>
    <t>Sack</t>
  </si>
  <si>
    <t>Burgfarrnbach</t>
  </si>
  <si>
    <t>Unterfarrnbach</t>
  </si>
  <si>
    <t>Ronhof</t>
  </si>
  <si>
    <t>Fürther Stadtwald</t>
  </si>
  <si>
    <t>Dambach</t>
  </si>
  <si>
    <t>Cadolzburg</t>
  </si>
  <si>
    <t>Roßendorf</t>
  </si>
  <si>
    <t>Deberndorf</t>
  </si>
  <si>
    <t>Zirndorf</t>
  </si>
  <si>
    <t>Bronnamberg</t>
  </si>
  <si>
    <t>Weinzierlein</t>
  </si>
  <si>
    <t>Leichendorf</t>
  </si>
  <si>
    <t>Oberasbach</t>
  </si>
  <si>
    <t>Großhabersdorf</t>
  </si>
  <si>
    <t>Unterschlauersbach</t>
  </si>
  <si>
    <t>Fernabrünst</t>
  </si>
  <si>
    <t>Ammerndorf</t>
  </si>
  <si>
    <t>Roßtal</t>
  </si>
  <si>
    <t>Weitersdorf</t>
  </si>
  <si>
    <t>Buchschwabach</t>
  </si>
  <si>
    <t>Großweismannsdorf</t>
  </si>
  <si>
    <t>Stein</t>
  </si>
  <si>
    <t>Gutzberg</t>
  </si>
  <si>
    <t>Almoshof</t>
  </si>
  <si>
    <t>Altdorf b.Nürnberg</t>
  </si>
  <si>
    <t>Altenthann</t>
  </si>
  <si>
    <t>Behringersdorf</t>
  </si>
  <si>
    <t>Boxdorf</t>
  </si>
  <si>
    <t>Burgthann</t>
  </si>
  <si>
    <t>Diepersdorf</t>
  </si>
  <si>
    <t>Dörlbach</t>
  </si>
  <si>
    <t>Eibach</t>
  </si>
  <si>
    <t>Eibacher Forst</t>
  </si>
  <si>
    <t>Eismannsberg</t>
  </si>
  <si>
    <t>Entenberg</t>
  </si>
  <si>
    <t>Erlenstegen</t>
  </si>
  <si>
    <t>Ezelsdorf</t>
  </si>
  <si>
    <t>Feucht</t>
  </si>
  <si>
    <t>Fischbach b.Nürnberg</t>
  </si>
  <si>
    <t>Gärten b.Wöhrd</t>
  </si>
  <si>
    <t>Gärten h.d.Veste</t>
  </si>
  <si>
    <t>Galgenhof</t>
  </si>
  <si>
    <t>Gersdorf</t>
  </si>
  <si>
    <t>Gibitzenhof</t>
  </si>
  <si>
    <t>Gleißhammer</t>
  </si>
  <si>
    <t>Gostenhof</t>
  </si>
  <si>
    <t>Großgründlach</t>
  </si>
  <si>
    <t>Großreuth b.Schweinau</t>
  </si>
  <si>
    <t>Großreuth h.d.Veste</t>
  </si>
  <si>
    <t>Grünsberg</t>
  </si>
  <si>
    <t>Hagenhausen</t>
  </si>
  <si>
    <t>St.Johannis</t>
  </si>
  <si>
    <t>Katzwang</t>
  </si>
  <si>
    <t>Kleinreuth h.d.Veste</t>
  </si>
  <si>
    <t>Kleinweidenmühle</t>
  </si>
  <si>
    <t>Kornburg</t>
  </si>
  <si>
    <t>Kraftshof</t>
  </si>
  <si>
    <t>Langwasser</t>
  </si>
  <si>
    <t>Laufamholz</t>
  </si>
  <si>
    <t>Leinburg</t>
  </si>
  <si>
    <t>Lindelburg</t>
  </si>
  <si>
    <t>Lohe</t>
  </si>
  <si>
    <t>Mögeldorf</t>
  </si>
  <si>
    <t>Mühlhof</t>
  </si>
  <si>
    <t>Neunhof</t>
  </si>
  <si>
    <t>Nürnberg-Lorenz</t>
  </si>
  <si>
    <t>Nürnberg-Sebald</t>
  </si>
  <si>
    <t>Oberferrieden</t>
  </si>
  <si>
    <t>Oberhaidelbach</t>
  </si>
  <si>
    <t>Penzenhofen</t>
  </si>
  <si>
    <t>St.Peter</t>
  </si>
  <si>
    <t>Pühlheim</t>
  </si>
  <si>
    <t>Rasch</t>
  </si>
  <si>
    <t>Reichelsdorf</t>
  </si>
  <si>
    <t>Rennweg</t>
  </si>
  <si>
    <t>Röthenbach b.Altdorf</t>
  </si>
  <si>
    <t>Röthenbach b.Schweinau</t>
  </si>
  <si>
    <t>Schnepfenreuth</t>
  </si>
  <si>
    <t>Schniegling</t>
  </si>
  <si>
    <t>Schoppershof</t>
  </si>
  <si>
    <t>Schwaig b.Nürnberg</t>
  </si>
  <si>
    <t>Schwarzenbruck</t>
  </si>
  <si>
    <t>Schweinau</t>
  </si>
  <si>
    <t>Steinbühl</t>
  </si>
  <si>
    <t>Sündersbühl</t>
  </si>
  <si>
    <t>Tafelhof</t>
  </si>
  <si>
    <t>Thon</t>
  </si>
  <si>
    <t>Unterferrieden</t>
  </si>
  <si>
    <t>Unterhaidelbach</t>
  </si>
  <si>
    <t>Wetzendorf</t>
  </si>
  <si>
    <t>Wöhrd</t>
  </si>
  <si>
    <t>Worzeldorf</t>
  </si>
  <si>
    <t>Ziegelstein</t>
  </si>
  <si>
    <t>Engelthaler Forst</t>
  </si>
  <si>
    <t>Feuchter Forst</t>
  </si>
  <si>
    <t>Forsthof</t>
  </si>
  <si>
    <t>Haimendorfer Forst</t>
  </si>
  <si>
    <t>Laufamholzer Forst</t>
  </si>
  <si>
    <t>Zerzabelshofer Forst</t>
  </si>
  <si>
    <t>Alfalter</t>
  </si>
  <si>
    <t>Alfeld</t>
  </si>
  <si>
    <t>Algersdorf</t>
  </si>
  <si>
    <t>Altensittenbach</t>
  </si>
  <si>
    <t>Artelshofen</t>
  </si>
  <si>
    <t>Arzlohe</t>
  </si>
  <si>
    <t>Aspertshofen</t>
  </si>
  <si>
    <t>Behringersdorfer Forst</t>
  </si>
  <si>
    <t>Bondorf</t>
  </si>
  <si>
    <t>Bullach</t>
  </si>
  <si>
    <t>Dehnberg</t>
  </si>
  <si>
    <t>Diepoltsdorf</t>
  </si>
  <si>
    <t>Ellenbach</t>
  </si>
  <si>
    <t>Engelthal</t>
  </si>
  <si>
    <t>Enzendorf</t>
  </si>
  <si>
    <t>Förrenbach</t>
  </si>
  <si>
    <t>Freiröttenbach</t>
  </si>
  <si>
    <t>Germersberg</t>
  </si>
  <si>
    <t>Großbellhofen</t>
  </si>
  <si>
    <t>Großengsee</t>
  </si>
  <si>
    <t>Grünreuth</t>
  </si>
  <si>
    <t>Günthersbühl</t>
  </si>
  <si>
    <t>Günthersbühler Forst</t>
  </si>
  <si>
    <t>Haidling</t>
  </si>
  <si>
    <t>Haimendorf</t>
  </si>
  <si>
    <t>Happurg</t>
  </si>
  <si>
    <t>Hartenstein</t>
  </si>
  <si>
    <t>Hartmannshof</t>
  </si>
  <si>
    <t>Hedersdorf</t>
  </si>
  <si>
    <t>Heldmannsberg</t>
  </si>
  <si>
    <t>Henfenfeld</t>
  </si>
  <si>
    <t>Hersbruck</t>
  </si>
  <si>
    <t>Heuchling</t>
  </si>
  <si>
    <t>Hohenstadt</t>
  </si>
  <si>
    <t>Hormersdorf</t>
  </si>
  <si>
    <t>Hubmersberg</t>
  </si>
  <si>
    <t>Hüttenbach</t>
  </si>
  <si>
    <t>Kainsbach</t>
  </si>
  <si>
    <t>Kirchensittenbach</t>
  </si>
  <si>
    <t>Kirchröttenbach</t>
  </si>
  <si>
    <t>Kleedorf</t>
  </si>
  <si>
    <t>Krottensee</t>
  </si>
  <si>
    <t>Kruppach</t>
  </si>
  <si>
    <t>Kucha</t>
  </si>
  <si>
    <t>Lauf a.d.Pegnitz</t>
  </si>
  <si>
    <t>Neuhaus a.d.Pegnitz</t>
  </si>
  <si>
    <t>Neunkirchen a.Sand</t>
  </si>
  <si>
    <t>Oberkrumbach</t>
  </si>
  <si>
    <t>Oedenberg</t>
  </si>
  <si>
    <t>Offenhausen</t>
  </si>
  <si>
    <t>Osternohe</t>
  </si>
  <si>
    <t>Ottensoos</t>
  </si>
  <si>
    <t>Pollanden</t>
  </si>
  <si>
    <t>Pommelsbrunn</t>
  </si>
  <si>
    <t>Rabenshof</t>
  </si>
  <si>
    <t>Reichenschwand</t>
  </si>
  <si>
    <t>Röthenbach a.d.Pegnitz</t>
  </si>
  <si>
    <t>Rollhofen</t>
  </si>
  <si>
    <t>Rothenbruck</t>
  </si>
  <si>
    <t>Rückersdorf</t>
  </si>
  <si>
    <t>Rückersdorfer Forst</t>
  </si>
  <si>
    <t>Schnaittach</t>
  </si>
  <si>
    <t>Schönberg</t>
  </si>
  <si>
    <t>Siegersdorf</t>
  </si>
  <si>
    <t>Simmelsdorf</t>
  </si>
  <si>
    <t>Simonshofen</t>
  </si>
  <si>
    <t>Speikern</t>
  </si>
  <si>
    <t>Thalheim</t>
  </si>
  <si>
    <t>Treuf</t>
  </si>
  <si>
    <t>Utzmannsbach</t>
  </si>
  <si>
    <t>Velden</t>
  </si>
  <si>
    <t>Veldershof</t>
  </si>
  <si>
    <t>Viehhofen</t>
  </si>
  <si>
    <t>Vorra</t>
  </si>
  <si>
    <t>Wallsdorf</t>
  </si>
  <si>
    <t>Weigenhofen</t>
  </si>
  <si>
    <t>Wildenfels</t>
  </si>
  <si>
    <t>Püscheldorf</t>
  </si>
  <si>
    <t>Streudorf</t>
  </si>
  <si>
    <t>Wald</t>
  </si>
  <si>
    <t>Laubenzedel</t>
  </si>
  <si>
    <t>Schlungenhof</t>
  </si>
  <si>
    <t>Gunzenhausen</t>
  </si>
  <si>
    <t>Frickenfelden</t>
  </si>
  <si>
    <t>Cronheim</t>
  </si>
  <si>
    <t>Unterwurmbach</t>
  </si>
  <si>
    <t>Aha</t>
  </si>
  <si>
    <t>Nordstetten</t>
  </si>
  <si>
    <t>Pflaumfeld</t>
  </si>
  <si>
    <t>Unterasbach</t>
  </si>
  <si>
    <t>Altenmuhr</t>
  </si>
  <si>
    <t>Neuenmuhr</t>
  </si>
  <si>
    <t>Obererlbach</t>
  </si>
  <si>
    <t>Gräfensteinberg</t>
  </si>
  <si>
    <t>Kalbensteinberg</t>
  </si>
  <si>
    <t>Absberg</t>
  </si>
  <si>
    <t>Pfofeld</t>
  </si>
  <si>
    <t>Thannhausen</t>
  </si>
  <si>
    <t>Wachstein</t>
  </si>
  <si>
    <t>Theilenhofen</t>
  </si>
  <si>
    <t>Gundelsheim a.d.Altmühl</t>
  </si>
  <si>
    <t>Sausenhofen</t>
  </si>
  <si>
    <t>Windsfeld</t>
  </si>
  <si>
    <t>Sammenheim</t>
  </si>
  <si>
    <t>Dittenheim</t>
  </si>
  <si>
    <t>Kurzenaltheim</t>
  </si>
  <si>
    <t>Meinheim</t>
  </si>
  <si>
    <t>Wachenhofen</t>
  </si>
  <si>
    <t>Alesheim</t>
  </si>
  <si>
    <t>Trommetsheim</t>
  </si>
  <si>
    <t>Markt Berolzheim</t>
  </si>
  <si>
    <t>Gnotzheim</t>
  </si>
  <si>
    <t>Hüssingen</t>
  </si>
  <si>
    <t>Heidenheim</t>
  </si>
  <si>
    <t>Hohentrüdingen</t>
  </si>
  <si>
    <t>Hechlingen a.See</t>
  </si>
  <si>
    <t>Degersheim</t>
  </si>
  <si>
    <t>Ursheim</t>
  </si>
  <si>
    <t>Döckingen</t>
  </si>
  <si>
    <t>Trendel</t>
  </si>
  <si>
    <t>Polsingen</t>
  </si>
  <si>
    <t>Langfurth</t>
  </si>
  <si>
    <t>Ammelbruch</t>
  </si>
  <si>
    <t>Dorfkemmathen</t>
  </si>
  <si>
    <t>Beyerberg</t>
  </si>
  <si>
    <t>Ehingen</t>
  </si>
  <si>
    <t>Lentersheim</t>
  </si>
  <si>
    <t>Dennenlohe</t>
  </si>
  <si>
    <t>Oberschwaningen</t>
  </si>
  <si>
    <t>Unterschwaningen</t>
  </si>
  <si>
    <t>Kröttenbach</t>
  </si>
  <si>
    <t>Dühren</t>
  </si>
  <si>
    <t>Untermichelbach</t>
  </si>
  <si>
    <t>Illenschwang</t>
  </si>
  <si>
    <t>Wittelshofen</t>
  </si>
  <si>
    <t>Gerolfingen</t>
  </si>
  <si>
    <t>Aufkirchen</t>
  </si>
  <si>
    <t>Irsingen</t>
  </si>
  <si>
    <t>Röckingen</t>
  </si>
  <si>
    <t>Knittelsbach</t>
  </si>
  <si>
    <t>Diederstetten</t>
  </si>
  <si>
    <t>Mönchsroth</t>
  </si>
  <si>
    <t>Wilburgstetten</t>
  </si>
  <si>
    <t>Wittenbach</t>
  </si>
  <si>
    <t>Greiselbach</t>
  </si>
  <si>
    <t>Rühlingstetten</t>
  </si>
  <si>
    <t>Wörnitzhofen</t>
  </si>
  <si>
    <t>Frankenhofen</t>
  </si>
  <si>
    <t>Weiltingen</t>
  </si>
  <si>
    <t>Veitsweiler</t>
  </si>
  <si>
    <t>Wassertrüdingen</t>
  </si>
  <si>
    <t>Altentrüdingen</t>
  </si>
  <si>
    <t>Obermögersheim</t>
  </si>
  <si>
    <t>Schobdach</t>
  </si>
  <si>
    <t>Geilsheim</t>
  </si>
  <si>
    <t>Fürnheim</t>
  </si>
  <si>
    <t>Allmannsdorf</t>
  </si>
  <si>
    <t>Stirn</t>
  </si>
  <si>
    <t>Ramsberg am Brombachsee</t>
  </si>
  <si>
    <t>Dorsbrunn</t>
  </si>
  <si>
    <t>Sankt Veit</t>
  </si>
  <si>
    <t>Pleinfeld</t>
  </si>
  <si>
    <t>Mischelbach</t>
  </si>
  <si>
    <t>Mannholz</t>
  </si>
  <si>
    <t>Walting</t>
  </si>
  <si>
    <t>Stopfenheim</t>
  </si>
  <si>
    <t>Massenbach</t>
  </si>
  <si>
    <t>Ellingen</t>
  </si>
  <si>
    <t>Fiegenstall</t>
  </si>
  <si>
    <t>Weiboldshausen</t>
  </si>
  <si>
    <t>Ettenstatt</t>
  </si>
  <si>
    <t>Reuth unter Neuhaus</t>
  </si>
  <si>
    <t>Hundsdorf</t>
  </si>
  <si>
    <t>Geyern</t>
  </si>
  <si>
    <t>Bergen</t>
  </si>
  <si>
    <t>Thalmannsfeld</t>
  </si>
  <si>
    <t>Kaltenbuch</t>
  </si>
  <si>
    <t>Indernbuch</t>
  </si>
  <si>
    <t>Pfraunfeld</t>
  </si>
  <si>
    <t>Burgsalach</t>
  </si>
  <si>
    <t>Nennslingen</t>
  </si>
  <si>
    <t>Wengen</t>
  </si>
  <si>
    <t>Biburg</t>
  </si>
  <si>
    <t>Bechthal</t>
  </si>
  <si>
    <t>Raitenbucher Forst</t>
  </si>
  <si>
    <t>Raitenbuch</t>
  </si>
  <si>
    <t>Reuth a.Wald</t>
  </si>
  <si>
    <t>Weimersheim</t>
  </si>
  <si>
    <t>Weißenburg i.Bay.</t>
  </si>
  <si>
    <t>Wülzburg</t>
  </si>
  <si>
    <t>Oberhochstatt</t>
  </si>
  <si>
    <t>Kattenhochstatt</t>
  </si>
  <si>
    <t>Holzingen</t>
  </si>
  <si>
    <t>Emetzheim</t>
  </si>
  <si>
    <t>Dettenheim</t>
  </si>
  <si>
    <t>Haardt</t>
  </si>
  <si>
    <t>Suffersheim</t>
  </si>
  <si>
    <t>Wettelsheim</t>
  </si>
  <si>
    <t>Bubenheim</t>
  </si>
  <si>
    <t>Grönhart</t>
  </si>
  <si>
    <t>Graben</t>
  </si>
  <si>
    <t>Auernheim</t>
  </si>
  <si>
    <t>Windischhausen</t>
  </si>
  <si>
    <t>Treuchtlingen</t>
  </si>
  <si>
    <t>Schambach</t>
  </si>
  <si>
    <t>Möhren</t>
  </si>
  <si>
    <t>Haag b.Treuchtlingen</t>
  </si>
  <si>
    <t>Dietfurt i.MFr.</t>
  </si>
  <si>
    <t>Osterdorf</t>
  </si>
  <si>
    <t>Geislohe</t>
  </si>
  <si>
    <t>Pappenheim</t>
  </si>
  <si>
    <t>Göhren</t>
  </si>
  <si>
    <t>Bieswang</t>
  </si>
  <si>
    <t>Übermatzhofen</t>
  </si>
  <si>
    <t>Ochsenhart</t>
  </si>
  <si>
    <t>Rehlingen</t>
  </si>
  <si>
    <t>Büttelbronn</t>
  </si>
  <si>
    <t>Langenaltheim</t>
  </si>
  <si>
    <t>Oberholz</t>
  </si>
  <si>
    <t>Solnhofen</t>
  </si>
  <si>
    <t>Eßlingen</t>
  </si>
  <si>
    <t>Abenberg</t>
  </si>
  <si>
    <t>Abenberger Wald</t>
  </si>
  <si>
    <t>Aberzhausen</t>
  </si>
  <si>
    <t>Alfershausen</t>
  </si>
  <si>
    <t>Allersberg</t>
  </si>
  <si>
    <t>Altenfelden</t>
  </si>
  <si>
    <t>Aue</t>
  </si>
  <si>
    <t>Aurau</t>
  </si>
  <si>
    <t>Barthelmesaurach</t>
  </si>
  <si>
    <t>Belmbrach</t>
  </si>
  <si>
    <t>Bernlohe</t>
  </si>
  <si>
    <t>Brunnau</t>
  </si>
  <si>
    <t>Dixenhausen</t>
  </si>
  <si>
    <t>Dürrenmungenau</t>
  </si>
  <si>
    <t>Ebenried</t>
  </si>
  <si>
    <t>Eckersmühlen</t>
  </si>
  <si>
    <t>Enderndorf am See</t>
  </si>
  <si>
    <t>Esselberg</t>
  </si>
  <si>
    <t>Euerwang</t>
  </si>
  <si>
    <t>Eysölden</t>
  </si>
  <si>
    <t>Forst Kleinschwarzenlohe</t>
  </si>
  <si>
    <t>Fünfbronn</t>
  </si>
  <si>
    <t>Georgensgmünd</t>
  </si>
  <si>
    <t>Göggelsbuch</t>
  </si>
  <si>
    <t>Grafenberg</t>
  </si>
  <si>
    <t>Greding</t>
  </si>
  <si>
    <t>Großhöbing</t>
  </si>
  <si>
    <t>Großschwarzenlohe</t>
  </si>
  <si>
    <t>Großweingarten</t>
  </si>
  <si>
    <t>Günzersreuth</t>
  </si>
  <si>
    <t>Gustenfelden</t>
  </si>
  <si>
    <t>Hagenbuch</t>
  </si>
  <si>
    <t>Hagenich</t>
  </si>
  <si>
    <t>Harrlach</t>
  </si>
  <si>
    <t>Heideck</t>
  </si>
  <si>
    <t>Heimbach</t>
  </si>
  <si>
    <t>Herrnsberg</t>
  </si>
  <si>
    <t>Hilpoltstein</t>
  </si>
  <si>
    <t>Jahrsdorf</t>
  </si>
  <si>
    <t>Kaising</t>
  </si>
  <si>
    <t>Kammerstein</t>
  </si>
  <si>
    <t>Karm</t>
  </si>
  <si>
    <t>Kleinhöbing</t>
  </si>
  <si>
    <t>Kleinnottersdorf</t>
  </si>
  <si>
    <t>Kleinschwarzenlohe</t>
  </si>
  <si>
    <t>Kraftsbuch</t>
  </si>
  <si>
    <t>Laffenau</t>
  </si>
  <si>
    <t>Laibstadt</t>
  </si>
  <si>
    <t>Lampersdorf</t>
  </si>
  <si>
    <t>Landersdorf</t>
  </si>
  <si>
    <t>Landerzhofen</t>
  </si>
  <si>
    <t>Lay</t>
  </si>
  <si>
    <t>Leerstetten</t>
  </si>
  <si>
    <t>Liebenstadt</t>
  </si>
  <si>
    <t>Lohen</t>
  </si>
  <si>
    <t>Mäbenberg</t>
  </si>
  <si>
    <t>Meckenhausen</t>
  </si>
  <si>
    <t>Mettendorf</t>
  </si>
  <si>
    <t>Mindorf</t>
  </si>
  <si>
    <t>Mühlstetten</t>
  </si>
  <si>
    <t>Obermässing</t>
  </si>
  <si>
    <t>Obersteinbach ob Gmünd</t>
  </si>
  <si>
    <t>Österberg</t>
  </si>
  <si>
    <t>Offenbau</t>
  </si>
  <si>
    <t>Ohlangen</t>
  </si>
  <si>
    <t>Ottersdorf</t>
  </si>
  <si>
    <t>Patersholz</t>
  </si>
  <si>
    <t>Penzendorf</t>
  </si>
  <si>
    <t>Petersgmünd</t>
  </si>
  <si>
    <t>Pierheim</t>
  </si>
  <si>
    <t>Prünst</t>
  </si>
  <si>
    <t>Pyras</t>
  </si>
  <si>
    <t>Raubersried</t>
  </si>
  <si>
    <t>Rednitzhembach</t>
  </si>
  <si>
    <t>Regelsbach</t>
  </si>
  <si>
    <t>Reinwarzhofen</t>
  </si>
  <si>
    <t>Rittersbach</t>
  </si>
  <si>
    <t>Röckenhofen</t>
  </si>
  <si>
    <t>Röthenbach b.Sankt Wolfgang</t>
  </si>
  <si>
    <t>Rohr</t>
  </si>
  <si>
    <t>Rothaurach</t>
  </si>
  <si>
    <t>Rudletzholz</t>
  </si>
  <si>
    <t>Ruppmannsburg</t>
  </si>
  <si>
    <t>Schloßberg</t>
  </si>
  <si>
    <t>Schutzendorf</t>
  </si>
  <si>
    <t>Schwand b.Nürnberg</t>
  </si>
  <si>
    <t>Schwimbach</t>
  </si>
  <si>
    <t>Selingstadt</t>
  </si>
  <si>
    <t>Sindersdorf</t>
  </si>
  <si>
    <t>Solar</t>
  </si>
  <si>
    <t>Spalt</t>
  </si>
  <si>
    <t>Stauf</t>
  </si>
  <si>
    <t>Thalmässing</t>
  </si>
  <si>
    <t>Untermässing</t>
  </si>
  <si>
    <t>Tiefenbach</t>
  </si>
  <si>
    <t>Wallesau</t>
  </si>
  <si>
    <t>Unterrödel</t>
  </si>
  <si>
    <t>Waizenhofen</t>
  </si>
  <si>
    <t>Walpersdorf</t>
  </si>
  <si>
    <t>Wassermungenau</t>
  </si>
  <si>
    <t>Weinsfeld</t>
  </si>
  <si>
    <t>Wendelstein</t>
  </si>
  <si>
    <t>Wernfels</t>
  </si>
  <si>
    <t>Wolkersdorf</t>
  </si>
  <si>
    <t>Litterzhofen</t>
  </si>
  <si>
    <t>Biberbach</t>
  </si>
  <si>
    <t>Kevenhüll</t>
  </si>
  <si>
    <t>Wiesenhofen</t>
  </si>
  <si>
    <t>Hirschberg</t>
  </si>
  <si>
    <t>Beilngries</t>
  </si>
  <si>
    <t>Kottingwörth</t>
  </si>
  <si>
    <t>Paulushofen</t>
  </si>
  <si>
    <t>Irfersdorf</t>
  </si>
  <si>
    <t>Neuzell</t>
  </si>
  <si>
    <t>Amtmannsdorf</t>
  </si>
  <si>
    <t>Aschbuch</t>
  </si>
  <si>
    <t>Eglofsdorf</t>
  </si>
  <si>
    <t>Wolfsbuch</t>
  </si>
  <si>
    <t>Grampersdorf</t>
  </si>
  <si>
    <t>Arnbuch</t>
  </si>
  <si>
    <t>Großnottersdorf</t>
  </si>
  <si>
    <t>Mantlach</t>
  </si>
  <si>
    <t>Morsbach</t>
  </si>
  <si>
    <t>Kesselberg</t>
  </si>
  <si>
    <t>Titting</t>
  </si>
  <si>
    <t>Emsing</t>
  </si>
  <si>
    <t>Altdorf</t>
  </si>
  <si>
    <t>Kaldorf</t>
  </si>
  <si>
    <t>Erkertshofen</t>
  </si>
  <si>
    <t>Petersbuch</t>
  </si>
  <si>
    <t>Haunstetten</t>
  </si>
  <si>
    <t>Badanhausen</t>
  </si>
  <si>
    <t>Kirchanhausen</t>
  </si>
  <si>
    <t>Erlingshofen</t>
  </si>
  <si>
    <t>Berletzhausen</t>
  </si>
  <si>
    <t>Enkering</t>
  </si>
  <si>
    <t>Kinding</t>
  </si>
  <si>
    <t>Pfraundorf</t>
  </si>
  <si>
    <t>Unteremmendorf</t>
  </si>
  <si>
    <t>Schafhausen</t>
  </si>
  <si>
    <t>Ilbling</t>
  </si>
  <si>
    <t>Hirnstetten</t>
  </si>
  <si>
    <t>Pfahldorf</t>
  </si>
  <si>
    <t>Kipfenberg</t>
  </si>
  <si>
    <t>Kemathen</t>
  </si>
  <si>
    <t>Irlahüll</t>
  </si>
  <si>
    <t>Oberemmendorf</t>
  </si>
  <si>
    <t>Grösdorf</t>
  </si>
  <si>
    <t>Böhming</t>
  </si>
  <si>
    <t>Arnsberg</t>
  </si>
  <si>
    <t>Attenzell</t>
  </si>
  <si>
    <t>Krut</t>
  </si>
  <si>
    <t>Dunsdorf</t>
  </si>
  <si>
    <t>Biberg</t>
  </si>
  <si>
    <t>Schelldorf</t>
  </si>
  <si>
    <t>Workerszell</t>
  </si>
  <si>
    <t>Schernfeld</t>
  </si>
  <si>
    <t>Langensallach</t>
  </si>
  <si>
    <t>Sappenfeld</t>
  </si>
  <si>
    <t>Schönau</t>
  </si>
  <si>
    <t>Seuversholz</t>
  </si>
  <si>
    <t>Pollenfeld</t>
  </si>
  <si>
    <t>Wachenzell</t>
  </si>
  <si>
    <t>Sornhüll</t>
  </si>
  <si>
    <t>Weigersdorf</t>
  </si>
  <si>
    <t>Preith</t>
  </si>
  <si>
    <t>Rapperszell</t>
  </si>
  <si>
    <t>Rieshofen</t>
  </si>
  <si>
    <t>Isenbrunn</t>
  </si>
  <si>
    <t>Pfalzpaint</t>
  </si>
  <si>
    <t>Gungolding</t>
  </si>
  <si>
    <t>Inching</t>
  </si>
  <si>
    <t>Pfünz</t>
  </si>
  <si>
    <t>Gelbelsee</t>
  </si>
  <si>
    <t>Dörndorf</t>
  </si>
  <si>
    <t>Bitz</t>
  </si>
  <si>
    <t>Denkendorf</t>
  </si>
  <si>
    <t>Altenberg</t>
  </si>
  <si>
    <t>Zandt</t>
  </si>
  <si>
    <t>Wintershof</t>
  </si>
  <si>
    <t>Buchenhüll</t>
  </si>
  <si>
    <t>Marienstein</t>
  </si>
  <si>
    <t>Landershofen</t>
  </si>
  <si>
    <t>Wasserzell</t>
  </si>
  <si>
    <t>Park</t>
  </si>
  <si>
    <t>Oberzell</t>
  </si>
  <si>
    <t>Hitzhofen</t>
  </si>
  <si>
    <t>Böhmfeld</t>
  </si>
  <si>
    <t>Tauberfeld</t>
  </si>
  <si>
    <t>Buxheim</t>
  </si>
  <si>
    <t>Eitensheim</t>
  </si>
  <si>
    <t>Mühlheim</t>
  </si>
  <si>
    <t>Mörnsheim</t>
  </si>
  <si>
    <t>Haunsfeld</t>
  </si>
  <si>
    <t>Ensfeld</t>
  </si>
  <si>
    <t>Eberswang</t>
  </si>
  <si>
    <t>Obereichstätt</t>
  </si>
  <si>
    <t>Dollnstein</t>
  </si>
  <si>
    <t>Breitenfurt</t>
  </si>
  <si>
    <t>Pietenfeld</t>
  </si>
  <si>
    <t>Adelschlag</t>
  </si>
  <si>
    <t>Ochsenfeld</t>
  </si>
  <si>
    <t>Möckenlohe</t>
  </si>
  <si>
    <t>Wolkertshofen</t>
  </si>
  <si>
    <t>Nassenfels</t>
  </si>
  <si>
    <t>Meilenhofen</t>
  </si>
  <si>
    <t>Egweil</t>
  </si>
  <si>
    <t>Konstein</t>
  </si>
  <si>
    <t>Biesenhard</t>
  </si>
  <si>
    <t>Wellheim</t>
  </si>
  <si>
    <t>Gammersfeld</t>
  </si>
  <si>
    <t>Kondrau</t>
  </si>
  <si>
    <t>Konnersreuth</t>
  </si>
  <si>
    <t>Waldsassen</t>
  </si>
  <si>
    <t>Querenbach</t>
  </si>
  <si>
    <t>Kössain</t>
  </si>
  <si>
    <t>Rodenzenreuth</t>
  </si>
  <si>
    <t>Waldershof</t>
  </si>
  <si>
    <t>Lengenfeld b.Groschlattengrün</t>
  </si>
  <si>
    <t>Walbenreuth</t>
  </si>
  <si>
    <t>Hohenhard</t>
  </si>
  <si>
    <t>Pleußen</t>
  </si>
  <si>
    <t>Groschlattengrün</t>
  </si>
  <si>
    <t>Pechbrunn</t>
  </si>
  <si>
    <t>Mitterteich</t>
  </si>
  <si>
    <t>Leonberg</t>
  </si>
  <si>
    <t>Pfaffenreuth</t>
  </si>
  <si>
    <t>Großensees</t>
  </si>
  <si>
    <t>Großensterz</t>
  </si>
  <si>
    <t>Wernersreuth</t>
  </si>
  <si>
    <t>Ottengrün</t>
  </si>
  <si>
    <t>Neualbenreuth</t>
  </si>
  <si>
    <t>Fuchsmühl</t>
  </si>
  <si>
    <t>Wiesau</t>
  </si>
  <si>
    <t>Schönhaid</t>
  </si>
  <si>
    <t>Bärnhöhe</t>
  </si>
  <si>
    <t>Friedenfels</t>
  </si>
  <si>
    <t>Voitenthan</t>
  </si>
  <si>
    <t>Gumpen</t>
  </si>
  <si>
    <t>Falkenberg</t>
  </si>
  <si>
    <t>Pfaben</t>
  </si>
  <si>
    <t>Wetzldorf</t>
  </si>
  <si>
    <t>Erbendorf</t>
  </si>
  <si>
    <t>Hauxdorf</t>
  </si>
  <si>
    <t>Wildenreuth</t>
  </si>
  <si>
    <t>Thumsenreuth</t>
  </si>
  <si>
    <t>Krummennaab</t>
  </si>
  <si>
    <t>Sassenhof</t>
  </si>
  <si>
    <t>Trautenberg</t>
  </si>
  <si>
    <t>Röthenbach a.Steinwald</t>
  </si>
  <si>
    <t>Reuth b.Erbendorf</t>
  </si>
  <si>
    <t>Rosall</t>
  </si>
  <si>
    <t>Wondreb</t>
  </si>
  <si>
    <t>Pilmersreuth a.Wald</t>
  </si>
  <si>
    <t>Großklenau</t>
  </si>
  <si>
    <t>Hohenwald</t>
  </si>
  <si>
    <t>Matzersreuth</t>
  </si>
  <si>
    <t>Lengenfeld b.Tirschenreuth</t>
  </si>
  <si>
    <t>Großkonreuth</t>
  </si>
  <si>
    <t>Dippersreuth</t>
  </si>
  <si>
    <t>Griesbach</t>
  </si>
  <si>
    <t>Ellenfeld</t>
  </si>
  <si>
    <t>Bärnau</t>
  </si>
  <si>
    <t>Hohenthan</t>
  </si>
  <si>
    <t>Thanhausen</t>
  </si>
  <si>
    <t>Liebenstein</t>
  </si>
  <si>
    <t>Betzenmühle</t>
  </si>
  <si>
    <t>Schönficht</t>
  </si>
  <si>
    <t>Beidl</t>
  </si>
  <si>
    <t>Schönkirch</t>
  </si>
  <si>
    <t>Wildenau</t>
  </si>
  <si>
    <t>Plößberg</t>
  </si>
  <si>
    <t>Ebnath</t>
  </si>
  <si>
    <t>Neusorg</t>
  </si>
  <si>
    <t>Riglasreuth</t>
  </si>
  <si>
    <t>Höll u.Haid</t>
  </si>
  <si>
    <t>Langentheilen</t>
  </si>
  <si>
    <t>Dechantsees</t>
  </si>
  <si>
    <t>Pullenreuth</t>
  </si>
  <si>
    <t>Lochau</t>
  </si>
  <si>
    <t>Trevesen</t>
  </si>
  <si>
    <t>Neuköslarn</t>
  </si>
  <si>
    <t>Punreuth</t>
  </si>
  <si>
    <t>Immenreuth</t>
  </si>
  <si>
    <t>Lenau</t>
  </si>
  <si>
    <t>Oberbruck</t>
  </si>
  <si>
    <t>Kulmain</t>
  </si>
  <si>
    <t>Zinst</t>
  </si>
  <si>
    <t>Oberwappenöst</t>
  </si>
  <si>
    <t>Kötzersdorf</t>
  </si>
  <si>
    <t>Schlackenhof</t>
  </si>
  <si>
    <t>Höflas</t>
  </si>
  <si>
    <t>Kemnath</t>
  </si>
  <si>
    <t>Eisersdorf</t>
  </si>
  <si>
    <t>Schönreuth</t>
  </si>
  <si>
    <t>Zwergau</t>
  </si>
  <si>
    <t>Fortschau</t>
  </si>
  <si>
    <t>Kaibitz</t>
  </si>
  <si>
    <t>Löschwitz</t>
  </si>
  <si>
    <t>Atzmannsberg</t>
  </si>
  <si>
    <t>Reuth b.Kastl</t>
  </si>
  <si>
    <t>Wolframshof</t>
  </si>
  <si>
    <t>Kastl</t>
  </si>
  <si>
    <t>Unterbruck</t>
  </si>
  <si>
    <t>Thurndorf</t>
  </si>
  <si>
    <t>Sassenreuth</t>
  </si>
  <si>
    <t>Neuzirkendorf</t>
  </si>
  <si>
    <t>Treinreuth</t>
  </si>
  <si>
    <t>Kirchenthumbach</t>
  </si>
  <si>
    <t>Fronlohe</t>
  </si>
  <si>
    <t>Metzenhof</t>
  </si>
  <si>
    <t>Oberbibrach</t>
  </si>
  <si>
    <t>Mockersdorf</t>
  </si>
  <si>
    <t>Neustadt am Kulm</t>
  </si>
  <si>
    <t>Filchendorf</t>
  </si>
  <si>
    <t>Speinshart</t>
  </si>
  <si>
    <t>Seitenthal</t>
  </si>
  <si>
    <t>Tremmersdorf</t>
  </si>
  <si>
    <t>Stegenthumbach</t>
  </si>
  <si>
    <t>Eschenbach i.d.OPf.</t>
  </si>
  <si>
    <t>Thomasreuth</t>
  </si>
  <si>
    <t>Preißach</t>
  </si>
  <si>
    <t>Pichlberg</t>
  </si>
  <si>
    <t>Feilersdorf</t>
  </si>
  <si>
    <t>Weihersberg</t>
  </si>
  <si>
    <t>Pressath</t>
  </si>
  <si>
    <t>Hessenreuth</t>
  </si>
  <si>
    <t>Riggau</t>
  </si>
  <si>
    <t>Dießfurt</t>
  </si>
  <si>
    <t>Grafenwöhr</t>
  </si>
  <si>
    <t>Gmünd</t>
  </si>
  <si>
    <t>Hütten</t>
  </si>
  <si>
    <t>Ranzenthal</t>
  </si>
  <si>
    <t>Nasnitz</t>
  </si>
  <si>
    <t>Steinamwasser</t>
  </si>
  <si>
    <t>Degelsdorf</t>
  </si>
  <si>
    <t>Zogenreuth</t>
  </si>
  <si>
    <t>Ranna</t>
  </si>
  <si>
    <t>Auerbach i.d.OPf.</t>
  </si>
  <si>
    <t>Nitzlbuch</t>
  </si>
  <si>
    <t>Naabdemenreuth</t>
  </si>
  <si>
    <t>Windischeschenbach</t>
  </si>
  <si>
    <t>Oed</t>
  </si>
  <si>
    <t>Hammerles</t>
  </si>
  <si>
    <t>Parkstein</t>
  </si>
  <si>
    <t>Altenparkstein</t>
  </si>
  <si>
    <t>Kirchendemenreuth</t>
  </si>
  <si>
    <t>Döltsch</t>
  </si>
  <si>
    <t>Wendersreuth</t>
  </si>
  <si>
    <t>Klobenreuth</t>
  </si>
  <si>
    <t>Wurz</t>
  </si>
  <si>
    <t>Ilsenbach</t>
  </si>
  <si>
    <t>Püchersreuth</t>
  </si>
  <si>
    <t>Lanz</t>
  </si>
  <si>
    <t>Störnstein</t>
  </si>
  <si>
    <t>Roschau</t>
  </si>
  <si>
    <t>Edeldorf</t>
  </si>
  <si>
    <t>Letzau</t>
  </si>
  <si>
    <t>Schlattein</t>
  </si>
  <si>
    <t>Gailertsreuth</t>
  </si>
  <si>
    <t>Floß</t>
  </si>
  <si>
    <t>Kalmreuth</t>
  </si>
  <si>
    <t>Gösen</t>
  </si>
  <si>
    <t>Diepoltsreuth</t>
  </si>
  <si>
    <t>Bergnetsreuth</t>
  </si>
  <si>
    <t>Flossenbürg</t>
  </si>
  <si>
    <t>Lennesrieth</t>
  </si>
  <si>
    <t>Waldthurn</t>
  </si>
  <si>
    <t>Bernrieth</t>
  </si>
  <si>
    <t>Waldkirch</t>
  </si>
  <si>
    <t>Georgenberg</t>
  </si>
  <si>
    <t>Dimpfl</t>
  </si>
  <si>
    <t>Reinhardsrieth</t>
  </si>
  <si>
    <t>Miesbrunn</t>
  </si>
  <si>
    <t>Pleystein</t>
  </si>
  <si>
    <t>Lohma</t>
  </si>
  <si>
    <t>Burkhardsrieth</t>
  </si>
  <si>
    <t>Waidhaus</t>
  </si>
  <si>
    <t>Pfrentsch</t>
  </si>
  <si>
    <t>Pechhof</t>
  </si>
  <si>
    <t>Manteler Forst</t>
  </si>
  <si>
    <t>Meerbodenreuth</t>
  </si>
  <si>
    <t>Altenstadt a.d.Waldnaab</t>
  </si>
  <si>
    <t>Neunkirchen b.Weiden</t>
  </si>
  <si>
    <t>Frauenricht</t>
  </si>
  <si>
    <t>Mallersricht</t>
  </si>
  <si>
    <t>Rothenstadt</t>
  </si>
  <si>
    <t>Matzlesrieth</t>
  </si>
  <si>
    <t>Muglhof</t>
  </si>
  <si>
    <t>Waldau</t>
  </si>
  <si>
    <t>Altenstadt b.Vohenstrauß</t>
  </si>
  <si>
    <t>Vohenstrauß</t>
  </si>
  <si>
    <t>Weißenstein</t>
  </si>
  <si>
    <t>Burgtreswitz</t>
  </si>
  <si>
    <t>Roggenstein</t>
  </si>
  <si>
    <t>Lämersdorf</t>
  </si>
  <si>
    <t>Kaimling</t>
  </si>
  <si>
    <t>Oberlind</t>
  </si>
  <si>
    <t>Obernankau</t>
  </si>
  <si>
    <t>Böhmischbruck</t>
  </si>
  <si>
    <t>Gröbenstädt</t>
  </si>
  <si>
    <t>Heumaden</t>
  </si>
  <si>
    <t>Niederland</t>
  </si>
  <si>
    <t>Etzgersrieth</t>
  </si>
  <si>
    <t>Tröbes</t>
  </si>
  <si>
    <t>Rückersrieth</t>
  </si>
  <si>
    <t>Gaisheim</t>
  </si>
  <si>
    <t>Eslarn</t>
  </si>
  <si>
    <t>Gmeinsrieth</t>
  </si>
  <si>
    <t>Steinfels</t>
  </si>
  <si>
    <t>Rupprechtsreuth</t>
  </si>
  <si>
    <t>Mantel</t>
  </si>
  <si>
    <t>Etzenricht</t>
  </si>
  <si>
    <t>Thannhof</t>
  </si>
  <si>
    <t>Kohlberg</t>
  </si>
  <si>
    <t>Hannersgrün</t>
  </si>
  <si>
    <t>Oberwildenau</t>
  </si>
  <si>
    <t>Unterwildenau</t>
  </si>
  <si>
    <t>Engleshof</t>
  </si>
  <si>
    <t>Neudorf b.Luhe</t>
  </si>
  <si>
    <t>Luhe</t>
  </si>
  <si>
    <t>Schirmitz</t>
  </si>
  <si>
    <t>Bechtsrieth</t>
  </si>
  <si>
    <t>Trebsau</t>
  </si>
  <si>
    <t>Irchenrieth</t>
  </si>
  <si>
    <t>Pirk</t>
  </si>
  <si>
    <t>Enzenrieth</t>
  </si>
  <si>
    <t>Michldorf</t>
  </si>
  <si>
    <t>Leuchtenberg</t>
  </si>
  <si>
    <t>Lerau</t>
  </si>
  <si>
    <t>Preppach</t>
  </si>
  <si>
    <t>Woppenrieth</t>
  </si>
  <si>
    <t>Kleinschwand</t>
  </si>
  <si>
    <t>Großenschwand</t>
  </si>
  <si>
    <t>Tännesberg</t>
  </si>
  <si>
    <t>Königstein</t>
  </si>
  <si>
    <t>Gaißach</t>
  </si>
  <si>
    <t>Kürmreuth</t>
  </si>
  <si>
    <t>Namsreuth</t>
  </si>
  <si>
    <t>Sigras</t>
  </si>
  <si>
    <t>Langenbruck</t>
  </si>
  <si>
    <t>Sigl</t>
  </si>
  <si>
    <t>Schlicht</t>
  </si>
  <si>
    <t>Vilseck</t>
  </si>
  <si>
    <t>Gressenwöhr</t>
  </si>
  <si>
    <t>Seugast</t>
  </si>
  <si>
    <t>Tanzfleck</t>
  </si>
  <si>
    <t>Thansüß</t>
  </si>
  <si>
    <t>Freihung</t>
  </si>
  <si>
    <t>Massenricht</t>
  </si>
  <si>
    <t>Achtel</t>
  </si>
  <si>
    <t>Eschenfelden</t>
  </si>
  <si>
    <t>Mittelreinbach</t>
  </si>
  <si>
    <t>Holnstein</t>
  </si>
  <si>
    <t>Edelsfeld</t>
  </si>
  <si>
    <t>Steinling</t>
  </si>
  <si>
    <t>Weißenberg</t>
  </si>
  <si>
    <t>Irlbach</t>
  </si>
  <si>
    <t>Adlholz</t>
  </si>
  <si>
    <t>Großschönbrunn</t>
  </si>
  <si>
    <t>Ehenfeld</t>
  </si>
  <si>
    <t>Hirschbach</t>
  </si>
  <si>
    <t>Schmidtstadt</t>
  </si>
  <si>
    <t>Kirchenreinbach</t>
  </si>
  <si>
    <t>Neidstein</t>
  </si>
  <si>
    <t>Neukirchen b.Sulzbach-Rosenbg.</t>
  </si>
  <si>
    <t>Röckenricht</t>
  </si>
  <si>
    <t>Großalbershof</t>
  </si>
  <si>
    <t>Iber</t>
  </si>
  <si>
    <t>Süß</t>
  </si>
  <si>
    <t>Hahnbach</t>
  </si>
  <si>
    <t>Schalkenthan</t>
  </si>
  <si>
    <t>Gebenbach</t>
  </si>
  <si>
    <t>Mimbach</t>
  </si>
  <si>
    <t>Hirschau</t>
  </si>
  <si>
    <t>Scharhof</t>
  </si>
  <si>
    <t>Schnaittenbach</t>
  </si>
  <si>
    <t>Holzhammer</t>
  </si>
  <si>
    <t>Weigendorf</t>
  </si>
  <si>
    <t>Bachetsfeld</t>
  </si>
  <si>
    <t>Trondorf</t>
  </si>
  <si>
    <t>Rosenberg</t>
  </si>
  <si>
    <t>Kötzersricht</t>
  </si>
  <si>
    <t>Ursulapoppenricht</t>
  </si>
  <si>
    <t>Steiningloh</t>
  </si>
  <si>
    <t>Fürnried</t>
  </si>
  <si>
    <t>Sunzendorf</t>
  </si>
  <si>
    <t>Frechetsfeld</t>
  </si>
  <si>
    <t>Augsberg</t>
  </si>
  <si>
    <t>Angfeld</t>
  </si>
  <si>
    <t>Illschwang</t>
  </si>
  <si>
    <t>Poppenricht</t>
  </si>
  <si>
    <t>Dietersberg</t>
  </si>
  <si>
    <t>Ammerthal</t>
  </si>
  <si>
    <t>Eichen</t>
  </si>
  <si>
    <t>Karmensölden</t>
  </si>
  <si>
    <t>Traßlberg</t>
  </si>
  <si>
    <t>Ammersricht</t>
  </si>
  <si>
    <t>Raigering</t>
  </si>
  <si>
    <t>Lintach</t>
  </si>
  <si>
    <t>Pursruck</t>
  </si>
  <si>
    <t>Freudenberg</t>
  </si>
  <si>
    <t>Wutschdorf</t>
  </si>
  <si>
    <t>Kemnath a.Buchberg</t>
  </si>
  <si>
    <t>Eckeltshof</t>
  </si>
  <si>
    <t>Poppberg</t>
  </si>
  <si>
    <t>Schwend</t>
  </si>
  <si>
    <t>Leiten u.Schottenbühl</t>
  </si>
  <si>
    <t>Wolfsfeld</t>
  </si>
  <si>
    <t>Ullersberg</t>
  </si>
  <si>
    <t>Ursensollen</t>
  </si>
  <si>
    <t>Hohenkemnath</t>
  </si>
  <si>
    <t>Gailoh</t>
  </si>
  <si>
    <t>Köfering</t>
  </si>
  <si>
    <t>Theuern</t>
  </si>
  <si>
    <t>Ebermannsdorf</t>
  </si>
  <si>
    <t>Gärmersdorf</t>
  </si>
  <si>
    <t>Hiltersdorf</t>
  </si>
  <si>
    <t>Etsdorf</t>
  </si>
  <si>
    <t>Winkl</t>
  </si>
  <si>
    <t>Zant</t>
  </si>
  <si>
    <t>Garsdorf</t>
  </si>
  <si>
    <t>Sauheim</t>
  </si>
  <si>
    <t>Ensdorf</t>
  </si>
  <si>
    <t>Thanheim</t>
  </si>
  <si>
    <t>Diebis</t>
  </si>
  <si>
    <t>Pittersberg</t>
  </si>
  <si>
    <t>Utzenhofen</t>
  </si>
  <si>
    <t>Ransbach</t>
  </si>
  <si>
    <t>Allersburg</t>
  </si>
  <si>
    <t>Thonhausen</t>
  </si>
  <si>
    <t>Hohenburg</t>
  </si>
  <si>
    <t>Adertshausen</t>
  </si>
  <si>
    <t>Mendorferbuch</t>
  </si>
  <si>
    <t>Egelsheim</t>
  </si>
  <si>
    <t>Taubenbacher Forst</t>
  </si>
  <si>
    <t>Winbuch</t>
  </si>
  <si>
    <t>Siegenhofen</t>
  </si>
  <si>
    <t>Vilshofen</t>
  </si>
  <si>
    <t>Schmidmühlen</t>
  </si>
  <si>
    <t>Emhof</t>
  </si>
  <si>
    <t>Altmannsberg</t>
  </si>
  <si>
    <t>Aßlschwang</t>
  </si>
  <si>
    <t>Bachhausen</t>
  </si>
  <si>
    <t>Berching</t>
  </si>
  <si>
    <t>Berg b.Neumarkt i.d.OPf.</t>
  </si>
  <si>
    <t>Berngau</t>
  </si>
  <si>
    <t>Burggriesbach</t>
  </si>
  <si>
    <t>Deining</t>
  </si>
  <si>
    <t>Deinschwang</t>
  </si>
  <si>
    <t>Deusmauer</t>
  </si>
  <si>
    <t>Dietkirchen</t>
  </si>
  <si>
    <t>Döllwang</t>
  </si>
  <si>
    <t>Engelsberg</t>
  </si>
  <si>
    <t>Erasbach</t>
  </si>
  <si>
    <t>Ernersdorf</t>
  </si>
  <si>
    <t>Freystadt</t>
  </si>
  <si>
    <t>Fribertshofen</t>
  </si>
  <si>
    <t>Gebertshofen</t>
  </si>
  <si>
    <t>Geroldsee</t>
  </si>
  <si>
    <t>Grafenbucher Forst</t>
  </si>
  <si>
    <t>Großalfalterbach</t>
  </si>
  <si>
    <t>Großberghausen</t>
  </si>
  <si>
    <t>Günching</t>
  </si>
  <si>
    <t>Haar</t>
  </si>
  <si>
    <t>Haimburg</t>
  </si>
  <si>
    <t>Häuselstein</t>
  </si>
  <si>
    <t>Hausheim</t>
  </si>
  <si>
    <t>Helena</t>
  </si>
  <si>
    <t>Heng</t>
  </si>
  <si>
    <t>Holzheim</t>
  </si>
  <si>
    <t>Laaber</t>
  </si>
  <si>
    <t>Labersricht</t>
  </si>
  <si>
    <t>Lauterhofen</t>
  </si>
  <si>
    <t>Lengenfeld</t>
  </si>
  <si>
    <t>Lippertshofen</t>
  </si>
  <si>
    <t>Litzlohe</t>
  </si>
  <si>
    <t>Loderbach</t>
  </si>
  <si>
    <t>Mantlach b.Velburg</t>
  </si>
  <si>
    <t>Mittelricht</t>
  </si>
  <si>
    <t>Mittersthal</t>
  </si>
  <si>
    <t>Möning</t>
  </si>
  <si>
    <t>Mörsdorf</t>
  </si>
  <si>
    <t>Mühlen</t>
  </si>
  <si>
    <t>Oberbuchfeld</t>
  </si>
  <si>
    <t>Oberhembach</t>
  </si>
  <si>
    <t>Oberölsbach</t>
  </si>
  <si>
    <t>Oberweiling</t>
  </si>
  <si>
    <t>Oberwiesenacker</t>
  </si>
  <si>
    <t>Oening</t>
  </si>
  <si>
    <t>Pavelsbach</t>
  </si>
  <si>
    <t>Pelchenhofen</t>
  </si>
  <si>
    <t>Pettenhofen</t>
  </si>
  <si>
    <t>Pfeffertshofen</t>
  </si>
  <si>
    <t>Pilsach</t>
  </si>
  <si>
    <t>Plankstetten</t>
  </si>
  <si>
    <t>Pollanten</t>
  </si>
  <si>
    <t>Pölling</t>
  </si>
  <si>
    <t>Postbauer</t>
  </si>
  <si>
    <t>Prönsdorf</t>
  </si>
  <si>
    <t>Pyrbaum</t>
  </si>
  <si>
    <t>Reichertshofen</t>
  </si>
  <si>
    <t>Reichertswinn</t>
  </si>
  <si>
    <t>Rengersricht</t>
  </si>
  <si>
    <t>Röckersbühl</t>
  </si>
  <si>
    <t>Ronsolden</t>
  </si>
  <si>
    <t>Rudertshofen</t>
  </si>
  <si>
    <t>Schmellnricht</t>
  </si>
  <si>
    <t>Seligenporten</t>
  </si>
  <si>
    <t>Sengenthal</t>
  </si>
  <si>
    <t>Sindlbach</t>
  </si>
  <si>
    <t>Sollngriesbach</t>
  </si>
  <si>
    <t>Sondersfeld</t>
  </si>
  <si>
    <t>Staufersbuch</t>
  </si>
  <si>
    <t>Stierbaum</t>
  </si>
  <si>
    <t>Stöckelsberg</t>
  </si>
  <si>
    <t>Sulzbürg</t>
  </si>
  <si>
    <t>Sulzkirchen</t>
  </si>
  <si>
    <t>Thundorf</t>
  </si>
  <si>
    <t>Traunfeld</t>
  </si>
  <si>
    <t>Trautmannshofen</t>
  </si>
  <si>
    <t>Unterbuchfeld</t>
  </si>
  <si>
    <t>Velburg</t>
  </si>
  <si>
    <t>Wallnsdorf</t>
  </si>
  <si>
    <t>Waltersberg</t>
  </si>
  <si>
    <t>Wappersdorf</t>
  </si>
  <si>
    <t>Wattenberg</t>
  </si>
  <si>
    <t>Woffenbach</t>
  </si>
  <si>
    <t>Winterzhofen</t>
  </si>
  <si>
    <t>Weidenwang</t>
  </si>
  <si>
    <t>Fronberg</t>
  </si>
  <si>
    <t>Krondorf</t>
  </si>
  <si>
    <t>Kronstetten</t>
  </si>
  <si>
    <t>Haselbach</t>
  </si>
  <si>
    <t>Ettmannsdorf</t>
  </si>
  <si>
    <t>Wackersdorf</t>
  </si>
  <si>
    <t>Rauberweiherhaus</t>
  </si>
  <si>
    <t>Gögglbach</t>
  </si>
  <si>
    <t>Wolferlohe</t>
  </si>
  <si>
    <t>Büchheim</t>
  </si>
  <si>
    <t>Naabeck</t>
  </si>
  <si>
    <t>Dachelhofen</t>
  </si>
  <si>
    <t>Pilsheim</t>
  </si>
  <si>
    <t>Wiefelsdorf</t>
  </si>
  <si>
    <t>Klardorf</t>
  </si>
  <si>
    <t>Oder</t>
  </si>
  <si>
    <t>Höchensee</t>
  </si>
  <si>
    <t>Hackelberg</t>
  </si>
  <si>
    <t>Bubach a.d.Naab</t>
  </si>
  <si>
    <t>Katzdorf</t>
  </si>
  <si>
    <t>Lanzenried</t>
  </si>
  <si>
    <t>Pottenstetten</t>
  </si>
  <si>
    <t>Premberg</t>
  </si>
  <si>
    <t>Münchshofen</t>
  </si>
  <si>
    <t>Saltendorf a.d.Naab</t>
  </si>
  <si>
    <t>Teublitz</t>
  </si>
  <si>
    <t>Dietldorf</t>
  </si>
  <si>
    <t>Burglengenfelder Forst</t>
  </si>
  <si>
    <t>Burglengenfeld</t>
  </si>
  <si>
    <t>Maxhütte-Haidhof</t>
  </si>
  <si>
    <t>See</t>
  </si>
  <si>
    <t>Pirkensee</t>
  </si>
  <si>
    <t>Ponholz</t>
  </si>
  <si>
    <t>Ponholzer Forst</t>
  </si>
  <si>
    <t>Glaubendorf</t>
  </si>
  <si>
    <t>Deindorf</t>
  </si>
  <si>
    <t>Oberköblitz</t>
  </si>
  <si>
    <t>Wernberg</t>
  </si>
  <si>
    <t>Woppenhof</t>
  </si>
  <si>
    <t>Neunaigen</t>
  </si>
  <si>
    <t>Saltendorf</t>
  </si>
  <si>
    <t>Losau</t>
  </si>
  <si>
    <t>Söllitz</t>
  </si>
  <si>
    <t>Trausnitz</t>
  </si>
  <si>
    <t>Weihern</t>
  </si>
  <si>
    <t>Iffelsdorf</t>
  </si>
  <si>
    <t>Hohentreswitz</t>
  </si>
  <si>
    <t>Fuchsendorf</t>
  </si>
  <si>
    <t>Pfreimd</t>
  </si>
  <si>
    <t>Pamsendorf</t>
  </si>
  <si>
    <t>Bernhof</t>
  </si>
  <si>
    <t>Gleiritsch</t>
  </si>
  <si>
    <t>Wildstein</t>
  </si>
  <si>
    <t>Zeinried</t>
  </si>
  <si>
    <t>Fuchsberg</t>
  </si>
  <si>
    <t>Teunz</t>
  </si>
  <si>
    <t>Rottendorf in Niedermurach</t>
  </si>
  <si>
    <t>Niedermurach</t>
  </si>
  <si>
    <t>Nottersdorf</t>
  </si>
  <si>
    <t>Pertolzhofen</t>
  </si>
  <si>
    <t>Wagnern</t>
  </si>
  <si>
    <t>Pondorf</t>
  </si>
  <si>
    <t>Nunzenried</t>
  </si>
  <si>
    <t>Winklarn</t>
  </si>
  <si>
    <t>Muschenried</t>
  </si>
  <si>
    <t>Mitterlangau</t>
  </si>
  <si>
    <t>Wildeppenried</t>
  </si>
  <si>
    <t>Pullenried</t>
  </si>
  <si>
    <t>Pirkhof</t>
  </si>
  <si>
    <t>Oberviechtach</t>
  </si>
  <si>
    <t>Lind</t>
  </si>
  <si>
    <t>Obermurach</t>
  </si>
  <si>
    <t>Eigelsberg</t>
  </si>
  <si>
    <t>Friedrichshäng</t>
  </si>
  <si>
    <t>Schönsee</t>
  </si>
  <si>
    <t>Gaisthal</t>
  </si>
  <si>
    <t>Weiding</t>
  </si>
  <si>
    <t>Stadlern</t>
  </si>
  <si>
    <t>Gösselsdorf</t>
  </si>
  <si>
    <t>Trisching</t>
  </si>
  <si>
    <t>Schmidgaden</t>
  </si>
  <si>
    <t>Högling</t>
  </si>
  <si>
    <t>Wolfring</t>
  </si>
  <si>
    <t>Dürnsricht</t>
  </si>
  <si>
    <t>Frotzersricht</t>
  </si>
  <si>
    <t>Haindorf</t>
  </si>
  <si>
    <t>Perschen</t>
  </si>
  <si>
    <t>Neusath</t>
  </si>
  <si>
    <t>Brudersdorf</t>
  </si>
  <si>
    <t>Nabburg</t>
  </si>
  <si>
    <t>Diendorf</t>
  </si>
  <si>
    <t>Unteraich</t>
  </si>
  <si>
    <t>Guteneck</t>
  </si>
  <si>
    <t>Pischdorf</t>
  </si>
  <si>
    <t>Willhof</t>
  </si>
  <si>
    <t>Dürnersdorf</t>
  </si>
  <si>
    <t>Fronhof</t>
  </si>
  <si>
    <t>Stulln</t>
  </si>
  <si>
    <t>Schwarzenfeld</t>
  </si>
  <si>
    <t>Pretzabruck</t>
  </si>
  <si>
    <t>Sonnenried</t>
  </si>
  <si>
    <t>Schwarzach b.Nabburg</t>
  </si>
  <si>
    <t>Altfalter</t>
  </si>
  <si>
    <t>Unterauerbach</t>
  </si>
  <si>
    <t>Weiding in Schwarzach</t>
  </si>
  <si>
    <t>Schwarzhofen</t>
  </si>
  <si>
    <t>Demeldorf</t>
  </si>
  <si>
    <t>Haag b.Schwarzhofen</t>
  </si>
  <si>
    <t>Schwarzeneck</t>
  </si>
  <si>
    <t>Uckersdorf</t>
  </si>
  <si>
    <t>Zangenstein</t>
  </si>
  <si>
    <t>Dieterskirchen</t>
  </si>
  <si>
    <t>Bach</t>
  </si>
  <si>
    <t>Prackendorf</t>
  </si>
  <si>
    <t>Weislitz</t>
  </si>
  <si>
    <t>Thanstein</t>
  </si>
  <si>
    <t>Dautersdorf</t>
  </si>
  <si>
    <t>Kulz</t>
  </si>
  <si>
    <t>Neunburg vorm Wald</t>
  </si>
  <si>
    <t>Eixendorf</t>
  </si>
  <si>
    <t>Fuhrn</t>
  </si>
  <si>
    <t>Katzdorf in Neunburg v. W.</t>
  </si>
  <si>
    <t>Kemnath b.Fuhrn</t>
  </si>
  <si>
    <t>Kröblitz</t>
  </si>
  <si>
    <t>Meißenberg</t>
  </si>
  <si>
    <t>Mitteraschau</t>
  </si>
  <si>
    <t>Penting</t>
  </si>
  <si>
    <t>Seebarn</t>
  </si>
  <si>
    <t>Kleinwinklarn</t>
  </si>
  <si>
    <t>Bodenwöhr</t>
  </si>
  <si>
    <t>Bodenwöhrer Forst</t>
  </si>
  <si>
    <t>Erzhäuser</t>
  </si>
  <si>
    <t>Taxöldern</t>
  </si>
  <si>
    <t>Altenschwand</t>
  </si>
  <si>
    <t>Neukirchen-Balbini</t>
  </si>
  <si>
    <t>Egelsried</t>
  </si>
  <si>
    <t>Hansenried</t>
  </si>
  <si>
    <t>Alletsried</t>
  </si>
  <si>
    <t>Bruck i.d.OPf.</t>
  </si>
  <si>
    <t>Mappach</t>
  </si>
  <si>
    <t>Mögendorf</t>
  </si>
  <si>
    <t>Schöngras</t>
  </si>
  <si>
    <t>Vorderthürn</t>
  </si>
  <si>
    <t>Sollbach</t>
  </si>
  <si>
    <t>Kaspeltshub</t>
  </si>
  <si>
    <t>Nittenau</t>
  </si>
  <si>
    <t>Bergham</t>
  </si>
  <si>
    <t>Bleich</t>
  </si>
  <si>
    <t>Bodenstein</t>
  </si>
  <si>
    <t>Hof a.Regen</t>
  </si>
  <si>
    <t>Stefling</t>
  </si>
  <si>
    <t>Treidling</t>
  </si>
  <si>
    <t>Untermainsbach</t>
  </si>
  <si>
    <t>Rötz</t>
  </si>
  <si>
    <t>Bernried</t>
  </si>
  <si>
    <t>Fahnersdorf</t>
  </si>
  <si>
    <t>Diepoltsried</t>
  </si>
  <si>
    <t>Grassersdorf</t>
  </si>
  <si>
    <t>Heinrichskirchen</t>
  </si>
  <si>
    <t>Hetzmannsdorf</t>
  </si>
  <si>
    <t>Hillstett</t>
  </si>
  <si>
    <t>Pillmersried I</t>
  </si>
  <si>
    <t>Pillmersried II</t>
  </si>
  <si>
    <t>Schatzendorf</t>
  </si>
  <si>
    <t>Flischbach</t>
  </si>
  <si>
    <t>Steegen</t>
  </si>
  <si>
    <t>Schönthal</t>
  </si>
  <si>
    <t>Döfering</t>
  </si>
  <si>
    <t>Hiltersried</t>
  </si>
  <si>
    <t>Loitendorf</t>
  </si>
  <si>
    <t>Premeischl</t>
  </si>
  <si>
    <t>Öd</t>
  </si>
  <si>
    <t>Thurau</t>
  </si>
  <si>
    <t>Hannesried</t>
  </si>
  <si>
    <t>Breitenried</t>
  </si>
  <si>
    <t>Steinlohe</t>
  </si>
  <si>
    <t>Altenschneeberg</t>
  </si>
  <si>
    <t>Irlach</t>
  </si>
  <si>
    <t>Katzelsried</t>
  </si>
  <si>
    <t>Treffelstein</t>
  </si>
  <si>
    <t>Untergrafenried</t>
  </si>
  <si>
    <t>Höll</t>
  </si>
  <si>
    <t>Schäferei</t>
  </si>
  <si>
    <t>Ast</t>
  </si>
  <si>
    <t>Hocha</t>
  </si>
  <si>
    <t>Waldmünchen</t>
  </si>
  <si>
    <t>Ulrichsgrün</t>
  </si>
  <si>
    <t>Englmannsbrunn</t>
  </si>
  <si>
    <t>Albernhof</t>
  </si>
  <si>
    <t>Prosdorf</t>
  </si>
  <si>
    <t>Rannersdorf</t>
  </si>
  <si>
    <t>Herzogau</t>
  </si>
  <si>
    <t>Sinzendorf</t>
  </si>
  <si>
    <t>Geigant</t>
  </si>
  <si>
    <t>Katzbach</t>
  </si>
  <si>
    <t>Häuslarn</t>
  </si>
  <si>
    <t>Großenzenried</t>
  </si>
  <si>
    <t>Diebersried</t>
  </si>
  <si>
    <t>Friedersried</t>
  </si>
  <si>
    <t>Stamsried</t>
  </si>
  <si>
    <t>Asbach</t>
  </si>
  <si>
    <t>Hitzelsberg</t>
  </si>
  <si>
    <t>Kollenzendorf</t>
  </si>
  <si>
    <t>Pösing</t>
  </si>
  <si>
    <t>Grafenkirchen</t>
  </si>
  <si>
    <t>Engelsdorf</t>
  </si>
  <si>
    <t>Kager</t>
  </si>
  <si>
    <t>Pemfling</t>
  </si>
  <si>
    <t>Pitzling</t>
  </si>
  <si>
    <t>Obernried</t>
  </si>
  <si>
    <t>Kolmberg</t>
  </si>
  <si>
    <t>Waffenbrunn</t>
  </si>
  <si>
    <t>Rhanwalting</t>
  </si>
  <si>
    <t>Willmering</t>
  </si>
  <si>
    <t>Habersdorf</t>
  </si>
  <si>
    <t>Dalking</t>
  </si>
  <si>
    <t>Arnschwang</t>
  </si>
  <si>
    <t>Nößwartling</t>
  </si>
  <si>
    <t>Zenching</t>
  </si>
  <si>
    <t>Lixenried</t>
  </si>
  <si>
    <t>Grabitz</t>
  </si>
  <si>
    <t>Furth im Wald</t>
  </si>
  <si>
    <t>Ränkam</t>
  </si>
  <si>
    <t>Sengenbühl</t>
  </si>
  <si>
    <t>Großaign</t>
  </si>
  <si>
    <t>Kleinaign</t>
  </si>
  <si>
    <t>Eschlkam</t>
  </si>
  <si>
    <t>Stachesried</t>
  </si>
  <si>
    <t>Warzenried</t>
  </si>
  <si>
    <t>Vorderbuchberg</t>
  </si>
  <si>
    <t>Neukirchen b.Hl.Blut</t>
  </si>
  <si>
    <t>Atzlern</t>
  </si>
  <si>
    <t>Rittsteig</t>
  </si>
  <si>
    <t>Kolmstein</t>
  </si>
  <si>
    <t>Fronau</t>
  </si>
  <si>
    <t>Strahlfeld</t>
  </si>
  <si>
    <t>Neubäu</t>
  </si>
  <si>
    <t>Wetterfeld</t>
  </si>
  <si>
    <t>Altenkreith</t>
  </si>
  <si>
    <t>Mitterdorf</t>
  </si>
  <si>
    <t>Roding</t>
  </si>
  <si>
    <t>Braunried</t>
  </si>
  <si>
    <t>Ziehring</t>
  </si>
  <si>
    <t>Regenpeilstein</t>
  </si>
  <si>
    <t>Wiesing</t>
  </si>
  <si>
    <t>Zimmering</t>
  </si>
  <si>
    <t>Trasching</t>
  </si>
  <si>
    <t>Obertrübenbach</t>
  </si>
  <si>
    <t>Kalsing</t>
  </si>
  <si>
    <t>Loibling</t>
  </si>
  <si>
    <t>Katzberg</t>
  </si>
  <si>
    <t>Windischbergerdorf</t>
  </si>
  <si>
    <t>Thierlstein</t>
  </si>
  <si>
    <t>Altenmarkt</t>
  </si>
  <si>
    <t>Chameregg</t>
  </si>
  <si>
    <t>Chammünster</t>
  </si>
  <si>
    <t>Gutmaning</t>
  </si>
  <si>
    <t>Haderstadl</t>
  </si>
  <si>
    <t>Vilzing</t>
  </si>
  <si>
    <t>Schachendorf</t>
  </si>
  <si>
    <t>Raindorf</t>
  </si>
  <si>
    <t>Niederrunding</t>
  </si>
  <si>
    <t>Runding</t>
  </si>
  <si>
    <t>Chamerau</t>
  </si>
  <si>
    <t>Bärndorf</t>
  </si>
  <si>
    <t>Lederdorn</t>
  </si>
  <si>
    <t>Thenried</t>
  </si>
  <si>
    <t>Voggendorf</t>
  </si>
  <si>
    <t>Grafenwiesen</t>
  </si>
  <si>
    <t>Ansdorf</t>
  </si>
  <si>
    <t>Hohenwarth</t>
  </si>
  <si>
    <t>Gotzendorf</t>
  </si>
  <si>
    <t>Hoher Bogen</t>
  </si>
  <si>
    <t>Haibühl</t>
  </si>
  <si>
    <t>Arrach</t>
  </si>
  <si>
    <t>Engelshütt</t>
  </si>
  <si>
    <t>Lam</t>
  </si>
  <si>
    <t>Lohberg</t>
  </si>
  <si>
    <t>Haus</t>
  </si>
  <si>
    <t>Dieberg</t>
  </si>
  <si>
    <t>Walderbach</t>
  </si>
  <si>
    <t>Kirchenrohrbach</t>
  </si>
  <si>
    <t>Katzenrohrbach</t>
  </si>
  <si>
    <t>Buchendorf</t>
  </si>
  <si>
    <t>Mainsbauern</t>
  </si>
  <si>
    <t>Süssenbach</t>
  </si>
  <si>
    <t>Siegenstein</t>
  </si>
  <si>
    <t>Beucherling</t>
  </si>
  <si>
    <t>Schillertswiesen</t>
  </si>
  <si>
    <t>Rettenbach</t>
  </si>
  <si>
    <t>Ebersroith</t>
  </si>
  <si>
    <t>Michelsneukirchen</t>
  </si>
  <si>
    <t>Obertraubenbach</t>
  </si>
  <si>
    <t>Hötzing</t>
  </si>
  <si>
    <t>Schorndorf</t>
  </si>
  <si>
    <t>Thierling</t>
  </si>
  <si>
    <t>Loifling</t>
  </si>
  <si>
    <t>Traitsching</t>
  </si>
  <si>
    <t>Sattelpeilnstein</t>
  </si>
  <si>
    <t>Obergoßzell</t>
  </si>
  <si>
    <t>Sattelbogen</t>
  </si>
  <si>
    <t>Atzenzell</t>
  </si>
  <si>
    <t>Birnbrunn</t>
  </si>
  <si>
    <t>Harrling</t>
  </si>
  <si>
    <t>Miltach</t>
  </si>
  <si>
    <t>Altrandsberg</t>
  </si>
  <si>
    <t>Blaibach</t>
  </si>
  <si>
    <t>Kreuzbach</t>
  </si>
  <si>
    <t>Gehstorf</t>
  </si>
  <si>
    <t>Bad Kötzting</t>
  </si>
  <si>
    <t>Arndorf</t>
  </si>
  <si>
    <t>Weißenregen</t>
  </si>
  <si>
    <t>Traidersdorf</t>
  </si>
  <si>
    <t>Sackenried</t>
  </si>
  <si>
    <t>Wettzell</t>
  </si>
  <si>
    <t>Adlmannstein</t>
  </si>
  <si>
    <t>Allersdorf</t>
  </si>
  <si>
    <t>Alteglofsheim</t>
  </si>
  <si>
    <t>Auburg</t>
  </si>
  <si>
    <t>Aufhausen</t>
  </si>
  <si>
    <t>Bach a.d.Donau</t>
  </si>
  <si>
    <t>Barbing</t>
  </si>
  <si>
    <t>Bergmatting</t>
  </si>
  <si>
    <t>Bernhardswald</t>
  </si>
  <si>
    <t>Birkenzant</t>
  </si>
  <si>
    <t>Brennberg</t>
  </si>
  <si>
    <t>Bruckbach</t>
  </si>
  <si>
    <t>Buchenlohe</t>
  </si>
  <si>
    <t>Buchhausen</t>
  </si>
  <si>
    <t>Burgweinting</t>
  </si>
  <si>
    <t>Dechbetten</t>
  </si>
  <si>
    <t>Demling</t>
  </si>
  <si>
    <t>Dengling</t>
  </si>
  <si>
    <t>Diesenbach</t>
  </si>
  <si>
    <t>Dietersweg</t>
  </si>
  <si>
    <t>Donaustauf</t>
  </si>
  <si>
    <t>Ehring</t>
  </si>
  <si>
    <t>Eichhofen</t>
  </si>
  <si>
    <t>Eilsbrunn</t>
  </si>
  <si>
    <t>Eitlbrunn</t>
  </si>
  <si>
    <t>Eltheim</t>
  </si>
  <si>
    <t>Etterzhausen</t>
  </si>
  <si>
    <t>Forstmühler Forst</t>
  </si>
  <si>
    <t>Frankenberg</t>
  </si>
  <si>
    <t>Frauenzell</t>
  </si>
  <si>
    <t>Frengkofen</t>
  </si>
  <si>
    <t>Friesheim</t>
  </si>
  <si>
    <t>Gailsbach</t>
  </si>
  <si>
    <t>Gebelkofen</t>
  </si>
  <si>
    <t>Geisling</t>
  </si>
  <si>
    <t>Glapfenberg</t>
  </si>
  <si>
    <t>Göppenbach</t>
  </si>
  <si>
    <t>Grafenwinn</t>
  </si>
  <si>
    <t>Graß</t>
  </si>
  <si>
    <t>Graßlfing</t>
  </si>
  <si>
    <t>Griesau</t>
  </si>
  <si>
    <t>Großberg</t>
  </si>
  <si>
    <t>Großprüfening</t>
  </si>
  <si>
    <t>Grünthal I</t>
  </si>
  <si>
    <t>Grünthal II</t>
  </si>
  <si>
    <t>Hackenberg</t>
  </si>
  <si>
    <t>Hagelstadt</t>
  </si>
  <si>
    <t>Haidenkofen</t>
  </si>
  <si>
    <t>Haimbuch</t>
  </si>
  <si>
    <t>Hainsacker</t>
  </si>
  <si>
    <t>Harting</t>
  </si>
  <si>
    <t>Haugenried</t>
  </si>
  <si>
    <t>Hauzendorf</t>
  </si>
  <si>
    <t>Hauzenstein</t>
  </si>
  <si>
    <t>Heilinghausen</t>
  </si>
  <si>
    <t>Hellkofen</t>
  </si>
  <si>
    <t>Hirschling</t>
  </si>
  <si>
    <t>Hofdorf</t>
  </si>
  <si>
    <t>Hohengebraching</t>
  </si>
  <si>
    <t>Hungersacker</t>
  </si>
  <si>
    <t>Illkofen</t>
  </si>
  <si>
    <t>Inkofen</t>
  </si>
  <si>
    <t>Kareth</t>
  </si>
  <si>
    <t>Karlstein</t>
  </si>
  <si>
    <t>Kiefenholz</t>
  </si>
  <si>
    <t>Kleinprüfening</t>
  </si>
  <si>
    <t>Kneiting</t>
  </si>
  <si>
    <t>Kreuth</t>
  </si>
  <si>
    <t>Kruckenberg</t>
  </si>
  <si>
    <t>Kürn</t>
  </si>
  <si>
    <t>Lambertsneukirchen</t>
  </si>
  <si>
    <t>Langenerling</t>
  </si>
  <si>
    <t>Lappersdorf</t>
  </si>
  <si>
    <t>Lichtenwald</t>
  </si>
  <si>
    <t>Loch</t>
  </si>
  <si>
    <t>Luckenpaint</t>
  </si>
  <si>
    <t>Mangolding</t>
  </si>
  <si>
    <t>Matting</t>
  </si>
  <si>
    <t>Mintraching</t>
  </si>
  <si>
    <t>Mötzing</t>
  </si>
  <si>
    <t>Moosham</t>
  </si>
  <si>
    <t>Neutraubling</t>
  </si>
  <si>
    <t>Niederhinkofen</t>
  </si>
  <si>
    <t>Niedertraubling</t>
  </si>
  <si>
    <t>Nittendorf</t>
  </si>
  <si>
    <t>Oberachdorf</t>
  </si>
  <si>
    <t>Oberhinkofen</t>
  </si>
  <si>
    <t>Oberisling</t>
  </si>
  <si>
    <t>Obertraubling</t>
  </si>
  <si>
    <t>Pentling</t>
  </si>
  <si>
    <t>Pettenreuth</t>
  </si>
  <si>
    <t>Petzkofen</t>
  </si>
  <si>
    <t>Pfaffenfang</t>
  </si>
  <si>
    <t>Pfakofen</t>
  </si>
  <si>
    <t>Pfatter</t>
  </si>
  <si>
    <t>Pfellkofen</t>
  </si>
  <si>
    <t>Pielenhofen</t>
  </si>
  <si>
    <t>Pielenhofer Wald l.d.Naab</t>
  </si>
  <si>
    <t>Plitting</t>
  </si>
  <si>
    <t>Poign</t>
  </si>
  <si>
    <t>Ramspau</t>
  </si>
  <si>
    <t>Regendorf</t>
  </si>
  <si>
    <t>Regenstauf</t>
  </si>
  <si>
    <t>Reichenstetten</t>
  </si>
  <si>
    <t>Reinhausen</t>
  </si>
  <si>
    <t>Riekofen</t>
  </si>
  <si>
    <t>Rogging</t>
  </si>
  <si>
    <t>Rosenhof</t>
  </si>
  <si>
    <t>Sallern</t>
  </si>
  <si>
    <t>Sanding</t>
  </si>
  <si>
    <t>Sarching</t>
  </si>
  <si>
    <t>Schierling</t>
  </si>
  <si>
    <t>Schneitweg</t>
  </si>
  <si>
    <t>Schönach</t>
  </si>
  <si>
    <t>Schönhofen</t>
  </si>
  <si>
    <t>Schönleiten</t>
  </si>
  <si>
    <t>Schwabelweis</t>
  </si>
  <si>
    <t>Schwaighauser Forst</t>
  </si>
  <si>
    <t>Sengkofen</t>
  </si>
  <si>
    <t>Sinzing</t>
  </si>
  <si>
    <t>Stadtamhof</t>
  </si>
  <si>
    <t>Steinsberg</t>
  </si>
  <si>
    <t>Steinweg</t>
  </si>
  <si>
    <t>Sünching</t>
  </si>
  <si>
    <t>Sulzbach a.d.Donau</t>
  </si>
  <si>
    <t>Taimering</t>
  </si>
  <si>
    <t>Tegernheim</t>
  </si>
  <si>
    <t>Thalmassing</t>
  </si>
  <si>
    <t>Tiefbrunn</t>
  </si>
  <si>
    <t>Triftlfing</t>
  </si>
  <si>
    <t>Unterlaichling</t>
  </si>
  <si>
    <t>Viehhausen</t>
  </si>
  <si>
    <t>Weichs</t>
  </si>
  <si>
    <t>Weillohe</t>
  </si>
  <si>
    <t>Wenzenbach</t>
  </si>
  <si>
    <t>Wiesent</t>
  </si>
  <si>
    <t>Winzer</t>
  </si>
  <si>
    <t>Wörth a.d.Donau</t>
  </si>
  <si>
    <t>Wolfsegg</t>
  </si>
  <si>
    <t>Wolkering</t>
  </si>
  <si>
    <t>Wulkersdorf</t>
  </si>
  <si>
    <t>Zaitzkofen</t>
  </si>
  <si>
    <t>Zeitlarn</t>
  </si>
  <si>
    <t>Ziegetsdorf</t>
  </si>
  <si>
    <t>Zinzendorf</t>
  </si>
  <si>
    <t>Scheuer</t>
  </si>
  <si>
    <t>Irl</t>
  </si>
  <si>
    <t>Batzhausen</t>
  </si>
  <si>
    <t>Eichenhofen</t>
  </si>
  <si>
    <t>Ittelhofen</t>
  </si>
  <si>
    <t>Schnufenhofen</t>
  </si>
  <si>
    <t>Seubersdorf i.d.OPf.</t>
  </si>
  <si>
    <t>Wissing</t>
  </si>
  <si>
    <t>Daßwang</t>
  </si>
  <si>
    <t>Hörmannsdorf</t>
  </si>
  <si>
    <t>Rudenshofen</t>
  </si>
  <si>
    <t>Darshofen</t>
  </si>
  <si>
    <t>Parsberg</t>
  </si>
  <si>
    <t>Willenhofen</t>
  </si>
  <si>
    <t>Herrnried</t>
  </si>
  <si>
    <t>Degerndorf</t>
  </si>
  <si>
    <t>Lupburg</t>
  </si>
  <si>
    <t>Großbissendorf</t>
  </si>
  <si>
    <t>Hohenfels</t>
  </si>
  <si>
    <t>Markstetten</t>
  </si>
  <si>
    <t>Gimpertshausen</t>
  </si>
  <si>
    <t>Dürn</t>
  </si>
  <si>
    <t>Kemnathen</t>
  </si>
  <si>
    <t>Hamberg</t>
  </si>
  <si>
    <t>Langenthonhausen</t>
  </si>
  <si>
    <t>Premerzhofen</t>
  </si>
  <si>
    <t>Erggertshofen</t>
  </si>
  <si>
    <t>Staadorf</t>
  </si>
  <si>
    <t>Unterbürg</t>
  </si>
  <si>
    <t>Muttenhofen</t>
  </si>
  <si>
    <t>Mallerstetten</t>
  </si>
  <si>
    <t>Hainsberg</t>
  </si>
  <si>
    <t>Ottmaring</t>
  </si>
  <si>
    <t>Dietfurt a.d.Altmühl</t>
  </si>
  <si>
    <t>Predlfing</t>
  </si>
  <si>
    <t>Eutenhofen</t>
  </si>
  <si>
    <t>Gundelshofen</t>
  </si>
  <si>
    <t>Töging</t>
  </si>
  <si>
    <t>Griesstetten</t>
  </si>
  <si>
    <t>Schweinkofen</t>
  </si>
  <si>
    <t>Vogelthal</t>
  </si>
  <si>
    <t>Arnsdorf</t>
  </si>
  <si>
    <t>Schwarzenthonhausen</t>
  </si>
  <si>
    <t>Oberpfraundorf</t>
  </si>
  <si>
    <t>Mausheim</t>
  </si>
  <si>
    <t>Beratzhausen</t>
  </si>
  <si>
    <t>Rechberg</t>
  </si>
  <si>
    <t>Beilnstein</t>
  </si>
  <si>
    <t>Dinau</t>
  </si>
  <si>
    <t>Dallackenried</t>
  </si>
  <si>
    <t>Traidendorf</t>
  </si>
  <si>
    <t>Eich</t>
  </si>
  <si>
    <t>Kallmünz</t>
  </si>
  <si>
    <t>Krachenhausen</t>
  </si>
  <si>
    <t>Bubach a.Forst</t>
  </si>
  <si>
    <t>Holzheim a.Forst</t>
  </si>
  <si>
    <t>Hochdorf</t>
  </si>
  <si>
    <t>Wischenhofen</t>
  </si>
  <si>
    <t>Duggendorf</t>
  </si>
  <si>
    <t>Heitzenhofen</t>
  </si>
  <si>
    <t>Endorf</t>
  </si>
  <si>
    <t>Bergstetten</t>
  </si>
  <si>
    <t>Großetzenberg</t>
  </si>
  <si>
    <t>Deuerling</t>
  </si>
  <si>
    <t>Pielenhofer Wald r.d.Naab</t>
  </si>
  <si>
    <t>Berletzhof</t>
  </si>
  <si>
    <t>Pellndorf</t>
  </si>
  <si>
    <t>Thonlohe</t>
  </si>
  <si>
    <t>Langenkreith</t>
  </si>
  <si>
    <t>Hemau</t>
  </si>
  <si>
    <t>Kollersried</t>
  </si>
  <si>
    <t>Laufenthal</t>
  </si>
  <si>
    <t>Aichkirchen</t>
  </si>
  <si>
    <t>Hohenschambach</t>
  </si>
  <si>
    <t>Deising</t>
  </si>
  <si>
    <t>Meihern</t>
  </si>
  <si>
    <t>Perletzhofen</t>
  </si>
  <si>
    <t>Otterzhofen</t>
  </si>
  <si>
    <t>Jachenhausen</t>
  </si>
  <si>
    <t>Altmühlmünster</t>
  </si>
  <si>
    <t>Eggersberg</t>
  </si>
  <si>
    <t>Riedenburg</t>
  </si>
  <si>
    <t>Dieterzhofen</t>
  </si>
  <si>
    <t>Schaitdorf</t>
  </si>
  <si>
    <t>Keilsdorf</t>
  </si>
  <si>
    <t>Prunn</t>
  </si>
  <si>
    <t>Hattenhausen</t>
  </si>
  <si>
    <t>Echendorf</t>
  </si>
  <si>
    <t>Neulohe</t>
  </si>
  <si>
    <t>Painten</t>
  </si>
  <si>
    <t>Rothenbügl</t>
  </si>
  <si>
    <t>Paintner Forst</t>
  </si>
  <si>
    <t>Klingen - Painten</t>
  </si>
  <si>
    <t>Zinzenzell</t>
  </si>
  <si>
    <t>Schönstein</t>
  </si>
  <si>
    <t>Loitzendorf</t>
  </si>
  <si>
    <t>Gittensdorf</t>
  </si>
  <si>
    <t>Gossersdorf</t>
  </si>
  <si>
    <t>Rattenberg</t>
  </si>
  <si>
    <t>Landorf</t>
  </si>
  <si>
    <t>Auggenbach</t>
  </si>
  <si>
    <t>Konzell</t>
  </si>
  <si>
    <t>Höhenberg</t>
  </si>
  <si>
    <t>Wiesenfelden</t>
  </si>
  <si>
    <t>Geraszell</t>
  </si>
  <si>
    <t>Haunkenzell</t>
  </si>
  <si>
    <t>Stallwang</t>
  </si>
  <si>
    <t>Herrnfehlburg</t>
  </si>
  <si>
    <t>Irschenbach</t>
  </si>
  <si>
    <t>Prünstfehlburg</t>
  </si>
  <si>
    <t>Elisabethszell</t>
  </si>
  <si>
    <t>Pilgramsberg</t>
  </si>
  <si>
    <t>Eggerszell</t>
  </si>
  <si>
    <t>Rattiszell</t>
  </si>
  <si>
    <t>Sankt Englmar</t>
  </si>
  <si>
    <t>Waxenberg</t>
  </si>
  <si>
    <t>Saulburg</t>
  </si>
  <si>
    <t>Falkenfels</t>
  </si>
  <si>
    <t>Bärnzell</t>
  </si>
  <si>
    <t>Ascha</t>
  </si>
  <si>
    <t>Landasberg</t>
  </si>
  <si>
    <t>Dachsberg</t>
  </si>
  <si>
    <t>Stadldorf</t>
  </si>
  <si>
    <t>Niederachdorf</t>
  </si>
  <si>
    <t>Pillnach</t>
  </si>
  <si>
    <t>Obermiethnach</t>
  </si>
  <si>
    <t>Gschwendt</t>
  </si>
  <si>
    <t>Mitterfels</t>
  </si>
  <si>
    <t>Obermühlbach</t>
  </si>
  <si>
    <t>Oberzeitldorn</t>
  </si>
  <si>
    <t>Kirchroth</t>
  </si>
  <si>
    <t>Agendorf</t>
  </si>
  <si>
    <t>Gaishausen</t>
  </si>
  <si>
    <t>Steinburg</t>
  </si>
  <si>
    <t>Au vorm Wald</t>
  </si>
  <si>
    <t>Perasdorf</t>
  </si>
  <si>
    <t>Schwarzacher Hochwald</t>
  </si>
  <si>
    <t>Aholfing</t>
  </si>
  <si>
    <t>Obermotzing</t>
  </si>
  <si>
    <t>Pittrich</t>
  </si>
  <si>
    <t>Kößnach</t>
  </si>
  <si>
    <t>Parkstetten</t>
  </si>
  <si>
    <t>Oberalteich</t>
  </si>
  <si>
    <t>Hunderdorf</t>
  </si>
  <si>
    <t>Windberg</t>
  </si>
  <si>
    <t>Niedermotzing</t>
  </si>
  <si>
    <t>Unterzeitldorn</t>
  </si>
  <si>
    <t>Reibersdorf</t>
  </si>
  <si>
    <t>Bogen</t>
  </si>
  <si>
    <t>Bogenberg</t>
  </si>
  <si>
    <t>Degernbach</t>
  </si>
  <si>
    <t>Schwarzach</t>
  </si>
  <si>
    <t>Albertsried</t>
  </si>
  <si>
    <t>Perkam</t>
  </si>
  <si>
    <t>Rain</t>
  </si>
  <si>
    <t>Atting</t>
  </si>
  <si>
    <t>Kagers</t>
  </si>
  <si>
    <t>Hornstorf</t>
  </si>
  <si>
    <t>Alburg</t>
  </si>
  <si>
    <t>Ittling</t>
  </si>
  <si>
    <t>Amselfing</t>
  </si>
  <si>
    <t>Pfelling</t>
  </si>
  <si>
    <t>Niederwinkling</t>
  </si>
  <si>
    <t>Upfkofen</t>
  </si>
  <si>
    <t>Allkofen</t>
  </si>
  <si>
    <t>Wallkofen</t>
  </si>
  <si>
    <t>Geiselhöring</t>
  </si>
  <si>
    <t>Oberharthausen</t>
  </si>
  <si>
    <t>Pönning</t>
  </si>
  <si>
    <t>Feldkirchen</t>
  </si>
  <si>
    <t>Mitterharthausen</t>
  </si>
  <si>
    <t>Geltolfing</t>
  </si>
  <si>
    <t>Aiterhofen</t>
  </si>
  <si>
    <t>Waltendorf</t>
  </si>
  <si>
    <t>Mariaposching</t>
  </si>
  <si>
    <t>Niederharthausen</t>
  </si>
  <si>
    <t>Straßkirchen</t>
  </si>
  <si>
    <t>Holztraubach</t>
  </si>
  <si>
    <t>Grafentraubach</t>
  </si>
  <si>
    <t>Laberweinting</t>
  </si>
  <si>
    <t>Sallach</t>
  </si>
  <si>
    <t>Hainsbach</t>
  </si>
  <si>
    <t>Metting</t>
  </si>
  <si>
    <t>Eschlbach</t>
  </si>
  <si>
    <t>Salching</t>
  </si>
  <si>
    <t>Oberpiebing</t>
  </si>
  <si>
    <t>Wolferkofen</t>
  </si>
  <si>
    <t>Niederschneiding</t>
  </si>
  <si>
    <t>Paitzkofen</t>
  </si>
  <si>
    <t>Oberhaselbach</t>
  </si>
  <si>
    <t>Pfaffenberg</t>
  </si>
  <si>
    <t>Mallersdorf</t>
  </si>
  <si>
    <t>Hofkirchen</t>
  </si>
  <si>
    <t>Haader</t>
  </si>
  <si>
    <t>Schwimmbach</t>
  </si>
  <si>
    <t>Leiblfing</t>
  </si>
  <si>
    <t>Obersunzing</t>
  </si>
  <si>
    <t>Hankofen</t>
  </si>
  <si>
    <t>Oberschneiding</t>
  </si>
  <si>
    <t>Grafling</t>
  </si>
  <si>
    <t>Oberlindhart</t>
  </si>
  <si>
    <t>Oberellenbach</t>
  </si>
  <si>
    <t>Hailing</t>
  </si>
  <si>
    <t>Reißing</t>
  </si>
  <si>
    <t>Großenpinning</t>
  </si>
  <si>
    <t>Arnbruck</t>
  </si>
  <si>
    <t>Bayerisch Eisenstein</t>
  </si>
  <si>
    <t>Ruhmannsdorf</t>
  </si>
  <si>
    <t>Blossersberg</t>
  </si>
  <si>
    <t>Drachselsried</t>
  </si>
  <si>
    <t>Bodenmais</t>
  </si>
  <si>
    <t>Rabenstein</t>
  </si>
  <si>
    <t>Neunußberg</t>
  </si>
  <si>
    <t>Prackenbach</t>
  </si>
  <si>
    <t>Viechtach</t>
  </si>
  <si>
    <t>Zwieslerwaldhaus</t>
  </si>
  <si>
    <t>Rechertsried</t>
  </si>
  <si>
    <t>Kollnburg</t>
  </si>
  <si>
    <t>Schlatzendorf</t>
  </si>
  <si>
    <t>Kirchaitnach</t>
  </si>
  <si>
    <t>Geiersthal</t>
  </si>
  <si>
    <t>Böbrach</t>
  </si>
  <si>
    <t>Teisnach</t>
  </si>
  <si>
    <t>Langdorf</t>
  </si>
  <si>
    <t>Brandten</t>
  </si>
  <si>
    <t>Klautzenbach</t>
  </si>
  <si>
    <t>Zwiesel</t>
  </si>
  <si>
    <t>Lindberg</t>
  </si>
  <si>
    <t>Achslach</t>
  </si>
  <si>
    <t>Patersdorf</t>
  </si>
  <si>
    <t>Ruhmannsfelden</t>
  </si>
  <si>
    <t>Gotteszell</t>
  </si>
  <si>
    <t>Zachenberg</t>
  </si>
  <si>
    <t>March</t>
  </si>
  <si>
    <t>Obermitterdorf</t>
  </si>
  <si>
    <t>Rinchnachmündt</t>
  </si>
  <si>
    <t>Frauenau</t>
  </si>
  <si>
    <t>Oberneumais</t>
  </si>
  <si>
    <t>Reinhartsmais</t>
  </si>
  <si>
    <t>Eggenried</t>
  </si>
  <si>
    <t>Kasberg</t>
  </si>
  <si>
    <t>Rinchnach</t>
  </si>
  <si>
    <t>Habischried</t>
  </si>
  <si>
    <t>Bischofsmais</t>
  </si>
  <si>
    <t>Reichertsried</t>
  </si>
  <si>
    <t>Ellerbach</t>
  </si>
  <si>
    <t>Kirchberg i.Wald</t>
  </si>
  <si>
    <t>Schlag</t>
  </si>
  <si>
    <t>Kirchdorf i.Wald</t>
  </si>
  <si>
    <t>Abtschlag</t>
  </si>
  <si>
    <t>Klingenbrunn</t>
  </si>
  <si>
    <t>Sankt Oswald</t>
  </si>
  <si>
    <t>Neuschönau</t>
  </si>
  <si>
    <t>Mauther Forst</t>
  </si>
  <si>
    <t>Schönbrunn a.Lusen</t>
  </si>
  <si>
    <t>Mauth</t>
  </si>
  <si>
    <t>Annathal</t>
  </si>
  <si>
    <t>Eppenschlag</t>
  </si>
  <si>
    <t>Oberkreuzberg</t>
  </si>
  <si>
    <t>Großarmschlag</t>
  </si>
  <si>
    <t>Rosenau</t>
  </si>
  <si>
    <t>Grafenau</t>
  </si>
  <si>
    <t>Wasching</t>
  </si>
  <si>
    <t>Hohenau</t>
  </si>
  <si>
    <t>Kreuzberg</t>
  </si>
  <si>
    <t>Herzogsreut</t>
  </si>
  <si>
    <t>Philippsreut</t>
  </si>
  <si>
    <t>Bischofsreut</t>
  </si>
  <si>
    <t>Großmisselberg</t>
  </si>
  <si>
    <t>Hartmannsreit</t>
  </si>
  <si>
    <t>Bärnstein</t>
  </si>
  <si>
    <t>Allhartsmais</t>
  </si>
  <si>
    <t>Schöfweg</t>
  </si>
  <si>
    <t>Hilgenreith</t>
  </si>
  <si>
    <t>Innernzell</t>
  </si>
  <si>
    <t>Mitternach</t>
  </si>
  <si>
    <t>Liebersberg</t>
  </si>
  <si>
    <t>Zenting</t>
  </si>
  <si>
    <t>Solla</t>
  </si>
  <si>
    <t>Eberhardsreuth</t>
  </si>
  <si>
    <t>Nendlnach</t>
  </si>
  <si>
    <t>Haus i.Wald</t>
  </si>
  <si>
    <t>Heinrichsreit</t>
  </si>
  <si>
    <t>Ringelai</t>
  </si>
  <si>
    <t>Kumreut</t>
  </si>
  <si>
    <t>Ahornöd</t>
  </si>
  <si>
    <t>Ort</t>
  </si>
  <si>
    <t>Freyung</t>
  </si>
  <si>
    <t>Wolfstein</t>
  </si>
  <si>
    <t>Hinterschmiding</t>
  </si>
  <si>
    <t>Rehberg</t>
  </si>
  <si>
    <t>Grainet</t>
  </si>
  <si>
    <t>Frauenberg</t>
  </si>
  <si>
    <t>Ranfels</t>
  </si>
  <si>
    <t>Thurmansbang</t>
  </si>
  <si>
    <t>Saldenburg</t>
  </si>
  <si>
    <t>Forstöd</t>
  </si>
  <si>
    <t>Waldenreut</t>
  </si>
  <si>
    <t>Perlesreut</t>
  </si>
  <si>
    <t>Niederperlesreut</t>
  </si>
  <si>
    <t>Praßreut</t>
  </si>
  <si>
    <t>Karlsbach</t>
  </si>
  <si>
    <t>Böhmzwiesel</t>
  </si>
  <si>
    <t>Fürholz</t>
  </si>
  <si>
    <t>Vorderfreundorf</t>
  </si>
  <si>
    <t>Hintereben</t>
  </si>
  <si>
    <t>Altreichenau</t>
  </si>
  <si>
    <t>Neureichenau</t>
  </si>
  <si>
    <t>Lackenhäuser</t>
  </si>
  <si>
    <t>Fürsteneck</t>
  </si>
  <si>
    <t>Wilhelmsreut</t>
  </si>
  <si>
    <t>Röhrnbach</t>
  </si>
  <si>
    <t>Außernbrünst</t>
  </si>
  <si>
    <t>Schiefweg</t>
  </si>
  <si>
    <t>Stadl</t>
  </si>
  <si>
    <t>Jandelsbrunn</t>
  </si>
  <si>
    <t>Gsenget</t>
  </si>
  <si>
    <t>Klafferstraß</t>
  </si>
  <si>
    <t>Unterhöhenstetten</t>
  </si>
  <si>
    <t>Waldkirchen</t>
  </si>
  <si>
    <t>Ratzing</t>
  </si>
  <si>
    <t>Oberfrauenwald</t>
  </si>
  <si>
    <t>Heindlschlag</t>
  </si>
  <si>
    <t>Edenstetten</t>
  </si>
  <si>
    <t>Egg</t>
  </si>
  <si>
    <t>Bergern</t>
  </si>
  <si>
    <t>Alberting</t>
  </si>
  <si>
    <t>Penzenried</t>
  </si>
  <si>
    <t>Buchberg</t>
  </si>
  <si>
    <t>Offenberg</t>
  </si>
  <si>
    <t>Metten</t>
  </si>
  <si>
    <t>Natternberg</t>
  </si>
  <si>
    <t>Fischerdorf</t>
  </si>
  <si>
    <t>Schaching</t>
  </si>
  <si>
    <t>Mietraching</t>
  </si>
  <si>
    <t>Greising</t>
  </si>
  <si>
    <t>Deggenau</t>
  </si>
  <si>
    <t>Seebach</t>
  </si>
  <si>
    <t>Schaufling</t>
  </si>
  <si>
    <t>Urlading</t>
  </si>
  <si>
    <t>Lalling</t>
  </si>
  <si>
    <t>Hunding</t>
  </si>
  <si>
    <t>Nabin</t>
  </si>
  <si>
    <t>Oberaign</t>
  </si>
  <si>
    <t>Grattersdorf</t>
  </si>
  <si>
    <t>Winsing</t>
  </si>
  <si>
    <t>Steinkirchen</t>
  </si>
  <si>
    <t>Michaelsbuch</t>
  </si>
  <si>
    <t>Stephansposching</t>
  </si>
  <si>
    <t>Rottersdorf</t>
  </si>
  <si>
    <t>Pankofen</t>
  </si>
  <si>
    <t>Plattling</t>
  </si>
  <si>
    <t>Pielweichs</t>
  </si>
  <si>
    <t>Aholming</t>
  </si>
  <si>
    <t>Langenisarhofen</t>
  </si>
  <si>
    <t>Buchhofen</t>
  </si>
  <si>
    <t>Niederalteich</t>
  </si>
  <si>
    <t>Altenufer</t>
  </si>
  <si>
    <t>Hengersberg</t>
  </si>
  <si>
    <t>Engolling</t>
  </si>
  <si>
    <t>Schwanenkirchen</t>
  </si>
  <si>
    <t>Schöllnach</t>
  </si>
  <si>
    <t>Taiding</t>
  </si>
  <si>
    <t>Riggerding</t>
  </si>
  <si>
    <t>Iggensbach</t>
  </si>
  <si>
    <t>Außernzell</t>
  </si>
  <si>
    <t>Neßlbach</t>
  </si>
  <si>
    <t>Otzing</t>
  </si>
  <si>
    <t>Haunersdorf</t>
  </si>
  <si>
    <t>Lailling</t>
  </si>
  <si>
    <t>Niederpöring</t>
  </si>
  <si>
    <t>Oberpöring</t>
  </si>
  <si>
    <t>Neusling</t>
  </si>
  <si>
    <t>Wallerfing</t>
  </si>
  <si>
    <t>Ramsdorf</t>
  </si>
  <si>
    <t>Aicha a.d.Donau</t>
  </si>
  <si>
    <t>Niedermünchsdorf</t>
  </si>
  <si>
    <t>Osterhofen</t>
  </si>
  <si>
    <t>Wisselsing</t>
  </si>
  <si>
    <t>Kirchdorf b.Osterhofen</t>
  </si>
  <si>
    <t>Anning</t>
  </si>
  <si>
    <t>Langenamming</t>
  </si>
  <si>
    <t>Göttersdorf</t>
  </si>
  <si>
    <t>Gergweis</t>
  </si>
  <si>
    <t>Galgweis</t>
  </si>
  <si>
    <t>Forsthart</t>
  </si>
  <si>
    <t>Künzing</t>
  </si>
  <si>
    <t>Abensberg</t>
  </si>
  <si>
    <t>Adlhausen</t>
  </si>
  <si>
    <t>Affecking</t>
  </si>
  <si>
    <t>Aiglsbach</t>
  </si>
  <si>
    <t>Altdürnbuch</t>
  </si>
  <si>
    <t>Altessing</t>
  </si>
  <si>
    <t>Appersdorf</t>
  </si>
  <si>
    <t>Arnhofen</t>
  </si>
  <si>
    <t>Arresting</t>
  </si>
  <si>
    <t>Attenhofen</t>
  </si>
  <si>
    <t>Bachl</t>
  </si>
  <si>
    <t>Bad Abbach</t>
  </si>
  <si>
    <t>Bad Gögging</t>
  </si>
  <si>
    <t>Berghausen</t>
  </si>
  <si>
    <t>Dünzling</t>
  </si>
  <si>
    <t>Dürnbucher Forst</t>
  </si>
  <si>
    <t>Ebrantshausen</t>
  </si>
  <si>
    <t>Eining</t>
  </si>
  <si>
    <t>Einmuß</t>
  </si>
  <si>
    <t>Einwald</t>
  </si>
  <si>
    <t>Frauenforst</t>
  </si>
  <si>
    <t>Gasseltshausen</t>
  </si>
  <si>
    <t>Geibenstetten</t>
  </si>
  <si>
    <t>Gronsdorf</t>
  </si>
  <si>
    <t>Großgundertshausen</t>
  </si>
  <si>
    <t>Großmuß</t>
  </si>
  <si>
    <t>Helchenbach</t>
  </si>
  <si>
    <t>Herrngiersdorf</t>
  </si>
  <si>
    <t>Herrnsaal</t>
  </si>
  <si>
    <t>Herrnwahlthann</t>
  </si>
  <si>
    <t>Hienheim</t>
  </si>
  <si>
    <t>Hienheimer Forst</t>
  </si>
  <si>
    <t>Hörlbach</t>
  </si>
  <si>
    <t>Holzharlanden</t>
  </si>
  <si>
    <t>Holzmannshausen</t>
  </si>
  <si>
    <t>Horneck</t>
  </si>
  <si>
    <t>Irlbrunn</t>
  </si>
  <si>
    <t>Irnsing</t>
  </si>
  <si>
    <t>Kapfelberg</t>
  </si>
  <si>
    <t>Kelheimwinzer</t>
  </si>
  <si>
    <t>Kirchdorf</t>
  </si>
  <si>
    <t>Laaberberg</t>
  </si>
  <si>
    <t>Langquaid</t>
  </si>
  <si>
    <t>Leibersdorf</t>
  </si>
  <si>
    <t>Lindkirchen</t>
  </si>
  <si>
    <t>Lohstadt</t>
  </si>
  <si>
    <t>Mainburg</t>
  </si>
  <si>
    <t>Mallmersdorf</t>
  </si>
  <si>
    <t>Marching</t>
  </si>
  <si>
    <t>Mauern</t>
  </si>
  <si>
    <t>Meilenhausen</t>
  </si>
  <si>
    <t>Mitterfecking</t>
  </si>
  <si>
    <t>Mitterstetten</t>
  </si>
  <si>
    <t>Neuessing</t>
  </si>
  <si>
    <t>Neukelheim</t>
  </si>
  <si>
    <t>Neustadt a.d.Donau</t>
  </si>
  <si>
    <t>Niederleierndorf</t>
  </si>
  <si>
    <t>Niederumelsdorf</t>
  </si>
  <si>
    <t>Oberempfenbach</t>
  </si>
  <si>
    <t>Obereulenbach</t>
  </si>
  <si>
    <t>Oberpindhart</t>
  </si>
  <si>
    <t>Oberschambach</t>
  </si>
  <si>
    <t>Oberulrain</t>
  </si>
  <si>
    <t>Oberwangenbach</t>
  </si>
  <si>
    <t>Offenstetten</t>
  </si>
  <si>
    <t>Paring</t>
  </si>
  <si>
    <t>Peising</t>
  </si>
  <si>
    <t>Peterfecking</t>
  </si>
  <si>
    <t>Pöbenhausen</t>
  </si>
  <si>
    <t>Pötzmes</t>
  </si>
  <si>
    <t>Poikam</t>
  </si>
  <si>
    <t>Pullach</t>
  </si>
  <si>
    <t>Randeck</t>
  </si>
  <si>
    <t>Ratzenhofen</t>
  </si>
  <si>
    <t>Rohr i.NB</t>
  </si>
  <si>
    <t>Saal a.d.Donau</t>
  </si>
  <si>
    <t>Saalhaupt</t>
  </si>
  <si>
    <t>Sallingberg</t>
  </si>
  <si>
    <t>Sandelzhausen</t>
  </si>
  <si>
    <t>Sandharlanden</t>
  </si>
  <si>
    <t>Schneidhart</t>
  </si>
  <si>
    <t>Schwaig</t>
  </si>
  <si>
    <t>Siegenburg</t>
  </si>
  <si>
    <t>Staudach</t>
  </si>
  <si>
    <t>Staubing</t>
  </si>
  <si>
    <t>Stausacker</t>
  </si>
  <si>
    <t>Teuerting</t>
  </si>
  <si>
    <t>Teugn</t>
  </si>
  <si>
    <t>Thaldorf</t>
  </si>
  <si>
    <t>Tollbach</t>
  </si>
  <si>
    <t>Train</t>
  </si>
  <si>
    <t>Volkenschwand</t>
  </si>
  <si>
    <t>Walkertshofen</t>
  </si>
  <si>
    <t>Walddorf</t>
  </si>
  <si>
    <t>Weltenburg</t>
  </si>
  <si>
    <t>Dingolfing</t>
  </si>
  <si>
    <t>Frauenbiburg</t>
  </si>
  <si>
    <t>Teisbach</t>
  </si>
  <si>
    <t>Adldorf</t>
  </si>
  <si>
    <t>Dornach</t>
  </si>
  <si>
    <t>Eichendorf</t>
  </si>
  <si>
    <t>Ettling</t>
  </si>
  <si>
    <t>Exing</t>
  </si>
  <si>
    <t>Hartkirchen</t>
  </si>
  <si>
    <t>Indersbach</t>
  </si>
  <si>
    <t>Kammern</t>
  </si>
  <si>
    <t>Reichstorf</t>
  </si>
  <si>
    <t>Rengersdorf I</t>
  </si>
  <si>
    <t>Frontenhausen</t>
  </si>
  <si>
    <t>Marklkofen</t>
  </si>
  <si>
    <t>Poxau</t>
  </si>
  <si>
    <t>Rampoldstetten</t>
  </si>
  <si>
    <t>Frammering</t>
  </si>
  <si>
    <t>Höcking</t>
  </si>
  <si>
    <t>Landau a.d.Isar</t>
  </si>
  <si>
    <t>Mettenhausen</t>
  </si>
  <si>
    <t>Reichersdorf</t>
  </si>
  <si>
    <t>Zeholfing</t>
  </si>
  <si>
    <t>Bubach</t>
  </si>
  <si>
    <t>Gottfrieding</t>
  </si>
  <si>
    <t>Hackerskofen</t>
  </si>
  <si>
    <t>Mamming</t>
  </si>
  <si>
    <t>Hüttenkofen</t>
  </si>
  <si>
    <t>Martinsbuch</t>
  </si>
  <si>
    <t>Tunzenberg</t>
  </si>
  <si>
    <t>Dornwang</t>
  </si>
  <si>
    <t>Lengthal</t>
  </si>
  <si>
    <t>Moosthenning</t>
  </si>
  <si>
    <t>Ottering</t>
  </si>
  <si>
    <t>Thürnthenning</t>
  </si>
  <si>
    <t>Loiching</t>
  </si>
  <si>
    <t>Niederviehbach</t>
  </si>
  <si>
    <t>Oberviehbach</t>
  </si>
  <si>
    <t>Ganacker</t>
  </si>
  <si>
    <t>Großköllnbach</t>
  </si>
  <si>
    <t>Harburg</t>
  </si>
  <si>
    <t>Pilsting</t>
  </si>
  <si>
    <t>Waibling</t>
  </si>
  <si>
    <t>Englmannsberg</t>
  </si>
  <si>
    <t>Haberskirchen</t>
  </si>
  <si>
    <t>Niederhausen</t>
  </si>
  <si>
    <t>Niederreisbach</t>
  </si>
  <si>
    <t>Oberhausen</t>
  </si>
  <si>
    <t>Reisbach</t>
  </si>
  <si>
    <t>Langgraben</t>
  </si>
  <si>
    <t>Pischelsdorf</t>
  </si>
  <si>
    <t>Rengersdorf II</t>
  </si>
  <si>
    <t>Ruhstorf</t>
  </si>
  <si>
    <t>Simbach</t>
  </si>
  <si>
    <t>Altenbuch</t>
  </si>
  <si>
    <t>Haidlfing</t>
  </si>
  <si>
    <t>Wallersdorf</t>
  </si>
  <si>
    <t>Eging a.See</t>
  </si>
  <si>
    <t>Aicha vorm Wald</t>
  </si>
  <si>
    <t>Hilgartsberg</t>
  </si>
  <si>
    <t>Garham</t>
  </si>
  <si>
    <t>Rathsmannsdorf</t>
  </si>
  <si>
    <t>Otterskirchen</t>
  </si>
  <si>
    <t>Windorf</t>
  </si>
  <si>
    <t>Pleinting</t>
  </si>
  <si>
    <t>Alkofen</t>
  </si>
  <si>
    <t>Vilshofen an der Donau</t>
  </si>
  <si>
    <t>Aunkirchen</t>
  </si>
  <si>
    <t>Sandbach</t>
  </si>
  <si>
    <t>Walchsing</t>
  </si>
  <si>
    <t>Pörndorf</t>
  </si>
  <si>
    <t>Aldersbach</t>
  </si>
  <si>
    <t>Haidenburg</t>
  </si>
  <si>
    <t>Aidenbach</t>
  </si>
  <si>
    <t>Beutelsbach</t>
  </si>
  <si>
    <t>Iglbach</t>
  </si>
  <si>
    <t>Söldenau</t>
  </si>
  <si>
    <t>Ortenburg</t>
  </si>
  <si>
    <t>Königbach</t>
  </si>
  <si>
    <t>Dorfbach</t>
  </si>
  <si>
    <t>Fürstenstein</t>
  </si>
  <si>
    <t>Tittling</t>
  </si>
  <si>
    <t>Neukirchen vorm Wald</t>
  </si>
  <si>
    <t>Prag</t>
  </si>
  <si>
    <t>Hutthurm</t>
  </si>
  <si>
    <t>Leoprechting</t>
  </si>
  <si>
    <t>Nirsching</t>
  </si>
  <si>
    <t>Raßberg</t>
  </si>
  <si>
    <t>Wotzdorf</t>
  </si>
  <si>
    <t>Hauzenberg</t>
  </si>
  <si>
    <t>Raßreuth</t>
  </si>
  <si>
    <t>Oberdiendorf</t>
  </si>
  <si>
    <t>Jahrdorf</t>
  </si>
  <si>
    <t>Germannsdorf</t>
  </si>
  <si>
    <t>Windpassing</t>
  </si>
  <si>
    <t>Oberneureuth</t>
  </si>
  <si>
    <t>Sonnen</t>
  </si>
  <si>
    <t>Gegenbach</t>
  </si>
  <si>
    <t>Breitenberg</t>
  </si>
  <si>
    <t>Gollnerberg</t>
  </si>
  <si>
    <t>Ruderting</t>
  </si>
  <si>
    <t>Salzweg</t>
  </si>
  <si>
    <t>Donauwetzdorf</t>
  </si>
  <si>
    <t>Thyrnau</t>
  </si>
  <si>
    <t>Kellberg</t>
  </si>
  <si>
    <t>Schaibing</t>
  </si>
  <si>
    <t>Oberötzdorf</t>
  </si>
  <si>
    <t>Untergriesbach</t>
  </si>
  <si>
    <t>Lämmersdorf</t>
  </si>
  <si>
    <t>Gottsdorf</t>
  </si>
  <si>
    <t>Thalberg</t>
  </si>
  <si>
    <t>Möslberg</t>
  </si>
  <si>
    <t>Meßnerschlag</t>
  </si>
  <si>
    <t>Thurnreuth</t>
  </si>
  <si>
    <t>Wildenranna</t>
  </si>
  <si>
    <t>Wegscheid</t>
  </si>
  <si>
    <t>Eidenberg</t>
  </si>
  <si>
    <t>Ederlsdorf</t>
  </si>
  <si>
    <t>Obernzell</t>
  </si>
  <si>
    <t>Heining</t>
  </si>
  <si>
    <t>Hacklberg</t>
  </si>
  <si>
    <t>Ries</t>
  </si>
  <si>
    <t>Hals</t>
  </si>
  <si>
    <t>Grubweg</t>
  </si>
  <si>
    <t>Haidenhof</t>
  </si>
  <si>
    <t>St.Nikola</t>
  </si>
  <si>
    <t>Beiderwies</t>
  </si>
  <si>
    <t>Voglarn</t>
  </si>
  <si>
    <t>Fürstenzell</t>
  </si>
  <si>
    <t>Bad Höhenstadt</t>
  </si>
  <si>
    <t>Engertsham</t>
  </si>
  <si>
    <t>Neukirchen a.Inn</t>
  </si>
  <si>
    <t>Neuburg a.Inn</t>
  </si>
  <si>
    <t>Eglsee</t>
  </si>
  <si>
    <t>Haarbach</t>
  </si>
  <si>
    <t>Sachsenham</t>
  </si>
  <si>
    <t>Uttlau</t>
  </si>
  <si>
    <t>Sankt Salvator</t>
  </si>
  <si>
    <t>Buchet</t>
  </si>
  <si>
    <t>Weng</t>
  </si>
  <si>
    <t>Bad Griesbach i.Rottal</t>
  </si>
  <si>
    <t>Karpfham</t>
  </si>
  <si>
    <t>Schmidham</t>
  </si>
  <si>
    <t>Hütting</t>
  </si>
  <si>
    <t>Ruhstorf a.d.Rott</t>
  </si>
  <si>
    <t>Eholfing</t>
  </si>
  <si>
    <t>Sulzbach a.Inn</t>
  </si>
  <si>
    <t>Vornbach</t>
  </si>
  <si>
    <t>Neuhaus a.Inn</t>
  </si>
  <si>
    <t>Mittich</t>
  </si>
  <si>
    <t>Oberschwärzenbach</t>
  </si>
  <si>
    <t>Tettenweis</t>
  </si>
  <si>
    <t>Poigham</t>
  </si>
  <si>
    <t>Amsham</t>
  </si>
  <si>
    <t>Arnstorf</t>
  </si>
  <si>
    <t>Asenham</t>
  </si>
  <si>
    <t>Baumgarten</t>
  </si>
  <si>
    <t>Brombach</t>
  </si>
  <si>
    <t>Dietersburg</t>
  </si>
  <si>
    <t>Diepoltskirchen</t>
  </si>
  <si>
    <t>Dummeldorf</t>
  </si>
  <si>
    <t>Eggenfelden</t>
  </si>
  <si>
    <t>Egglham</t>
  </si>
  <si>
    <t>Emmersdorf</t>
  </si>
  <si>
    <t>Fünfleiten</t>
  </si>
  <si>
    <t>Gangerbauer</t>
  </si>
  <si>
    <t>Gangkofen</t>
  </si>
  <si>
    <t>Geratskirchen</t>
  </si>
  <si>
    <t>Hainberg</t>
  </si>
  <si>
    <t>Hammersbach</t>
  </si>
  <si>
    <t>Hebertsfelden</t>
  </si>
  <si>
    <t>Hickerstall</t>
  </si>
  <si>
    <t>Hirschhorn</t>
  </si>
  <si>
    <t>Huldsessen</t>
  </si>
  <si>
    <t>Jägerndorf</t>
  </si>
  <si>
    <t>Johanniskirchen</t>
  </si>
  <si>
    <t>Kohlstorf</t>
  </si>
  <si>
    <t>Kollbach</t>
  </si>
  <si>
    <t>Langeneck</t>
  </si>
  <si>
    <t>Lengsham</t>
  </si>
  <si>
    <t>Anzenkirchen</t>
  </si>
  <si>
    <t>Lohbruck</t>
  </si>
  <si>
    <t>Malgersdorf</t>
  </si>
  <si>
    <t>Malling</t>
  </si>
  <si>
    <t>Mariakirchen</t>
  </si>
  <si>
    <t>Martinskirchen</t>
  </si>
  <si>
    <t>Massing</t>
  </si>
  <si>
    <t>Mitterhausen</t>
  </si>
  <si>
    <t>Mitterskirchen</t>
  </si>
  <si>
    <t>Münchsdorf</t>
  </si>
  <si>
    <t>Neuhofen</t>
  </si>
  <si>
    <t>Nöham</t>
  </si>
  <si>
    <t>Obertrennbach</t>
  </si>
  <si>
    <t>Panzing</t>
  </si>
  <si>
    <t>Peterskirchen</t>
  </si>
  <si>
    <t>Pfarrkirchen</t>
  </si>
  <si>
    <t>Postmünster</t>
  </si>
  <si>
    <t>Reicheneibach</t>
  </si>
  <si>
    <t>Rogglfing</t>
  </si>
  <si>
    <t>Ruppertskirchen</t>
  </si>
  <si>
    <t>Sattlern</t>
  </si>
  <si>
    <t>Schalldorf</t>
  </si>
  <si>
    <t>Schmiedorf</t>
  </si>
  <si>
    <t>Taufkirchen</t>
  </si>
  <si>
    <t>Thanndorf</t>
  </si>
  <si>
    <t>Triftern</t>
  </si>
  <si>
    <t>Unterdietfurt</t>
  </si>
  <si>
    <t>Untergrafendorf</t>
  </si>
  <si>
    <t>Untergrasensee</t>
  </si>
  <si>
    <t>Unterhausbach</t>
  </si>
  <si>
    <t>Unterhöft</t>
  </si>
  <si>
    <t>Unterzeitlarn</t>
  </si>
  <si>
    <t>Waldhof</t>
  </si>
  <si>
    <t>Wurmannsquick</t>
  </si>
  <si>
    <t>Bad Birnbach</t>
  </si>
  <si>
    <t>Dirnaich</t>
  </si>
  <si>
    <t>Hölsbrunn</t>
  </si>
  <si>
    <t>Untertattenbach</t>
  </si>
  <si>
    <t>Angerbach</t>
  </si>
  <si>
    <t>Schöfthal</t>
  </si>
  <si>
    <t>Bayerbach</t>
  </si>
  <si>
    <t>Kindlbach</t>
  </si>
  <si>
    <t>Walburgskirchen</t>
  </si>
  <si>
    <t>Tann</t>
  </si>
  <si>
    <t>Obertürken</t>
  </si>
  <si>
    <t>Schildthurn</t>
  </si>
  <si>
    <t>Gumpersdorf</t>
  </si>
  <si>
    <t>Randling</t>
  </si>
  <si>
    <t>Reut</t>
  </si>
  <si>
    <t>Taubenbach</t>
  </si>
  <si>
    <t>Wittibreut</t>
  </si>
  <si>
    <t>Ulbering</t>
  </si>
  <si>
    <t>Stubenberg</t>
  </si>
  <si>
    <t>Münchham</t>
  </si>
  <si>
    <t>Ering</t>
  </si>
  <si>
    <t>Eggstetten</t>
  </si>
  <si>
    <t>Kirchberg a.Inn</t>
  </si>
  <si>
    <t>Simbach a.Inn</t>
  </si>
  <si>
    <t>Julbach</t>
  </si>
  <si>
    <t>Kirchdorf a.Inn</t>
  </si>
  <si>
    <t>Thanham</t>
  </si>
  <si>
    <t>Kößlarn</t>
  </si>
  <si>
    <t>Hubreith</t>
  </si>
  <si>
    <t>Weihmörting</t>
  </si>
  <si>
    <t>Pattenham</t>
  </si>
  <si>
    <t>Rotthalmünster</t>
  </si>
  <si>
    <t>Malching</t>
  </si>
  <si>
    <t>Kühnham</t>
  </si>
  <si>
    <t>Pocking</t>
  </si>
  <si>
    <t>Indling</t>
  </si>
  <si>
    <t>Kirchham</t>
  </si>
  <si>
    <t>Safferstetten</t>
  </si>
  <si>
    <t>Würding</t>
  </si>
  <si>
    <t>Aigen a.Inn</t>
  </si>
  <si>
    <t>Egglfing a.Inn</t>
  </si>
  <si>
    <t>Niedereulenbach</t>
  </si>
  <si>
    <t>Pattendorf</t>
  </si>
  <si>
    <t>Oberotterbach</t>
  </si>
  <si>
    <t>Rottenburg a.d.Laaber</t>
  </si>
  <si>
    <t>Niederhatzkofen</t>
  </si>
  <si>
    <t>Niederroning</t>
  </si>
  <si>
    <t>Hebramsdorf</t>
  </si>
  <si>
    <t>Neufahrn i.NB</t>
  </si>
  <si>
    <t>Rohrberg</t>
  </si>
  <si>
    <t>Oberlauterbach</t>
  </si>
  <si>
    <t>Niederhornbach</t>
  </si>
  <si>
    <t>Rainertshausen</t>
  </si>
  <si>
    <t>Pfeffenhausen</t>
  </si>
  <si>
    <t>Stollnried</t>
  </si>
  <si>
    <t>Schmatzhausen</t>
  </si>
  <si>
    <t>Oberergoldsbach</t>
  </si>
  <si>
    <t>Andermannsdorf</t>
  </si>
  <si>
    <t>Türkenfeld</t>
  </si>
  <si>
    <t>Petersglaim</t>
  </si>
  <si>
    <t>Weihenstephan</t>
  </si>
  <si>
    <t>Wachelkofen</t>
  </si>
  <si>
    <t>Langenhettenbach</t>
  </si>
  <si>
    <t>Iffelkofen</t>
  </si>
  <si>
    <t>Siegensdorf</t>
  </si>
  <si>
    <t>Ergoldsbach</t>
  </si>
  <si>
    <t>Paindlkofen</t>
  </si>
  <si>
    <t>Bayerbach b.Ergoldsbach</t>
  </si>
  <si>
    <t>Martinshaun</t>
  </si>
  <si>
    <t>Martinszell</t>
  </si>
  <si>
    <t>Obersüßbach</t>
  </si>
  <si>
    <t>Obermünchen</t>
  </si>
  <si>
    <t>Neuhausen b.Landshut</t>
  </si>
  <si>
    <t>Weihmichl</t>
  </si>
  <si>
    <t>Schatzhofen</t>
  </si>
  <si>
    <t>Furth</t>
  </si>
  <si>
    <t>Arth</t>
  </si>
  <si>
    <t>Oberglaim</t>
  </si>
  <si>
    <t>Ergolding</t>
  </si>
  <si>
    <t>Mirskofen</t>
  </si>
  <si>
    <t>Oberwattenbach</t>
  </si>
  <si>
    <t>Mettenbach</t>
  </si>
  <si>
    <t>Essenbach</t>
  </si>
  <si>
    <t>Ohu</t>
  </si>
  <si>
    <t>Moosthann</t>
  </si>
  <si>
    <t>Postau</t>
  </si>
  <si>
    <t>Grießenbach</t>
  </si>
  <si>
    <t>Oberköllnbach</t>
  </si>
  <si>
    <t>Unholzing</t>
  </si>
  <si>
    <t>Veitsbuch</t>
  </si>
  <si>
    <t>Wörth a.d.Isar</t>
  </si>
  <si>
    <t>Niederaichbach</t>
  </si>
  <si>
    <t>Oberaichbach</t>
  </si>
  <si>
    <t>Widdersdorf</t>
  </si>
  <si>
    <t>Attenhausen</t>
  </si>
  <si>
    <t>Tondorf</t>
  </si>
  <si>
    <t>Gündlkofen</t>
  </si>
  <si>
    <t>Bruckbergerau</t>
  </si>
  <si>
    <t>Pfettrach</t>
  </si>
  <si>
    <t>Eugenbach</t>
  </si>
  <si>
    <t>Münchnerau</t>
  </si>
  <si>
    <t>Achdorf</t>
  </si>
  <si>
    <t>Berg ob Landshut</t>
  </si>
  <si>
    <t>Deutenkofen</t>
  </si>
  <si>
    <t>Jenkofen</t>
  </si>
  <si>
    <t>Adlkofen</t>
  </si>
  <si>
    <t>Dietelskirchen</t>
  </si>
  <si>
    <t>Kröning</t>
  </si>
  <si>
    <t>Jesendorf</t>
  </si>
  <si>
    <t>Lichtenhaag</t>
  </si>
  <si>
    <t>Gerzen</t>
  </si>
  <si>
    <t>Aham</t>
  </si>
  <si>
    <t>Loizenkirchen</t>
  </si>
  <si>
    <t>Schalkham</t>
  </si>
  <si>
    <t>Johannesbrunn</t>
  </si>
  <si>
    <t>Eching</t>
  </si>
  <si>
    <t>Kronwinkl</t>
  </si>
  <si>
    <t>Berghofen</t>
  </si>
  <si>
    <t>Haunwang</t>
  </si>
  <si>
    <t>Viecht</t>
  </si>
  <si>
    <t>Buch a.Erlbach</t>
  </si>
  <si>
    <t>Garnzell</t>
  </si>
  <si>
    <t>Niederkam</t>
  </si>
  <si>
    <t>Götzdorf</t>
  </si>
  <si>
    <t>Hohenegglkofen</t>
  </si>
  <si>
    <t>Obergangkofen</t>
  </si>
  <si>
    <t>Windten</t>
  </si>
  <si>
    <t>Vilsheim</t>
  </si>
  <si>
    <t>Gundihausen</t>
  </si>
  <si>
    <t>Altfraunhofen</t>
  </si>
  <si>
    <t>Baierbach</t>
  </si>
  <si>
    <t>Salksdorf</t>
  </si>
  <si>
    <t>Diemannskirchen</t>
  </si>
  <si>
    <t>Geisenhausen</t>
  </si>
  <si>
    <t>Seyboldsdorf</t>
  </si>
  <si>
    <t>Vilsbiburg</t>
  </si>
  <si>
    <t>Frauensattling</t>
  </si>
  <si>
    <t>Gaindorf</t>
  </si>
  <si>
    <t>Wolferding</t>
  </si>
  <si>
    <t>Binabiburg</t>
  </si>
  <si>
    <t>Rothenwörth</t>
  </si>
  <si>
    <t>Bonbruck</t>
  </si>
  <si>
    <t>Bodenkirchen</t>
  </si>
  <si>
    <t>Haunzenbergersöll</t>
  </si>
  <si>
    <t>Neufraunhofen</t>
  </si>
  <si>
    <t>Vilslern</t>
  </si>
  <si>
    <t>Ruprechtsberg</t>
  </si>
  <si>
    <t>Eberspoint</t>
  </si>
  <si>
    <t>Babing</t>
  </si>
  <si>
    <t>Pauluszell</t>
  </si>
  <si>
    <t>Wurmsham</t>
  </si>
  <si>
    <t>Fremdingen</t>
  </si>
  <si>
    <t>Schopflohe</t>
  </si>
  <si>
    <t>Seglohe</t>
  </si>
  <si>
    <t>Hochaltingen</t>
  </si>
  <si>
    <t>Herblingen</t>
  </si>
  <si>
    <t>Dornstadt-Linkersbaindt</t>
  </si>
  <si>
    <t>Auhausen</t>
  </si>
  <si>
    <t>Dornstadt</t>
  </si>
  <si>
    <t>Lochenbach</t>
  </si>
  <si>
    <t>Belzheim</t>
  </si>
  <si>
    <t>Ehingen a.Ries</t>
  </si>
  <si>
    <t>Niederhofen</t>
  </si>
  <si>
    <t>Lehmingen</t>
  </si>
  <si>
    <t>Oettingen i.Bay.</t>
  </si>
  <si>
    <t>Nittingen</t>
  </si>
  <si>
    <t>Hainsfarth</t>
  </si>
  <si>
    <t>Steinhart</t>
  </si>
  <si>
    <t>Megesheim</t>
  </si>
  <si>
    <t>Munningen</t>
  </si>
  <si>
    <t>Schwörsheim</t>
  </si>
  <si>
    <t>Minderoffingen</t>
  </si>
  <si>
    <t>Marktoffingen</t>
  </si>
  <si>
    <t>Utzwingen</t>
  </si>
  <si>
    <t>Maihingen</t>
  </si>
  <si>
    <t>Munzingen</t>
  </si>
  <si>
    <t>Birkhausen</t>
  </si>
  <si>
    <t>Wallerstein</t>
  </si>
  <si>
    <t>Ehringen</t>
  </si>
  <si>
    <t>Dürrenzimmern</t>
  </si>
  <si>
    <t>Pfäfflingen</t>
  </si>
  <si>
    <t>Löpsingen</t>
  </si>
  <si>
    <t>Baldingen</t>
  </si>
  <si>
    <t>Nördlingen</t>
  </si>
  <si>
    <t>Nähermemmingen</t>
  </si>
  <si>
    <t>Kleinerdlingen</t>
  </si>
  <si>
    <t>Holheim</t>
  </si>
  <si>
    <t>Herkheim</t>
  </si>
  <si>
    <t>Grosselfingen</t>
  </si>
  <si>
    <t>Schmähingen</t>
  </si>
  <si>
    <t>Wechingen</t>
  </si>
  <si>
    <t>Fessenheim</t>
  </si>
  <si>
    <t>Deiningen</t>
  </si>
  <si>
    <t>Alerheim</t>
  </si>
  <si>
    <t>Rudelstetten</t>
  </si>
  <si>
    <t>Wörnitzostheim</t>
  </si>
  <si>
    <t>Bühl i.Ries</t>
  </si>
  <si>
    <t>Reimlingen</t>
  </si>
  <si>
    <t>Ederheim</t>
  </si>
  <si>
    <t>Hürnheim</t>
  </si>
  <si>
    <t>Christgarten</t>
  </si>
  <si>
    <t>Enkingen</t>
  </si>
  <si>
    <t>Balgheim</t>
  </si>
  <si>
    <t>Möttingen</t>
  </si>
  <si>
    <t>Appetshofen</t>
  </si>
  <si>
    <t>Kleinsorheim</t>
  </si>
  <si>
    <t>Niederaltheim</t>
  </si>
  <si>
    <t>Hohenaltheim</t>
  </si>
  <si>
    <t>Forheim</t>
  </si>
  <si>
    <t>Bollstadt</t>
  </si>
  <si>
    <t>Amerdingen</t>
  </si>
  <si>
    <t>Merzingen</t>
  </si>
  <si>
    <t>Mönchsdeggingen</t>
  </si>
  <si>
    <t>Ziswingen</t>
  </si>
  <si>
    <t>Untermagerbein</t>
  </si>
  <si>
    <t>Schaffhausen</t>
  </si>
  <si>
    <t>Amerbach</t>
  </si>
  <si>
    <t>Wemding</t>
  </si>
  <si>
    <t>Gosheim</t>
  </si>
  <si>
    <t>Huisheim</t>
  </si>
  <si>
    <t>Oberringingen</t>
  </si>
  <si>
    <t>Fronhofen</t>
  </si>
  <si>
    <t>Burgmagerbein</t>
  </si>
  <si>
    <t>Göllingen</t>
  </si>
  <si>
    <t>Stillnau</t>
  </si>
  <si>
    <t>Buggenhofen</t>
  </si>
  <si>
    <t>Zoltingen</t>
  </si>
  <si>
    <t>Unterringingen</t>
  </si>
  <si>
    <t>Leiheim</t>
  </si>
  <si>
    <t>Diemantstein</t>
  </si>
  <si>
    <t>Warnhofen</t>
  </si>
  <si>
    <t>Hochstein</t>
  </si>
  <si>
    <t>Bissingen</t>
  </si>
  <si>
    <t>Kesselostheim</t>
  </si>
  <si>
    <t>Oberliezheim</t>
  </si>
  <si>
    <t>Gaishardt</t>
  </si>
  <si>
    <t>Unterbissingen</t>
  </si>
  <si>
    <t>Unterliezheim</t>
  </si>
  <si>
    <t>Lutzingen</t>
  </si>
  <si>
    <t>Schwennenbach</t>
  </si>
  <si>
    <t>Oberglauheim</t>
  </si>
  <si>
    <t>Deisenhofen</t>
  </si>
  <si>
    <t>Höchstädt a.d.Donau</t>
  </si>
  <si>
    <t>Sonderheim</t>
  </si>
  <si>
    <t>Wolpertstetten</t>
  </si>
  <si>
    <t>Unterglauheim</t>
  </si>
  <si>
    <t>Blindheim</t>
  </si>
  <si>
    <t>Schwenningen</t>
  </si>
  <si>
    <t>Gremheim</t>
  </si>
  <si>
    <t>Unterfinningen</t>
  </si>
  <si>
    <t>Oberfinningen</t>
  </si>
  <si>
    <t>Mörslingen</t>
  </si>
  <si>
    <t>Zöschingen</t>
  </si>
  <si>
    <t>Staufen</t>
  </si>
  <si>
    <t>Syrgenstein</t>
  </si>
  <si>
    <t>Landshausen</t>
  </si>
  <si>
    <t>Burghagel</t>
  </si>
  <si>
    <t>Bachhagel</t>
  </si>
  <si>
    <t>Oberbechingen</t>
  </si>
  <si>
    <t>Reistingen</t>
  </si>
  <si>
    <t>Dattenhausen</t>
  </si>
  <si>
    <t>Ziertheim</t>
  </si>
  <si>
    <t>Mödingen</t>
  </si>
  <si>
    <t>Bergheim</t>
  </si>
  <si>
    <t>Wittislingen</t>
  </si>
  <si>
    <t>Schabringen</t>
  </si>
  <si>
    <t>Unterbechingen</t>
  </si>
  <si>
    <t>Haunsheim</t>
  </si>
  <si>
    <t>Untermedlingen</t>
  </si>
  <si>
    <t>Obermedlingen</t>
  </si>
  <si>
    <t>Bächingen a.d.Brenz</t>
  </si>
  <si>
    <t>Gundelfingen a.d.Donau</t>
  </si>
  <si>
    <t>Peterswörth</t>
  </si>
  <si>
    <t>Echenbrunn</t>
  </si>
  <si>
    <t>Frauenriedhausen</t>
  </si>
  <si>
    <t>Veitriedhausen</t>
  </si>
  <si>
    <t>Lauingen (Donau)</t>
  </si>
  <si>
    <t>Faimingen</t>
  </si>
  <si>
    <t>Donaualtheim</t>
  </si>
  <si>
    <t>Schretzheim</t>
  </si>
  <si>
    <t>Steinheim</t>
  </si>
  <si>
    <t>Fristingen</t>
  </si>
  <si>
    <t>Kicklingen</t>
  </si>
  <si>
    <t>Pfaffenhofen a.d.Zusam</t>
  </si>
  <si>
    <t>Unterthürheim</t>
  </si>
  <si>
    <t>Oberthürheim</t>
  </si>
  <si>
    <t>Buttenwiesen</t>
  </si>
  <si>
    <t>Wortelstetten</t>
  </si>
  <si>
    <t>Frauenstetten</t>
  </si>
  <si>
    <t>Binswangen</t>
  </si>
  <si>
    <t>Wertingen</t>
  </si>
  <si>
    <t>Gottmannshofen</t>
  </si>
  <si>
    <t>Hohenreichen</t>
  </si>
  <si>
    <t>Roggden</t>
  </si>
  <si>
    <t>Bliensbach</t>
  </si>
  <si>
    <t>Prettelshofen</t>
  </si>
  <si>
    <t>Rieblingen</t>
  </si>
  <si>
    <t>Hettlingen</t>
  </si>
  <si>
    <t>Riedsend</t>
  </si>
  <si>
    <t>Villenbach</t>
  </si>
  <si>
    <t>Zusamaltheim</t>
  </si>
  <si>
    <t>Sontheim</t>
  </si>
  <si>
    <t>Laugna</t>
  </si>
  <si>
    <t>Bocksberg</t>
  </si>
  <si>
    <t>Osterbuch</t>
  </si>
  <si>
    <t>Aislingen</t>
  </si>
  <si>
    <t>Glött</t>
  </si>
  <si>
    <t>Weisingen</t>
  </si>
  <si>
    <t>Altenbaindt</t>
  </si>
  <si>
    <t>Eppisburg</t>
  </si>
  <si>
    <t>Zwerchstraß</t>
  </si>
  <si>
    <t>Hagau</t>
  </si>
  <si>
    <t>Wolferstadt</t>
  </si>
  <si>
    <t>Otting</t>
  </si>
  <si>
    <t>Nußbühl</t>
  </si>
  <si>
    <t>Fünfstetten</t>
  </si>
  <si>
    <t>Weilheim</t>
  </si>
  <si>
    <t>Wittesheim</t>
  </si>
  <si>
    <t>Monheim</t>
  </si>
  <si>
    <t>Flotzheim</t>
  </si>
  <si>
    <t>Ried</t>
  </si>
  <si>
    <t>Warching</t>
  </si>
  <si>
    <t>Itzing</t>
  </si>
  <si>
    <t>Kölburg</t>
  </si>
  <si>
    <t>Rögling</t>
  </si>
  <si>
    <t>Tagmersheim</t>
  </si>
  <si>
    <t>Blossenau</t>
  </si>
  <si>
    <t>Natterholz</t>
  </si>
  <si>
    <t>Hochfeld</t>
  </si>
  <si>
    <t>Daiting</t>
  </si>
  <si>
    <t>Baierfeld</t>
  </si>
  <si>
    <t>Buchdorf</t>
  </si>
  <si>
    <t>Schrattenhofen</t>
  </si>
  <si>
    <t>Heroldingen</t>
  </si>
  <si>
    <t>Hoppingen</t>
  </si>
  <si>
    <t>Ronheim</t>
  </si>
  <si>
    <t>Mündling</t>
  </si>
  <si>
    <t>Großsorheim</t>
  </si>
  <si>
    <t>Harburg (Schwaben)</t>
  </si>
  <si>
    <t>Brünsee</t>
  </si>
  <si>
    <t>Mauren</t>
  </si>
  <si>
    <t>Ebermergen</t>
  </si>
  <si>
    <t>Gunzenheim</t>
  </si>
  <si>
    <t>Kaisheim</t>
  </si>
  <si>
    <t>Hafenreut</t>
  </si>
  <si>
    <t>Leitheim</t>
  </si>
  <si>
    <t>Altisheim</t>
  </si>
  <si>
    <t>Burgmannshofen</t>
  </si>
  <si>
    <t>Gansheim</t>
  </si>
  <si>
    <t>Graisbach</t>
  </si>
  <si>
    <t>Schweinspoint</t>
  </si>
  <si>
    <t>Marxheim</t>
  </si>
  <si>
    <t>Wörnitzstein</t>
  </si>
  <si>
    <t>Donauwörth</t>
  </si>
  <si>
    <t>Schäfstall</t>
  </si>
  <si>
    <t>Zirgesheim</t>
  </si>
  <si>
    <t>Riedlingen</t>
  </si>
  <si>
    <t>Nordheim</t>
  </si>
  <si>
    <t>Zusum</t>
  </si>
  <si>
    <t>Auchsesheim</t>
  </si>
  <si>
    <t>Oppertshofen</t>
  </si>
  <si>
    <t>Brachstadt</t>
  </si>
  <si>
    <t>Tapfheim</t>
  </si>
  <si>
    <t>Genderkingen</t>
  </si>
  <si>
    <t>Feldheim</t>
  </si>
  <si>
    <t>Staudheim</t>
  </si>
  <si>
    <t>Mittelstetten</t>
  </si>
  <si>
    <t>Gempfing</t>
  </si>
  <si>
    <t>Oberpeiching</t>
  </si>
  <si>
    <t>Bayerdilling</t>
  </si>
  <si>
    <t>Etting</t>
  </si>
  <si>
    <t>Wächtering</t>
  </si>
  <si>
    <t>Wallerdorf</t>
  </si>
  <si>
    <t>Pessenburgheim</t>
  </si>
  <si>
    <t>Bergendorf</t>
  </si>
  <si>
    <t>Riedheim</t>
  </si>
  <si>
    <t>Esterholz</t>
  </si>
  <si>
    <t>Asbach-Bäumenheim</t>
  </si>
  <si>
    <t>Eggelstetten</t>
  </si>
  <si>
    <t>Oberndorf a.Lech</t>
  </si>
  <si>
    <t>Mertingen</t>
  </si>
  <si>
    <t>Druisheim</t>
  </si>
  <si>
    <t>Allmannshofen</t>
  </si>
  <si>
    <t>Ortlfingen</t>
  </si>
  <si>
    <t>Ellgau</t>
  </si>
  <si>
    <t>Nordendorf</t>
  </si>
  <si>
    <t>Blankenburg</t>
  </si>
  <si>
    <t>Westendorf</t>
  </si>
  <si>
    <t>Kühlenthal</t>
  </si>
  <si>
    <t>Unterbaar</t>
  </si>
  <si>
    <t>Oberbaar</t>
  </si>
  <si>
    <t>Thierhaupten</t>
  </si>
  <si>
    <t>Heimpersdorf</t>
  </si>
  <si>
    <t>Ostendorf</t>
  </si>
  <si>
    <t>Langenreichen</t>
  </si>
  <si>
    <t>Meitingen</t>
  </si>
  <si>
    <t>Erlingen</t>
  </si>
  <si>
    <t>Herbertshofen</t>
  </si>
  <si>
    <t>Edenhauser Forst</t>
  </si>
  <si>
    <t>Markt</t>
  </si>
  <si>
    <t>Eisenbrechtshofen</t>
  </si>
  <si>
    <t>Feigenhofen</t>
  </si>
  <si>
    <t>Affaltern</t>
  </si>
  <si>
    <t>Emskeim</t>
  </si>
  <si>
    <t>Ammerfeld</t>
  </si>
  <si>
    <t>Trugenhofen</t>
  </si>
  <si>
    <t>Rennertshofen</t>
  </si>
  <si>
    <t>Hatzenhofen</t>
  </si>
  <si>
    <t>Bertoldsheim</t>
  </si>
  <si>
    <t>Stepperg</t>
  </si>
  <si>
    <t>Riedensheim</t>
  </si>
  <si>
    <t>Straß</t>
  </si>
  <si>
    <t>Burgheim</t>
  </si>
  <si>
    <t>Ortlfing</t>
  </si>
  <si>
    <t>Leidling</t>
  </si>
  <si>
    <t>Kunding</t>
  </si>
  <si>
    <t>Illdorf</t>
  </si>
  <si>
    <t>Dezenacker</t>
  </si>
  <si>
    <t>Fernmittenhausen</t>
  </si>
  <si>
    <t>Bonsal</t>
  </si>
  <si>
    <t>Hollenbach</t>
  </si>
  <si>
    <t>Ambach</t>
  </si>
  <si>
    <t>Dinkelshausen</t>
  </si>
  <si>
    <t>Ehekirchen</t>
  </si>
  <si>
    <t>Schönesberg</t>
  </si>
  <si>
    <t>Weidorf</t>
  </si>
  <si>
    <t>Walda</t>
  </si>
  <si>
    <t>Rettingen</t>
  </si>
  <si>
    <t>Thalfingen</t>
  </si>
  <si>
    <t>Oberelchingen</t>
  </si>
  <si>
    <t>Unterelchingen</t>
  </si>
  <si>
    <t>Pfuhl</t>
  </si>
  <si>
    <t>Burlafingen</t>
  </si>
  <si>
    <t>Finningen</t>
  </si>
  <si>
    <t>Reutti</t>
  </si>
  <si>
    <t>Gerlenhofen</t>
  </si>
  <si>
    <t>Hausen/NU</t>
  </si>
  <si>
    <t>Holzschwang</t>
  </si>
  <si>
    <t>Leibi</t>
  </si>
  <si>
    <t>Nersingen</t>
  </si>
  <si>
    <t>Oberfahlheim</t>
  </si>
  <si>
    <t>Unterfahlheim</t>
  </si>
  <si>
    <t>Kadeltshofen</t>
  </si>
  <si>
    <t>Raunertshofen</t>
  </si>
  <si>
    <t>Pfaffenhofen a.d.Roth</t>
  </si>
  <si>
    <t>Beuren</t>
  </si>
  <si>
    <t>Balmertshofen</t>
  </si>
  <si>
    <t>Volkertshofen</t>
  </si>
  <si>
    <t>Biberberg</t>
  </si>
  <si>
    <t>Erbishofen</t>
  </si>
  <si>
    <t>Ay a.d.Iller</t>
  </si>
  <si>
    <t>Senden</t>
  </si>
  <si>
    <t>Aufheim</t>
  </si>
  <si>
    <t>Hittistetten</t>
  </si>
  <si>
    <t>Wullenstetten</t>
  </si>
  <si>
    <t>Witzighausen</t>
  </si>
  <si>
    <t>Wallenhausen</t>
  </si>
  <si>
    <t>Hegelhofen</t>
  </si>
  <si>
    <t>Weißenhorn</t>
  </si>
  <si>
    <t>Biberachzell</t>
  </si>
  <si>
    <t>Grafertshofen</t>
  </si>
  <si>
    <t>Emershofen</t>
  </si>
  <si>
    <t>Bubenhausen</t>
  </si>
  <si>
    <t>Biberach</t>
  </si>
  <si>
    <t>Schießen</t>
  </si>
  <si>
    <t>Meßhofen</t>
  </si>
  <si>
    <t>Ingstetten</t>
  </si>
  <si>
    <t>Stoffenrieder Forst</t>
  </si>
  <si>
    <t>Unterroggenburger Wald</t>
  </si>
  <si>
    <t>Oberroggenburger Wald</t>
  </si>
  <si>
    <t>Leipheim</t>
  </si>
  <si>
    <t>Riedhausen b.Günzburg</t>
  </si>
  <si>
    <t>Reisensburg</t>
  </si>
  <si>
    <t>Denzingen</t>
  </si>
  <si>
    <t>Nornheim</t>
  </si>
  <si>
    <t>Wasserburg</t>
  </si>
  <si>
    <t>Deffingen</t>
  </si>
  <si>
    <t>Leinheim</t>
  </si>
  <si>
    <t>Offingen</t>
  </si>
  <si>
    <t>Schnuttenbach</t>
  </si>
  <si>
    <t>Gundremmingen</t>
  </si>
  <si>
    <t>Remshart</t>
  </si>
  <si>
    <t>Harthausen</t>
  </si>
  <si>
    <t>Mindelaltheim</t>
  </si>
  <si>
    <t>Dürrlauingen</t>
  </si>
  <si>
    <t>Mönstetten</t>
  </si>
  <si>
    <t>Winterbach</t>
  </si>
  <si>
    <t>Rechbergreuthen</t>
  </si>
  <si>
    <t>Konzenberg</t>
  </si>
  <si>
    <t>Hafenhofen</t>
  </si>
  <si>
    <t>Haldenwang</t>
  </si>
  <si>
    <t>Röfingen</t>
  </si>
  <si>
    <t>Roßhaupten</t>
  </si>
  <si>
    <t>Glöttweng</t>
  </si>
  <si>
    <t>Landensberg</t>
  </si>
  <si>
    <t>Echlishausen</t>
  </si>
  <si>
    <t>Silheim</t>
  </si>
  <si>
    <t>Kleinkissendorf</t>
  </si>
  <si>
    <t>Schneckenhofen</t>
  </si>
  <si>
    <t>Großkissendorf</t>
  </si>
  <si>
    <t>Ettlishofen</t>
  </si>
  <si>
    <t>Anhofen</t>
  </si>
  <si>
    <t>Bubesheim</t>
  </si>
  <si>
    <t>Großkötz</t>
  </si>
  <si>
    <t>Kleinkötz</t>
  </si>
  <si>
    <t>Großanhausen</t>
  </si>
  <si>
    <t>Burgau</t>
  </si>
  <si>
    <t>Rieden a.d.Kötz</t>
  </si>
  <si>
    <t>Hochwang</t>
  </si>
  <si>
    <t>Deubach</t>
  </si>
  <si>
    <t>Autenried</t>
  </si>
  <si>
    <t>Oxenbronn</t>
  </si>
  <si>
    <t>Ichenhausen</t>
  </si>
  <si>
    <t>Waldstetten</t>
  </si>
  <si>
    <t>Hausen/GZ</t>
  </si>
  <si>
    <t>Ellzee</t>
  </si>
  <si>
    <t>Stoffenried</t>
  </si>
  <si>
    <t>Hammerstetten</t>
  </si>
  <si>
    <t>Wettenhausen</t>
  </si>
  <si>
    <t>Kleinbeuren</t>
  </si>
  <si>
    <t>Galgenforst</t>
  </si>
  <si>
    <t>Ettenbeuren</t>
  </si>
  <si>
    <t>Ettenbeurer Wald</t>
  </si>
  <si>
    <t>Rohrer Wald</t>
  </si>
  <si>
    <t>Unterrohr</t>
  </si>
  <si>
    <t>Egenhofen</t>
  </si>
  <si>
    <t>Behlingen</t>
  </si>
  <si>
    <t>Ried b.Behlingen</t>
  </si>
  <si>
    <t>Scheppach</t>
  </si>
  <si>
    <t>Jettingen</t>
  </si>
  <si>
    <t>Freihalden</t>
  </si>
  <si>
    <t>Ried b.Jettingen</t>
  </si>
  <si>
    <t>Schönenberg</t>
  </si>
  <si>
    <t>Oberwaldbach</t>
  </si>
  <si>
    <t>Kemnat</t>
  </si>
  <si>
    <t>Burtenbach</t>
  </si>
  <si>
    <t>Wattenweiler</t>
  </si>
  <si>
    <t>Langenhaslach</t>
  </si>
  <si>
    <t>Neuburg a.d.Kammel</t>
  </si>
  <si>
    <t>Edelstetten</t>
  </si>
  <si>
    <t>Freudenegg</t>
  </si>
  <si>
    <t>Baiershofen</t>
  </si>
  <si>
    <t>Hennhofen</t>
  </si>
  <si>
    <t>Hegnenbach</t>
  </si>
  <si>
    <t>Zusamzell</t>
  </si>
  <si>
    <t>Eppishofen</t>
  </si>
  <si>
    <t>Neumünster</t>
  </si>
  <si>
    <t>Unterschöneberg</t>
  </si>
  <si>
    <t>Welden</t>
  </si>
  <si>
    <t>Emersacker</t>
  </si>
  <si>
    <t>Heretsried</t>
  </si>
  <si>
    <t>Lauterbrunn</t>
  </si>
  <si>
    <t>Bonstetten</t>
  </si>
  <si>
    <t>Adelsried</t>
  </si>
  <si>
    <t>Langweid a.Lech</t>
  </si>
  <si>
    <t>Achsheim</t>
  </si>
  <si>
    <t>Stettenhofen</t>
  </si>
  <si>
    <t>Gablingen</t>
  </si>
  <si>
    <t>Lützelburg</t>
  </si>
  <si>
    <t>Gersthofen</t>
  </si>
  <si>
    <t>Batzenhofen</t>
  </si>
  <si>
    <t>Rettenbergen</t>
  </si>
  <si>
    <t>Edenbergen</t>
  </si>
  <si>
    <t>Hirblingen</t>
  </si>
  <si>
    <t>Zusmarshausen</t>
  </si>
  <si>
    <t>Wörleschwang</t>
  </si>
  <si>
    <t>Vallried</t>
  </si>
  <si>
    <t>Gabelbachergreut</t>
  </si>
  <si>
    <t>Gabelbach</t>
  </si>
  <si>
    <t>Steinekirch</t>
  </si>
  <si>
    <t>Streitheim</t>
  </si>
  <si>
    <t>Horgau</t>
  </si>
  <si>
    <t>Horgauergreut</t>
  </si>
  <si>
    <t>Aystetten</t>
  </si>
  <si>
    <t>Neusäß</t>
  </si>
  <si>
    <t>Hammel</t>
  </si>
  <si>
    <t>Täfertingen</t>
  </si>
  <si>
    <t>Ottmarshausen</t>
  </si>
  <si>
    <t>Hainhofen</t>
  </si>
  <si>
    <t>Westheim b.Augsburg</t>
  </si>
  <si>
    <t>Schlipsheim</t>
  </si>
  <si>
    <t>Steppach b.Augsburg</t>
  </si>
  <si>
    <t>Dinkelscherben</t>
  </si>
  <si>
    <t>Grünenbaindt</t>
  </si>
  <si>
    <t>Fleinhausen</t>
  </si>
  <si>
    <t>Häder</t>
  </si>
  <si>
    <t>Ettelried</t>
  </si>
  <si>
    <t>Anried</t>
  </si>
  <si>
    <t>Oberschöneberg</t>
  </si>
  <si>
    <t>Breitenbronn</t>
  </si>
  <si>
    <t>Holzara</t>
  </si>
  <si>
    <t>Gessertshausen</t>
  </si>
  <si>
    <t>Wollishausen</t>
  </si>
  <si>
    <t>Margertshausen</t>
  </si>
  <si>
    <t>Döpshofen</t>
  </si>
  <si>
    <t>Kutzenhausen</t>
  </si>
  <si>
    <t>Agawang</t>
  </si>
  <si>
    <t>Rommelsried</t>
  </si>
  <si>
    <t>Ustersbach</t>
  </si>
  <si>
    <t>Diedorf</t>
  </si>
  <si>
    <t>Willishausen</t>
  </si>
  <si>
    <t>Anhausen</t>
  </si>
  <si>
    <t>Stadtbergen</t>
  </si>
  <si>
    <t>Deuringen</t>
  </si>
  <si>
    <t>Leitershofen</t>
  </si>
  <si>
    <t>Lechhausen</t>
  </si>
  <si>
    <t>Kriegshaber</t>
  </si>
  <si>
    <t>Pfersee</t>
  </si>
  <si>
    <t>Hochzoll</t>
  </si>
  <si>
    <t>Göggingen</t>
  </si>
  <si>
    <t>Inningen</t>
  </si>
  <si>
    <t>Meringerau</t>
  </si>
  <si>
    <t>Schmellerforst</t>
  </si>
  <si>
    <t>Fischach</t>
  </si>
  <si>
    <t>Reitenbuch</t>
  </si>
  <si>
    <t>Aretsried</t>
  </si>
  <si>
    <t>Wollmetshofen</t>
  </si>
  <si>
    <t>Willmatshofen</t>
  </si>
  <si>
    <t>Siegertshofen</t>
  </si>
  <si>
    <t>Bobingen</t>
  </si>
  <si>
    <t>Kreuzanger</t>
  </si>
  <si>
    <t>Reinhartshausen</t>
  </si>
  <si>
    <t>Straßberg</t>
  </si>
  <si>
    <t>Königsbrunn</t>
  </si>
  <si>
    <t>Langenneufnach</t>
  </si>
  <si>
    <t>Habertsweiler</t>
  </si>
  <si>
    <t>Mickhausen</t>
  </si>
  <si>
    <t>Grimoldsried</t>
  </si>
  <si>
    <t>Mittelneufnach</t>
  </si>
  <si>
    <t>Scherstetten</t>
  </si>
  <si>
    <t>Konradshofen</t>
  </si>
  <si>
    <t>Großaitingen</t>
  </si>
  <si>
    <t>Reinhartshofen</t>
  </si>
  <si>
    <t>Wehringen</t>
  </si>
  <si>
    <t>Oberottmarshausen</t>
  </si>
  <si>
    <t>Kleinaitingen</t>
  </si>
  <si>
    <t>Schwabmünchen</t>
  </si>
  <si>
    <t>Klimmach</t>
  </si>
  <si>
    <t>Schwabegg</t>
  </si>
  <si>
    <t>Untermeitingen</t>
  </si>
  <si>
    <t>Langerringen</t>
  </si>
  <si>
    <t>Gennach</t>
  </si>
  <si>
    <t>Schwabmühlhausen</t>
  </si>
  <si>
    <t>Hiltenfingen</t>
  </si>
  <si>
    <t>Maingründel</t>
  </si>
  <si>
    <t>Zahling</t>
  </si>
  <si>
    <t>Obergriesbach</t>
  </si>
  <si>
    <t>Sielenbach</t>
  </si>
  <si>
    <t>Tödtenried</t>
  </si>
  <si>
    <t>Taiting</t>
  </si>
  <si>
    <t>Laimering</t>
  </si>
  <si>
    <t>Dasing</t>
  </si>
  <si>
    <t>Wessiszell</t>
  </si>
  <si>
    <t>Heretshausen</t>
  </si>
  <si>
    <t>Adelzhausen</t>
  </si>
  <si>
    <t>Burgadelzhausen</t>
  </si>
  <si>
    <t>Eurasburg</t>
  </si>
  <si>
    <t>Eurasburger Forst</t>
  </si>
  <si>
    <t>Freienried</t>
  </si>
  <si>
    <t>Derching</t>
  </si>
  <si>
    <t>Derchinger Forst</t>
  </si>
  <si>
    <t>Stätzling</t>
  </si>
  <si>
    <t>Haberskirch</t>
  </si>
  <si>
    <t>Wulfertshausen</t>
  </si>
  <si>
    <t>Friedberg</t>
  </si>
  <si>
    <t>Wiffertshausen</t>
  </si>
  <si>
    <t>Paar</t>
  </si>
  <si>
    <t>Rederzhausen</t>
  </si>
  <si>
    <t>Rinnenthal</t>
  </si>
  <si>
    <t>Zieglbach</t>
  </si>
  <si>
    <t>Bachern</t>
  </si>
  <si>
    <t>Kissing</t>
  </si>
  <si>
    <t>Hörmannsberg</t>
  </si>
  <si>
    <t>Zillenberg</t>
  </si>
  <si>
    <t>Höglwald</t>
  </si>
  <si>
    <t>Sirchenried</t>
  </si>
  <si>
    <t>Baindlkirch</t>
  </si>
  <si>
    <t>Mering</t>
  </si>
  <si>
    <t>Baierberg</t>
  </si>
  <si>
    <t>Merching</t>
  </si>
  <si>
    <t>Brunnen</t>
  </si>
  <si>
    <t>Steinach bei Merching</t>
  </si>
  <si>
    <t>Unterbergen</t>
  </si>
  <si>
    <t>Schmiechen</t>
  </si>
  <si>
    <t>Steindorf</t>
  </si>
  <si>
    <t>Hausen b.Hofhegnenberg</t>
  </si>
  <si>
    <t>Hofhegnenberg</t>
  </si>
  <si>
    <t>Eresried</t>
  </si>
  <si>
    <t>Reicherstein</t>
  </si>
  <si>
    <t>Echsheim</t>
  </si>
  <si>
    <t>Schorn</t>
  </si>
  <si>
    <t>Wiesenbach</t>
  </si>
  <si>
    <t>Kühnhausen</t>
  </si>
  <si>
    <t>Pöttmes</t>
  </si>
  <si>
    <t>Grimolzhausen</t>
  </si>
  <si>
    <t>Immendorf</t>
  </si>
  <si>
    <t>Osterzhausen</t>
  </si>
  <si>
    <t>Handzell</t>
  </si>
  <si>
    <t>Schnellmannskreuth</t>
  </si>
  <si>
    <t>Pichl</t>
  </si>
  <si>
    <t>Willprechtszell</t>
  </si>
  <si>
    <t>Todtenweis</t>
  </si>
  <si>
    <t>Aindling</t>
  </si>
  <si>
    <t>Binnenbach</t>
  </si>
  <si>
    <t>Alsmoos</t>
  </si>
  <si>
    <t>Petersdorf</t>
  </si>
  <si>
    <t>Rehling</t>
  </si>
  <si>
    <t>Stotzard</t>
  </si>
  <si>
    <t>Gaulzhofen</t>
  </si>
  <si>
    <t>Oberbachern</t>
  </si>
  <si>
    <t>Sainbach</t>
  </si>
  <si>
    <t>Inchenhofen</t>
  </si>
  <si>
    <t>Mainbach</t>
  </si>
  <si>
    <t>Motzenhofen</t>
  </si>
  <si>
    <t>Igenhausen</t>
  </si>
  <si>
    <t>Unterbernbach</t>
  </si>
  <si>
    <t>Stockensau</t>
  </si>
  <si>
    <t>Haslangkreit</t>
  </si>
  <si>
    <t>Kühbach</t>
  </si>
  <si>
    <t>Oberschönbach</t>
  </si>
  <si>
    <t>Rapperzell</t>
  </si>
  <si>
    <t>Schiltberg</t>
  </si>
  <si>
    <t>Ruppertszell</t>
  </si>
  <si>
    <t>Allenberg</t>
  </si>
  <si>
    <t>Anwalting</t>
  </si>
  <si>
    <t>Gebenhofen</t>
  </si>
  <si>
    <t>Affing</t>
  </si>
  <si>
    <t>Haunswies</t>
  </si>
  <si>
    <t>Aulzhausen</t>
  </si>
  <si>
    <t>Walchshofen</t>
  </si>
  <si>
    <t>Oberbernbach</t>
  </si>
  <si>
    <t>Unterwittelsbach</t>
  </si>
  <si>
    <t>Oberwittelsbach</t>
  </si>
  <si>
    <t>Oberschneitbach</t>
  </si>
  <si>
    <t>Algertshausen</t>
  </si>
  <si>
    <t>Aichach</t>
  </si>
  <si>
    <t>Edenried</t>
  </si>
  <si>
    <t>Griesbeckerzell</t>
  </si>
  <si>
    <t>Unterschneitbach</t>
  </si>
  <si>
    <t>Ecknach</t>
  </si>
  <si>
    <t>Gallenbach</t>
  </si>
  <si>
    <t>Obermauerbach</t>
  </si>
  <si>
    <t>Illerzell</t>
  </si>
  <si>
    <t>Vöhringen</t>
  </si>
  <si>
    <t>Thal</t>
  </si>
  <si>
    <t>Illerberg</t>
  </si>
  <si>
    <t>Bellenberg</t>
  </si>
  <si>
    <t>Auwald</t>
  </si>
  <si>
    <t>Betlinshausen</t>
  </si>
  <si>
    <t>Illertissen</t>
  </si>
  <si>
    <t>Jedesheim</t>
  </si>
  <si>
    <t>Gannertshofen</t>
  </si>
  <si>
    <t>Dietershofen b.Illertissen</t>
  </si>
  <si>
    <t>Obenhausen</t>
  </si>
  <si>
    <t>Nordholz</t>
  </si>
  <si>
    <t>Ritzisried</t>
  </si>
  <si>
    <t>Christertshofen</t>
  </si>
  <si>
    <t>Unterroth</t>
  </si>
  <si>
    <t>Oberroth</t>
  </si>
  <si>
    <t>Herrenstetten</t>
  </si>
  <si>
    <t>Untereichen</t>
  </si>
  <si>
    <t>Altenstadt</t>
  </si>
  <si>
    <t>Kellmünz a.d.Iller</t>
  </si>
  <si>
    <t>Weiler b.Osterberg</t>
  </si>
  <si>
    <t>Osterberg</t>
  </si>
  <si>
    <t>Grafenwald</t>
  </si>
  <si>
    <t>Tafertshofen</t>
  </si>
  <si>
    <t>Zaiertshofen</t>
  </si>
  <si>
    <t>Mohrenhausen</t>
  </si>
  <si>
    <t>Kettershausen</t>
  </si>
  <si>
    <t>Bebenhausen</t>
  </si>
  <si>
    <t>Olgishofen</t>
  </si>
  <si>
    <t>Herretshofen</t>
  </si>
  <si>
    <t>Kirchhaslach</t>
  </si>
  <si>
    <t>Greimeltshofen</t>
  </si>
  <si>
    <t>Winterrieden</t>
  </si>
  <si>
    <t>Klosterbeuren</t>
  </si>
  <si>
    <t>Babenhausen</t>
  </si>
  <si>
    <t>Weinried</t>
  </si>
  <si>
    <t>Oberschönegg</t>
  </si>
  <si>
    <t>Dietershofen b.Babenhausen</t>
  </si>
  <si>
    <t>Engishausen</t>
  </si>
  <si>
    <t>Inneberg</t>
  </si>
  <si>
    <t>Egg a.d.Günz</t>
  </si>
  <si>
    <t>Egger Wald</t>
  </si>
  <si>
    <t>Pleß</t>
  </si>
  <si>
    <t>Fellheim</t>
  </si>
  <si>
    <t>Boos</t>
  </si>
  <si>
    <t>Reichau</t>
  </si>
  <si>
    <t>Heimertingen</t>
  </si>
  <si>
    <t>Niederrieden</t>
  </si>
  <si>
    <t>Lauben</t>
  </si>
  <si>
    <t>Arlesried</t>
  </si>
  <si>
    <t>Erkheim</t>
  </si>
  <si>
    <t>Schlegelsberg</t>
  </si>
  <si>
    <t>Günz</t>
  </si>
  <si>
    <t>Westerheim</t>
  </si>
  <si>
    <t>Amendingen</t>
  </si>
  <si>
    <t>Eisenburg</t>
  </si>
  <si>
    <t>Buxach</t>
  </si>
  <si>
    <t>Ferthofen</t>
  </si>
  <si>
    <t>Volkratshofen</t>
  </si>
  <si>
    <t>Dickenreishausen</t>
  </si>
  <si>
    <t>Trunkelsberg</t>
  </si>
  <si>
    <t>Schwaighausen</t>
  </si>
  <si>
    <t>Holzgünz</t>
  </si>
  <si>
    <t>Memmingerberg</t>
  </si>
  <si>
    <t>Ungerhausen</t>
  </si>
  <si>
    <t>Benningen</t>
  </si>
  <si>
    <t>Lachen</t>
  </si>
  <si>
    <t>Ungerhauser Wald</t>
  </si>
  <si>
    <t>Hawangen</t>
  </si>
  <si>
    <t>Haitzen</t>
  </si>
  <si>
    <t>Ottobeuren</t>
  </si>
  <si>
    <t>Guggenberg</t>
  </si>
  <si>
    <t>Betzisried</t>
  </si>
  <si>
    <t>Ollarzried</t>
  </si>
  <si>
    <t>Böhen</t>
  </si>
  <si>
    <t>Frechenrieden</t>
  </si>
  <si>
    <t>Gottenau</t>
  </si>
  <si>
    <t>Mussenhausen</t>
  </si>
  <si>
    <t>Markt Rettenbach</t>
  </si>
  <si>
    <t>Lannenberg</t>
  </si>
  <si>
    <t>Eutenhausen</t>
  </si>
  <si>
    <t>Engetried</t>
  </si>
  <si>
    <t>Wineden</t>
  </si>
  <si>
    <t>Holzerwald</t>
  </si>
  <si>
    <t>Kardorf</t>
  </si>
  <si>
    <t>Kronburg</t>
  </si>
  <si>
    <t>Lautrach</t>
  </si>
  <si>
    <t>Maria Steinbach</t>
  </si>
  <si>
    <t>Legau</t>
  </si>
  <si>
    <t>Woringen</t>
  </si>
  <si>
    <t>Bad Grönenbach</t>
  </si>
  <si>
    <t>Dietratried</t>
  </si>
  <si>
    <t>Niederdorf</t>
  </si>
  <si>
    <t>Wolfertschwenden</t>
  </si>
  <si>
    <t>Filzingen</t>
  </si>
  <si>
    <t>Muthmannshofen</t>
  </si>
  <si>
    <t>Hohentanner Wald</t>
  </si>
  <si>
    <t>Kimratshofen</t>
  </si>
  <si>
    <t>Altusried</t>
  </si>
  <si>
    <t>Krugzell</t>
  </si>
  <si>
    <t>Reicholzried</t>
  </si>
  <si>
    <t>Schrattenbach</t>
  </si>
  <si>
    <t>Probstried</t>
  </si>
  <si>
    <t>Dietmannsried</t>
  </si>
  <si>
    <t>Überbach</t>
  </si>
  <si>
    <t>Wildpoldsried</t>
  </si>
  <si>
    <t>Betzigau</t>
  </si>
  <si>
    <t>Kreuzthal</t>
  </si>
  <si>
    <t>Kürnacher u.Buchenberger Wald</t>
  </si>
  <si>
    <t>Buchenberg</t>
  </si>
  <si>
    <t>Wiggensbach</t>
  </si>
  <si>
    <t>Sankt Lorenz</t>
  </si>
  <si>
    <t>Sankt Mang</t>
  </si>
  <si>
    <t>Durach</t>
  </si>
  <si>
    <t>Bodelsberg</t>
  </si>
  <si>
    <t>Kempter Wald</t>
  </si>
  <si>
    <t>Weitnau</t>
  </si>
  <si>
    <t>Rechtis</t>
  </si>
  <si>
    <t>Waltrams</t>
  </si>
  <si>
    <t>Waltenhofen</t>
  </si>
  <si>
    <t>Memhölz</t>
  </si>
  <si>
    <t>Niedersonthofen</t>
  </si>
  <si>
    <t>Martinszell i.Allgäu</t>
  </si>
  <si>
    <t>Sulzberg</t>
  </si>
  <si>
    <t>Ottacker</t>
  </si>
  <si>
    <t>Petersthal</t>
  </si>
  <si>
    <t>Wertach</t>
  </si>
  <si>
    <t>Untrasried</t>
  </si>
  <si>
    <t>Hopferbach</t>
  </si>
  <si>
    <t>Ronsberg</t>
  </si>
  <si>
    <t>Willofs</t>
  </si>
  <si>
    <t>Burg</t>
  </si>
  <si>
    <t>Obergünzburg</t>
  </si>
  <si>
    <t>Günzach</t>
  </si>
  <si>
    <t>Unterwiesenbach</t>
  </si>
  <si>
    <t>Oberwiesenbach</t>
  </si>
  <si>
    <t>ObereggGZ</t>
  </si>
  <si>
    <t>Unterbleichen</t>
  </si>
  <si>
    <t>Oberbleichen</t>
  </si>
  <si>
    <t>Deisenhausen</t>
  </si>
  <si>
    <t>Breitenthal</t>
  </si>
  <si>
    <t>Nattenhausen</t>
  </si>
  <si>
    <t>Seifertshofen</t>
  </si>
  <si>
    <t>Ebershausen</t>
  </si>
  <si>
    <t>Hairenbuch</t>
  </si>
  <si>
    <t>Waltenhausen</t>
  </si>
  <si>
    <t>Weiler b.Waltenhausen</t>
  </si>
  <si>
    <t>Aletshausen</t>
  </si>
  <si>
    <t>Haupeltshofen</t>
  </si>
  <si>
    <t>Billenhausen</t>
  </si>
  <si>
    <t>Edenhausen</t>
  </si>
  <si>
    <t>Krumbach (Schwaben)</t>
  </si>
  <si>
    <t>Hürben</t>
  </si>
  <si>
    <t>Niederraunau</t>
  </si>
  <si>
    <t>Hohenraunau</t>
  </si>
  <si>
    <t>Hagenried</t>
  </si>
  <si>
    <t>Münsterhausen</t>
  </si>
  <si>
    <t>Oberrohr</t>
  </si>
  <si>
    <t>Ursberg</t>
  </si>
  <si>
    <t>Bayersried</t>
  </si>
  <si>
    <t>Premach</t>
  </si>
  <si>
    <t>Mindelzell</t>
  </si>
  <si>
    <t>Balzhausen</t>
  </si>
  <si>
    <t>Ziemetshausen</t>
  </si>
  <si>
    <t>Schönebach</t>
  </si>
  <si>
    <t>Schellenbach</t>
  </si>
  <si>
    <t>Muttershofen</t>
  </si>
  <si>
    <t>Hellersberg</t>
  </si>
  <si>
    <t>Memmenhausen</t>
  </si>
  <si>
    <t>Aichen</t>
  </si>
  <si>
    <t>Obergessertshausen</t>
  </si>
  <si>
    <t>Hasberg</t>
  </si>
  <si>
    <t>Derndorf</t>
  </si>
  <si>
    <t>Tiefenried</t>
  </si>
  <si>
    <t>Kirchheim i.Schw.</t>
  </si>
  <si>
    <t>Spöck</t>
  </si>
  <si>
    <t>Könghausen</t>
  </si>
  <si>
    <t>Eppishausen</t>
  </si>
  <si>
    <t>Mörgen</t>
  </si>
  <si>
    <t>Loppenhausen</t>
  </si>
  <si>
    <t>Bedernau</t>
  </si>
  <si>
    <t>Schöneberg</t>
  </si>
  <si>
    <t>Egelhofen</t>
  </si>
  <si>
    <t>Unterrieden</t>
  </si>
  <si>
    <t>Oberrieden</t>
  </si>
  <si>
    <t>Bronnen</t>
  </si>
  <si>
    <t>Salgen</t>
  </si>
  <si>
    <t>Immelstetten</t>
  </si>
  <si>
    <t>Oberneufnach</t>
  </si>
  <si>
    <t>Markt Wald</t>
  </si>
  <si>
    <t>Zaisertshofen</t>
  </si>
  <si>
    <t>Tussenhausen</t>
  </si>
  <si>
    <t>Mattsies</t>
  </si>
  <si>
    <t>Traunried</t>
  </si>
  <si>
    <t>Siebnach</t>
  </si>
  <si>
    <t>Ettringen</t>
  </si>
  <si>
    <t>Unterkammlach</t>
  </si>
  <si>
    <t>Oberkammlach</t>
  </si>
  <si>
    <t>Westernach</t>
  </si>
  <si>
    <t>Nassenbeuren</t>
  </si>
  <si>
    <t>Oberauerbach</t>
  </si>
  <si>
    <t>Mindelheim</t>
  </si>
  <si>
    <t>Gernstall</t>
  </si>
  <si>
    <t>Heimenegg</t>
  </si>
  <si>
    <t>Mindelau</t>
  </si>
  <si>
    <t>Unterrammingen</t>
  </si>
  <si>
    <t>Oberrammingen</t>
  </si>
  <si>
    <t>Türkheim</t>
  </si>
  <si>
    <t>Wiedergeltingen</t>
  </si>
  <si>
    <t>Erisried</t>
  </si>
  <si>
    <t>Apfeltrach</t>
  </si>
  <si>
    <t>Saulengrain</t>
  </si>
  <si>
    <t>Köngetried</t>
  </si>
  <si>
    <t>Dirlewang</t>
  </si>
  <si>
    <t>Altensteig</t>
  </si>
  <si>
    <t>Helchenried</t>
  </si>
  <si>
    <t>Unteregg</t>
  </si>
  <si>
    <t>Warmisried</t>
  </si>
  <si>
    <t>ObereggMN</t>
  </si>
  <si>
    <t>Dorschhausen</t>
  </si>
  <si>
    <t>Bad Wörishofen</t>
  </si>
  <si>
    <t>Schlingen</t>
  </si>
  <si>
    <t>Lamerdingen</t>
  </si>
  <si>
    <t>Kleinkitzighofen</t>
  </si>
  <si>
    <t>Großkitzighofen</t>
  </si>
  <si>
    <t>Dillishausen</t>
  </si>
  <si>
    <t>Buchloe</t>
  </si>
  <si>
    <t>Lindenberg</t>
  </si>
  <si>
    <t>Honsolgen</t>
  </si>
  <si>
    <t>Weicht</t>
  </si>
  <si>
    <t>Jengen</t>
  </si>
  <si>
    <t>Beckstetten</t>
  </si>
  <si>
    <t>Ummenhofen</t>
  </si>
  <si>
    <t>Eurishofen</t>
  </si>
  <si>
    <t>Waal</t>
  </si>
  <si>
    <t>Emmenhausen</t>
  </si>
  <si>
    <t>Waalhaupten</t>
  </si>
  <si>
    <t>Lauchdorf</t>
  </si>
  <si>
    <t>Baisweil</t>
  </si>
  <si>
    <t>Eggenthal</t>
  </si>
  <si>
    <t>Blöcktach</t>
  </si>
  <si>
    <t>Friesenried</t>
  </si>
  <si>
    <t>Ingenried</t>
  </si>
  <si>
    <t>Pforzen</t>
  </si>
  <si>
    <t>Irsee</t>
  </si>
  <si>
    <t>Ketterschwang</t>
  </si>
  <si>
    <t>Untergermaringen</t>
  </si>
  <si>
    <t>Obergermaringen</t>
  </si>
  <si>
    <t>Mauerstetten</t>
  </si>
  <si>
    <t>Frankenried</t>
  </si>
  <si>
    <t>Gutenberg</t>
  </si>
  <si>
    <t>Unterostendorf</t>
  </si>
  <si>
    <t>Oberostendorf</t>
  </si>
  <si>
    <t>Dösingen</t>
  </si>
  <si>
    <t>Blonhofen</t>
  </si>
  <si>
    <t>Aufkirch</t>
  </si>
  <si>
    <t>Thalhofen a.d.Gennach</t>
  </si>
  <si>
    <t>Stöttwang</t>
  </si>
  <si>
    <t>Osterzell</t>
  </si>
  <si>
    <t>Kleinkemnat</t>
  </si>
  <si>
    <t>Oberbeuren</t>
  </si>
  <si>
    <t>Hirschzell</t>
  </si>
  <si>
    <t>Huttenwang</t>
  </si>
  <si>
    <t>Aitrang</t>
  </si>
  <si>
    <t>Apfeltrang</t>
  </si>
  <si>
    <t>Ruderatshofen</t>
  </si>
  <si>
    <t>Ebenhofen</t>
  </si>
  <si>
    <t>Bernbach</t>
  </si>
  <si>
    <t>Bidingen</t>
  </si>
  <si>
    <t>Kraftisried</t>
  </si>
  <si>
    <t>Reinhardsried</t>
  </si>
  <si>
    <t>Unterthingau</t>
  </si>
  <si>
    <t>Oberthingau</t>
  </si>
  <si>
    <t>Görisried</t>
  </si>
  <si>
    <t>Marktoberdorf</t>
  </si>
  <si>
    <t>Bertoldshofen</t>
  </si>
  <si>
    <t>Geisenried</t>
  </si>
  <si>
    <t>Thalhofen a.d.Wertach</t>
  </si>
  <si>
    <t>Leuterschach</t>
  </si>
  <si>
    <t>Rieder</t>
  </si>
  <si>
    <t>Sulzschneid</t>
  </si>
  <si>
    <t>Rettenbach a.Auerberg</t>
  </si>
  <si>
    <t>Remnatsried</t>
  </si>
  <si>
    <t>Stötten a.Auerberg</t>
  </si>
  <si>
    <t>Lengenwang</t>
  </si>
  <si>
    <t>Rückholz</t>
  </si>
  <si>
    <t>Seeg</t>
  </si>
  <si>
    <t>Osterwald</t>
  </si>
  <si>
    <t>Senkelewald</t>
  </si>
  <si>
    <t>Enzenstetten</t>
  </si>
  <si>
    <t>Langegg</t>
  </si>
  <si>
    <t>Eisenberg</t>
  </si>
  <si>
    <t>Hopferau</t>
  </si>
  <si>
    <t>Lechbruck am See</t>
  </si>
  <si>
    <t>Zwieselberg</t>
  </si>
  <si>
    <t>Rieden am Forggensee</t>
  </si>
  <si>
    <t>Schneidbach</t>
  </si>
  <si>
    <t>Nesselwang</t>
  </si>
  <si>
    <t>Bergpfronten</t>
  </si>
  <si>
    <t>Steinachpfronten</t>
  </si>
  <si>
    <t>Hopfen am See</t>
  </si>
  <si>
    <t>Eschach</t>
  </si>
  <si>
    <t>Weißensee</t>
  </si>
  <si>
    <t>Füssen</t>
  </si>
  <si>
    <t>Schwangau</t>
  </si>
  <si>
    <t>Trauchgau</t>
  </si>
  <si>
    <t>Buching</t>
  </si>
  <si>
    <t>Hack</t>
  </si>
  <si>
    <t>Weinhausen</t>
  </si>
  <si>
    <t>Wenglingen</t>
  </si>
  <si>
    <t>Nonnenhorn</t>
  </si>
  <si>
    <t>Hege</t>
  </si>
  <si>
    <t>Wasserburg (Bodensee)</t>
  </si>
  <si>
    <t>Bodolz</t>
  </si>
  <si>
    <t>Unterreitnau</t>
  </si>
  <si>
    <t>Oberreitnau</t>
  </si>
  <si>
    <t>Hoyren</t>
  </si>
  <si>
    <t>Aeschach</t>
  </si>
  <si>
    <t>Reutin</t>
  </si>
  <si>
    <t>Weißensberg</t>
  </si>
  <si>
    <t>Bösenreutin</t>
  </si>
  <si>
    <t>Sigmarszell</t>
  </si>
  <si>
    <t>Niederstaufen</t>
  </si>
  <si>
    <t>Hergensweiler</t>
  </si>
  <si>
    <t>Opfenbach</t>
  </si>
  <si>
    <t>Wohmbrechts</t>
  </si>
  <si>
    <t>Maria-Thann</t>
  </si>
  <si>
    <t>Heimenkirch</t>
  </si>
  <si>
    <t>Scheidegg</t>
  </si>
  <si>
    <t>Scheffau</t>
  </si>
  <si>
    <t>Lindenberg i.Allgäu</t>
  </si>
  <si>
    <t>Röthenbach (Allgäu)</t>
  </si>
  <si>
    <t>Gestratz</t>
  </si>
  <si>
    <t>Maierhöfen</t>
  </si>
  <si>
    <t>Grünenbach</t>
  </si>
  <si>
    <t>Ebratshofen</t>
  </si>
  <si>
    <t>Harbatshofen</t>
  </si>
  <si>
    <t>Stiefenhofen</t>
  </si>
  <si>
    <t>Ellhofen</t>
  </si>
  <si>
    <t>Weiler i.Allgäu</t>
  </si>
  <si>
    <t>Simmerberg</t>
  </si>
  <si>
    <t>Oberreute</t>
  </si>
  <si>
    <t>Oberstaufen</t>
  </si>
  <si>
    <t>Aach i.Allgäu</t>
  </si>
  <si>
    <t>Thalkirchdorf</t>
  </si>
  <si>
    <t>Wilhams</t>
  </si>
  <si>
    <t>Missen</t>
  </si>
  <si>
    <t>Diepolz</t>
  </si>
  <si>
    <t>Akams</t>
  </si>
  <si>
    <t>Eckarts</t>
  </si>
  <si>
    <t>Stein i.Allgäu</t>
  </si>
  <si>
    <t>Bühl a.Alpsee</t>
  </si>
  <si>
    <t>Immenstadt i.Allgäu</t>
  </si>
  <si>
    <t>Untermaiselstein</t>
  </si>
  <si>
    <t>Vorderburg</t>
  </si>
  <si>
    <t>Rettenberg</t>
  </si>
  <si>
    <t>Burgberg i.Allgäu</t>
  </si>
  <si>
    <t>Blaichach</t>
  </si>
  <si>
    <t>Gunzesried</t>
  </si>
  <si>
    <t>Sonthofen</t>
  </si>
  <si>
    <t>Altstädten</t>
  </si>
  <si>
    <t>Ofterschwang</t>
  </si>
  <si>
    <t>Bolsterlang</t>
  </si>
  <si>
    <t>Balderschwang</t>
  </si>
  <si>
    <t>Obermaiselstein</t>
  </si>
  <si>
    <t>Fischen i.Allgäu</t>
  </si>
  <si>
    <t>Schöllang</t>
  </si>
  <si>
    <t>Tiefenbach b.Oberstdorf</t>
  </si>
  <si>
    <t>Oberstdorf</t>
  </si>
  <si>
    <t>Bad Hindelang</t>
  </si>
  <si>
    <t>Unterjoch</t>
  </si>
  <si>
    <t>Rauhenzell</t>
  </si>
  <si>
    <t>Winden</t>
  </si>
  <si>
    <t>Breitenhill</t>
  </si>
  <si>
    <t>Megmannsdorf</t>
  </si>
  <si>
    <t>Schamhaupten</t>
  </si>
  <si>
    <t>Schafshill</t>
  </si>
  <si>
    <t>Hexenagger</t>
  </si>
  <si>
    <t>Sandersdorf</t>
  </si>
  <si>
    <t>Neuenhinzenhausen</t>
  </si>
  <si>
    <t>Tettenwang</t>
  </si>
  <si>
    <t>Altmannstein</t>
  </si>
  <si>
    <t>Mendorf</t>
  </si>
  <si>
    <t>Hagenhill</t>
  </si>
  <si>
    <t>Laimerstadt</t>
  </si>
  <si>
    <t>Schwabstetten</t>
  </si>
  <si>
    <t>Neuhau</t>
  </si>
  <si>
    <t>Appertshofen</t>
  </si>
  <si>
    <t>Stammham</t>
  </si>
  <si>
    <t>Westerhofen</t>
  </si>
  <si>
    <t>Wettstetten</t>
  </si>
  <si>
    <t>Hepberg</t>
  </si>
  <si>
    <t>Lenting</t>
  </si>
  <si>
    <t>Gaimersheim</t>
  </si>
  <si>
    <t>Bettbrunn</t>
  </si>
  <si>
    <t>Kasing</t>
  </si>
  <si>
    <t>Kösching</t>
  </si>
  <si>
    <t>Tettenagger</t>
  </si>
  <si>
    <t>Oberoffendorf</t>
  </si>
  <si>
    <t>Mindelstetten</t>
  </si>
  <si>
    <t>Hüttenhausen</t>
  </si>
  <si>
    <t>Imbath</t>
  </si>
  <si>
    <t>Hiendorf</t>
  </si>
  <si>
    <t>Oberdolling</t>
  </si>
  <si>
    <t>Unterdolling</t>
  </si>
  <si>
    <t>Lobsing</t>
  </si>
  <si>
    <t>Pförring</t>
  </si>
  <si>
    <t>Wackerstein</t>
  </si>
  <si>
    <t>Gaden b.Pförring</t>
  </si>
  <si>
    <t>Theißing</t>
  </si>
  <si>
    <t>Großmehring</t>
  </si>
  <si>
    <t>Oberhaunstadt</t>
  </si>
  <si>
    <t>Irgertsheim</t>
  </si>
  <si>
    <t>Dünzlau</t>
  </si>
  <si>
    <t>Gerolfing</t>
  </si>
  <si>
    <t>Mailing</t>
  </si>
  <si>
    <t>Unsernherrn</t>
  </si>
  <si>
    <t>Brunnenreuth</t>
  </si>
  <si>
    <t>Zuchering</t>
  </si>
  <si>
    <t>Westenhausen</t>
  </si>
  <si>
    <t>Oberstimm</t>
  </si>
  <si>
    <t>Niederstimm</t>
  </si>
  <si>
    <t>Manching</t>
  </si>
  <si>
    <t>Baar</t>
  </si>
  <si>
    <t>Heimberg</t>
  </si>
  <si>
    <t>Bittenbrunn</t>
  </si>
  <si>
    <t>Joshofen</t>
  </si>
  <si>
    <t>Neuburg a.d.Donau</t>
  </si>
  <si>
    <t>Heinrichsheim</t>
  </si>
  <si>
    <t>Unterstall</t>
  </si>
  <si>
    <t>Weichering</t>
  </si>
  <si>
    <t>Unterhausen</t>
  </si>
  <si>
    <t>Sinning</t>
  </si>
  <si>
    <t>Ballersdorf</t>
  </si>
  <si>
    <t>Wagenhofen</t>
  </si>
  <si>
    <t>Rohrenfels</t>
  </si>
  <si>
    <t>Unterhauser Forst</t>
  </si>
  <si>
    <t>Untermaxfeld</t>
  </si>
  <si>
    <t>Ludwigsmoos</t>
  </si>
  <si>
    <t>Grasheim</t>
  </si>
  <si>
    <t>Karlshuld</t>
  </si>
  <si>
    <t>Karlskron</t>
  </si>
  <si>
    <t>Pobenhausen</t>
  </si>
  <si>
    <t>Adelshausen</t>
  </si>
  <si>
    <t>Edelshausen</t>
  </si>
  <si>
    <t>Sandizell</t>
  </si>
  <si>
    <t>Hagenauer Forst</t>
  </si>
  <si>
    <t>Steingriff</t>
  </si>
  <si>
    <t>Schrobenhausen</t>
  </si>
  <si>
    <t>Mühlried</t>
  </si>
  <si>
    <t>Hörzhausen</t>
  </si>
  <si>
    <t>Berg im Gau</t>
  </si>
  <si>
    <t>Hohenried</t>
  </si>
  <si>
    <t>Malzhausen</t>
  </si>
  <si>
    <t>Langenmosen</t>
  </si>
  <si>
    <t>Wangen</t>
  </si>
  <si>
    <t>Waidhofen</t>
  </si>
  <si>
    <t>Diepoltshofen</t>
  </si>
  <si>
    <t>Aresing</t>
  </si>
  <si>
    <t>Unterweilenbach</t>
  </si>
  <si>
    <t>Peutenhausen</t>
  </si>
  <si>
    <t>Gachenbach</t>
  </si>
  <si>
    <t>Weilach</t>
  </si>
  <si>
    <t>Sattelberg</t>
  </si>
  <si>
    <t>Oberhartheim</t>
  </si>
  <si>
    <t>Menning</t>
  </si>
  <si>
    <t>Irsching</t>
  </si>
  <si>
    <t>Dünzing</t>
  </si>
  <si>
    <t>Vohburg a.d.Donau</t>
  </si>
  <si>
    <t>Rockolding</t>
  </si>
  <si>
    <t>Oberwöhr</t>
  </si>
  <si>
    <t>Münchsmünster</t>
  </si>
  <si>
    <t>Ernsgaden</t>
  </si>
  <si>
    <t>Geisenfeld</t>
  </si>
  <si>
    <t>Ilmendorf</t>
  </si>
  <si>
    <t>Nötting</t>
  </si>
  <si>
    <t>Feilenforst</t>
  </si>
  <si>
    <t>Geisenfeldwinden</t>
  </si>
  <si>
    <t>Parleiten</t>
  </si>
  <si>
    <t>Schillwitzried</t>
  </si>
  <si>
    <t>Engelbrechtsmünster</t>
  </si>
  <si>
    <t>Gaden b.Geisenfeld</t>
  </si>
  <si>
    <t>Unterpindhart</t>
  </si>
  <si>
    <t>Untermettenbach</t>
  </si>
  <si>
    <t>Rottenegg</t>
  </si>
  <si>
    <t>Hög</t>
  </si>
  <si>
    <t>Winden a.Aign</t>
  </si>
  <si>
    <t>Gotteshofen</t>
  </si>
  <si>
    <t>Puch</t>
  </si>
  <si>
    <t>Pörnbach</t>
  </si>
  <si>
    <t>Raitbach</t>
  </si>
  <si>
    <t>Freinhausen</t>
  </si>
  <si>
    <t>Deimhausen</t>
  </si>
  <si>
    <t>Hohenwart</t>
  </si>
  <si>
    <t>Haidforst</t>
  </si>
  <si>
    <t>Klosterberg</t>
  </si>
  <si>
    <t>Weichenried</t>
  </si>
  <si>
    <t>Seibersdorf</t>
  </si>
  <si>
    <t>Koppenbach</t>
  </si>
  <si>
    <t>Fahlenbach</t>
  </si>
  <si>
    <t>Tegernbach</t>
  </si>
  <si>
    <t>Ehrenberg</t>
  </si>
  <si>
    <t>Angkofen</t>
  </si>
  <si>
    <t>Gundamsried</t>
  </si>
  <si>
    <t>Haimpertshofen</t>
  </si>
  <si>
    <t>Niederscheyern</t>
  </si>
  <si>
    <t>Affalterbach</t>
  </si>
  <si>
    <t>Walkersbach</t>
  </si>
  <si>
    <t>Förnbach</t>
  </si>
  <si>
    <t>Eberstetten</t>
  </si>
  <si>
    <t>Euernbach</t>
  </si>
  <si>
    <t>Vieth</t>
  </si>
  <si>
    <t>Mitterscheyern</t>
  </si>
  <si>
    <t>Winden b.Scheyern</t>
  </si>
  <si>
    <t>Scheyern</t>
  </si>
  <si>
    <t>Triefing</t>
  </si>
  <si>
    <t>Strobenried</t>
  </si>
  <si>
    <t>Gerolsbach</t>
  </si>
  <si>
    <t>Singenbach</t>
  </si>
  <si>
    <t>Klenau</t>
  </si>
  <si>
    <t>Alberzell</t>
  </si>
  <si>
    <t>Niederlauterbach</t>
  </si>
  <si>
    <t>Gosseltshausen</t>
  </si>
  <si>
    <t>Eschelbach a.d.Ilm</t>
  </si>
  <si>
    <t>Wolnzach</t>
  </si>
  <si>
    <t>Haushausen</t>
  </si>
  <si>
    <t>Gebrontshausen</t>
  </si>
  <si>
    <t>Geroldshausen i.d.Hallertau</t>
  </si>
  <si>
    <t>Larsbach</t>
  </si>
  <si>
    <t>Schweitenkirchen</t>
  </si>
  <si>
    <t>Dürnzhausen</t>
  </si>
  <si>
    <t>Sünzhausen</t>
  </si>
  <si>
    <t>Aufham</t>
  </si>
  <si>
    <t>Hettenshausen</t>
  </si>
  <si>
    <t>Entrischenbrunn</t>
  </si>
  <si>
    <t>Ilmmünster</t>
  </si>
  <si>
    <t>Ilmried</t>
  </si>
  <si>
    <t>Langwaid</t>
  </si>
  <si>
    <t>Paindorf</t>
  </si>
  <si>
    <t>Reichertshausen</t>
  </si>
  <si>
    <t>Hirschenhausen</t>
  </si>
  <si>
    <t>Jetzendorf</t>
  </si>
  <si>
    <t>Enzelhausen</t>
  </si>
  <si>
    <t>Grünberg</t>
  </si>
  <si>
    <t>Grafendorf</t>
  </si>
  <si>
    <t>Osterwaal</t>
  </si>
  <si>
    <t>Rudertshausen</t>
  </si>
  <si>
    <t>Osseltshausen</t>
  </si>
  <si>
    <t>Günzenhausen</t>
  </si>
  <si>
    <t>Au i.d.Hallertau</t>
  </si>
  <si>
    <t>Hemhausen</t>
  </si>
  <si>
    <t>Hirnkirchen</t>
  </si>
  <si>
    <t>Airischwand</t>
  </si>
  <si>
    <t>Nandlstadt</t>
  </si>
  <si>
    <t>Figlsdorf</t>
  </si>
  <si>
    <t>Margarethenried</t>
  </si>
  <si>
    <t>Gammelsdorf</t>
  </si>
  <si>
    <t>Hörgertshausen</t>
  </si>
  <si>
    <t>Enghausen</t>
  </si>
  <si>
    <t>Schweinersdorf</t>
  </si>
  <si>
    <t>Hagsdorf</t>
  </si>
  <si>
    <t>Inzkofen</t>
  </si>
  <si>
    <t>Wang</t>
  </si>
  <si>
    <t>Volkmannsdorferau</t>
  </si>
  <si>
    <t>Dürnhaindlfing</t>
  </si>
  <si>
    <t>Berghaselbach</t>
  </si>
  <si>
    <t>Sillertshausen</t>
  </si>
  <si>
    <t>Attenkirchen</t>
  </si>
  <si>
    <t>Wimpasing</t>
  </si>
  <si>
    <t>Palzing</t>
  </si>
  <si>
    <t>Zolling</t>
  </si>
  <si>
    <t>Anglberg</t>
  </si>
  <si>
    <t>Plörnbach</t>
  </si>
  <si>
    <t>Haag a.d.Amper</t>
  </si>
  <si>
    <t>Niederambach</t>
  </si>
  <si>
    <t>Thonstetten</t>
  </si>
  <si>
    <t>Moosburg a.d.Isar</t>
  </si>
  <si>
    <t>Pfrombach</t>
  </si>
  <si>
    <t>Paunzhausen</t>
  </si>
  <si>
    <t>Johanneck</t>
  </si>
  <si>
    <t>Hohenkammer</t>
  </si>
  <si>
    <t>Schlipps</t>
  </si>
  <si>
    <t>Allershausen</t>
  </si>
  <si>
    <t>Aiterbach</t>
  </si>
  <si>
    <t>Tünzhausen</t>
  </si>
  <si>
    <t>Kirchdorf a.d.Amper</t>
  </si>
  <si>
    <t>Wippenhausen</t>
  </si>
  <si>
    <t>Thalhausen</t>
  </si>
  <si>
    <t>Kranzberg</t>
  </si>
  <si>
    <t>Hohenbercha</t>
  </si>
  <si>
    <t>Gremertshausen</t>
  </si>
  <si>
    <t>Oberhummel</t>
  </si>
  <si>
    <t>Marzling</t>
  </si>
  <si>
    <t>Rudlfing</t>
  </si>
  <si>
    <t>Haindlfing</t>
  </si>
  <si>
    <t>Itzling</t>
  </si>
  <si>
    <t>Tüntenhausen</t>
  </si>
  <si>
    <t>Hohenbachern</t>
  </si>
  <si>
    <t>Vötting</t>
  </si>
  <si>
    <t>Neustift</t>
  </si>
  <si>
    <t>Pulling</t>
  </si>
  <si>
    <t>Attaching</t>
  </si>
  <si>
    <t>Kammerberg</t>
  </si>
  <si>
    <t>Jarzt</t>
  </si>
  <si>
    <t>Fahrenzhausen</t>
  </si>
  <si>
    <t>Großnöbach</t>
  </si>
  <si>
    <t>Massenhausen</t>
  </si>
  <si>
    <t>Giggenhausen</t>
  </si>
  <si>
    <t>Neufahrn b.Freising</t>
  </si>
  <si>
    <t>Hallbergmoos</t>
  </si>
  <si>
    <t>Goldach</t>
  </si>
  <si>
    <t>Langenpreising</t>
  </si>
  <si>
    <t>Sulding</t>
  </si>
  <si>
    <t>Berglern</t>
  </si>
  <si>
    <t>Wartenberg</t>
  </si>
  <si>
    <t>Fraunberg</t>
  </si>
  <si>
    <t>Maria Thalheim</t>
  </si>
  <si>
    <t>Hofstarring</t>
  </si>
  <si>
    <t>Hohenpolding</t>
  </si>
  <si>
    <t>Wambach</t>
  </si>
  <si>
    <t>Eitting</t>
  </si>
  <si>
    <t>Reichenkirchen</t>
  </si>
  <si>
    <t>Inning a.Holz</t>
  </si>
  <si>
    <t>Taufkirchen (Vils)</t>
  </si>
  <si>
    <t>Hubenstein</t>
  </si>
  <si>
    <t>Moosen (Vils)</t>
  </si>
  <si>
    <t>Gebensbach</t>
  </si>
  <si>
    <t>Oberding</t>
  </si>
  <si>
    <t>Langengeisling</t>
  </si>
  <si>
    <t>Bockhorn</t>
  </si>
  <si>
    <t>Grünbach</t>
  </si>
  <si>
    <t>Grüntegernbach</t>
  </si>
  <si>
    <t>Notzing</t>
  </si>
  <si>
    <t>Altenerding</t>
  </si>
  <si>
    <t>Salmannskirchen</t>
  </si>
  <si>
    <t>Matzbach</t>
  </si>
  <si>
    <t>Zeilhofen</t>
  </si>
  <si>
    <t>Dorfen</t>
  </si>
  <si>
    <t>Hausmehring</t>
  </si>
  <si>
    <t>Wasentegernbach</t>
  </si>
  <si>
    <t>Moosinning</t>
  </si>
  <si>
    <t>Niederneuching</t>
  </si>
  <si>
    <t>Oberneuching</t>
  </si>
  <si>
    <t>Wörth</t>
  </si>
  <si>
    <t>Walpertskirchen</t>
  </si>
  <si>
    <t>Lengdorf</t>
  </si>
  <si>
    <t>Watzling</t>
  </si>
  <si>
    <t>Stollnkirchen</t>
  </si>
  <si>
    <t>Schwindkirchen</t>
  </si>
  <si>
    <t>Schiltern</t>
  </si>
  <si>
    <t>Finsing</t>
  </si>
  <si>
    <t>Pastetten</t>
  </si>
  <si>
    <t>Buch a.Buchrain</t>
  </si>
  <si>
    <t>Isen</t>
  </si>
  <si>
    <t>Westach</t>
  </si>
  <si>
    <t>Sollacher Forst</t>
  </si>
  <si>
    <t>Lappach</t>
  </si>
  <si>
    <t>Sankt Wolfgang</t>
  </si>
  <si>
    <t>Jeßling</t>
  </si>
  <si>
    <t>Gatterberg</t>
  </si>
  <si>
    <t>Forstern</t>
  </si>
  <si>
    <t>Mittbach</t>
  </si>
  <si>
    <t>Schnaupping</t>
  </si>
  <si>
    <t>Thonbach</t>
  </si>
  <si>
    <t>Pyramoos</t>
  </si>
  <si>
    <t>Oberweikertshofen</t>
  </si>
  <si>
    <t>Unterschweinbach</t>
  </si>
  <si>
    <t>Wenigmünchen</t>
  </si>
  <si>
    <t>Maisach</t>
  </si>
  <si>
    <t>Germerswang</t>
  </si>
  <si>
    <t>Rottbach</t>
  </si>
  <si>
    <t>Überacker</t>
  </si>
  <si>
    <t>Olching</t>
  </si>
  <si>
    <t>Esting</t>
  </si>
  <si>
    <t>Geiselbullach</t>
  </si>
  <si>
    <t>Gröbenzell</t>
  </si>
  <si>
    <t>Oberdorf</t>
  </si>
  <si>
    <t>Oberschweinbach</t>
  </si>
  <si>
    <t>Günzlhofen</t>
  </si>
  <si>
    <t>Althegnenberg</t>
  </si>
  <si>
    <t>Hörbach</t>
  </si>
  <si>
    <t>Hattenhofen</t>
  </si>
  <si>
    <t>Mammendorf</t>
  </si>
  <si>
    <t>Nannhofen</t>
  </si>
  <si>
    <t>Luttenwang</t>
  </si>
  <si>
    <t>Jesenwang</t>
  </si>
  <si>
    <t>Landsberied</t>
  </si>
  <si>
    <t>Emmering</t>
  </si>
  <si>
    <t>Moorenweis</t>
  </si>
  <si>
    <t>Dünzelbach</t>
  </si>
  <si>
    <t>Eismerszell</t>
  </si>
  <si>
    <t>Grunertshofen</t>
  </si>
  <si>
    <t>Purk</t>
  </si>
  <si>
    <t>Zankenhausen</t>
  </si>
  <si>
    <t>Kottgeisering</t>
  </si>
  <si>
    <t>Unteralting</t>
  </si>
  <si>
    <t>Wildenroth</t>
  </si>
  <si>
    <t>Schöngeising</t>
  </si>
  <si>
    <t>Alling</t>
  </si>
  <si>
    <t>Puchheim</t>
  </si>
  <si>
    <t>Germering</t>
  </si>
  <si>
    <t>Unterpfaffenhofen</t>
  </si>
  <si>
    <t>Vierkirchen</t>
  </si>
  <si>
    <t>Welshofen</t>
  </si>
  <si>
    <t>Westerholzhausen</t>
  </si>
  <si>
    <t>Wiedenzhausen</t>
  </si>
  <si>
    <t>Altomünster</t>
  </si>
  <si>
    <t>Hilgertshausen</t>
  </si>
  <si>
    <t>Hohenzell</t>
  </si>
  <si>
    <t>Kiemertshofen</t>
  </si>
  <si>
    <t>Kleinberghofen</t>
  </si>
  <si>
    <t>Oberzeitlbach</t>
  </si>
  <si>
    <t>Randelsried</t>
  </si>
  <si>
    <t>Stumpfenbach</t>
  </si>
  <si>
    <t>Tandern</t>
  </si>
  <si>
    <t>Wollomoos</t>
  </si>
  <si>
    <t>Höfa</t>
  </si>
  <si>
    <t>Pfaffenhofen a.d.Glonn</t>
  </si>
  <si>
    <t>Sittenbach</t>
  </si>
  <si>
    <t>Unterumbach</t>
  </si>
  <si>
    <t>Weitenried</t>
  </si>
  <si>
    <t>Etzenhausen</t>
  </si>
  <si>
    <t>Ainhofen</t>
  </si>
  <si>
    <t>Ampermoching</t>
  </si>
  <si>
    <t>Amperpettenbach</t>
  </si>
  <si>
    <t>Arnbach</t>
  </si>
  <si>
    <t>Bergkirchen</t>
  </si>
  <si>
    <t>Einsbach</t>
  </si>
  <si>
    <t>Eisenhofen</t>
  </si>
  <si>
    <t>Eisolzried</t>
  </si>
  <si>
    <t>Feldgeding</t>
  </si>
  <si>
    <t>Frauenhofen</t>
  </si>
  <si>
    <t>Giebing</t>
  </si>
  <si>
    <t>Glonn</t>
  </si>
  <si>
    <t>Großberghofen</t>
  </si>
  <si>
    <t>Großinzemoos</t>
  </si>
  <si>
    <t>Günding</t>
  </si>
  <si>
    <t>Haimhausen</t>
  </si>
  <si>
    <t>Hebertshausen</t>
  </si>
  <si>
    <t>Hirtlbach</t>
  </si>
  <si>
    <t>Karlsfeld</t>
  </si>
  <si>
    <t>Kreuzholzhausen</t>
  </si>
  <si>
    <t>Langenpettenbach</t>
  </si>
  <si>
    <t>Markt Indersdorf</t>
  </si>
  <si>
    <t>Niederroth</t>
  </si>
  <si>
    <t>Obermarbach</t>
  </si>
  <si>
    <t>Odelzhausen</t>
  </si>
  <si>
    <t>Pasenbach</t>
  </si>
  <si>
    <t>Pellheim</t>
  </si>
  <si>
    <t>Petershausen</t>
  </si>
  <si>
    <t>Pipinsried</t>
  </si>
  <si>
    <t>Prittlbach</t>
  </si>
  <si>
    <t>Puchschlagen</t>
  </si>
  <si>
    <t>Röhrmoos</t>
  </si>
  <si>
    <t>Rumeltshausen</t>
  </si>
  <si>
    <t>Schwabhausen</t>
  </si>
  <si>
    <t>Sigmertshausen</t>
  </si>
  <si>
    <t>Sulzemoos</t>
  </si>
  <si>
    <t>Taxa</t>
  </si>
  <si>
    <t>Unterweikertshofen</t>
  </si>
  <si>
    <t>Unterweilbach</t>
  </si>
  <si>
    <t>München 1</t>
  </si>
  <si>
    <t>München, S.2</t>
  </si>
  <si>
    <t>München, S.3</t>
  </si>
  <si>
    <t>München, S.4</t>
  </si>
  <si>
    <t>München, S.5</t>
  </si>
  <si>
    <t>München, S.6</t>
  </si>
  <si>
    <t>München, S.7</t>
  </si>
  <si>
    <t>München, S.8</t>
  </si>
  <si>
    <t>München, S.9</t>
  </si>
  <si>
    <t>Allach</t>
  </si>
  <si>
    <t>Aschheim</t>
  </si>
  <si>
    <t>Aubing</t>
  </si>
  <si>
    <t>Berg am Laim</t>
  </si>
  <si>
    <t>Bogenhausen</t>
  </si>
  <si>
    <t>Brunnthal</t>
  </si>
  <si>
    <t>Daglfing</t>
  </si>
  <si>
    <t>Feldmoching</t>
  </si>
  <si>
    <t>Freimann</t>
  </si>
  <si>
    <t>Forstenried</t>
  </si>
  <si>
    <t>Garching b.München</t>
  </si>
  <si>
    <t>Gräfelfing</t>
  </si>
  <si>
    <t>Grasbrunn</t>
  </si>
  <si>
    <t>Großhadern</t>
  </si>
  <si>
    <t>Grünwald</t>
  </si>
  <si>
    <t>Heimstetten</t>
  </si>
  <si>
    <t>Höhenkirchen</t>
  </si>
  <si>
    <t>Hofolding</t>
  </si>
  <si>
    <t>Hohenbrunn</t>
  </si>
  <si>
    <t>Ismaning</t>
  </si>
  <si>
    <t>Kirchheim b.München</t>
  </si>
  <si>
    <t>Laim</t>
  </si>
  <si>
    <t>Langwied</t>
  </si>
  <si>
    <t>Ludwigsfeld</t>
  </si>
  <si>
    <t>Milbertshofen</t>
  </si>
  <si>
    <t>Moosach</t>
  </si>
  <si>
    <t>Neuried</t>
  </si>
  <si>
    <t>Nymphenburg</t>
  </si>
  <si>
    <t>Oberföhring</t>
  </si>
  <si>
    <t>Oberhaching</t>
  </si>
  <si>
    <t>Obermenzing</t>
  </si>
  <si>
    <t>Oberschleißheim</t>
  </si>
  <si>
    <t>Pasing</t>
  </si>
  <si>
    <t>Peiß</t>
  </si>
  <si>
    <t>Perlach</t>
  </si>
  <si>
    <t>Planegg</t>
  </si>
  <si>
    <t>Pullach i.Isartal</t>
  </si>
  <si>
    <t>Putzbrunn</t>
  </si>
  <si>
    <t>Schwabing</t>
  </si>
  <si>
    <t>Siegertsbrunn</t>
  </si>
  <si>
    <t>Solln</t>
  </si>
  <si>
    <t>Thalkirchen</t>
  </si>
  <si>
    <t>Trudering</t>
  </si>
  <si>
    <t>Unterbiberg</t>
  </si>
  <si>
    <t>Unterföhring</t>
  </si>
  <si>
    <t>Unterhaching</t>
  </si>
  <si>
    <t>Untermenzing</t>
  </si>
  <si>
    <t>Unterschleißheim</t>
  </si>
  <si>
    <t>Helfendorf</t>
  </si>
  <si>
    <t>Oberbiberg</t>
  </si>
  <si>
    <t>Grünwalder Forst</t>
  </si>
  <si>
    <t>Forstenrieder Park</t>
  </si>
  <si>
    <t>Perlacher Forst</t>
  </si>
  <si>
    <t>Anzing</t>
  </si>
  <si>
    <t>Aßling</t>
  </si>
  <si>
    <t>Baiern</t>
  </si>
  <si>
    <t>Egmating</t>
  </si>
  <si>
    <t>Elkofen</t>
  </si>
  <si>
    <t>Forstinning</t>
  </si>
  <si>
    <t>Frauenneuharting</t>
  </si>
  <si>
    <t>Gelting</t>
  </si>
  <si>
    <t>Grafing b.München</t>
  </si>
  <si>
    <t>Hohenlinden</t>
  </si>
  <si>
    <t>Kirchseeon</t>
  </si>
  <si>
    <t>Kronau</t>
  </si>
  <si>
    <t>Loitersdorf</t>
  </si>
  <si>
    <t>Nettelkofen</t>
  </si>
  <si>
    <t>Oberpframmern</t>
  </si>
  <si>
    <t>Oexing</t>
  </si>
  <si>
    <t>Parsdorf</t>
  </si>
  <si>
    <t>Pliening</t>
  </si>
  <si>
    <t>Poing</t>
  </si>
  <si>
    <t>Pöring</t>
  </si>
  <si>
    <t>Markt Schwaben</t>
  </si>
  <si>
    <t>Steinhöring</t>
  </si>
  <si>
    <t>Straußdorf</t>
  </si>
  <si>
    <t>Zorneding</t>
  </si>
  <si>
    <t>Sankt Christoph</t>
  </si>
  <si>
    <t>Anzinger Forst</t>
  </si>
  <si>
    <t>Ebersberger Forst</t>
  </si>
  <si>
    <t>Eglhartinger Forst</t>
  </si>
  <si>
    <t>Wiesbach</t>
  </si>
  <si>
    <t>Thambach</t>
  </si>
  <si>
    <t>Egglkofen</t>
  </si>
  <si>
    <t>Elsenbach</t>
  </si>
  <si>
    <t>Harpolden</t>
  </si>
  <si>
    <t>Feichten</t>
  </si>
  <si>
    <t>Hörbering</t>
  </si>
  <si>
    <t>Neumarkt</t>
  </si>
  <si>
    <t>St. Veit</t>
  </si>
  <si>
    <t>Aspertsham</t>
  </si>
  <si>
    <t>Oberbergkirchen</t>
  </si>
  <si>
    <t>Lohkirchen</t>
  </si>
  <si>
    <t>Zangberg</t>
  </si>
  <si>
    <t>Weilkirchen</t>
  </si>
  <si>
    <t>Niederbergkirchen</t>
  </si>
  <si>
    <t>Niedertaufkirchen</t>
  </si>
  <si>
    <t>Oberhofen</t>
  </si>
  <si>
    <t>Erharting</t>
  </si>
  <si>
    <t>Felizenzell</t>
  </si>
  <si>
    <t>Walkersaich</t>
  </si>
  <si>
    <t>Ranoldsberg</t>
  </si>
  <si>
    <t>Schwindegg</t>
  </si>
  <si>
    <t>Oberornau</t>
  </si>
  <si>
    <t>Obertaufkirchen</t>
  </si>
  <si>
    <t>Stefanskirchen</t>
  </si>
  <si>
    <t>Salmanskirchen</t>
  </si>
  <si>
    <t>Gumattenkirchen</t>
  </si>
  <si>
    <t>Mettenheim</t>
  </si>
  <si>
    <t>Lochheim</t>
  </si>
  <si>
    <t>Rattenkirchen</t>
  </si>
  <si>
    <t>Heldenstein</t>
  </si>
  <si>
    <t>Ampfing</t>
  </si>
  <si>
    <t>Altmühldorf</t>
  </si>
  <si>
    <t>Mößling</t>
  </si>
  <si>
    <t>Hart</t>
  </si>
  <si>
    <t>Mühldorfer Hart</t>
  </si>
  <si>
    <t>Aschau a.Inn</t>
  </si>
  <si>
    <t>Fraham</t>
  </si>
  <si>
    <t>Waldkraiburg</t>
  </si>
  <si>
    <t>Pürten</t>
  </si>
  <si>
    <t>Flossing</t>
  </si>
  <si>
    <t>Polling</t>
  </si>
  <si>
    <t>Oberneukirchen</t>
  </si>
  <si>
    <t>Forsting</t>
  </si>
  <si>
    <t>Jettenbach</t>
  </si>
  <si>
    <t>Maximilian</t>
  </si>
  <si>
    <t>Kraiburg a.Inn</t>
  </si>
  <si>
    <t>Zeiling</t>
  </si>
  <si>
    <t>Alzgern</t>
  </si>
  <si>
    <t>Arbing</t>
  </si>
  <si>
    <t>Burgkirchen a.d.Alz</t>
  </si>
  <si>
    <t>Eggen</t>
  </si>
  <si>
    <t>Emmerting</t>
  </si>
  <si>
    <t>Endlkirchen</t>
  </si>
  <si>
    <t>Feichten a.d.Alz</t>
  </si>
  <si>
    <t>Forstkastl</t>
  </si>
  <si>
    <t>Garching a.d.Alz</t>
  </si>
  <si>
    <t>Gufflham</t>
  </si>
  <si>
    <t>Haiming</t>
  </si>
  <si>
    <t>Kirchweidach</t>
  </si>
  <si>
    <t>Marktl</t>
  </si>
  <si>
    <t>Marktlberg</t>
  </si>
  <si>
    <t>Mehring</t>
  </si>
  <si>
    <t>Neukirchen a.d.Alz</t>
  </si>
  <si>
    <t>Neuötting</t>
  </si>
  <si>
    <t>Nonnberg</t>
  </si>
  <si>
    <t>Oberburgkirchen</t>
  </si>
  <si>
    <t>Oberkastl</t>
  </si>
  <si>
    <t>Oberpleiskirchen</t>
  </si>
  <si>
    <t>Oberzeitlarn</t>
  </si>
  <si>
    <t>Perach</t>
  </si>
  <si>
    <t>Piesing</t>
  </si>
  <si>
    <t>Raitenhart</t>
  </si>
  <si>
    <t>Raitenhaslach</t>
  </si>
  <si>
    <t>Reischach</t>
  </si>
  <si>
    <t>Schützing</t>
  </si>
  <si>
    <t>Teising</t>
  </si>
  <si>
    <t>Töging a.Inn</t>
  </si>
  <si>
    <t>Tüßling</t>
  </si>
  <si>
    <t>Unterburgkirchen</t>
  </si>
  <si>
    <t>Unterkastl</t>
  </si>
  <si>
    <t>Unterneukirchen</t>
  </si>
  <si>
    <t>Unterpleiskirchen</t>
  </si>
  <si>
    <t>Wald a.d.Alz</t>
  </si>
  <si>
    <t>Wald b.Winhöring</t>
  </si>
  <si>
    <t>Winhöring</t>
  </si>
  <si>
    <t>Altöttinger Forst</t>
  </si>
  <si>
    <t>Alzgerner Forst</t>
  </si>
  <si>
    <t>Daxenthaler Forst</t>
  </si>
  <si>
    <t>Holzfelder Forst</t>
  </si>
  <si>
    <t>Mörmoosen</t>
  </si>
  <si>
    <t>Tyrlaching</t>
  </si>
  <si>
    <t>Apfeldorf</t>
  </si>
  <si>
    <t>Asch</t>
  </si>
  <si>
    <t>Beuerbach</t>
  </si>
  <si>
    <t>Beuern</t>
  </si>
  <si>
    <t>Denklingen</t>
  </si>
  <si>
    <t>Dettenhofen</t>
  </si>
  <si>
    <t>Dettenschwang</t>
  </si>
  <si>
    <t>Dienhausen</t>
  </si>
  <si>
    <t>Dießen am Ammersee</t>
  </si>
  <si>
    <t>Dornstetten</t>
  </si>
  <si>
    <t>Eching am Ammersee</t>
  </si>
  <si>
    <t>Egling a.d.Paar</t>
  </si>
  <si>
    <t>Ellighofen</t>
  </si>
  <si>
    <t>Entraching</t>
  </si>
  <si>
    <t>Epfach</t>
  </si>
  <si>
    <t>Epfenhausen</t>
  </si>
  <si>
    <t>Eresing</t>
  </si>
  <si>
    <t>Erpfting</t>
  </si>
  <si>
    <t>Geltendorf</t>
  </si>
  <si>
    <t>Geretshausen</t>
  </si>
  <si>
    <t>Greifenberg</t>
  </si>
  <si>
    <t>Hagenheim</t>
  </si>
  <si>
    <t>Hausen b.Geltendorf</t>
  </si>
  <si>
    <t>Hechenwang</t>
  </si>
  <si>
    <t>Heinrichshofen</t>
  </si>
  <si>
    <t>Holzhausen b.Buchloe</t>
  </si>
  <si>
    <t>Hurlach</t>
  </si>
  <si>
    <t>Issing</t>
  </si>
  <si>
    <t>Kaltenberg</t>
  </si>
  <si>
    <t>Kaufering</t>
  </si>
  <si>
    <t>Kinsau</t>
  </si>
  <si>
    <t>Leeder</t>
  </si>
  <si>
    <t>Ludenhausen</t>
  </si>
  <si>
    <t>Mundraching</t>
  </si>
  <si>
    <t>Oberbergen</t>
  </si>
  <si>
    <t>Oberdießen</t>
  </si>
  <si>
    <t>Oberfinning</t>
  </si>
  <si>
    <t>Oberigling</t>
  </si>
  <si>
    <t>Obermeitingen</t>
  </si>
  <si>
    <t>Obermühlhausen</t>
  </si>
  <si>
    <t>Oberschondorf</t>
  </si>
  <si>
    <t>Oberwindach</t>
  </si>
  <si>
    <t>Penzing</t>
  </si>
  <si>
    <t>Pestenacker</t>
  </si>
  <si>
    <t>Petzenhausen</t>
  </si>
  <si>
    <t>Pflugdorf</t>
  </si>
  <si>
    <t>Prittriching</t>
  </si>
  <si>
    <t>Pürgen</t>
  </si>
  <si>
    <t>Ramsach</t>
  </si>
  <si>
    <t>Reichling</t>
  </si>
  <si>
    <t>Reisch</t>
  </si>
  <si>
    <t>Rieden a.Ammersee</t>
  </si>
  <si>
    <t>Rott</t>
  </si>
  <si>
    <t>Sankt Georgen</t>
  </si>
  <si>
    <t>Scheuring</t>
  </si>
  <si>
    <t>Schöffelding</t>
  </si>
  <si>
    <t>Schwabhausen b.Landsberg</t>
  </si>
  <si>
    <t>Schwifting</t>
  </si>
  <si>
    <t>Seestall</t>
  </si>
  <si>
    <t>Stoffen</t>
  </si>
  <si>
    <t>Thaining</t>
  </si>
  <si>
    <t>Ummendorf</t>
  </si>
  <si>
    <t>Unterdießen</t>
  </si>
  <si>
    <t>Unterfinning</t>
  </si>
  <si>
    <t>Unterigling</t>
  </si>
  <si>
    <t>Untermühlhausen</t>
  </si>
  <si>
    <t>Unterschondorf</t>
  </si>
  <si>
    <t>Unterwindach</t>
  </si>
  <si>
    <t>Utting am Ammersee</t>
  </si>
  <si>
    <t>Walleshausen</t>
  </si>
  <si>
    <t>Weil</t>
  </si>
  <si>
    <t>Bayerdießen</t>
  </si>
  <si>
    <t>Kingholz</t>
  </si>
  <si>
    <t>Auerberg</t>
  </si>
  <si>
    <t>Bernbeuren</t>
  </si>
  <si>
    <t>Birkland</t>
  </si>
  <si>
    <t>Böbing</t>
  </si>
  <si>
    <t>Burggen</t>
  </si>
  <si>
    <t>Echerschwang</t>
  </si>
  <si>
    <t>Fronreiten</t>
  </si>
  <si>
    <t>Hohenfurch</t>
  </si>
  <si>
    <t>Peiting</t>
  </si>
  <si>
    <t>Prem</t>
  </si>
  <si>
    <t>Rottenbuch</t>
  </si>
  <si>
    <t>Sachsenried</t>
  </si>
  <si>
    <t>Schongau</t>
  </si>
  <si>
    <t>Schwabbruck</t>
  </si>
  <si>
    <t>Schwabniederhofen</t>
  </si>
  <si>
    <t>Schwabsoien</t>
  </si>
  <si>
    <t>Tannenberg</t>
  </si>
  <si>
    <t>Urspring</t>
  </si>
  <si>
    <t>Wildsteig</t>
  </si>
  <si>
    <t>Fronreitener Forst</t>
  </si>
  <si>
    <t>Gilching</t>
  </si>
  <si>
    <t>Argelsried</t>
  </si>
  <si>
    <t>Krailling</t>
  </si>
  <si>
    <t>Inning a.Ammersee</t>
  </si>
  <si>
    <t>Etterschlag</t>
  </si>
  <si>
    <t>Weßling</t>
  </si>
  <si>
    <t>Oberpfaffenhofen</t>
  </si>
  <si>
    <t>Frohnloh</t>
  </si>
  <si>
    <t>Buch a.Ammersee</t>
  </si>
  <si>
    <t>Steinebach a.Wörthsee</t>
  </si>
  <si>
    <t>Meiling</t>
  </si>
  <si>
    <t>Hochstadt</t>
  </si>
  <si>
    <t>Gauting</t>
  </si>
  <si>
    <t>Oberalting-Seefeld</t>
  </si>
  <si>
    <t>Breitbrunn a.Ammersee</t>
  </si>
  <si>
    <t>Hechendorf a.Pilsensee</t>
  </si>
  <si>
    <t>Drößling</t>
  </si>
  <si>
    <t>Unering</t>
  </si>
  <si>
    <t>Hadorf</t>
  </si>
  <si>
    <t>Hanfeld</t>
  </si>
  <si>
    <t>Leutstetten</t>
  </si>
  <si>
    <t>Herrsching a.Ammersee</t>
  </si>
  <si>
    <t>Widdersberg</t>
  </si>
  <si>
    <t>Frieding</t>
  </si>
  <si>
    <t>Perchting</t>
  </si>
  <si>
    <t>Söcking</t>
  </si>
  <si>
    <t>Percha</t>
  </si>
  <si>
    <t>Erling-Andechs</t>
  </si>
  <si>
    <t>Landstetten</t>
  </si>
  <si>
    <t>Maising</t>
  </si>
  <si>
    <t>Kempfenhausen</t>
  </si>
  <si>
    <t>Wadlhauser Gräben</t>
  </si>
  <si>
    <t>Aschering</t>
  </si>
  <si>
    <t>Pöcking</t>
  </si>
  <si>
    <t>Machtlfing</t>
  </si>
  <si>
    <t>Traubing</t>
  </si>
  <si>
    <t>Feldafing</t>
  </si>
  <si>
    <t>Höhenrain</t>
  </si>
  <si>
    <t>Tutzing</t>
  </si>
  <si>
    <t>Starnberger See</t>
  </si>
  <si>
    <t>Fischen a.Ammersee</t>
  </si>
  <si>
    <t>Pähl</t>
  </si>
  <si>
    <t>Raisting</t>
  </si>
  <si>
    <t>Wielenbach</t>
  </si>
  <si>
    <t>Haunshofen</t>
  </si>
  <si>
    <t>Wessobrunn</t>
  </si>
  <si>
    <t>Weilheim i.OB</t>
  </si>
  <si>
    <t>Deutenhausen</t>
  </si>
  <si>
    <t>Bernried am Starnberger See</t>
  </si>
  <si>
    <t>Magnetsried</t>
  </si>
  <si>
    <t>Seeshaupt</t>
  </si>
  <si>
    <t>Iffeldorf</t>
  </si>
  <si>
    <t>Hohenpeißenberg</t>
  </si>
  <si>
    <t>Peißenberg</t>
  </si>
  <si>
    <t>Ammerhöfe</t>
  </si>
  <si>
    <t>Oderding</t>
  </si>
  <si>
    <t>Arnried</t>
  </si>
  <si>
    <t>Eberfing</t>
  </si>
  <si>
    <t>Huglfing</t>
  </si>
  <si>
    <t>Eglfing</t>
  </si>
  <si>
    <t>Frauenrain</t>
  </si>
  <si>
    <t>Antdorf</t>
  </si>
  <si>
    <t>Obersöchering</t>
  </si>
  <si>
    <t>Habach</t>
  </si>
  <si>
    <t>Sindelsdorf</t>
  </si>
  <si>
    <t>Penzberg</t>
  </si>
  <si>
    <t>Schöffau</t>
  </si>
  <si>
    <t>Uffing a.Staffelsee</t>
  </si>
  <si>
    <t>Spatzenhausen</t>
  </si>
  <si>
    <t>Aidling</t>
  </si>
  <si>
    <t>Riegsee</t>
  </si>
  <si>
    <t>Seehausen a.Staffelsee</t>
  </si>
  <si>
    <t>Bad Bayersoien</t>
  </si>
  <si>
    <t>Saulgrub</t>
  </si>
  <si>
    <t>Bad Kohlgrub</t>
  </si>
  <si>
    <t>Murnau a.Staffelsee</t>
  </si>
  <si>
    <t>Weindorf</t>
  </si>
  <si>
    <t>Hechendorf</t>
  </si>
  <si>
    <t>Kleinweil</t>
  </si>
  <si>
    <t>Großweil</t>
  </si>
  <si>
    <t>Schwaigen</t>
  </si>
  <si>
    <t>Ohlstadt</t>
  </si>
  <si>
    <t>Eschenlohe</t>
  </si>
  <si>
    <t>Unterammergauer Forst</t>
  </si>
  <si>
    <t>Unterammergau</t>
  </si>
  <si>
    <t>Oberammergau</t>
  </si>
  <si>
    <t>Ettal</t>
  </si>
  <si>
    <t>Ettaler Forst</t>
  </si>
  <si>
    <t>Oberau</t>
  </si>
  <si>
    <t>Farchant</t>
  </si>
  <si>
    <t>Wallgau</t>
  </si>
  <si>
    <t>Krün</t>
  </si>
  <si>
    <t>Garmisch</t>
  </si>
  <si>
    <t>Partenkirchen</t>
  </si>
  <si>
    <t>Mittenwald</t>
  </si>
  <si>
    <t>Grainau</t>
  </si>
  <si>
    <t>Baierbrunn</t>
  </si>
  <si>
    <t>Schäftlarn</t>
  </si>
  <si>
    <t>Straßlach</t>
  </si>
  <si>
    <t>Dingharting</t>
  </si>
  <si>
    <t>Sauerlach</t>
  </si>
  <si>
    <t>Arget</t>
  </si>
  <si>
    <t>Icking</t>
  </si>
  <si>
    <t>Ergertshausen</t>
  </si>
  <si>
    <t>Neufahrn</t>
  </si>
  <si>
    <t>Egling</t>
  </si>
  <si>
    <t>Thanning</t>
  </si>
  <si>
    <t>Endlhausen</t>
  </si>
  <si>
    <t>Münsing</t>
  </si>
  <si>
    <t>Holzhausen a.Starnberger See</t>
  </si>
  <si>
    <t>Wolfratshausen</t>
  </si>
  <si>
    <t>Geretsried</t>
  </si>
  <si>
    <t>Wolfratshauser Forst</t>
  </si>
  <si>
    <t>Ascholding</t>
  </si>
  <si>
    <t>Föggenbeuern</t>
  </si>
  <si>
    <t>Baiernrain</t>
  </si>
  <si>
    <t>Manhartshofen</t>
  </si>
  <si>
    <t>Dietramszell</t>
  </si>
  <si>
    <t>Hechenberg</t>
  </si>
  <si>
    <t>Herrnhausen</t>
  </si>
  <si>
    <t>Beuerberg</t>
  </si>
  <si>
    <t>Königsdorf</t>
  </si>
  <si>
    <t>Schönrain</t>
  </si>
  <si>
    <t>Mürnsee</t>
  </si>
  <si>
    <t>Bad Heilbrunn</t>
  </si>
  <si>
    <t>Oberbuchen</t>
  </si>
  <si>
    <t>Unterfischbach</t>
  </si>
  <si>
    <t>Oberfischbach</t>
  </si>
  <si>
    <t>Wackersberg</t>
  </si>
  <si>
    <t>Bad Tölz</t>
  </si>
  <si>
    <t>Kirchbichl</t>
  </si>
  <si>
    <t>Sachsenkam</t>
  </si>
  <si>
    <t>Greiling</t>
  </si>
  <si>
    <t>Reichersbeuern</t>
  </si>
  <si>
    <t>Bichl</t>
  </si>
  <si>
    <t>Benediktbeuern</t>
  </si>
  <si>
    <t>Schlehdorf</t>
  </si>
  <si>
    <t>Kochel a.See</t>
  </si>
  <si>
    <t>Jachenau</t>
  </si>
  <si>
    <t>Lenggries</t>
  </si>
  <si>
    <t>Schaftlach</t>
  </si>
  <si>
    <t>Waakirchen</t>
  </si>
  <si>
    <t>Dürnbach</t>
  </si>
  <si>
    <t>Gmund a.Tegernsee</t>
  </si>
  <si>
    <t>Bad Wiessee</t>
  </si>
  <si>
    <t>Tegernsee</t>
  </si>
  <si>
    <t>Rottach-Egern</t>
  </si>
  <si>
    <t>Otterfing</t>
  </si>
  <si>
    <t>Hartpenning</t>
  </si>
  <si>
    <t>Föching</t>
  </si>
  <si>
    <t>Valley</t>
  </si>
  <si>
    <t>Holzolling</t>
  </si>
  <si>
    <t>Warngau</t>
  </si>
  <si>
    <t>Wall</t>
  </si>
  <si>
    <t>Gotzing</t>
  </si>
  <si>
    <t>Wattersdorf</t>
  </si>
  <si>
    <t>Irschenberg</t>
  </si>
  <si>
    <t>Wies</t>
  </si>
  <si>
    <t>Niklasreuth</t>
  </si>
  <si>
    <t>Hausham</t>
  </si>
  <si>
    <t>Wörnsmühl</t>
  </si>
  <si>
    <t>Hundham</t>
  </si>
  <si>
    <t>Fischbachau</t>
  </si>
  <si>
    <t>Schliersee</t>
  </si>
  <si>
    <t>Bayrischzell</t>
  </si>
  <si>
    <t>Aising</t>
  </si>
  <si>
    <t>Altenbeuern</t>
  </si>
  <si>
    <t>Au b.Bad Aibling</t>
  </si>
  <si>
    <t>Bad Aibling</t>
  </si>
  <si>
    <t>Bernau a.Chiemsee</t>
  </si>
  <si>
    <t>Beyharting</t>
  </si>
  <si>
    <t>Brannenburg</t>
  </si>
  <si>
    <t>Breitbrunn a.Chiemsee</t>
  </si>
  <si>
    <t>Bruckmühl</t>
  </si>
  <si>
    <t>Chiemsee</t>
  </si>
  <si>
    <t>Degerndorf a.Inn</t>
  </si>
  <si>
    <t>Eggstätt</t>
  </si>
  <si>
    <t>Ellmosen</t>
  </si>
  <si>
    <t>Bad Endorf</t>
  </si>
  <si>
    <t>Bad Feilnbach</t>
  </si>
  <si>
    <t>Flintsbach a.Inn</t>
  </si>
  <si>
    <t>Frasdorf</t>
  </si>
  <si>
    <t>Götting</t>
  </si>
  <si>
    <t>Grainbach</t>
  </si>
  <si>
    <t>Greimharting</t>
  </si>
  <si>
    <t>Großbrannenberg</t>
  </si>
  <si>
    <t>Großholzhausen</t>
  </si>
  <si>
    <t>Großkarolinenfeld</t>
  </si>
  <si>
    <t>Gstadt a.Chiemsee</t>
  </si>
  <si>
    <t>Halfing</t>
  </si>
  <si>
    <t>Happing</t>
  </si>
  <si>
    <t>Hemhof</t>
  </si>
  <si>
    <t>Hirnsberg</t>
  </si>
  <si>
    <t>Hittenkirchen</t>
  </si>
  <si>
    <t>Hochstätt</t>
  </si>
  <si>
    <t>Höhenmoos</t>
  </si>
  <si>
    <t>Höslwang</t>
  </si>
  <si>
    <t>Hohenaschau i.Chiemgau</t>
  </si>
  <si>
    <t>Hohenthann</t>
  </si>
  <si>
    <t>Holzham</t>
  </si>
  <si>
    <t>Kiefersfelden</t>
  </si>
  <si>
    <t>Kleinholzhausen</t>
  </si>
  <si>
    <t>Kolbermoor</t>
  </si>
  <si>
    <t>Litzldorf</t>
  </si>
  <si>
    <t>Madau</t>
  </si>
  <si>
    <t>Marienberg</t>
  </si>
  <si>
    <t>Mauerkirchen i.Chiemgau</t>
  </si>
  <si>
    <t>Neubeuern</t>
  </si>
  <si>
    <t>Neukirchen a.Simssee</t>
  </si>
  <si>
    <t>Niederaschau i.Chiemgau</t>
  </si>
  <si>
    <t>Niederaudorf</t>
  </si>
  <si>
    <t>Nußdorf a.Inn</t>
  </si>
  <si>
    <t>Oberaudorf</t>
  </si>
  <si>
    <t>Pang</t>
  </si>
  <si>
    <t>Pietzing</t>
  </si>
  <si>
    <t>Prien a.Chiemsee</t>
  </si>
  <si>
    <t>Prutting</t>
  </si>
  <si>
    <t>Raubling</t>
  </si>
  <si>
    <t>Reischenhart</t>
  </si>
  <si>
    <t>Riedering</t>
  </si>
  <si>
    <t>Rimsting</t>
  </si>
  <si>
    <t>Rohrdorf</t>
  </si>
  <si>
    <t>Roßholzen</t>
  </si>
  <si>
    <t>Rotter Forst-Süd</t>
  </si>
  <si>
    <t>Sachrang</t>
  </si>
  <si>
    <t>Söchtenau</t>
  </si>
  <si>
    <t>Söllhuben</t>
  </si>
  <si>
    <t>Stephanskirchen</t>
  </si>
  <si>
    <t>Tattenhausen</t>
  </si>
  <si>
    <t>Törwang</t>
  </si>
  <si>
    <t>Tuntenhausen</t>
  </si>
  <si>
    <t>Umrathshausen</t>
  </si>
  <si>
    <t>Vagen</t>
  </si>
  <si>
    <t>Vogtareuth</t>
  </si>
  <si>
    <t>Westerndorf St.Peter</t>
  </si>
  <si>
    <t>Wiechs</t>
  </si>
  <si>
    <t>Wildenwart</t>
  </si>
  <si>
    <t>Willing</t>
  </si>
  <si>
    <t>Lampferding</t>
  </si>
  <si>
    <t>Maitenbeth</t>
  </si>
  <si>
    <t>Großhaager Forst</t>
  </si>
  <si>
    <t>Innach</t>
  </si>
  <si>
    <t>Haag i.OB</t>
  </si>
  <si>
    <t>Allmannsau</t>
  </si>
  <si>
    <t>Fürholzen</t>
  </si>
  <si>
    <t>Reichertsheim</t>
  </si>
  <si>
    <t>Kronberg</t>
  </si>
  <si>
    <t>Dachberg</t>
  </si>
  <si>
    <t>Gars a.Inn</t>
  </si>
  <si>
    <t>Lengmoos</t>
  </si>
  <si>
    <t>Klostergars</t>
  </si>
  <si>
    <t>Mittergars</t>
  </si>
  <si>
    <t>Au a.Inn</t>
  </si>
  <si>
    <t>Rechtmehring</t>
  </si>
  <si>
    <t>Schleefeld</t>
  </si>
  <si>
    <t>Elsbeth</t>
  </si>
  <si>
    <t>Grünthal</t>
  </si>
  <si>
    <t>Pfaffing</t>
  </si>
  <si>
    <t>Albaching</t>
  </si>
  <si>
    <t>Springlbach</t>
  </si>
  <si>
    <t>Utzenbichl</t>
  </si>
  <si>
    <t>Ramerberg</t>
  </si>
  <si>
    <t>Farrach</t>
  </si>
  <si>
    <t>Wasserburg a.Inn</t>
  </si>
  <si>
    <t>Edling</t>
  </si>
  <si>
    <t>Attel</t>
  </si>
  <si>
    <t>Soyen</t>
  </si>
  <si>
    <t>Buchsee</t>
  </si>
  <si>
    <t>Babensham</t>
  </si>
  <si>
    <t>Kling</t>
  </si>
  <si>
    <t>Loibersdorf</t>
  </si>
  <si>
    <t>Titlmoos</t>
  </si>
  <si>
    <t>Bachmehring</t>
  </si>
  <si>
    <t>Freiham</t>
  </si>
  <si>
    <t>Rott a.Inn</t>
  </si>
  <si>
    <t>Rotter Forst-Nord</t>
  </si>
  <si>
    <t>Griesstätt</t>
  </si>
  <si>
    <t>Kolbing</t>
  </si>
  <si>
    <t>Schonstett</t>
  </si>
  <si>
    <t>Zillham</t>
  </si>
  <si>
    <t>Amerang</t>
  </si>
  <si>
    <t>Evenhausen</t>
  </si>
  <si>
    <t>Kirchensur</t>
  </si>
  <si>
    <t>Unterratting</t>
  </si>
  <si>
    <t>Schnaitsee</t>
  </si>
  <si>
    <t>Waldhausen</t>
  </si>
  <si>
    <t>Kirchstätt</t>
  </si>
  <si>
    <t>Maisenberg</t>
  </si>
  <si>
    <t>Eiting</t>
  </si>
  <si>
    <t>Emertsham</t>
  </si>
  <si>
    <t>Tacherting</t>
  </si>
  <si>
    <t>Albertaich</t>
  </si>
  <si>
    <t>Obing</t>
  </si>
  <si>
    <t>Kienberg</t>
  </si>
  <si>
    <t>Pittenhart</t>
  </si>
  <si>
    <t>Seeon</t>
  </si>
  <si>
    <t>Rabenden</t>
  </si>
  <si>
    <t>Altenmarkt a.d.Alz</t>
  </si>
  <si>
    <t>Oberfeldkirchen</t>
  </si>
  <si>
    <t>Trostberg</t>
  </si>
  <si>
    <t>Seebruck</t>
  </si>
  <si>
    <t>Truchtlaching</t>
  </si>
  <si>
    <t>Ising</t>
  </si>
  <si>
    <t>Chieming</t>
  </si>
  <si>
    <t>Sondermoning</t>
  </si>
  <si>
    <t>Nußdorf</t>
  </si>
  <si>
    <t>Haßmoning</t>
  </si>
  <si>
    <t>Stein a.d.Traun</t>
  </si>
  <si>
    <t>Traunreut</t>
  </si>
  <si>
    <t>Pierling</t>
  </si>
  <si>
    <t>Matzing</t>
  </si>
  <si>
    <t>Traunwalchen</t>
  </si>
  <si>
    <t>Waging a.See</t>
  </si>
  <si>
    <t>Gaden</t>
  </si>
  <si>
    <t>Nirnharting</t>
  </si>
  <si>
    <t>Tettenhausen</t>
  </si>
  <si>
    <t>Wonneberg</t>
  </si>
  <si>
    <t>Chiemsee (See)</t>
  </si>
  <si>
    <t>Übersee</t>
  </si>
  <si>
    <t>Grabenstätt</t>
  </si>
  <si>
    <t>Oberhochstätt</t>
  </si>
  <si>
    <t>Erlstätt</t>
  </si>
  <si>
    <t>Kammer</t>
  </si>
  <si>
    <t>Hochberg</t>
  </si>
  <si>
    <t>Surberg</t>
  </si>
  <si>
    <t>Rottau</t>
  </si>
  <si>
    <t>Grassau</t>
  </si>
  <si>
    <t>Marquartstein</t>
  </si>
  <si>
    <t>Staudach-Egerndach</t>
  </si>
  <si>
    <t>Bergener Forst</t>
  </si>
  <si>
    <t>Vachendorf</t>
  </si>
  <si>
    <t>Untersiegsdorf</t>
  </si>
  <si>
    <t>Obersiegsdorf</t>
  </si>
  <si>
    <t>Eisenärzt</t>
  </si>
  <si>
    <t>Vogling</t>
  </si>
  <si>
    <t>Hammer</t>
  </si>
  <si>
    <t>Schlechinger Forst</t>
  </si>
  <si>
    <t>Schleching</t>
  </si>
  <si>
    <t>Oberwössen</t>
  </si>
  <si>
    <t>Unterwössen</t>
  </si>
  <si>
    <t>Urschlauer Forst</t>
  </si>
  <si>
    <t>Ruhpolding</t>
  </si>
  <si>
    <t>Vachenau</t>
  </si>
  <si>
    <t>Seehauser Forst</t>
  </si>
  <si>
    <t>Zeller Forst</t>
  </si>
  <si>
    <t>Inzell</t>
  </si>
  <si>
    <t>Reit im Winkl</t>
  </si>
  <si>
    <t>Forst Reit im Winkl</t>
  </si>
  <si>
    <t>Palling</t>
  </si>
  <si>
    <t>Freutsmoos</t>
  </si>
  <si>
    <t>Asten</t>
  </si>
  <si>
    <t>Tittmoning</t>
  </si>
  <si>
    <t>Kay</t>
  </si>
  <si>
    <t>Törring</t>
  </si>
  <si>
    <t>Tengling</t>
  </si>
  <si>
    <t>Taching a.See</t>
  </si>
  <si>
    <t>Pietling</t>
  </si>
  <si>
    <t>Fridolfing</t>
  </si>
  <si>
    <t>Lampoding</t>
  </si>
  <si>
    <t>Kirchanschöring</t>
  </si>
  <si>
    <t>Waginger See</t>
  </si>
  <si>
    <t>Petting</t>
  </si>
  <si>
    <t>Ringham</t>
  </si>
  <si>
    <t>Schönramer Filz</t>
  </si>
  <si>
    <t>Wiedmais</t>
  </si>
  <si>
    <t>Laufen</t>
  </si>
  <si>
    <t>Leobendorf</t>
  </si>
  <si>
    <t>Triebenbach</t>
  </si>
  <si>
    <t>Rückstetten</t>
  </si>
  <si>
    <t>Holzhausen b.Teisendorf</t>
  </si>
  <si>
    <t>Weildorf</t>
  </si>
  <si>
    <t>Oberteisendorf</t>
  </si>
  <si>
    <t>Teisendorf</t>
  </si>
  <si>
    <t>Neukirchen a.Teisenberg</t>
  </si>
  <si>
    <t>Freidling</t>
  </si>
  <si>
    <t>Roßdorf</t>
  </si>
  <si>
    <t>Saaldorf</t>
  </si>
  <si>
    <t>Surheim</t>
  </si>
  <si>
    <t>Freilassing</t>
  </si>
  <si>
    <t>Ainring</t>
  </si>
  <si>
    <t>Staufenecker Forst</t>
  </si>
  <si>
    <t>Anger</t>
  </si>
  <si>
    <t>Högl</t>
  </si>
  <si>
    <t>Piding</t>
  </si>
  <si>
    <t>Karlsteiner Forst</t>
  </si>
  <si>
    <t>Weißbach a.d.Alpenstraße</t>
  </si>
  <si>
    <t>Weißbacher Forst</t>
  </si>
  <si>
    <t>Ristfeucht</t>
  </si>
  <si>
    <t>Jettenberg</t>
  </si>
  <si>
    <t>Sankt Zeno</t>
  </si>
  <si>
    <t>Marzoll</t>
  </si>
  <si>
    <t>Bad Reichenhall</t>
  </si>
  <si>
    <t>Bayerisch Gmain</t>
  </si>
  <si>
    <t>Forst Sankt Zeno</t>
  </si>
  <si>
    <t>Bischofswiesener Forst</t>
  </si>
  <si>
    <t>Bischofswiesen</t>
  </si>
  <si>
    <t>Schellenberger Forst</t>
  </si>
  <si>
    <t>Marktschellenberg</t>
  </si>
  <si>
    <t>Landschellenberg</t>
  </si>
  <si>
    <t>Ettenberg</t>
  </si>
  <si>
    <t>Maria Gern</t>
  </si>
  <si>
    <t>Salzberg</t>
  </si>
  <si>
    <t>Berchtesgaden</t>
  </si>
  <si>
    <t>Eck</t>
  </si>
  <si>
    <t>Jettenberger Forst</t>
  </si>
  <si>
    <t>Forst Taubensee</t>
  </si>
  <si>
    <t>Ramsau b.Berchtesgaden</t>
  </si>
  <si>
    <t>Königssee</t>
  </si>
  <si>
    <t>Forst Königssee</t>
  </si>
  <si>
    <t>Forst Hintersee</t>
  </si>
  <si>
    <t>Ramsauer Forst</t>
  </si>
  <si>
    <t>Forst Sankt Bartholomä</t>
  </si>
  <si>
    <t>grobfutteraufnahme_mittl_jahresbestand_n</t>
  </si>
  <si>
    <t>grobfutteraufnahme_mittl_jahresbestand_p2o5</t>
  </si>
  <si>
    <t>grobfutteraufnahme_mittl_jahresbestand_k2o</t>
  </si>
  <si>
    <t xml:space="preserve">Grobfutteraufnahme </t>
  </si>
  <si>
    <t>in kg je mittlerer</t>
  </si>
  <si>
    <t>Gülleanfall</t>
  </si>
  <si>
    <r>
      <t>in m</t>
    </r>
    <r>
      <rPr>
        <b/>
        <vertAlign val="superscript"/>
        <sz val="10"/>
        <rFont val="Arial"/>
        <family val="2"/>
      </rPr>
      <t>3</t>
    </r>
    <r>
      <rPr>
        <b/>
        <sz val="10"/>
        <rFont val="Arial"/>
        <family val="2"/>
      </rPr>
      <t xml:space="preserve"> je mittl. </t>
    </r>
  </si>
  <si>
    <r>
      <t xml:space="preserve">Jahresbest. </t>
    </r>
    <r>
      <rPr>
        <b/>
        <vertAlign val="superscript"/>
        <sz val="10"/>
        <color rgb="FF000000"/>
        <rFont val="Arial"/>
        <family val="2"/>
      </rPr>
      <t>2)</t>
    </r>
  </si>
  <si>
    <r>
      <t xml:space="preserve">(DüV </t>
    </r>
    <r>
      <rPr>
        <b/>
        <vertAlign val="superscript"/>
        <sz val="10"/>
        <color indexed="8"/>
        <rFont val="Arial"/>
        <family val="2"/>
      </rPr>
      <t>3)</t>
    </r>
    <r>
      <rPr>
        <b/>
        <sz val="10"/>
        <color rgb="FF000000"/>
        <rFont val="Arial"/>
        <family val="2"/>
      </rPr>
      <t>)</t>
    </r>
  </si>
  <si>
    <t>anfall_guelle_mittl_jahresbestand_duev</t>
  </si>
  <si>
    <t>einstreu_je_gv_mittl_jahresbestand_gering</t>
  </si>
  <si>
    <t>einstreu_je_gv_mittl_jahresbestand_mittel</t>
  </si>
  <si>
    <t>einstreu_je_gv_mittl_jahresbestand_hoch</t>
  </si>
  <si>
    <r>
      <t xml:space="preserve">je mittl. Jahresbestand </t>
    </r>
    <r>
      <rPr>
        <vertAlign val="superscript"/>
        <sz val="10"/>
        <color indexed="8"/>
        <rFont val="Arial"/>
        <family val="2"/>
      </rPr>
      <t>2)</t>
    </r>
  </si>
  <si>
    <t>einstreu_gering_duev</t>
  </si>
  <si>
    <t>einstreu_mittel_duev</t>
  </si>
  <si>
    <t>einstreu_hoch_duev</t>
  </si>
  <si>
    <t>Einstreumenge</t>
  </si>
  <si>
    <t>in kg und Tag  (DüV)</t>
  </si>
  <si>
    <r>
      <t xml:space="preserve">je mittl. Jahresbestand </t>
    </r>
    <r>
      <rPr>
        <b/>
        <vertAlign val="superscript"/>
        <sz val="10"/>
        <color indexed="8"/>
        <rFont val="Arial"/>
        <family val="2"/>
      </rPr>
      <t>2)</t>
    </r>
  </si>
  <si>
    <t>anfall_festmist_mittl_jahresbestand_gering_duev</t>
  </si>
  <si>
    <t>anfall_festmist_mittl_jahresbestand_mittel_duev</t>
  </si>
  <si>
    <t>anfall_festmist_mittl_jahresbestand_hoch_duev</t>
  </si>
  <si>
    <t>Festmistanfall</t>
  </si>
  <si>
    <r>
      <t xml:space="preserve">in t und Jahr (DüV) </t>
    </r>
    <r>
      <rPr>
        <b/>
        <vertAlign val="superscript"/>
        <sz val="10"/>
        <color indexed="8"/>
        <rFont val="Arial"/>
        <family val="2"/>
      </rPr>
      <t>5)</t>
    </r>
  </si>
  <si>
    <t>#tm_festmistanfall_gering_duev</t>
  </si>
  <si>
    <t>#tm_festmistanfall_mittel_duev</t>
  </si>
  <si>
    <t>#tm_festmistanfall_hoch_duev</t>
  </si>
  <si>
    <t>% TM</t>
  </si>
  <si>
    <t>Anfall gering</t>
  </si>
  <si>
    <t>Anfall mittel</t>
  </si>
  <si>
    <t>Anfall hoch</t>
  </si>
  <si>
    <t>anfall_jauche_mittl_jahresbestand_duev</t>
  </si>
  <si>
    <r>
      <t xml:space="preserve">Jaucheanfall </t>
    </r>
    <r>
      <rPr>
        <b/>
        <vertAlign val="superscript"/>
        <sz val="10"/>
        <color indexed="8"/>
        <rFont val="Arial"/>
        <family val="2"/>
      </rPr>
      <t>4)</t>
    </r>
  </si>
  <si>
    <r>
      <t>in m</t>
    </r>
    <r>
      <rPr>
        <b/>
        <vertAlign val="superscript"/>
        <sz val="10"/>
        <color indexed="8"/>
        <rFont val="Arial"/>
        <family val="2"/>
      </rPr>
      <t xml:space="preserve">3 </t>
    </r>
    <r>
      <rPr>
        <b/>
        <sz val="10"/>
        <color indexed="8"/>
        <rFont val="Arial"/>
        <family val="2"/>
      </rPr>
      <t xml:space="preserve">je mittl. </t>
    </r>
  </si>
  <si>
    <t xml:space="preserve">hoch (DüV) </t>
  </si>
  <si>
    <t>tm_jauche_duev</t>
  </si>
  <si>
    <t xml:space="preserve"> DüV</t>
  </si>
  <si>
    <t>tierkoerperart</t>
  </si>
  <si>
    <t>tierkoerper_gehalt_lebend_n</t>
  </si>
  <si>
    <t>tierkoerper_gehalt_lebend_p2o5</t>
  </si>
  <si>
    <t>tierkoerper_gehalt_lebend_k2o</t>
  </si>
  <si>
    <t>tierkoerper_gehalt_lebend_mgo</t>
  </si>
  <si>
    <t>schlachtgewicht_in_lebendgewicht</t>
  </si>
  <si>
    <t>Tier-</t>
  </si>
  <si>
    <t>Umrechnung</t>
  </si>
  <si>
    <t>körper</t>
  </si>
  <si>
    <t>Gewicht (%)</t>
  </si>
  <si>
    <t>art</t>
  </si>
  <si>
    <t>Schlachtg. in</t>
  </si>
  <si>
    <r>
      <t>P</t>
    </r>
    <r>
      <rPr>
        <b/>
        <vertAlign val="subscript"/>
        <sz val="10"/>
        <color theme="1"/>
        <rFont val="Arial"/>
        <family val="2"/>
      </rPr>
      <t>2</t>
    </r>
    <r>
      <rPr>
        <b/>
        <sz val="10"/>
        <color theme="1"/>
        <rFont val="Arial"/>
        <family val="2"/>
      </rPr>
      <t>O</t>
    </r>
    <r>
      <rPr>
        <b/>
        <vertAlign val="subscript"/>
        <sz val="10"/>
        <color theme="1"/>
        <rFont val="Arial"/>
        <family val="2"/>
      </rPr>
      <t>5</t>
    </r>
  </si>
  <si>
    <r>
      <t>K</t>
    </r>
    <r>
      <rPr>
        <b/>
        <vertAlign val="subscript"/>
        <sz val="10"/>
        <color theme="1"/>
        <rFont val="Arial"/>
        <family val="2"/>
      </rPr>
      <t>2</t>
    </r>
    <r>
      <rPr>
        <b/>
        <sz val="10"/>
        <color theme="1"/>
        <rFont val="Arial"/>
        <family val="2"/>
      </rPr>
      <t>O</t>
    </r>
  </si>
  <si>
    <t>Lebendg.</t>
  </si>
  <si>
    <t>tier_edvname</t>
  </si>
  <si>
    <t>tierart_1</t>
  </si>
  <si>
    <t>gv_duev</t>
  </si>
  <si>
    <t>ausscheidung_mittl_jahresbestand_n</t>
  </si>
  <si>
    <t>ausscheidung_mittl_jahresbestand_p2o5</t>
  </si>
  <si>
    <t>ausscheidung_mittl_jahresbestand_k2o</t>
  </si>
  <si>
    <t>tm_guelle_duev</t>
  </si>
  <si>
    <t>verluste_stalllager_guelle</t>
  </si>
  <si>
    <t>verluste_stalllager_festmist_jauche</t>
  </si>
  <si>
    <r>
      <t xml:space="preserve">Großvieh- einheit je mittl. Jahresbest. </t>
    </r>
    <r>
      <rPr>
        <b/>
        <vertAlign val="superscript"/>
        <sz val="10"/>
        <rFont val="Arial"/>
        <family val="2"/>
      </rPr>
      <t>2)</t>
    </r>
  </si>
  <si>
    <t>in kg (DüV) je mittlerer</t>
  </si>
  <si>
    <r>
      <t xml:space="preserve">Jahresbestand </t>
    </r>
    <r>
      <rPr>
        <b/>
        <vertAlign val="superscript"/>
        <sz val="10"/>
        <rFont val="Arial"/>
        <family val="2"/>
      </rPr>
      <t>2)</t>
    </r>
    <r>
      <rPr>
        <b/>
        <sz val="10"/>
        <rFont val="Arial"/>
        <family val="2"/>
      </rPr>
      <t xml:space="preserve"> </t>
    </r>
  </si>
  <si>
    <t>Mist, Jauche</t>
  </si>
  <si>
    <t>(DüV)</t>
  </si>
  <si>
    <t>DüV</t>
  </si>
  <si>
    <t xml:space="preserve">                     (Stand: 2021)</t>
  </si>
  <si>
    <t>Fresseraufzucht (80-210 kg), Standardfutter</t>
  </si>
  <si>
    <t>Fresseraufzucht (80-210 kg), N-/P-reduziert</t>
  </si>
  <si>
    <t>Jungsaueneingliederung, Standard</t>
  </si>
  <si>
    <t>Jungsaueneingliederung, N-/P-reduziert</t>
  </si>
  <si>
    <t>Mastschweine (750 g TZ), Standard</t>
  </si>
  <si>
    <t>Mastschweine (750 g TZ), N-/P-reduziert</t>
  </si>
  <si>
    <t>Lämmer, Schafe bis ein Jahr, konventionell</t>
  </si>
  <si>
    <t>Damwild mit Nachzucht</t>
  </si>
  <si>
    <t>Rotwild mit Nachzucht</t>
  </si>
  <si>
    <t xml:space="preserve">Lama </t>
  </si>
  <si>
    <t>Alpaka</t>
  </si>
  <si>
    <t>Lagerhaltung (Zu- und Abgang) bei Biogasbetrieben (freiwillig)</t>
  </si>
  <si>
    <t>Futter für Tiere und Biogas im Jahr</t>
  </si>
  <si>
    <t>Differenz</t>
  </si>
  <si>
    <t>TM in</t>
  </si>
  <si>
    <t>1000 Stück Hühnereier (à 62,5 g)</t>
  </si>
  <si>
    <t>Eimasse (g/kg)</t>
  </si>
  <si>
    <t>GPS Wintergerste</t>
  </si>
  <si>
    <t>GPS Sommergerste</t>
  </si>
  <si>
    <t>GPS-SG</t>
  </si>
  <si>
    <t>GPS Triticale</t>
  </si>
  <si>
    <t>SI</t>
  </si>
  <si>
    <t>RWG</t>
  </si>
  <si>
    <t>Zwischenfrucht mit über 75 % Leg.</t>
  </si>
  <si>
    <t>GRL-1S</t>
  </si>
  <si>
    <r>
      <t>m</t>
    </r>
    <r>
      <rPr>
        <vertAlign val="superscript"/>
        <sz val="10"/>
        <color theme="1"/>
        <rFont val="Arial"/>
        <family val="2"/>
      </rPr>
      <t>3</t>
    </r>
  </si>
  <si>
    <r>
      <t>m</t>
    </r>
    <r>
      <rPr>
        <vertAlign val="superscript"/>
        <sz val="10"/>
        <color theme="1"/>
        <rFont val="Arial"/>
        <family val="2"/>
      </rPr>
      <t>3</t>
    </r>
    <r>
      <rPr>
        <sz val="10"/>
        <rFont val="Arial"/>
        <family val="2"/>
      </rPr>
      <t/>
    </r>
  </si>
  <si>
    <t>Mastbullengülle</t>
  </si>
  <si>
    <r>
      <t xml:space="preserve">Rindermist, </t>
    </r>
    <r>
      <rPr>
        <sz val="10"/>
        <color rgb="FF0070C0"/>
        <rFont val="Arial"/>
        <family val="2"/>
      </rPr>
      <t xml:space="preserve">geringe Einstreu </t>
    </r>
  </si>
  <si>
    <r>
      <t>Rindermist,</t>
    </r>
    <r>
      <rPr>
        <sz val="10"/>
        <color rgb="FF0070C0"/>
        <rFont val="Arial"/>
        <family val="2"/>
      </rPr>
      <t xml:space="preserve"> hohe Einstreu </t>
    </r>
  </si>
  <si>
    <t xml:space="preserve">Mastschweinegülle, Standardfutter </t>
  </si>
  <si>
    <t>Mastschweinegülle, stark N-/P-red. Fütterung</t>
  </si>
  <si>
    <t>Zuchtsauengülle, Standardfutter</t>
  </si>
  <si>
    <t>Zuchtsauengülle, N-/P-red. Fütterung</t>
  </si>
  <si>
    <t>Zuchtsauengülle, stark N-/P-red. Fütterung</t>
  </si>
  <si>
    <t>Schweinemist, geringe Einstreu</t>
  </si>
  <si>
    <t>Schweinemist, hohe Einstreu</t>
  </si>
  <si>
    <t>Hühnermist</t>
  </si>
  <si>
    <t>Hühnerkot</t>
  </si>
  <si>
    <t>Masthähnchenmist</t>
  </si>
  <si>
    <t>Pekingenten- und Gänsemist</t>
  </si>
  <si>
    <t>Schaf-, Lama-, Alpaka- und Ziegenmist</t>
  </si>
  <si>
    <t xml:space="preserve"> +++Rind, nur Zukauf+++</t>
  </si>
  <si>
    <t xml:space="preserve"> +++Geflügel, nur Zukauf+++</t>
  </si>
  <si>
    <t xml:space="preserve"> +++sonstige tierische Herkunft, nur Zukauf+++</t>
  </si>
  <si>
    <t>Silphie</t>
  </si>
  <si>
    <t>Futter</t>
  </si>
  <si>
    <t>Erntedatum in Basisdaten</t>
  </si>
  <si>
    <t>Erntedatum aus Basiszahlen</t>
  </si>
  <si>
    <t>1=ja, 2=nein, 3=keine Ernte möglich</t>
  </si>
  <si>
    <t xml:space="preserve"> +++Getreide+++</t>
  </si>
  <si>
    <t xml:space="preserve"> +++Körnermais, sonstige Körnernutzung+++</t>
  </si>
  <si>
    <t>Hirse</t>
  </si>
  <si>
    <t xml:space="preserve"> +++Gemüse+++</t>
  </si>
  <si>
    <t>Buschbohnen</t>
  </si>
  <si>
    <t>Gemüseerbsen</t>
  </si>
  <si>
    <t>Möhren, Bund-</t>
  </si>
  <si>
    <t>Möhren, Industrie-</t>
  </si>
  <si>
    <t>Möhren, Wasch-</t>
  </si>
  <si>
    <t>Zwiebel, Bund-</t>
  </si>
  <si>
    <t>Zwiebel, Trocken-</t>
  </si>
  <si>
    <t>Kartoffeleiweiß</t>
  </si>
  <si>
    <t>Hülse + Korn</t>
  </si>
  <si>
    <t>Wurzel</t>
  </si>
  <si>
    <t>Zwiebel mit Laub</t>
  </si>
  <si>
    <t xml:space="preserve">Zwiebel  </t>
  </si>
  <si>
    <t xml:space="preserve">Rindermist, geringe Einstreu </t>
  </si>
  <si>
    <t xml:space="preserve">Rindermist, hohe Einstreu </t>
  </si>
  <si>
    <t>sonst. Pflanzen mit Körnerernte</t>
  </si>
  <si>
    <t>sonst. Ganzpflanzenernte</t>
  </si>
  <si>
    <t>NH4-Anteil nach Korrektur Abbaurate</t>
  </si>
  <si>
    <t>anteil_nh4_an_nges</t>
  </si>
  <si>
    <r>
      <t>NH</t>
    </r>
    <r>
      <rPr>
        <b/>
        <vertAlign val="subscript"/>
        <sz val="10"/>
        <rFont val="Arial"/>
        <family val="2"/>
      </rPr>
      <t>4</t>
    </r>
    <r>
      <rPr>
        <b/>
        <sz val="10"/>
        <rFont val="Arial"/>
        <family val="2"/>
      </rPr>
      <t>-</t>
    </r>
  </si>
  <si>
    <t>Anteil in % an</t>
  </si>
  <si>
    <r>
      <t>N</t>
    </r>
    <r>
      <rPr>
        <b/>
        <vertAlign val="subscript"/>
        <sz val="10"/>
        <rFont val="Arial"/>
        <family val="2"/>
      </rPr>
      <t>gesamt???</t>
    </r>
  </si>
  <si>
    <t>Pferde</t>
  </si>
  <si>
    <t>Anzahl Legehennen</t>
  </si>
  <si>
    <t>Erlaubte Toleranz</t>
  </si>
  <si>
    <t>Ø Eier je Tier und Jahr</t>
  </si>
  <si>
    <t>Anzahl Eier je Tier und Jahr</t>
  </si>
  <si>
    <t>min Eier</t>
  </si>
  <si>
    <t>max Eier</t>
  </si>
  <si>
    <t>Eier/Jahr in Tsd</t>
  </si>
  <si>
    <t>Menge je Tier und Jahr</t>
  </si>
  <si>
    <t>Anzahl Schafe</t>
  </si>
  <si>
    <t xml:space="preserve"> Wolle je Tier und Jahr (kg)</t>
  </si>
  <si>
    <t>Wolle/Jahr in Tsd</t>
  </si>
  <si>
    <t>min Wolle</t>
  </si>
  <si>
    <t>max Wolle</t>
  </si>
  <si>
    <t>Leistung (Fleisch)</t>
  </si>
  <si>
    <t>Eingabe</t>
  </si>
  <si>
    <t>Leistung plausibel? 1=ja, 2=nein</t>
  </si>
  <si>
    <t>Leistung gesamt</t>
  </si>
  <si>
    <t>Bestand in TM</t>
  </si>
  <si>
    <t>Einsatz in TM</t>
  </si>
  <si>
    <t xml:space="preserve"> gültig bis 31.12.2021 (Stand: 08.06.2021)</t>
  </si>
  <si>
    <t xml:space="preserve"> kg/t Frischmasse</t>
  </si>
  <si>
    <t>TS Bestand</t>
  </si>
  <si>
    <r>
      <t xml:space="preserve">Menge </t>
    </r>
    <r>
      <rPr>
        <sz val="9"/>
        <rFont val="Arial"/>
        <family val="2"/>
      </rPr>
      <t>gesamt</t>
    </r>
    <r>
      <rPr>
        <sz val="10"/>
        <rFont val="Arial"/>
        <family val="2"/>
      </rPr>
      <t xml:space="preserve">
in t</t>
    </r>
  </si>
  <si>
    <t>Hier können eigene Notizen gemacht werden:</t>
  </si>
  <si>
    <t xml:space="preserve">Zuchtsauen mit 25 Ferkel bis 8 kg, N-/P-reduziert </t>
  </si>
  <si>
    <t>Mastschweine (750 g TZ), stark N-/P-reduziert*</t>
  </si>
  <si>
    <t>Mastschweine (850 g TZ), stark N-/P-reduziert*</t>
  </si>
  <si>
    <t>Hinweis über Beleg</t>
  </si>
  <si>
    <t>Fütterung notwendig</t>
  </si>
  <si>
    <t>Beleg Fütterung</t>
  </si>
  <si>
    <t>Notwendig</t>
  </si>
  <si>
    <t xml:space="preserve"> +++Schwein, nur Zukauf+++</t>
  </si>
  <si>
    <t xml:space="preserve"> +++Weitere Einsatzstoffe+++</t>
  </si>
  <si>
    <t>sonst. Biogaseinsatzstoff</t>
  </si>
  <si>
    <t>Tierhaltung</t>
  </si>
  <si>
    <t xml:space="preserve">Berechnete Werte </t>
  </si>
  <si>
    <t>#erntebeginn_opti</t>
  </si>
  <si>
    <t>#ernteende_opti</t>
  </si>
  <si>
    <t>erntemonat</t>
  </si>
  <si>
    <t>Lebendgew.</t>
  </si>
  <si>
    <t>Schlachtgew.</t>
  </si>
  <si>
    <t>Lebend/Schlachtgewicht</t>
  </si>
  <si>
    <t>kg je Einheit</t>
  </si>
  <si>
    <t>zuwachs_kg_mitt_jahresbest</t>
  </si>
  <si>
    <t>Zuwachs</t>
  </si>
  <si>
    <t>in kg</t>
  </si>
  <si>
    <t>je  mittleren</t>
  </si>
  <si>
    <t>Jahresbestand</t>
  </si>
  <si>
    <t>Hinweis Basisdaten</t>
  </si>
  <si>
    <t xml:space="preserve">Tiere: </t>
  </si>
  <si>
    <t>Zuwachs_kg_mitt_jahresbest aus Daten 2022 (neu)</t>
  </si>
  <si>
    <t>Lämmer: Nährstoffgehalt in kg/dt Lebendgewicht von Schafe übernommen</t>
  </si>
  <si>
    <t>Einstreumenge in kg und Tag je mittl. Jahresbestand bei Geflügel und sonstigen Tieren von hoch auch auf gering und mittel kopiert</t>
  </si>
  <si>
    <t>Einstreumenge in kg je GV und Tag bei Geflügel und sonstigen Tieren berechnet aus Einstreumenge in kg und Tag / GV</t>
  </si>
  <si>
    <t>Junghennen und Putenhähne: Gülleanfall und TM Gülle auslöschen</t>
  </si>
  <si>
    <t>t N Rumpftoleranz</t>
  </si>
  <si>
    <t>verwendete Werte</t>
  </si>
  <si>
    <t xml:space="preserve">Grenzen der WDüngV werden eingehalten: </t>
  </si>
  <si>
    <r>
      <t>Abweichend von den automatisch verwendeten</t>
    </r>
    <r>
      <rPr>
        <b/>
        <sz val="10"/>
        <rFont val="Arial"/>
        <family val="2"/>
      </rPr>
      <t xml:space="preserve"> Landkreis</t>
    </r>
    <r>
      <rPr>
        <sz val="10"/>
        <rFont val="Arial"/>
        <family val="2"/>
      </rPr>
      <t>niederschlägen kann auch der mittlere Jahresniederschlag der</t>
    </r>
    <r>
      <rPr>
        <b/>
        <sz val="10"/>
        <rFont val="Arial"/>
        <family val="2"/>
      </rPr>
      <t xml:space="preserve"> Gemarkung</t>
    </r>
    <r>
      <rPr>
        <sz val="10"/>
        <rFont val="Arial"/>
        <family val="2"/>
      </rPr>
      <t xml:space="preserve"> verwendet werden, in der die Lagerbehälter der Wirtschaftsdünger liegen. Dieser kann hier nachgeschlagen werden und als Korrektur in der Zelle B13 im Tabellenblatt "Berechnung Nährstoffe und Lager" eingegeben werden.</t>
    </r>
  </si>
  <si>
    <t>kg N im Betrieb</t>
  </si>
  <si>
    <t>Zukauf/Verkauf</t>
  </si>
  <si>
    <t>in 1000 Stück</t>
  </si>
  <si>
    <t>Datenerfassung</t>
  </si>
  <si>
    <t>Ergebnis Lagerhaltung tabellarisch (Menge und Nährstoffe)</t>
  </si>
  <si>
    <t>Ergebnisse in Grafiken</t>
  </si>
  <si>
    <t>Ernte-monat(e)</t>
  </si>
  <si>
    <t>von</t>
  </si>
  <si>
    <t>Summe P (t)</t>
  </si>
  <si>
    <t>t P im Jahr</t>
  </si>
  <si>
    <t>t P je Monat</t>
  </si>
  <si>
    <t>Bestand 1.1.</t>
  </si>
  <si>
    <t>Monat(e)</t>
  </si>
  <si>
    <t>WW-E</t>
  </si>
  <si>
    <t>SG-BR</t>
  </si>
  <si>
    <t>DU</t>
  </si>
  <si>
    <t>AB</t>
  </si>
  <si>
    <t xml:space="preserve">ER </t>
  </si>
  <si>
    <t>LUP</t>
  </si>
  <si>
    <t>SJ</t>
  </si>
  <si>
    <t xml:space="preserve">WRA </t>
  </si>
  <si>
    <t xml:space="preserve">SB </t>
  </si>
  <si>
    <t>LN</t>
  </si>
  <si>
    <t>LKS</t>
  </si>
  <si>
    <t>Name Kartoffel, Silphie ohne Zusatz in Klammern</t>
  </si>
  <si>
    <t>Zwischenfrucht 0 - 25 % Leg.</t>
  </si>
  <si>
    <t>Zwischenfrucht 25 - 75 % Leg.</t>
  </si>
  <si>
    <t>Zwischenfrucht über 75 % Leg.</t>
  </si>
  <si>
    <t>Zusätzliche sonstige Auswahlmöglichkeiten</t>
  </si>
  <si>
    <t>m3</t>
  </si>
  <si>
    <t xml:space="preserve"> +++Getreide/Körnermais+++</t>
  </si>
  <si>
    <t xml:space="preserve">Index Kultur </t>
  </si>
  <si>
    <t>Kultur lange Liste</t>
  </si>
  <si>
    <t>Index Auswahl korrigiert</t>
  </si>
  <si>
    <t>Index Auswahl korr.</t>
  </si>
  <si>
    <t>Verkauf= wahr</t>
  </si>
  <si>
    <t>Liste Lang (inkl. Sonstige)</t>
  </si>
  <si>
    <t>Zukauf je Monat N</t>
  </si>
  <si>
    <t>Zukauf je Monat P</t>
  </si>
  <si>
    <t>Produktion je Monat N</t>
  </si>
  <si>
    <t>Produktion je Monat P</t>
  </si>
  <si>
    <t>Lager: Anfangsbestand + Zukauf + Ernte - Einsatz Biogas - Fütterung Tiere          N</t>
  </si>
  <si>
    <t>Lager: Anfangsbestand + Zukauf + Ernte - Einsatz Biogas - Fütterung Tiere          P</t>
  </si>
  <si>
    <t>t im Jahr ohne Abzug Tiere</t>
  </si>
  <si>
    <t>Summe mögliche Futtermittel N</t>
  </si>
  <si>
    <t>Einsatz Biogas (t )</t>
  </si>
  <si>
    <r>
      <t>P</t>
    </r>
    <r>
      <rPr>
        <vertAlign val="subscript"/>
        <sz val="10"/>
        <rFont val="Arial"/>
        <family val="2"/>
      </rPr>
      <t>2</t>
    </r>
    <r>
      <rPr>
        <sz val="10"/>
        <rFont val="Arial"/>
        <family val="2"/>
      </rPr>
      <t>O</t>
    </r>
    <r>
      <rPr>
        <vertAlign val="subscript"/>
        <sz val="10"/>
        <rFont val="Arial"/>
        <family val="2"/>
      </rPr>
      <t>5</t>
    </r>
    <r>
      <rPr>
        <sz val="10"/>
        <rFont val="Arial"/>
        <family val="2"/>
      </rPr>
      <t xml:space="preserve"> in t</t>
    </r>
  </si>
  <si>
    <t>t P</t>
  </si>
  <si>
    <t xml:space="preserve"> +++Summe Grobfutter - N+++ </t>
  </si>
  <si>
    <t xml:space="preserve"> +++                       - P2O5 +++</t>
  </si>
  <si>
    <t>kg P je Jahresbest</t>
  </si>
  <si>
    <t>kg P</t>
  </si>
  <si>
    <t>Leistung (Fleisch) in t N</t>
  </si>
  <si>
    <t>Eingabe P</t>
  </si>
  <si>
    <t>Kraftfutterbedarf</t>
  </si>
  <si>
    <t>in kg N/Jahr</t>
  </si>
  <si>
    <t>kg P2O5/Jahr</t>
  </si>
  <si>
    <t xml:space="preserve">Bedarf Tiere t </t>
  </si>
  <si>
    <t>N/P</t>
  </si>
  <si>
    <t xml:space="preserve">Bedarf Tiere </t>
  </si>
  <si>
    <t>Kontrolle Nährstoffgehalte - Mengen im Lager</t>
  </si>
  <si>
    <t>Summe ohne Biogas und Tiere (t)</t>
  </si>
  <si>
    <t>Toleranz pflanzen;Nährstoffgehalte im Lager</t>
  </si>
  <si>
    <t>Toleranz Wdüng - Nährstoffgehalte im Lager</t>
  </si>
  <si>
    <t>Lagerbestand falsch</t>
  </si>
  <si>
    <t>Leistung + Ausscheidung</t>
  </si>
  <si>
    <t>grobfutter/gesamt N</t>
  </si>
  <si>
    <t>ggf. TS 
in %</t>
  </si>
  <si>
    <t>STRO-W1</t>
  </si>
  <si>
    <t>STRO-G1</t>
  </si>
  <si>
    <t>Ernteprodukt_art</t>
  </si>
  <si>
    <t>Gerstenstroh, Weizenstroh und Körnermaisstroh: futtermittel_art auf 0 ändern = Biogaseinsatzstoff, kein Grobfutter.</t>
  </si>
  <si>
    <t xml:space="preserve"> +++Summe Kraftfutter - N+++</t>
  </si>
  <si>
    <t>Gasertrag Körnermaisstroh:</t>
  </si>
  <si>
    <t xml:space="preserve">Körnermaisstroh wurde der Gasertrag aus dem Batchtest angesetzt. Bei Silomais wurde der Gasertrag nach Strobl angesetzt. 
In Zukunft (Programm 2022) sollten die von den Batchtest Gaserträgen 90 % angesetzt werden (bei allen Kulturen wo Ergebnisse vorliegen)Vorschlag Lichti am 02.11.2021. 
Deshalb ist bei Körnermaisstroh ein höherer Gasertrag als bei Silomais. </t>
  </si>
  <si>
    <t>Basisdaten Gaserträge: Gerundet ohne Nachkommastelle - Unterschied zu letztem Jahr mit 1 Nachkommastelle.</t>
  </si>
  <si>
    <r>
      <t xml:space="preserve">Ernteprodukte, Einsatzstoffe Biogas, Futtermittel
</t>
    </r>
    <r>
      <rPr>
        <sz val="8"/>
        <rFont val="Arial"/>
        <family val="2"/>
      </rPr>
      <t>nach Basisdaten</t>
    </r>
  </si>
  <si>
    <r>
      <t xml:space="preserve">Ernteprodukte, Einsatzstoffe Biogas, Futtermittel
</t>
    </r>
    <r>
      <rPr>
        <sz val="8"/>
        <rFont val="Arial"/>
        <family val="2"/>
      </rPr>
      <t>eigene Daten</t>
    </r>
  </si>
  <si>
    <t>Zukauf sonstiges Kraftfutter Tiere</t>
  </si>
  <si>
    <t>sonstiges Kraftfutter</t>
  </si>
  <si>
    <t>Gas-</t>
  </si>
  <si>
    <t>ausbeute</t>
  </si>
  <si>
    <t>Tier- körper</t>
  </si>
  <si>
    <t>Futterration Tiere</t>
  </si>
  <si>
    <t>Nährstoff in t</t>
  </si>
  <si>
    <t xml:space="preserve">     - - -  Futtermenge in t   - - -</t>
  </si>
  <si>
    <t>Tatsäch-lich</t>
  </si>
  <si>
    <t xml:space="preserve">   Davon (geerntete) Zwischen- und Zweitfrüchte in ha</t>
  </si>
  <si>
    <t>Zelle H338: Summe der Menge (Abgang und Aufbringung) von Gärrest</t>
  </si>
  <si>
    <t>nicht sichtbar, da Schrift in weiß</t>
  </si>
  <si>
    <t>Zelle J 338: Menge N über Gärrest ausgebracht/verkauft</t>
  </si>
  <si>
    <t>K338: Menge P2O5 über Gärrest ausgebracht/verkauft</t>
  </si>
  <si>
    <t>M338: Menge K2O über Gärrest ausgebracht/verkauft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</si>
</sst>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 _€_-;\-* #,##0.00\ _€_-;_-* &quot;-&quot;??\ _€_-;_-@_-"/>
    <numFmt numFmtId="165" formatCode="0.0000"/>
    <numFmt numFmtId="166" formatCode="0.000"/>
    <numFmt numFmtId="167" formatCode="0.0"/>
    <numFmt numFmtId="168" formatCode="0.0%"/>
    <numFmt numFmtId="169" formatCode="0.000000000"/>
    <numFmt numFmtId="170" formatCode="0.000000"/>
    <numFmt numFmtId="171" formatCode="_-* #,##0.0\ _€_-;\-* #,##0.0\ _€_-;_-* &quot;-&quot;??\ _€_-;_-@_-"/>
  </numFmts>
  <fonts count="117" x14ac:knownFonts="1">
    <font>
      <sz val="10"/>
      <name val="Arial"/>
    </font>
    <font>
      <sz val="10"/>
      <name val="Arial"/>
      <family val="2"/>
    </font>
    <font>
      <b/>
      <sz val="10"/>
      <name val="Arial"/>
      <family val="2"/>
    </font>
    <font>
      <b/>
      <sz val="16"/>
      <name val="Arial"/>
      <family val="2"/>
    </font>
    <font>
      <b/>
      <sz val="12"/>
      <name val="Arial"/>
      <family val="2"/>
    </font>
    <font>
      <sz val="8"/>
      <name val="Arial"/>
      <family val="2"/>
    </font>
    <font>
      <b/>
      <sz val="10"/>
      <color indexed="8"/>
      <name val="Arial"/>
      <family val="2"/>
    </font>
    <font>
      <sz val="10"/>
      <color indexed="8"/>
      <name val="Arial"/>
      <family val="2"/>
    </font>
    <font>
      <b/>
      <vertAlign val="superscript"/>
      <sz val="10"/>
      <name val="Arial"/>
      <family val="2"/>
    </font>
    <font>
      <sz val="10"/>
      <name val="Arial"/>
      <family val="2"/>
    </font>
    <font>
      <sz val="10"/>
      <color indexed="10"/>
      <name val="Arial"/>
      <family val="2"/>
    </font>
    <font>
      <sz val="10"/>
      <color indexed="81"/>
      <name val="Tahoma"/>
      <family val="2"/>
    </font>
    <font>
      <sz val="9"/>
      <name val="Arial"/>
      <family val="2"/>
    </font>
    <font>
      <b/>
      <sz val="11"/>
      <name val="Arial"/>
      <family val="2"/>
    </font>
    <font>
      <sz val="12"/>
      <name val="Arial"/>
      <family val="2"/>
    </font>
    <font>
      <sz val="9"/>
      <color indexed="81"/>
      <name val="Tahoma"/>
      <family val="2"/>
    </font>
    <font>
      <b/>
      <i/>
      <sz val="10"/>
      <name val="Arial"/>
      <family val="2"/>
    </font>
    <font>
      <b/>
      <sz val="9"/>
      <name val="Arial"/>
      <family val="2"/>
    </font>
    <font>
      <sz val="10"/>
      <name val="MS Sans Serif"/>
      <family val="2"/>
    </font>
    <font>
      <sz val="10"/>
      <name val="Calibri"/>
      <family val="2"/>
    </font>
    <font>
      <b/>
      <vertAlign val="subscript"/>
      <sz val="10"/>
      <color indexed="8"/>
      <name val="Arial"/>
      <family val="2"/>
    </font>
    <font>
      <vertAlign val="superscript"/>
      <sz val="10"/>
      <color indexed="8"/>
      <name val="Arial"/>
      <family val="2"/>
    </font>
    <font>
      <b/>
      <sz val="9"/>
      <color indexed="81"/>
      <name val="Tahoma"/>
      <family val="2"/>
    </font>
    <font>
      <b/>
      <strike/>
      <sz val="10"/>
      <name val="Arial"/>
      <family val="2"/>
    </font>
    <font>
      <b/>
      <vertAlign val="subscript"/>
      <sz val="10"/>
      <name val="Arial"/>
      <family val="2"/>
    </font>
    <font>
      <b/>
      <sz val="14"/>
      <name val="Arial"/>
      <family val="2"/>
    </font>
    <font>
      <b/>
      <sz val="10"/>
      <color indexed="10"/>
      <name val="Arial"/>
      <family val="2"/>
    </font>
    <font>
      <sz val="11"/>
      <name val="Arial"/>
      <family val="2"/>
    </font>
    <font>
      <vertAlign val="subscript"/>
      <sz val="10"/>
      <name val="Arial"/>
      <family val="2"/>
    </font>
    <font>
      <vertAlign val="superscript"/>
      <sz val="10"/>
      <name val="Arial"/>
      <family val="2"/>
    </font>
    <font>
      <sz val="8"/>
      <color indexed="81"/>
      <name val="Tahoma"/>
      <family val="2"/>
    </font>
    <font>
      <vertAlign val="subscript"/>
      <sz val="11"/>
      <color indexed="8"/>
      <name val="Calibri"/>
      <family val="2"/>
    </font>
    <font>
      <b/>
      <sz val="10"/>
      <color indexed="17"/>
      <name val="Arial"/>
      <family val="2"/>
    </font>
    <font>
      <sz val="7"/>
      <name val="Arial"/>
      <family val="2"/>
    </font>
    <font>
      <b/>
      <u/>
      <sz val="9"/>
      <color indexed="81"/>
      <name val="Tahoma"/>
      <family val="2"/>
    </font>
    <font>
      <u/>
      <sz val="9"/>
      <color indexed="81"/>
      <name val="Tahoma"/>
      <family val="2"/>
    </font>
    <font>
      <sz val="10"/>
      <name val="Arial"/>
      <family val="2"/>
    </font>
    <font>
      <vertAlign val="subscript"/>
      <sz val="11"/>
      <name val="Arial"/>
      <family val="2"/>
    </font>
    <font>
      <b/>
      <sz val="11.5"/>
      <name val="Arial"/>
      <family val="2"/>
    </font>
    <font>
      <b/>
      <sz val="8"/>
      <name val="Arial"/>
      <family val="2"/>
    </font>
    <font>
      <b/>
      <vertAlign val="subscript"/>
      <sz val="12"/>
      <name val="Arial"/>
      <family val="2"/>
    </font>
    <font>
      <b/>
      <sz val="10"/>
      <color indexed="81"/>
      <name val="Tahoma"/>
      <family val="2"/>
    </font>
    <font>
      <b/>
      <vertAlign val="subscript"/>
      <sz val="11"/>
      <color indexed="8"/>
      <name val="Calibri"/>
      <family val="2"/>
    </font>
    <font>
      <u/>
      <sz val="10"/>
      <color indexed="81"/>
      <name val="Tahoma"/>
      <family val="2"/>
    </font>
    <font>
      <sz val="12"/>
      <color indexed="81"/>
      <name val="Tahoma"/>
      <family val="2"/>
    </font>
    <font>
      <sz val="10"/>
      <name val="Wingdings"/>
      <charset val="2"/>
    </font>
    <font>
      <b/>
      <sz val="12"/>
      <name val="Wingdings"/>
      <charset val="2"/>
    </font>
    <font>
      <b/>
      <sz val="18"/>
      <name val="Arial"/>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b/>
      <sz val="14"/>
      <color rgb="FF000000"/>
      <name val="Calibri"/>
      <family val="2"/>
    </font>
    <font>
      <sz val="14"/>
      <color rgb="FF000000"/>
      <name val="Calibri"/>
      <family val="2"/>
    </font>
    <font>
      <sz val="11"/>
      <color rgb="FF000000"/>
      <name val="Calibri"/>
      <family val="2"/>
    </font>
    <font>
      <b/>
      <sz val="12"/>
      <color rgb="FF000000"/>
      <name val="Calibri"/>
      <family val="2"/>
    </font>
    <font>
      <sz val="12"/>
      <color rgb="FF000000"/>
      <name val="Calibri"/>
      <family val="2"/>
    </font>
    <font>
      <b/>
      <sz val="10"/>
      <color rgb="FF000000"/>
      <name val="Calibri"/>
      <family val="2"/>
    </font>
    <font>
      <sz val="10"/>
      <color rgb="FF000000"/>
      <name val="Calibri"/>
      <family val="2"/>
    </font>
    <font>
      <b/>
      <sz val="10"/>
      <color theme="1"/>
      <name val="Arial"/>
      <family val="2"/>
    </font>
    <font>
      <sz val="10"/>
      <color theme="1"/>
      <name val="Arial"/>
      <family val="2"/>
    </font>
    <font>
      <sz val="10"/>
      <color rgb="FF0000FF"/>
      <name val="Arial"/>
      <family val="2"/>
    </font>
    <font>
      <b/>
      <sz val="12"/>
      <color rgb="FF00B0F0"/>
      <name val="Arial"/>
      <family val="2"/>
    </font>
    <font>
      <b/>
      <sz val="10"/>
      <color rgb="FFFF0000"/>
      <name val="Arial"/>
      <family val="2"/>
    </font>
    <font>
      <b/>
      <sz val="10"/>
      <color rgb="FF00B050"/>
      <name val="Arial"/>
      <family val="2"/>
    </font>
    <font>
      <i/>
      <sz val="9"/>
      <color theme="0" tint="-0.499984740745262"/>
      <name val="Arial"/>
      <family val="2"/>
    </font>
    <font>
      <sz val="10"/>
      <color theme="9" tint="-0.499984740745262"/>
      <name val="Arial"/>
      <family val="2"/>
    </font>
    <font>
      <sz val="10"/>
      <color theme="1" tint="0.499984740745262"/>
      <name val="Arial"/>
      <family val="2"/>
    </font>
    <font>
      <sz val="10"/>
      <color rgb="FFFF0000"/>
      <name val="Arial"/>
      <family val="2"/>
    </font>
    <font>
      <b/>
      <sz val="12"/>
      <color rgb="FFFF0000"/>
      <name val="Arial"/>
      <family val="2"/>
    </font>
    <font>
      <sz val="10"/>
      <color theme="1"/>
      <name val="Calibri"/>
      <family val="2"/>
      <scheme val="minor"/>
    </font>
    <font>
      <sz val="10"/>
      <color rgb="FF0070C0"/>
      <name val="Arial"/>
      <family val="2"/>
    </font>
    <font>
      <b/>
      <sz val="12"/>
      <color theme="1"/>
      <name val="Arial"/>
      <family val="2"/>
    </font>
    <font>
      <sz val="11"/>
      <color theme="1"/>
      <name val="Arial"/>
      <family val="2"/>
    </font>
    <font>
      <b/>
      <sz val="11"/>
      <color rgb="FFFF0000"/>
      <name val="Arial"/>
      <family val="2"/>
    </font>
    <font>
      <sz val="10"/>
      <color rgb="FF00B050"/>
      <name val="Arial"/>
      <family val="2"/>
    </font>
    <font>
      <b/>
      <sz val="8"/>
      <color rgb="FFFF0000"/>
      <name val="Arial"/>
      <family val="2"/>
    </font>
    <font>
      <b/>
      <i/>
      <sz val="11"/>
      <name val="Arial"/>
      <family val="2"/>
    </font>
    <font>
      <b/>
      <sz val="9"/>
      <color indexed="81"/>
      <name val="Segoe UI"/>
      <family val="2"/>
    </font>
    <font>
      <vertAlign val="subscript"/>
      <sz val="8"/>
      <name val="Arial"/>
      <family val="2"/>
    </font>
    <font>
      <sz val="10"/>
      <color theme="0" tint="-0.499984740745262"/>
      <name val="Arial"/>
      <family val="2"/>
    </font>
    <font>
      <sz val="9"/>
      <color indexed="81"/>
      <name val="Segoe UI"/>
      <family val="2"/>
    </font>
    <font>
      <vertAlign val="subscript"/>
      <sz val="11"/>
      <color indexed="8"/>
      <name val="Arial"/>
      <family val="2"/>
    </font>
    <font>
      <sz val="10"/>
      <color indexed="60"/>
      <name val="Arial"/>
      <family val="2"/>
    </font>
    <font>
      <sz val="11"/>
      <name val="Calibri"/>
      <family val="2"/>
    </font>
    <font>
      <i/>
      <sz val="10"/>
      <color theme="1"/>
      <name val="Arial"/>
      <family val="2"/>
    </font>
    <font>
      <sz val="10"/>
      <color theme="1"/>
      <name val="Arial"/>
      <family val="2"/>
    </font>
    <font>
      <sz val="10"/>
      <name val="Arial"/>
      <family val="2"/>
    </font>
    <font>
      <sz val="11"/>
      <name val="Calibri"/>
      <family val="2"/>
      <scheme val="minor"/>
    </font>
    <font>
      <b/>
      <vertAlign val="superscript"/>
      <sz val="10"/>
      <color rgb="FF000000"/>
      <name val="Arial"/>
      <family val="2"/>
    </font>
    <font>
      <b/>
      <vertAlign val="superscript"/>
      <sz val="10"/>
      <color indexed="8"/>
      <name val="Arial"/>
      <family val="2"/>
    </font>
    <font>
      <b/>
      <sz val="10"/>
      <color rgb="FF000000"/>
      <name val="Arial"/>
      <family val="2"/>
    </font>
    <font>
      <sz val="8"/>
      <color indexed="8"/>
      <name val="Arial"/>
      <family val="2"/>
    </font>
    <font>
      <sz val="8"/>
      <color theme="0" tint="-0.34998626667073579"/>
      <name val="Arial"/>
      <family val="2"/>
    </font>
    <font>
      <b/>
      <sz val="9"/>
      <color indexed="8"/>
      <name val="Arial"/>
      <family val="2"/>
    </font>
    <font>
      <sz val="8"/>
      <color theme="1"/>
      <name val="Arial"/>
      <family val="2"/>
    </font>
    <font>
      <b/>
      <vertAlign val="subscript"/>
      <sz val="10"/>
      <color theme="1"/>
      <name val="Arial"/>
      <family val="2"/>
    </font>
    <font>
      <sz val="10"/>
      <color theme="0" tint="-0.34998626667073579"/>
      <name val="Arial"/>
      <family val="2"/>
    </font>
    <font>
      <b/>
      <sz val="10"/>
      <color rgb="FF0070C0"/>
      <name val="Arial"/>
      <family val="2"/>
    </font>
    <font>
      <vertAlign val="superscript"/>
      <sz val="10"/>
      <color theme="1"/>
      <name val="Arial"/>
      <family val="2"/>
    </font>
    <font>
      <u/>
      <sz val="10"/>
      <color theme="10"/>
      <name val="Arial"/>
      <family val="2"/>
    </font>
    <font>
      <sz val="10"/>
      <color rgb="FF000000"/>
      <name val="Arial"/>
      <family val="2"/>
    </font>
    <font>
      <b/>
      <sz val="9"/>
      <color rgb="FFFF0000"/>
      <name val="Arial"/>
      <family val="2"/>
    </font>
    <font>
      <sz val="10"/>
      <color theme="0"/>
      <name val="Arial"/>
      <family val="2"/>
    </font>
  </fonts>
  <fills count="72">
    <fill>
      <patternFill patternType="none"/>
    </fill>
    <fill>
      <patternFill patternType="gray125"/>
    </fill>
    <fill>
      <patternFill patternType="solid">
        <fgColor indexed="43"/>
        <bgColor indexed="64"/>
      </patternFill>
    </fill>
    <fill>
      <patternFill patternType="darkDown"/>
    </fill>
    <fill>
      <patternFill patternType="lightUp"/>
    </fill>
    <fill>
      <patternFill patternType="lightDown"/>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
      <patternFill patternType="solid">
        <fgColor rgb="FFA5A5A5"/>
      </patternFill>
    </fill>
    <fill>
      <patternFill patternType="solid">
        <fgColor rgb="FFFFFF00"/>
        <bgColor rgb="FF000000"/>
      </patternFill>
    </fill>
    <fill>
      <patternFill patternType="solid">
        <fgColor rgb="FF66FF66"/>
        <bgColor rgb="FF000000"/>
      </patternFill>
    </fill>
    <fill>
      <patternFill patternType="solid">
        <fgColor rgb="FFCCFFCC"/>
        <bgColor rgb="FF000000"/>
      </patternFill>
    </fill>
    <fill>
      <patternFill patternType="solid">
        <fgColor rgb="FFFFFF99"/>
        <bgColor rgb="FF000000"/>
      </patternFill>
    </fill>
    <fill>
      <patternFill patternType="lightGray">
        <fgColor rgb="FF000000"/>
        <bgColor rgb="FFFFFF99"/>
      </patternFill>
    </fill>
    <fill>
      <patternFill patternType="solid">
        <fgColor theme="0"/>
        <bgColor indexed="64"/>
      </patternFill>
    </fill>
    <fill>
      <patternFill patternType="solid">
        <fgColor rgb="FF00CC66"/>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rgb="FF00B050"/>
        <bgColor indexed="64"/>
      </patternFill>
    </fill>
    <fill>
      <patternFill patternType="solid">
        <fgColor theme="9"/>
        <bgColor indexed="64"/>
      </patternFill>
    </fill>
    <fill>
      <patternFill patternType="lightDown">
        <bgColor theme="0" tint="-0.14999847407452621"/>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2" tint="-0.499984740745262"/>
        <bgColor indexed="64"/>
      </patternFill>
    </fill>
    <fill>
      <patternFill patternType="solid">
        <fgColor indexed="13"/>
        <bgColor indexed="64"/>
      </patternFill>
    </fill>
    <fill>
      <patternFill patternType="lightDown">
        <bgColor rgb="FFFFFF00"/>
      </patternFill>
    </fill>
    <fill>
      <patternFill patternType="solid">
        <fgColor theme="9" tint="0.59999389629810485"/>
        <bgColor indexed="64"/>
      </patternFill>
    </fill>
    <fill>
      <patternFill patternType="lightDown">
        <bgColor rgb="FF00B0F0"/>
      </patternFill>
    </fill>
    <fill>
      <patternFill patternType="solid">
        <fgColor theme="8" tint="0.79998168889431442"/>
        <bgColor indexed="64"/>
      </patternFill>
    </fill>
    <fill>
      <patternFill patternType="lightDown">
        <bgColor theme="8" tint="0.79995117038483843"/>
      </patternFill>
    </fill>
    <fill>
      <patternFill patternType="lightDown">
        <bgColor rgb="FFF8F896"/>
      </patternFill>
    </fill>
    <fill>
      <patternFill patternType="solid">
        <fgColor rgb="FFF8F896"/>
        <bgColor indexed="64"/>
      </patternFill>
    </fill>
    <fill>
      <patternFill patternType="solid">
        <fgColor rgb="FF00FF00"/>
        <bgColor indexed="64"/>
      </patternFill>
    </fill>
    <fill>
      <patternFill patternType="solid">
        <fgColor theme="0" tint="-0.249977111117893"/>
        <bgColor indexed="64"/>
      </patternFill>
    </fill>
    <fill>
      <patternFill patternType="solid">
        <fgColor theme="6"/>
        <bgColor indexed="64"/>
      </patternFill>
    </fill>
    <fill>
      <patternFill patternType="solid">
        <fgColor rgb="FFC00000"/>
        <bgColor indexed="64"/>
      </patternFill>
    </fill>
  </fills>
  <borders count="29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ashed">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style="dashed">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hair">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dashed">
        <color indexed="64"/>
      </right>
      <top/>
      <bottom/>
      <diagonal/>
    </border>
    <border>
      <left/>
      <right style="dashed">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medium">
        <color indexed="64"/>
      </left>
      <right style="dotted">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thin">
        <color indexed="64"/>
      </left>
      <right style="dotted">
        <color indexed="64"/>
      </right>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dashed">
        <color indexed="64"/>
      </right>
      <top/>
      <bottom style="dotted">
        <color indexed="64"/>
      </bottom>
      <diagonal/>
    </border>
    <border>
      <left style="dotted">
        <color indexed="64"/>
      </left>
      <right style="dash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ashed">
        <color indexed="64"/>
      </right>
      <top style="dotted">
        <color indexed="64"/>
      </top>
      <bottom style="thin">
        <color indexed="64"/>
      </bottom>
      <diagonal/>
    </border>
    <border>
      <left style="dotted">
        <color indexed="64"/>
      </left>
      <right style="medium">
        <color indexed="64"/>
      </right>
      <top/>
      <bottom style="dotted">
        <color indexed="64"/>
      </bottom>
      <diagonal/>
    </border>
    <border>
      <left style="dotted">
        <color indexed="64"/>
      </left>
      <right style="medium">
        <color indexed="64"/>
      </right>
      <top style="dotted">
        <color indexed="64"/>
      </top>
      <bottom style="thin">
        <color indexed="64"/>
      </bottom>
      <diagonal/>
    </border>
    <border>
      <left style="dotted">
        <color indexed="64"/>
      </left>
      <right/>
      <top style="dotted">
        <color indexed="64"/>
      </top>
      <bottom style="dotted">
        <color indexed="64"/>
      </bottom>
      <diagonal/>
    </border>
    <border>
      <left style="medium">
        <color indexed="64"/>
      </left>
      <right style="medium">
        <color indexed="64"/>
      </right>
      <top style="medium">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dotted">
        <color indexed="64"/>
      </left>
      <right/>
      <top/>
      <bottom style="dotted">
        <color indexed="64"/>
      </bottom>
      <diagonal/>
    </border>
    <border>
      <left/>
      <right/>
      <top style="thin">
        <color indexed="64"/>
      </top>
      <bottom style="thin">
        <color indexed="64"/>
      </bottom>
      <diagonal/>
    </border>
    <border>
      <left style="thin">
        <color indexed="64"/>
      </left>
      <right style="dashed">
        <color indexed="64"/>
      </right>
      <top/>
      <bottom style="medium">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medium">
        <color indexed="64"/>
      </top>
      <bottom/>
      <diagonal/>
    </border>
    <border>
      <left style="thin">
        <color indexed="64"/>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style="medium">
        <color indexed="64"/>
      </right>
      <top style="dashed">
        <color indexed="64"/>
      </top>
      <bottom style="dashed">
        <color indexed="64"/>
      </bottom>
      <diagonal/>
    </border>
    <border>
      <left/>
      <right style="medium">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indexed="64"/>
      </left>
      <right/>
      <top style="thin">
        <color indexed="64"/>
      </top>
      <bottom style="thin">
        <color indexed="64"/>
      </bottom>
      <diagonal/>
    </border>
    <border>
      <left style="thin">
        <color indexed="64"/>
      </left>
      <right style="dotted">
        <color indexed="64"/>
      </right>
      <top style="medium">
        <color indexed="64"/>
      </top>
      <bottom style="dashed">
        <color indexed="64"/>
      </bottom>
      <diagonal/>
    </border>
    <border>
      <left style="dotted">
        <color indexed="64"/>
      </left>
      <right style="medium">
        <color indexed="64"/>
      </right>
      <top style="medium">
        <color indexed="64"/>
      </top>
      <bottom style="dashed">
        <color indexed="64"/>
      </bottom>
      <diagonal/>
    </border>
    <border>
      <left style="thin">
        <color indexed="64"/>
      </left>
      <right style="dotted">
        <color indexed="64"/>
      </right>
      <top style="dashed">
        <color indexed="64"/>
      </top>
      <bottom style="dashed">
        <color indexed="64"/>
      </bottom>
      <diagonal/>
    </border>
    <border>
      <left style="dott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thin">
        <color indexed="64"/>
      </left>
      <right style="dashed">
        <color indexed="64"/>
      </right>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thin">
        <color indexed="64"/>
      </top>
      <bottom style="medium">
        <color indexed="64"/>
      </bottom>
      <diagonal/>
    </border>
    <border>
      <left style="medium">
        <color indexed="64"/>
      </left>
      <right/>
      <top style="dotted">
        <color indexed="64"/>
      </top>
      <bottom style="medium">
        <color indexed="64"/>
      </bottom>
      <diagonal/>
    </border>
    <border>
      <left style="thin">
        <color indexed="64"/>
      </left>
      <right style="thin">
        <color indexed="64"/>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medium">
        <color indexed="64"/>
      </right>
      <top style="thin">
        <color indexed="64"/>
      </top>
      <bottom style="dashed">
        <color indexed="64"/>
      </bottom>
      <diagonal/>
    </border>
    <border>
      <left style="thin">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dashed">
        <color indexed="64"/>
      </top>
      <bottom/>
      <diagonal/>
    </border>
    <border>
      <left/>
      <right style="medium">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thin">
        <color indexed="64"/>
      </top>
      <bottom style="dashed">
        <color indexed="64"/>
      </bottom>
      <diagonal/>
    </border>
    <border>
      <left/>
      <right style="thin">
        <color indexed="64"/>
      </right>
      <top style="dashed">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dashed">
        <color indexed="64"/>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diagonal/>
    </border>
    <border>
      <left style="medium">
        <color theme="0" tint="-0.499984740745262"/>
      </left>
      <right style="medium">
        <color theme="0" tint="-0.499984740745262"/>
      </right>
      <top/>
      <bottom style="medium">
        <color theme="0" tint="-0.499984740745262"/>
      </bottom>
      <diagonal/>
    </border>
    <border>
      <left/>
      <right/>
      <top style="thin">
        <color theme="0" tint="-0.499984740745262"/>
      </top>
      <bottom/>
      <diagonal/>
    </border>
    <border>
      <left style="medium">
        <color theme="0" tint="-0.499984740745262"/>
      </left>
      <right style="medium">
        <color theme="0" tint="-0.499984740745262"/>
      </right>
      <top style="thin">
        <color theme="0" tint="-0.499984740745262"/>
      </top>
      <bottom/>
      <diagonal/>
    </border>
    <border>
      <left style="medium">
        <color theme="0" tint="-0.499984740745262"/>
      </left>
      <right style="medium">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style="medium">
        <color theme="0" tint="-0.499984740745262"/>
      </left>
      <right/>
      <top/>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top style="thin">
        <color theme="0" tint="-0.499984740745262"/>
      </top>
      <bottom/>
      <diagonal/>
    </border>
    <border>
      <left/>
      <right/>
      <top/>
      <bottom style="medium">
        <color theme="0" tint="-0.499984740745262"/>
      </bottom>
      <diagonal/>
    </border>
    <border>
      <left/>
      <right style="medium">
        <color theme="0" tint="-0.499984740745262"/>
      </right>
      <top/>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medium">
        <color theme="0" tint="-0.499984740745262"/>
      </bottom>
      <diagonal/>
    </border>
    <border>
      <left/>
      <right/>
      <top/>
      <bottom style="thin">
        <color theme="0" tint="-0.499984740745262"/>
      </bottom>
      <diagonal/>
    </border>
    <border>
      <left/>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top style="medium">
        <color theme="0" tint="-0.499984740745262"/>
      </top>
      <bottom style="dotted">
        <color theme="0" tint="-0.499984740745262"/>
      </bottom>
      <diagonal/>
    </border>
    <border>
      <left/>
      <right/>
      <top style="medium">
        <color theme="0" tint="-0.499984740745262"/>
      </top>
      <bottom style="dotted">
        <color theme="0" tint="-0.499984740745262"/>
      </bottom>
      <diagonal/>
    </border>
    <border>
      <left/>
      <right style="medium">
        <color theme="0" tint="-0.499984740745262"/>
      </right>
      <top style="medium">
        <color theme="0" tint="-0.499984740745262"/>
      </top>
      <bottom style="dotted">
        <color theme="0" tint="-0.499984740745262"/>
      </bottom>
      <diagonal/>
    </border>
    <border>
      <left style="medium">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medium">
        <color theme="0" tint="-0.499984740745262"/>
      </right>
      <top style="dotted">
        <color theme="0" tint="-0.499984740745262"/>
      </top>
      <bottom style="dotted">
        <color theme="0" tint="-0.499984740745262"/>
      </bottom>
      <diagonal/>
    </border>
    <border>
      <left style="medium">
        <color theme="0" tint="-0.499984740745262"/>
      </left>
      <right/>
      <top style="dotted">
        <color theme="0" tint="-0.499984740745262"/>
      </top>
      <bottom style="medium">
        <color theme="0" tint="-0.499984740745262"/>
      </bottom>
      <diagonal/>
    </border>
    <border>
      <left/>
      <right/>
      <top style="dotted">
        <color theme="0" tint="-0.499984740745262"/>
      </top>
      <bottom style="medium">
        <color theme="0" tint="-0.499984740745262"/>
      </bottom>
      <diagonal/>
    </border>
    <border>
      <left/>
      <right style="medium">
        <color theme="0" tint="-0.499984740745262"/>
      </right>
      <top style="dotted">
        <color theme="0" tint="-0.499984740745262"/>
      </top>
      <bottom style="medium">
        <color theme="0" tint="-0.499984740745262"/>
      </bottom>
      <diagonal/>
    </border>
    <border>
      <left/>
      <right style="medium">
        <color theme="0" tint="-0.499984740745262"/>
      </right>
      <top style="medium">
        <color theme="0" tint="-0.499984740745262"/>
      </top>
      <bottom/>
      <diagonal/>
    </border>
    <border>
      <left/>
      <right style="medium">
        <color theme="0" tint="-0.499984740745262"/>
      </right>
      <top/>
      <bottom style="medium">
        <color theme="0" tint="-0.499984740745262"/>
      </bottom>
      <diagonal/>
    </border>
    <border>
      <left style="thin">
        <color theme="0" tint="-0.499984740745262"/>
      </left>
      <right/>
      <top/>
      <bottom/>
      <diagonal/>
    </border>
    <border>
      <left/>
      <right style="thin">
        <color theme="0" tint="-0.499984740745262"/>
      </right>
      <top/>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style="medium">
        <color theme="0" tint="-0.499984740745262"/>
      </top>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style="thick">
        <color theme="0" tint="-0.499984740745262"/>
      </left>
      <right/>
      <top style="thick">
        <color theme="0" tint="-0.499984740745262"/>
      </top>
      <bottom style="medium">
        <color theme="0" tint="-0.499984740745262"/>
      </bottom>
      <diagonal/>
    </border>
    <border>
      <left/>
      <right/>
      <top style="thick">
        <color theme="0" tint="-0.499984740745262"/>
      </top>
      <bottom style="medium">
        <color theme="0" tint="-0.499984740745262"/>
      </bottom>
      <diagonal/>
    </border>
    <border>
      <left/>
      <right style="medium">
        <color theme="0" tint="-0.499984740745262"/>
      </right>
      <top style="thick">
        <color theme="0" tint="-0.499984740745262"/>
      </top>
      <bottom style="medium">
        <color theme="0" tint="-0.499984740745262"/>
      </bottom>
      <diagonal/>
    </border>
    <border>
      <left style="thick">
        <color theme="0" tint="-0.499984740745262"/>
      </left>
      <right/>
      <top/>
      <bottom/>
      <diagonal/>
    </border>
    <border>
      <left style="thick">
        <color theme="0" tint="-0.499984740745262"/>
      </left>
      <right/>
      <top style="medium">
        <color theme="0" tint="-0.499984740745262"/>
      </top>
      <bottom style="medium">
        <color theme="0" tint="-0.499984740745262"/>
      </bottom>
      <diagonal/>
    </border>
    <border>
      <left/>
      <right style="thick">
        <color theme="0" tint="-0.499984740745262"/>
      </right>
      <top/>
      <bottom/>
      <diagonal/>
    </border>
    <border>
      <left style="thick">
        <color theme="0" tint="-0.499984740745262"/>
      </left>
      <right/>
      <top style="medium">
        <color theme="0" tint="-0.499984740745262"/>
      </top>
      <bottom style="thick">
        <color theme="0" tint="-0.499984740745262"/>
      </bottom>
      <diagonal/>
    </border>
    <border>
      <left/>
      <right/>
      <top style="medium">
        <color theme="0" tint="-0.499984740745262"/>
      </top>
      <bottom style="thick">
        <color theme="0" tint="-0.499984740745262"/>
      </bottom>
      <diagonal/>
    </border>
    <border>
      <left/>
      <right style="medium">
        <color theme="0" tint="-0.499984740745262"/>
      </right>
      <top style="medium">
        <color theme="0" tint="-0.499984740745262"/>
      </top>
      <bottom style="thick">
        <color theme="0" tint="-0.499984740745262"/>
      </bottom>
      <diagonal/>
    </border>
    <border>
      <left/>
      <right style="thin">
        <color theme="0" tint="-0.499984740745262"/>
      </right>
      <top style="thin">
        <color theme="0" tint="-0.499984740745262"/>
      </top>
      <bottom style="thin">
        <color theme="0" tint="-0.499984740745262"/>
      </bottom>
      <diagonal/>
    </border>
    <border>
      <left/>
      <right/>
      <top style="dotted">
        <color theme="0" tint="-0.499984740745262"/>
      </top>
      <bottom/>
      <diagonal/>
    </border>
    <border>
      <left/>
      <right style="medium">
        <color theme="0" tint="-0.499984740745262"/>
      </right>
      <top style="dotted">
        <color theme="0" tint="-0.499984740745262"/>
      </top>
      <bottom/>
      <diagonal/>
    </border>
    <border>
      <left style="medium">
        <color theme="0" tint="-0.499984740745262"/>
      </left>
      <right/>
      <top style="dotted">
        <color theme="0" tint="-0.499984740745262"/>
      </top>
      <bottom/>
      <diagonal/>
    </border>
    <border>
      <left style="thin">
        <color theme="0" tint="-0.499984740745262"/>
      </left>
      <right/>
      <top style="dotted">
        <color theme="0" tint="-0.499984740745262"/>
      </top>
      <bottom style="dotted">
        <color theme="0" tint="-0.499984740745262"/>
      </bottom>
      <diagonal/>
    </border>
    <border>
      <left/>
      <right style="medium">
        <color theme="0" tint="-0.499984740745262"/>
      </right>
      <top style="thin">
        <color theme="0" tint="-0.499984740745262"/>
      </top>
      <bottom style="thin">
        <color theme="0" tint="-0.499984740745262"/>
      </bottom>
      <diagonal/>
    </border>
    <border>
      <left/>
      <right/>
      <top style="dotted">
        <color theme="0" tint="-0.499984740745262"/>
      </top>
      <bottom style="thin">
        <color theme="0" tint="-0.499984740745262"/>
      </bottom>
      <diagonal/>
    </border>
    <border>
      <left/>
      <right style="medium">
        <color theme="0" tint="-0.499984740745262"/>
      </right>
      <top style="dotted">
        <color theme="0" tint="-0.499984740745262"/>
      </top>
      <bottom style="thin">
        <color theme="0" tint="-0.499984740745262"/>
      </bottom>
      <diagonal/>
    </border>
    <border>
      <left/>
      <right style="thin">
        <color theme="0" tint="-0.499984740745262"/>
      </right>
      <top style="medium">
        <color theme="0" tint="-0.499984740745262"/>
      </top>
      <bottom/>
      <diagonal/>
    </border>
    <border>
      <left style="thick">
        <color theme="0" tint="-0.499984740745262"/>
      </left>
      <right/>
      <top/>
      <bottom style="medium">
        <color theme="0" tint="-0.499984740745262"/>
      </bottom>
      <diagonal/>
    </border>
    <border>
      <left style="medium">
        <color theme="0" tint="-0.499984740745262"/>
      </left>
      <right/>
      <top style="thick">
        <color theme="0" tint="-0.499984740745262"/>
      </top>
      <bottom style="medium">
        <color theme="0" tint="-0.499984740745262"/>
      </bottom>
      <diagonal/>
    </border>
    <border>
      <left/>
      <right style="thick">
        <color theme="0" tint="-0.499984740745262"/>
      </right>
      <top style="thick">
        <color theme="0" tint="-0.499984740745262"/>
      </top>
      <bottom style="medium">
        <color theme="0" tint="-0.499984740745262"/>
      </bottom>
      <diagonal/>
    </border>
    <border>
      <left/>
      <right style="thick">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dashed">
        <color theme="0" tint="-0.499984740745262"/>
      </bottom>
      <diagonal/>
    </border>
    <border>
      <left/>
      <right/>
      <top style="medium">
        <color theme="0" tint="-0.499984740745262"/>
      </top>
      <bottom style="dashed">
        <color theme="0" tint="-0.499984740745262"/>
      </bottom>
      <diagonal/>
    </border>
    <border>
      <left/>
      <right style="medium">
        <color theme="0" tint="-0.499984740745262"/>
      </right>
      <top style="medium">
        <color theme="0" tint="-0.499984740745262"/>
      </top>
      <bottom style="dashed">
        <color theme="0" tint="-0.499984740745262"/>
      </bottom>
      <diagonal/>
    </border>
    <border>
      <left style="medium">
        <color theme="0" tint="-0.499984740745262"/>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theme="0" tint="-0.499984740745262"/>
      </left>
      <right/>
      <top style="medium">
        <color theme="0" tint="-0.499984740745262"/>
      </top>
      <bottom style="dotted">
        <color theme="0" tint="-0.499984740745262"/>
      </bottom>
      <diagonal/>
    </border>
    <border>
      <left/>
      <right style="medium">
        <color theme="0" tint="-0.499984740745262"/>
      </right>
      <top style="thin">
        <color theme="0" tint="-0.499984740745262"/>
      </top>
      <bottom/>
      <diagonal/>
    </border>
    <border>
      <left style="thin">
        <color theme="0" tint="-0.499984740745262"/>
      </left>
      <right/>
      <top style="medium">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medium">
        <color theme="0" tint="-0.499984740745262"/>
      </left>
      <right/>
      <top style="medium">
        <color theme="0" tint="-0.499984740745262"/>
      </top>
      <bottom style="thick">
        <color theme="0" tint="-0.499984740745262"/>
      </bottom>
      <diagonal/>
    </border>
    <border>
      <left/>
      <right style="thick">
        <color theme="0" tint="-0.499984740745262"/>
      </right>
      <top style="medium">
        <color theme="0" tint="-0.499984740745262"/>
      </top>
      <bottom style="thick">
        <color theme="0" tint="-0.499984740745262"/>
      </bottom>
      <diagonal/>
    </border>
    <border>
      <left/>
      <right style="thick">
        <color theme="0" tint="-0.499984740745262"/>
      </right>
      <top style="medium">
        <color theme="0" tint="-0.499984740745262"/>
      </top>
      <bottom/>
      <diagonal/>
    </border>
    <border>
      <left style="medium">
        <color theme="0" tint="-0.499984740745262"/>
      </left>
      <right style="thin">
        <color indexed="64"/>
      </right>
      <top/>
      <bottom/>
      <diagonal/>
    </border>
    <border>
      <left style="thin">
        <color indexed="64"/>
      </left>
      <right style="medium">
        <color theme="0" tint="-0.499984740745262"/>
      </right>
      <top/>
      <bottom/>
      <diagonal/>
    </border>
    <border>
      <left style="thin">
        <color theme="0" tint="-0.499984740745262"/>
      </left>
      <right/>
      <top style="dotted">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medium">
        <color theme="0" tint="-0.499984740745262"/>
      </left>
      <right/>
      <top style="dotted">
        <color theme="0" tint="-0.499984740745262"/>
      </top>
      <bottom style="thin">
        <color theme="0" tint="-0.499984740745262"/>
      </bottom>
      <diagonal/>
    </border>
    <border>
      <left/>
      <right style="thin">
        <color theme="0" tint="-0.499984740745262"/>
      </right>
      <top style="dotted">
        <color theme="0" tint="-0.499984740745262"/>
      </top>
      <bottom style="thin">
        <color theme="0" tint="-0.499984740745262"/>
      </bottom>
      <diagonal/>
    </border>
    <border>
      <left/>
      <right style="thin">
        <color theme="0" tint="-0.499984740745262"/>
      </right>
      <top/>
      <bottom style="thin">
        <color theme="0" tint="-0.499984740745262"/>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right/>
      <top style="dotted">
        <color indexed="64"/>
      </top>
      <bottom/>
      <diagonal/>
    </border>
    <border>
      <left style="medium">
        <color indexed="64"/>
      </left>
      <right style="thin">
        <color indexed="64"/>
      </right>
      <top style="medium">
        <color indexed="64"/>
      </top>
      <bottom/>
      <diagonal/>
    </border>
    <border>
      <left style="medium">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top style="dotted">
        <color indexed="64"/>
      </top>
      <bottom/>
      <diagonal/>
    </border>
    <border>
      <left style="medium">
        <color indexed="64"/>
      </left>
      <right style="medium">
        <color indexed="64"/>
      </right>
      <top style="dashed">
        <color indexed="64"/>
      </top>
      <bottom/>
      <diagonal/>
    </border>
    <border>
      <left/>
      <right/>
      <top/>
      <bottom style="thick">
        <color auto="1"/>
      </bottom>
      <diagonal/>
    </border>
    <border>
      <left style="medium">
        <color indexed="64"/>
      </left>
      <right style="medium">
        <color indexed="64"/>
      </right>
      <top style="dotted">
        <color indexed="64"/>
      </top>
      <bottom style="medium">
        <color indexed="64"/>
      </bottom>
      <diagonal/>
    </border>
    <border>
      <left/>
      <right style="thin">
        <color indexed="64"/>
      </right>
      <top/>
      <bottom style="dotted">
        <color indexed="64"/>
      </bottom>
      <diagonal/>
    </border>
    <border>
      <left style="medium">
        <color indexed="64"/>
      </left>
      <right/>
      <top style="dotted">
        <color indexed="64"/>
      </top>
      <bottom/>
      <diagonal/>
    </border>
  </borders>
  <cellStyleXfs count="75">
    <xf numFmtId="0" fontId="0" fillId="0" borderId="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9"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50" fillId="31" borderId="178" applyNumberFormat="0" applyAlignment="0" applyProtection="0"/>
    <xf numFmtId="0" fontId="51" fillId="31" borderId="179" applyNumberFormat="0" applyAlignment="0" applyProtection="0"/>
    <xf numFmtId="0" fontId="52" fillId="32" borderId="179" applyNumberFormat="0" applyAlignment="0" applyProtection="0"/>
    <xf numFmtId="0" fontId="53" fillId="0" borderId="180" applyNumberFormat="0" applyFill="0" applyAlignment="0" applyProtection="0"/>
    <xf numFmtId="0" fontId="54" fillId="0" borderId="0" applyNumberFormat="0" applyFill="0" applyBorder="0" applyAlignment="0" applyProtection="0"/>
    <xf numFmtId="0" fontId="55" fillId="33" borderId="0" applyNumberFormat="0" applyBorder="0" applyAlignment="0" applyProtection="0"/>
    <xf numFmtId="164" fontId="1" fillId="0" borderId="0" applyFont="0" applyFill="0" applyBorder="0" applyAlignment="0" applyProtection="0"/>
    <xf numFmtId="164" fontId="9" fillId="0" borderId="0" applyFont="0" applyFill="0" applyBorder="0" applyAlignment="0" applyProtection="0"/>
    <xf numFmtId="0" fontId="56" fillId="34" borderId="0" applyNumberFormat="0" applyBorder="0" applyAlignment="0" applyProtection="0"/>
    <xf numFmtId="0" fontId="48" fillId="35" borderId="181" applyNumberFormat="0" applyFont="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57" fillId="36" borderId="0" applyNumberFormat="0" applyBorder="0" applyAlignment="0" applyProtection="0"/>
    <xf numFmtId="0" fontId="48" fillId="0" borderId="0"/>
    <xf numFmtId="0" fontId="1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 fillId="0" borderId="0"/>
    <xf numFmtId="0" fontId="9" fillId="0" borderId="0"/>
    <xf numFmtId="0" fontId="48" fillId="0" borderId="0"/>
    <xf numFmtId="0" fontId="58" fillId="0" borderId="0" applyNumberFormat="0" applyFill="0" applyBorder="0" applyAlignment="0" applyProtection="0"/>
    <xf numFmtId="0" fontId="59" fillId="0" borderId="182" applyNumberFormat="0" applyFill="0" applyAlignment="0" applyProtection="0"/>
    <xf numFmtId="0" fontId="60" fillId="0" borderId="183" applyNumberFormat="0" applyFill="0" applyAlignment="0" applyProtection="0"/>
    <xf numFmtId="0" fontId="61" fillId="0" borderId="184" applyNumberFormat="0" applyFill="0" applyAlignment="0" applyProtection="0"/>
    <xf numFmtId="0" fontId="61" fillId="0" borderId="0" applyNumberFormat="0" applyFill="0" applyBorder="0" applyAlignment="0" applyProtection="0"/>
    <xf numFmtId="0" fontId="62" fillId="0" borderId="185" applyNumberFormat="0" applyFill="0" applyAlignment="0" applyProtection="0"/>
    <xf numFmtId="0" fontId="63" fillId="0" borderId="0" applyNumberFormat="0" applyFill="0" applyBorder="0" applyAlignment="0" applyProtection="0"/>
    <xf numFmtId="0" fontId="64" fillId="37" borderId="186" applyNumberFormat="0" applyAlignment="0" applyProtection="0"/>
    <xf numFmtId="43" fontId="100" fillId="0" borderId="0" applyFont="0" applyFill="0" applyBorder="0" applyAlignment="0" applyProtection="0"/>
    <xf numFmtId="0" fontId="113" fillId="0" borderId="0" applyNumberFormat="0" applyFill="0" applyBorder="0" applyAlignment="0" applyProtection="0"/>
  </cellStyleXfs>
  <cellXfs count="3228">
    <xf numFmtId="0" fontId="0" fillId="0" borderId="0" xfId="0"/>
    <xf numFmtId="0" fontId="12" fillId="0" borderId="0" xfId="0" applyFont="1" applyAlignment="1" applyProtection="1">
      <alignment vertical="center"/>
    </xf>
    <xf numFmtId="0" fontId="2" fillId="0" borderId="0" xfId="0" applyFont="1" applyBorder="1" applyAlignment="1" applyProtection="1">
      <alignment vertical="center"/>
    </xf>
    <xf numFmtId="0" fontId="2" fillId="0" borderId="0" xfId="0" applyFont="1" applyBorder="1" applyAlignment="1" applyProtection="1">
      <alignment horizontal="center" vertical="center"/>
    </xf>
    <xf numFmtId="0" fontId="0" fillId="0" borderId="0" xfId="0" applyAlignment="1" applyProtection="1">
      <alignment vertical="center"/>
    </xf>
    <xf numFmtId="0" fontId="3" fillId="0" borderId="0" xfId="0" applyFont="1" applyAlignment="1" applyProtection="1">
      <alignment horizontal="center" vertical="center"/>
    </xf>
    <xf numFmtId="0" fontId="0" fillId="0" borderId="0" xfId="0" applyAlignment="1">
      <alignment vertical="center"/>
    </xf>
    <xf numFmtId="0" fontId="12" fillId="0" borderId="0" xfId="0" applyFont="1" applyAlignment="1" applyProtection="1">
      <alignment horizontal="center" vertical="center"/>
    </xf>
    <xf numFmtId="0" fontId="0" fillId="0" borderId="0" xfId="0" applyAlignment="1" applyProtection="1">
      <alignment horizontal="center" vertical="center"/>
    </xf>
    <xf numFmtId="0" fontId="0" fillId="0" borderId="0" xfId="0" applyFill="1" applyAlignment="1" applyProtection="1">
      <alignment vertical="center"/>
    </xf>
    <xf numFmtId="0" fontId="0" fillId="0" borderId="0" xfId="0" applyAlignment="1" applyProtection="1">
      <alignment horizontal="right" vertical="center"/>
    </xf>
    <xf numFmtId="49" fontId="2" fillId="0" borderId="0" xfId="0" applyNumberFormat="1" applyFont="1" applyFill="1" applyBorder="1" applyAlignment="1" applyProtection="1">
      <alignment horizontal="center" vertical="center"/>
    </xf>
    <xf numFmtId="0" fontId="0" fillId="2" borderId="2" xfId="0" applyFill="1" applyBorder="1" applyAlignment="1" applyProtection="1">
      <alignment vertical="center"/>
      <protection locked="0"/>
    </xf>
    <xf numFmtId="0" fontId="0" fillId="0" borderId="0" xfId="0" applyFill="1" applyBorder="1" applyAlignment="1" applyProtection="1">
      <alignment horizontal="center" vertical="center"/>
    </xf>
    <xf numFmtId="0" fontId="0" fillId="0" borderId="0" xfId="0" applyBorder="1" applyAlignment="1" applyProtection="1">
      <alignment vertical="center"/>
    </xf>
    <xf numFmtId="167" fontId="0" fillId="0" borderId="0" xfId="0" applyNumberFormat="1" applyAlignment="1">
      <alignment horizontal="center" vertical="center"/>
    </xf>
    <xf numFmtId="1" fontId="0" fillId="0" borderId="0" xfId="0" applyNumberForma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2" fillId="0" borderId="0" xfId="0" applyFont="1" applyFill="1" applyBorder="1" applyAlignment="1" applyProtection="1">
      <alignment horizontal="center" vertical="center"/>
    </xf>
    <xf numFmtId="1" fontId="2" fillId="0" borderId="0" xfId="0" applyNumberFormat="1" applyFont="1" applyFill="1" applyBorder="1" applyAlignment="1" applyProtection="1">
      <alignment horizontal="center" vertical="center"/>
    </xf>
    <xf numFmtId="0" fontId="9" fillId="0" borderId="0" xfId="0" applyFont="1" applyBorder="1" applyAlignment="1" applyProtection="1">
      <alignment vertical="center"/>
    </xf>
    <xf numFmtId="0" fontId="12" fillId="0" borderId="0" xfId="0" applyFont="1" applyBorder="1" applyAlignment="1" applyProtection="1">
      <alignment vertical="center"/>
    </xf>
    <xf numFmtId="0" fontId="12" fillId="0" borderId="0" xfId="0" applyFont="1" applyBorder="1" applyAlignment="1" applyProtection="1">
      <alignment horizontal="center" vertical="center"/>
    </xf>
    <xf numFmtId="0" fontId="12" fillId="0" borderId="0" xfId="0" applyFont="1" applyFill="1" applyBorder="1" applyAlignment="1" applyProtection="1">
      <alignment horizontal="center" vertical="center"/>
    </xf>
    <xf numFmtId="0" fontId="2" fillId="0" borderId="0" xfId="0" applyFont="1" applyFill="1" applyBorder="1" applyAlignment="1" applyProtection="1">
      <alignment vertical="center"/>
    </xf>
    <xf numFmtId="1" fontId="2" fillId="0" borderId="0" xfId="0" applyNumberFormat="1" applyFont="1" applyBorder="1" applyAlignment="1" applyProtection="1">
      <alignment horizontal="center" vertical="center"/>
    </xf>
    <xf numFmtId="0" fontId="5" fillId="0" borderId="0" xfId="0" applyFont="1" applyAlignment="1" applyProtection="1">
      <alignment vertical="center"/>
    </xf>
    <xf numFmtId="0" fontId="0" fillId="0" borderId="0" xfId="0" applyFill="1" applyBorder="1" applyAlignment="1" applyProtection="1">
      <alignment vertical="center"/>
      <protection hidden="1"/>
    </xf>
    <xf numFmtId="0" fontId="9" fillId="0" borderId="0" xfId="0" applyFont="1"/>
    <xf numFmtId="49" fontId="2" fillId="0" borderId="0" xfId="62" applyNumberFormat="1" applyFont="1" applyFill="1"/>
    <xf numFmtId="49" fontId="16" fillId="0" borderId="0" xfId="62" applyNumberFormat="1" applyFont="1" applyFill="1"/>
    <xf numFmtId="49" fontId="2" fillId="0" borderId="0" xfId="62" applyNumberFormat="1" applyFont="1" applyFill="1" applyBorder="1"/>
    <xf numFmtId="0" fontId="9" fillId="0" borderId="0" xfId="62"/>
    <xf numFmtId="0" fontId="2" fillId="0" borderId="0" xfId="62" applyFont="1" applyFill="1" applyAlignment="1">
      <alignment horizontal="center"/>
    </xf>
    <xf numFmtId="49" fontId="16" fillId="0" borderId="0" xfId="62" applyNumberFormat="1" applyFont="1" applyFill="1" applyAlignment="1">
      <alignment horizontal="left"/>
    </xf>
    <xf numFmtId="49" fontId="2" fillId="0" borderId="3" xfId="62" applyNumberFormat="1" applyFont="1" applyFill="1" applyBorder="1"/>
    <xf numFmtId="49" fontId="2" fillId="0" borderId="4" xfId="62" applyNumberFormat="1" applyFont="1" applyFill="1" applyBorder="1"/>
    <xf numFmtId="0" fontId="2" fillId="0" borderId="4" xfId="62" applyFont="1" applyFill="1" applyBorder="1" applyAlignment="1"/>
    <xf numFmtId="49" fontId="2" fillId="0" borderId="0" xfId="62" applyNumberFormat="1" applyFont="1" applyFill="1" applyBorder="1" applyAlignment="1"/>
    <xf numFmtId="0" fontId="2" fillId="0" borderId="0" xfId="62" applyFont="1" applyFill="1" applyBorder="1" applyAlignment="1"/>
    <xf numFmtId="49" fontId="2" fillId="0" borderId="5" xfId="62" applyNumberFormat="1" applyFont="1" applyFill="1" applyBorder="1"/>
    <xf numFmtId="49" fontId="9" fillId="0" borderId="6" xfId="62" applyNumberFormat="1" applyFont="1" applyFill="1" applyBorder="1"/>
    <xf numFmtId="49" fontId="9" fillId="0" borderId="7" xfId="62" applyNumberFormat="1" applyFont="1" applyFill="1" applyBorder="1"/>
    <xf numFmtId="0" fontId="2" fillId="0" borderId="8" xfId="62" applyFont="1" applyFill="1" applyBorder="1" applyAlignment="1">
      <alignment horizontal="center"/>
    </xf>
    <xf numFmtId="49" fontId="9" fillId="0" borderId="0" xfId="62" applyNumberFormat="1" applyFont="1" applyFill="1" applyBorder="1"/>
    <xf numFmtId="167" fontId="9" fillId="0" borderId="9" xfId="62" applyNumberFormat="1" applyFont="1" applyFill="1" applyBorder="1" applyAlignment="1">
      <alignment horizontal="center"/>
    </xf>
    <xf numFmtId="49" fontId="2" fillId="0" borderId="10" xfId="62" applyNumberFormat="1" applyFont="1" applyFill="1" applyBorder="1"/>
    <xf numFmtId="49" fontId="9" fillId="0" borderId="2" xfId="62" applyNumberFormat="1" applyFont="1" applyFill="1" applyBorder="1"/>
    <xf numFmtId="0" fontId="9" fillId="0" borderId="11" xfId="62" applyFont="1" applyFill="1" applyBorder="1" applyAlignment="1">
      <alignment horizontal="center"/>
    </xf>
    <xf numFmtId="49" fontId="9" fillId="0" borderId="5" xfId="62" applyNumberFormat="1" applyFont="1" applyFill="1" applyBorder="1"/>
    <xf numFmtId="49" fontId="9" fillId="0" borderId="12" xfId="62" applyNumberFormat="1" applyFont="1" applyFill="1" applyBorder="1"/>
    <xf numFmtId="49" fontId="9" fillId="0" borderId="13" xfId="62" applyNumberFormat="1" applyFont="1" applyFill="1" applyBorder="1"/>
    <xf numFmtId="0" fontId="9" fillId="0" borderId="0" xfId="62" applyFont="1" applyFill="1" applyBorder="1"/>
    <xf numFmtId="49" fontId="9" fillId="0" borderId="0" xfId="62" applyNumberFormat="1" applyFont="1" applyFill="1" applyBorder="1" applyAlignment="1">
      <alignment horizontal="left"/>
    </xf>
    <xf numFmtId="49" fontId="12" fillId="0" borderId="5" xfId="62" applyNumberFormat="1" applyFont="1" applyFill="1" applyBorder="1"/>
    <xf numFmtId="49" fontId="17" fillId="0" borderId="5" xfId="62" applyNumberFormat="1" applyFont="1" applyFill="1" applyBorder="1"/>
    <xf numFmtId="49" fontId="12" fillId="0" borderId="6" xfId="62" applyNumberFormat="1" applyFont="1" applyFill="1" applyBorder="1"/>
    <xf numFmtId="49" fontId="9" fillId="0" borderId="0" xfId="62" applyNumberFormat="1" applyFont="1"/>
    <xf numFmtId="0" fontId="9" fillId="0" borderId="0" xfId="62" applyFont="1" applyAlignment="1">
      <alignment horizontal="left"/>
    </xf>
    <xf numFmtId="0" fontId="9" fillId="0" borderId="0" xfId="62" applyFont="1" applyBorder="1"/>
    <xf numFmtId="0" fontId="65" fillId="0" borderId="0" xfId="62" applyFont="1" applyFill="1" applyBorder="1" applyAlignment="1">
      <alignment horizontal="left"/>
    </xf>
    <xf numFmtId="0" fontId="66" fillId="0" borderId="0" xfId="62" applyFont="1" applyFill="1" applyBorder="1"/>
    <xf numFmtId="0" fontId="66" fillId="0" borderId="0" xfId="62" applyFont="1" applyFill="1" applyBorder="1" applyAlignment="1">
      <alignment horizontal="center"/>
    </xf>
    <xf numFmtId="0" fontId="67" fillId="0" borderId="0" xfId="62" applyFont="1" applyFill="1" applyBorder="1" applyAlignment="1">
      <alignment horizontal="center"/>
    </xf>
    <xf numFmtId="0" fontId="67" fillId="0" borderId="0" xfId="62" applyFont="1" applyFill="1" applyBorder="1"/>
    <xf numFmtId="0" fontId="68" fillId="0" borderId="0" xfId="62" applyFont="1" applyFill="1" applyBorder="1" applyAlignment="1"/>
    <xf numFmtId="0" fontId="69" fillId="0" borderId="0" xfId="62" applyFont="1" applyFill="1" applyBorder="1" applyAlignment="1">
      <alignment horizontal="center"/>
    </xf>
    <xf numFmtId="0" fontId="68" fillId="38" borderId="14" xfId="62" applyFont="1" applyFill="1" applyBorder="1" applyAlignment="1">
      <alignment horizontal="center" vertical="center"/>
    </xf>
    <xf numFmtId="0" fontId="69" fillId="0" borderId="0" xfId="62" applyFont="1" applyFill="1" applyBorder="1"/>
    <xf numFmtId="0" fontId="70" fillId="39" borderId="15" xfId="62" applyFont="1" applyFill="1" applyBorder="1" applyAlignment="1">
      <alignment horizontal="center"/>
    </xf>
    <xf numFmtId="0" fontId="70" fillId="39" borderId="16" xfId="62" applyFont="1" applyFill="1" applyBorder="1" applyAlignment="1">
      <alignment horizontal="center"/>
    </xf>
    <xf numFmtId="0" fontId="70" fillId="0" borderId="0" xfId="62" applyFont="1" applyFill="1" applyBorder="1" applyAlignment="1">
      <alignment horizontal="center"/>
    </xf>
    <xf numFmtId="0" fontId="70" fillId="0" borderId="0" xfId="62" applyFont="1" applyFill="1" applyBorder="1" applyAlignment="1">
      <alignment horizontal="left"/>
    </xf>
    <xf numFmtId="0" fontId="70" fillId="38" borderId="17" xfId="62" applyFont="1" applyFill="1" applyBorder="1" applyAlignment="1">
      <alignment horizontal="center"/>
    </xf>
    <xf numFmtId="0" fontId="71" fillId="0" borderId="0" xfId="62" applyFont="1" applyFill="1" applyBorder="1"/>
    <xf numFmtId="0" fontId="71" fillId="0" borderId="0" xfId="62" applyFont="1" applyFill="1" applyBorder="1" applyAlignment="1">
      <alignment horizontal="center"/>
    </xf>
    <xf numFmtId="0" fontId="71" fillId="0" borderId="0" xfId="62" applyFont="1" applyFill="1" applyBorder="1" applyAlignment="1">
      <alignment vertical="center"/>
    </xf>
    <xf numFmtId="49" fontId="71" fillId="40" borderId="18" xfId="62" applyNumberFormat="1" applyFont="1" applyFill="1" applyBorder="1" applyAlignment="1">
      <alignment horizontal="center" vertical="center"/>
    </xf>
    <xf numFmtId="0" fontId="19" fillId="40" borderId="19" xfId="62" applyFont="1" applyFill="1" applyBorder="1" applyAlignment="1">
      <alignment vertical="center"/>
    </xf>
    <xf numFmtId="0" fontId="19" fillId="0" borderId="0" xfId="62" applyFont="1" applyFill="1" applyBorder="1"/>
    <xf numFmtId="49" fontId="71" fillId="0" borderId="0" xfId="62" applyNumberFormat="1" applyFont="1" applyFill="1" applyBorder="1" applyAlignment="1">
      <alignment horizontal="center"/>
    </xf>
    <xf numFmtId="49" fontId="19" fillId="41" borderId="1" xfId="62" applyNumberFormat="1" applyFont="1" applyFill="1" applyBorder="1" applyAlignment="1">
      <alignment vertical="center"/>
    </xf>
    <xf numFmtId="49" fontId="71" fillId="0" borderId="0" xfId="62" applyNumberFormat="1" applyFont="1" applyFill="1" applyBorder="1" applyAlignment="1">
      <alignment horizontal="center" vertical="center"/>
    </xf>
    <xf numFmtId="0" fontId="19" fillId="0" borderId="0" xfId="62" applyFont="1" applyFill="1" applyBorder="1" applyAlignment="1">
      <alignment vertical="center"/>
    </xf>
    <xf numFmtId="49" fontId="19" fillId="0" borderId="0" xfId="62" applyNumberFormat="1" applyFont="1" applyFill="1" applyBorder="1" applyAlignment="1">
      <alignment vertical="center"/>
    </xf>
    <xf numFmtId="49" fontId="71" fillId="40" borderId="20" xfId="62" applyNumberFormat="1" applyFont="1" applyFill="1" applyBorder="1" applyAlignment="1">
      <alignment horizontal="center" vertical="center"/>
    </xf>
    <xf numFmtId="0" fontId="71" fillId="40" borderId="21" xfId="62" applyFont="1" applyFill="1" applyBorder="1" applyAlignment="1">
      <alignment vertical="center"/>
    </xf>
    <xf numFmtId="49" fontId="19" fillId="41" borderId="22" xfId="62" applyNumberFormat="1" applyFont="1" applyFill="1" applyBorder="1" applyAlignment="1">
      <alignment vertical="center"/>
    </xf>
    <xf numFmtId="49" fontId="71" fillId="40" borderId="23" xfId="62" applyNumberFormat="1" applyFont="1" applyFill="1" applyBorder="1" applyAlignment="1">
      <alignment horizontal="center" vertical="center"/>
    </xf>
    <xf numFmtId="0" fontId="71" fillId="40" borderId="24" xfId="62" applyFont="1" applyFill="1" applyBorder="1" applyAlignment="1">
      <alignment vertical="center"/>
    </xf>
    <xf numFmtId="49" fontId="19" fillId="41" borderId="25" xfId="62" applyNumberFormat="1" applyFont="1" applyFill="1" applyBorder="1" applyAlignment="1">
      <alignment vertical="center"/>
    </xf>
    <xf numFmtId="49" fontId="71" fillId="40" borderId="15" xfId="62" applyNumberFormat="1" applyFont="1" applyFill="1" applyBorder="1" applyAlignment="1">
      <alignment horizontal="center" vertical="center"/>
    </xf>
    <xf numFmtId="0" fontId="71" fillId="40" borderId="16" xfId="62" applyFont="1" applyFill="1" applyBorder="1" applyAlignment="1">
      <alignment vertical="center"/>
    </xf>
    <xf numFmtId="49" fontId="19" fillId="41" borderId="17" xfId="62" applyNumberFormat="1" applyFont="1" applyFill="1" applyBorder="1" applyAlignment="1">
      <alignment vertical="center"/>
    </xf>
    <xf numFmtId="49" fontId="71" fillId="40" borderId="26" xfId="62" applyNumberFormat="1" applyFont="1" applyFill="1" applyBorder="1" applyAlignment="1">
      <alignment horizontal="center" vertical="center"/>
    </xf>
    <xf numFmtId="0" fontId="71" fillId="40" borderId="27" xfId="62" applyFont="1" applyFill="1" applyBorder="1" applyAlignment="1">
      <alignment vertical="center"/>
    </xf>
    <xf numFmtId="49" fontId="19" fillId="41" borderId="25" xfId="62" applyNumberFormat="1" applyFont="1" applyFill="1" applyBorder="1" applyAlignment="1">
      <alignment horizontal="left" vertical="center"/>
    </xf>
    <xf numFmtId="49" fontId="19" fillId="41" borderId="17" xfId="62" applyNumberFormat="1" applyFont="1" applyFill="1" applyBorder="1" applyAlignment="1">
      <alignment horizontal="left" vertical="center"/>
    </xf>
    <xf numFmtId="49" fontId="19" fillId="41" borderId="22" xfId="62" applyNumberFormat="1" applyFont="1" applyFill="1" applyBorder="1" applyAlignment="1">
      <alignment horizontal="left" vertical="center"/>
    </xf>
    <xf numFmtId="0" fontId="19" fillId="41" borderId="22" xfId="62" applyFont="1" applyFill="1" applyBorder="1" applyAlignment="1">
      <alignment vertical="center"/>
    </xf>
    <xf numFmtId="0" fontId="19" fillId="41" borderId="17" xfId="62" applyFont="1" applyFill="1" applyBorder="1" applyAlignment="1">
      <alignment vertical="center"/>
    </xf>
    <xf numFmtId="0" fontId="19" fillId="41" borderId="25" xfId="62" applyFont="1" applyFill="1" applyBorder="1" applyAlignment="1">
      <alignment horizontal="left" vertical="center"/>
    </xf>
    <xf numFmtId="0" fontId="19" fillId="41" borderId="28" xfId="62" applyFont="1" applyFill="1" applyBorder="1" applyAlignment="1">
      <alignment vertical="center"/>
    </xf>
    <xf numFmtId="49" fontId="19" fillId="42" borderId="25" xfId="62" applyNumberFormat="1" applyFont="1" applyFill="1" applyBorder="1" applyAlignment="1">
      <alignment vertical="center"/>
    </xf>
    <xf numFmtId="0" fontId="19" fillId="42" borderId="25" xfId="62" applyFont="1" applyFill="1" applyBorder="1" applyAlignment="1">
      <alignment vertical="center"/>
    </xf>
    <xf numFmtId="0" fontId="19" fillId="42" borderId="17" xfId="62" applyFont="1" applyFill="1" applyBorder="1" applyAlignment="1">
      <alignment vertical="center"/>
    </xf>
    <xf numFmtId="0" fontId="71" fillId="0" borderId="0" xfId="62" applyFont="1" applyFill="1" applyBorder="1" applyAlignment="1">
      <alignment horizontal="left" vertical="center"/>
    </xf>
    <xf numFmtId="0" fontId="71" fillId="40" borderId="19" xfId="62" applyFont="1" applyFill="1" applyBorder="1" applyAlignment="1">
      <alignment vertical="center"/>
    </xf>
    <xf numFmtId="49" fontId="19" fillId="41" borderId="1" xfId="62" applyNumberFormat="1" applyFont="1" applyFill="1" applyBorder="1" applyAlignment="1">
      <alignment horizontal="left" vertical="center"/>
    </xf>
    <xf numFmtId="49" fontId="19" fillId="40" borderId="19" xfId="62" applyNumberFormat="1" applyFont="1" applyFill="1" applyBorder="1" applyAlignment="1">
      <alignment vertical="center"/>
    </xf>
    <xf numFmtId="49" fontId="19" fillId="0" borderId="0" xfId="62" applyNumberFormat="1" applyFont="1" applyFill="1" applyBorder="1"/>
    <xf numFmtId="0" fontId="9" fillId="0" borderId="5" xfId="62" applyFont="1" applyFill="1" applyBorder="1" applyAlignment="1">
      <alignment horizontal="center"/>
    </xf>
    <xf numFmtId="0" fontId="9" fillId="0" borderId="0" xfId="62" applyFont="1" applyFill="1" applyBorder="1" applyAlignment="1">
      <alignment horizontal="center"/>
    </xf>
    <xf numFmtId="0" fontId="72" fillId="0" borderId="33" xfId="0" applyFont="1" applyFill="1" applyBorder="1" applyAlignment="1">
      <alignment horizontal="center"/>
    </xf>
    <xf numFmtId="0" fontId="72" fillId="0" borderId="34" xfId="0" applyFont="1" applyBorder="1" applyAlignment="1">
      <alignment horizontal="center" vertical="top"/>
    </xf>
    <xf numFmtId="0" fontId="72" fillId="0" borderId="6" xfId="0" applyFont="1" applyBorder="1" applyAlignment="1">
      <alignment horizontal="centerContinuous"/>
    </xf>
    <xf numFmtId="0" fontId="73" fillId="0" borderId="4" xfId="0" applyFont="1" applyBorder="1" applyAlignment="1">
      <alignment horizontal="center" vertical="top"/>
    </xf>
    <xf numFmtId="0" fontId="73" fillId="0" borderId="31" xfId="0" applyFont="1" applyBorder="1" applyAlignment="1">
      <alignment horizontal="center" vertical="top"/>
    </xf>
    <xf numFmtId="0" fontId="73" fillId="0" borderId="35" xfId="0" applyFont="1" applyBorder="1" applyAlignment="1">
      <alignment horizontal="center" vertical="top"/>
    </xf>
    <xf numFmtId="0" fontId="73" fillId="0" borderId="13" xfId="0" applyFont="1" applyBorder="1" applyAlignment="1">
      <alignment horizontal="center" vertical="top"/>
    </xf>
    <xf numFmtId="49" fontId="9" fillId="0" borderId="0" xfId="62" applyNumberFormat="1" applyFont="1" applyFill="1" applyAlignment="1">
      <alignment horizontal="left"/>
    </xf>
    <xf numFmtId="167" fontId="9" fillId="0" borderId="0" xfId="62" applyNumberFormat="1" applyFont="1" applyFill="1" applyAlignment="1">
      <alignment horizontal="left"/>
    </xf>
    <xf numFmtId="0" fontId="9" fillId="0" borderId="0" xfId="62" applyFont="1" applyFill="1" applyAlignment="1">
      <alignment horizontal="center"/>
    </xf>
    <xf numFmtId="167" fontId="9" fillId="0" borderId="0" xfId="62" applyNumberFormat="1" applyFont="1" applyFill="1" applyAlignment="1">
      <alignment horizontal="center"/>
    </xf>
    <xf numFmtId="0" fontId="9" fillId="0" borderId="0" xfId="62" applyFont="1" applyFill="1"/>
    <xf numFmtId="0" fontId="9" fillId="0" borderId="0" xfId="0" applyFont="1" applyFill="1"/>
    <xf numFmtId="167" fontId="2" fillId="0" borderId="0" xfId="62" applyNumberFormat="1" applyFont="1" applyFill="1" applyAlignment="1">
      <alignment horizontal="center"/>
    </xf>
    <xf numFmtId="167" fontId="2" fillId="0" borderId="0" xfId="62" applyNumberFormat="1" applyFont="1" applyFill="1" applyAlignment="1">
      <alignment horizontal="left"/>
    </xf>
    <xf numFmtId="167" fontId="2" fillId="0" borderId="30" xfId="62" applyNumberFormat="1" applyFont="1" applyFill="1" applyBorder="1" applyAlignment="1">
      <alignment horizontal="center"/>
    </xf>
    <xf numFmtId="0" fontId="2" fillId="0" borderId="3" xfId="62" applyFont="1" applyFill="1" applyBorder="1" applyAlignment="1"/>
    <xf numFmtId="0" fontId="2" fillId="0" borderId="30" xfId="62" applyFont="1" applyFill="1" applyBorder="1" applyAlignment="1">
      <alignment horizontal="center"/>
    </xf>
    <xf numFmtId="167" fontId="2" fillId="0" borderId="32" xfId="62" applyNumberFormat="1" applyFont="1" applyFill="1" applyBorder="1" applyAlignment="1">
      <alignment horizontal="center"/>
    </xf>
    <xf numFmtId="0" fontId="2" fillId="0" borderId="5" xfId="62" applyFont="1" applyFill="1" applyBorder="1" applyAlignment="1"/>
    <xf numFmtId="0" fontId="2" fillId="0" borderId="32" xfId="62" applyFont="1" applyFill="1" applyBorder="1" applyAlignment="1">
      <alignment horizontal="center"/>
    </xf>
    <xf numFmtId="0" fontId="2" fillId="3" borderId="32" xfId="62" applyFont="1" applyFill="1" applyBorder="1" applyAlignment="1">
      <alignment horizontal="center"/>
    </xf>
    <xf numFmtId="167" fontId="9" fillId="3" borderId="5" xfId="62" applyNumberFormat="1" applyFont="1" applyFill="1" applyBorder="1" applyAlignment="1">
      <alignment horizontal="center"/>
    </xf>
    <xf numFmtId="0" fontId="2" fillId="3" borderId="0" xfId="62" applyFont="1" applyFill="1" applyBorder="1" applyAlignment="1">
      <alignment horizontal="center"/>
    </xf>
    <xf numFmtId="0" fontId="23" fillId="3" borderId="0" xfId="62" applyFont="1" applyFill="1" applyBorder="1" applyAlignment="1">
      <alignment horizontal="center"/>
    </xf>
    <xf numFmtId="166" fontId="2" fillId="0" borderId="32" xfId="62" applyNumberFormat="1" applyFont="1" applyFill="1" applyBorder="1" applyAlignment="1">
      <alignment horizontal="center"/>
    </xf>
    <xf numFmtId="166" fontId="9" fillId="0" borderId="9" xfId="62" applyNumberFormat="1" applyFont="1" applyFill="1" applyBorder="1" applyAlignment="1">
      <alignment horizontal="center"/>
    </xf>
    <xf numFmtId="167" fontId="9" fillId="0" borderId="34" xfId="62" applyNumberFormat="1" applyFont="1" applyFill="1" applyBorder="1" applyAlignment="1">
      <alignment horizontal="center"/>
    </xf>
    <xf numFmtId="0" fontId="2" fillId="3" borderId="36" xfId="62" applyFont="1" applyFill="1" applyBorder="1" applyAlignment="1">
      <alignment horizontal="center"/>
    </xf>
    <xf numFmtId="9" fontId="2" fillId="3" borderId="8" xfId="62" applyNumberFormat="1" applyFont="1" applyFill="1" applyBorder="1" applyAlignment="1">
      <alignment horizontal="center"/>
    </xf>
    <xf numFmtId="168" fontId="2" fillId="3" borderId="36" xfId="62" applyNumberFormat="1" applyFont="1" applyFill="1" applyBorder="1" applyAlignment="1">
      <alignment horizontal="center"/>
    </xf>
    <xf numFmtId="9" fontId="2" fillId="3" borderId="37" xfId="62" applyNumberFormat="1" applyFont="1" applyFill="1" applyBorder="1" applyAlignment="1">
      <alignment horizontal="center"/>
    </xf>
    <xf numFmtId="0" fontId="2" fillId="0" borderId="33" xfId="62" applyFont="1" applyFill="1" applyBorder="1" applyAlignment="1">
      <alignment horizontal="center"/>
    </xf>
    <xf numFmtId="166" fontId="2" fillId="0" borderId="34" xfId="62" applyNumberFormat="1" applyFont="1" applyFill="1" applyBorder="1" applyAlignment="1">
      <alignment horizontal="center"/>
    </xf>
    <xf numFmtId="168" fontId="2" fillId="0" borderId="7" xfId="62" applyNumberFormat="1" applyFont="1" applyFill="1" applyBorder="1" applyAlignment="1">
      <alignment horizontal="center"/>
    </xf>
    <xf numFmtId="168" fontId="2" fillId="0" borderId="36" xfId="62" applyNumberFormat="1" applyFont="1" applyFill="1" applyBorder="1" applyAlignment="1">
      <alignment horizontal="center"/>
    </xf>
    <xf numFmtId="168" fontId="2" fillId="0" borderId="37" xfId="62" applyNumberFormat="1" applyFont="1" applyFill="1" applyBorder="1" applyAlignment="1">
      <alignment horizontal="center"/>
    </xf>
    <xf numFmtId="0" fontId="9" fillId="3" borderId="6" xfId="62" applyFont="1" applyFill="1" applyBorder="1" applyAlignment="1">
      <alignment horizontal="center"/>
    </xf>
    <xf numFmtId="0" fontId="9" fillId="0" borderId="6" xfId="62" applyFont="1" applyFill="1" applyBorder="1" applyAlignment="1">
      <alignment horizontal="center"/>
    </xf>
    <xf numFmtId="166" fontId="9" fillId="0" borderId="37" xfId="62" applyNumberFormat="1" applyFont="1" applyFill="1" applyBorder="1" applyAlignment="1">
      <alignment horizontal="center"/>
    </xf>
    <xf numFmtId="167" fontId="9" fillId="0" borderId="38" xfId="62" applyNumberFormat="1" applyFont="1" applyFill="1" applyBorder="1" applyAlignment="1">
      <alignment horizontal="center"/>
    </xf>
    <xf numFmtId="0" fontId="9" fillId="3" borderId="17" xfId="62" applyFont="1" applyFill="1" applyBorder="1" applyAlignment="1">
      <alignment horizontal="center"/>
    </xf>
    <xf numFmtId="0" fontId="9" fillId="3" borderId="2" xfId="62" applyFont="1" applyFill="1" applyBorder="1" applyAlignment="1">
      <alignment horizontal="center"/>
    </xf>
    <xf numFmtId="167" fontId="9" fillId="3" borderId="10" xfId="62" applyNumberFormat="1" applyFont="1" applyFill="1" applyBorder="1" applyAlignment="1">
      <alignment horizontal="center"/>
    </xf>
    <xf numFmtId="0" fontId="9" fillId="0" borderId="38" xfId="62" applyFont="1" applyFill="1" applyBorder="1" applyAlignment="1">
      <alignment horizontal="center"/>
    </xf>
    <xf numFmtId="167" fontId="9" fillId="0" borderId="2" xfId="62" applyNumberFormat="1" applyFont="1" applyFill="1" applyBorder="1" applyAlignment="1">
      <alignment horizontal="center"/>
    </xf>
    <xf numFmtId="167" fontId="9" fillId="0" borderId="17" xfId="62" applyNumberFormat="1" applyFont="1" applyFill="1" applyBorder="1" applyAlignment="1">
      <alignment horizontal="center"/>
    </xf>
    <xf numFmtId="167" fontId="9" fillId="0" borderId="39" xfId="62" applyNumberFormat="1" applyFont="1" applyFill="1" applyBorder="1" applyAlignment="1">
      <alignment horizontal="center"/>
    </xf>
    <xf numFmtId="167" fontId="9" fillId="0" borderId="10" xfId="62" applyNumberFormat="1" applyFont="1" applyFill="1" applyBorder="1" applyAlignment="1">
      <alignment horizontal="center"/>
    </xf>
    <xf numFmtId="167" fontId="9" fillId="0" borderId="32" xfId="62" applyNumberFormat="1" applyFont="1" applyFill="1" applyBorder="1" applyAlignment="1">
      <alignment horizontal="center"/>
    </xf>
    <xf numFmtId="167" fontId="9" fillId="0" borderId="5" xfId="62" applyNumberFormat="1" applyFont="1" applyFill="1" applyBorder="1" applyAlignment="1">
      <alignment horizontal="center"/>
    </xf>
    <xf numFmtId="167" fontId="9" fillId="3" borderId="25" xfId="62" applyNumberFormat="1" applyFont="1" applyFill="1" applyBorder="1" applyAlignment="1">
      <alignment horizontal="center"/>
    </xf>
    <xf numFmtId="167" fontId="9" fillId="3" borderId="0" xfId="62" applyNumberFormat="1" applyFont="1" applyFill="1" applyBorder="1" applyAlignment="1">
      <alignment horizontal="center"/>
    </xf>
    <xf numFmtId="167" fontId="9" fillId="0" borderId="0" xfId="62" applyNumberFormat="1" applyFont="1" applyFill="1" applyBorder="1" applyAlignment="1">
      <alignment horizontal="center"/>
    </xf>
    <xf numFmtId="167" fontId="9" fillId="0" borderId="25" xfId="62" applyNumberFormat="1" applyFont="1" applyFill="1" applyBorder="1" applyAlignment="1">
      <alignment horizontal="center"/>
    </xf>
    <xf numFmtId="167" fontId="9" fillId="3" borderId="12" xfId="62" applyNumberFormat="1" applyFont="1" applyFill="1" applyBorder="1" applyAlignment="1">
      <alignment horizontal="center"/>
    </xf>
    <xf numFmtId="167" fontId="9" fillId="0" borderId="40" xfId="62" applyNumberFormat="1" applyFont="1" applyFill="1" applyBorder="1" applyAlignment="1">
      <alignment horizontal="center"/>
    </xf>
    <xf numFmtId="167" fontId="9" fillId="0" borderId="31" xfId="62" applyNumberFormat="1" applyFont="1" applyFill="1" applyBorder="1" applyAlignment="1">
      <alignment horizontal="center"/>
    </xf>
    <xf numFmtId="167" fontId="9" fillId="0" borderId="41" xfId="62" applyNumberFormat="1" applyFont="1" applyFill="1" applyBorder="1" applyAlignment="1">
      <alignment horizontal="center"/>
    </xf>
    <xf numFmtId="167" fontId="9" fillId="0" borderId="12" xfId="62" applyNumberFormat="1" applyFont="1" applyFill="1" applyBorder="1" applyAlignment="1">
      <alignment horizontal="center"/>
    </xf>
    <xf numFmtId="167" fontId="9" fillId="3" borderId="22" xfId="62" applyNumberFormat="1" applyFont="1" applyFill="1" applyBorder="1" applyAlignment="1">
      <alignment horizontal="center"/>
    </xf>
    <xf numFmtId="167" fontId="9" fillId="3" borderId="13" xfId="62" applyNumberFormat="1" applyFont="1" applyFill="1" applyBorder="1" applyAlignment="1">
      <alignment horizontal="center"/>
    </xf>
    <xf numFmtId="167" fontId="9" fillId="0" borderId="13" xfId="62" applyNumberFormat="1" applyFont="1" applyFill="1" applyBorder="1" applyAlignment="1">
      <alignment horizontal="center"/>
    </xf>
    <xf numFmtId="167" fontId="9" fillId="0" borderId="22" xfId="62" applyNumberFormat="1" applyFont="1" applyFill="1" applyBorder="1" applyAlignment="1">
      <alignment horizontal="center"/>
    </xf>
    <xf numFmtId="167" fontId="9" fillId="0" borderId="42" xfId="62" applyNumberFormat="1" applyFont="1" applyFill="1" applyBorder="1" applyAlignment="1">
      <alignment horizontal="center"/>
    </xf>
    <xf numFmtId="167" fontId="9" fillId="3" borderId="35" xfId="62" applyNumberFormat="1" applyFont="1" applyFill="1" applyBorder="1" applyAlignment="1">
      <alignment horizontal="center"/>
    </xf>
    <xf numFmtId="167" fontId="9" fillId="0" borderId="43" xfId="62" applyNumberFormat="1" applyFont="1" applyFill="1" applyBorder="1" applyAlignment="1">
      <alignment horizontal="center"/>
    </xf>
    <xf numFmtId="0" fontId="9" fillId="0" borderId="32" xfId="62" applyFont="1" applyFill="1" applyBorder="1" applyAlignment="1">
      <alignment horizontal="center"/>
    </xf>
    <xf numFmtId="49" fontId="2" fillId="0" borderId="12" xfId="62" applyNumberFormat="1" applyFont="1" applyFill="1" applyBorder="1"/>
    <xf numFmtId="49" fontId="2" fillId="0" borderId="13" xfId="62" applyNumberFormat="1" applyFont="1" applyFill="1" applyBorder="1"/>
    <xf numFmtId="0" fontId="9" fillId="3" borderId="22" xfId="62" applyFont="1" applyFill="1" applyBorder="1" applyAlignment="1">
      <alignment horizontal="center"/>
    </xf>
    <xf numFmtId="0" fontId="9" fillId="3" borderId="13" xfId="62" applyFont="1" applyFill="1" applyBorder="1" applyAlignment="1">
      <alignment horizontal="center"/>
    </xf>
    <xf numFmtId="0" fontId="9" fillId="0" borderId="41" xfId="62" applyFont="1" applyFill="1" applyBorder="1" applyAlignment="1">
      <alignment horizontal="center"/>
    </xf>
    <xf numFmtId="167" fontId="9" fillId="3" borderId="43" xfId="62" applyNumberFormat="1" applyFont="1" applyFill="1" applyBorder="1" applyAlignment="1">
      <alignment horizontal="center"/>
    </xf>
    <xf numFmtId="49" fontId="2" fillId="0" borderId="44" xfId="62" applyNumberFormat="1" applyFont="1" applyFill="1" applyBorder="1"/>
    <xf numFmtId="49" fontId="9" fillId="0" borderId="45" xfId="62" applyNumberFormat="1" applyFont="1" applyFill="1" applyBorder="1"/>
    <xf numFmtId="167" fontId="9" fillId="0" borderId="46" xfId="62" applyNumberFormat="1" applyFont="1" applyFill="1" applyBorder="1" applyAlignment="1">
      <alignment horizontal="center"/>
    </xf>
    <xf numFmtId="0" fontId="9" fillId="0" borderId="47" xfId="62" applyFont="1" applyFill="1" applyBorder="1" applyAlignment="1">
      <alignment horizontal="center"/>
    </xf>
    <xf numFmtId="0" fontId="9" fillId="3" borderId="48" xfId="62" applyFont="1" applyFill="1" applyBorder="1" applyAlignment="1">
      <alignment horizontal="center"/>
    </xf>
    <xf numFmtId="0" fontId="9" fillId="3" borderId="45" xfId="62" applyFont="1" applyFill="1" applyBorder="1" applyAlignment="1">
      <alignment horizontal="center"/>
    </xf>
    <xf numFmtId="168" fontId="2" fillId="3" borderId="47" xfId="37" applyNumberFormat="1" applyFont="1" applyFill="1" applyBorder="1" applyAlignment="1">
      <alignment horizontal="center"/>
    </xf>
    <xf numFmtId="9" fontId="2" fillId="3" borderId="48" xfId="37" applyNumberFormat="1" applyFont="1" applyFill="1" applyBorder="1" applyAlignment="1">
      <alignment horizontal="center"/>
    </xf>
    <xf numFmtId="168" fontId="2" fillId="3" borderId="45" xfId="37" applyNumberFormat="1" applyFont="1" applyFill="1" applyBorder="1" applyAlignment="1">
      <alignment horizontal="center"/>
    </xf>
    <xf numFmtId="168" fontId="9" fillId="0" borderId="46" xfId="37" applyNumberFormat="1" applyFont="1" applyFill="1" applyBorder="1" applyAlignment="1">
      <alignment horizontal="center"/>
    </xf>
    <xf numFmtId="167" fontId="9" fillId="0" borderId="45" xfId="62" applyNumberFormat="1" applyFont="1" applyFill="1" applyBorder="1" applyAlignment="1">
      <alignment horizontal="center"/>
    </xf>
    <xf numFmtId="167" fontId="9" fillId="0" borderId="48" xfId="62" applyNumberFormat="1" applyFont="1" applyFill="1" applyBorder="1" applyAlignment="1">
      <alignment horizontal="center"/>
    </xf>
    <xf numFmtId="167" fontId="9" fillId="0" borderId="49" xfId="62" applyNumberFormat="1" applyFont="1" applyFill="1" applyBorder="1" applyAlignment="1">
      <alignment horizontal="center"/>
    </xf>
    <xf numFmtId="167" fontId="9" fillId="3" borderId="44" xfId="62" applyNumberFormat="1" applyFont="1" applyFill="1" applyBorder="1" applyAlignment="1">
      <alignment horizontal="center"/>
    </xf>
    <xf numFmtId="167" fontId="9" fillId="0" borderId="44" xfId="62" applyNumberFormat="1" applyFont="1" applyFill="1" applyBorder="1" applyAlignment="1">
      <alignment horizontal="center"/>
    </xf>
    <xf numFmtId="0" fontId="9" fillId="0" borderId="43" xfId="62" applyFont="1" applyFill="1" applyBorder="1" applyAlignment="1">
      <alignment horizontal="center"/>
    </xf>
    <xf numFmtId="167" fontId="9" fillId="3" borderId="50" xfId="62" applyNumberFormat="1" applyFont="1" applyFill="1" applyBorder="1" applyAlignment="1">
      <alignment horizontal="center"/>
    </xf>
    <xf numFmtId="2" fontId="9" fillId="0" borderId="32" xfId="62" applyNumberFormat="1" applyFont="1" applyFill="1" applyBorder="1" applyAlignment="1">
      <alignment horizontal="center"/>
    </xf>
    <xf numFmtId="2" fontId="9" fillId="3" borderId="25" xfId="62" applyNumberFormat="1" applyFont="1" applyFill="1" applyBorder="1" applyAlignment="1">
      <alignment horizontal="center"/>
    </xf>
    <xf numFmtId="167" fontId="9" fillId="3" borderId="24" xfId="62" applyNumberFormat="1" applyFont="1" applyFill="1" applyBorder="1" applyAlignment="1">
      <alignment horizontal="center"/>
    </xf>
    <xf numFmtId="2" fontId="9" fillId="3" borderId="5" xfId="62" applyNumberFormat="1" applyFont="1" applyFill="1" applyBorder="1" applyAlignment="1">
      <alignment horizontal="center"/>
    </xf>
    <xf numFmtId="2" fontId="9" fillId="0" borderId="43" xfId="62" applyNumberFormat="1" applyFont="1" applyFill="1" applyBorder="1" applyAlignment="1">
      <alignment horizontal="center"/>
    </xf>
    <xf numFmtId="167" fontId="9" fillId="3" borderId="51" xfId="62" applyNumberFormat="1" applyFont="1" applyFill="1" applyBorder="1" applyAlignment="1">
      <alignment horizontal="center"/>
    </xf>
    <xf numFmtId="167" fontId="9" fillId="3" borderId="40" xfId="62" applyNumberFormat="1" applyFont="1" applyFill="1" applyBorder="1" applyAlignment="1">
      <alignment horizontal="center"/>
    </xf>
    <xf numFmtId="166" fontId="9" fillId="0" borderId="46" xfId="62" applyNumberFormat="1" applyFont="1" applyFill="1" applyBorder="1" applyAlignment="1">
      <alignment horizontal="center"/>
    </xf>
    <xf numFmtId="167" fontId="9" fillId="3" borderId="47" xfId="62" applyNumberFormat="1" applyFont="1" applyFill="1" applyBorder="1" applyAlignment="1">
      <alignment horizontal="center"/>
    </xf>
    <xf numFmtId="0" fontId="9" fillId="3" borderId="52" xfId="62" applyFont="1" applyFill="1" applyBorder="1" applyAlignment="1">
      <alignment horizontal="center"/>
    </xf>
    <xf numFmtId="0" fontId="9" fillId="0" borderId="46" xfId="62" applyFont="1" applyFill="1" applyBorder="1" applyAlignment="1">
      <alignment horizontal="center"/>
    </xf>
    <xf numFmtId="168" fontId="9" fillId="0" borderId="46" xfId="62" applyNumberFormat="1" applyFont="1" applyFill="1" applyBorder="1" applyAlignment="1">
      <alignment horizontal="center"/>
    </xf>
    <xf numFmtId="0" fontId="12" fillId="0" borderId="53" xfId="62" applyFont="1" applyFill="1" applyBorder="1"/>
    <xf numFmtId="168" fontId="9" fillId="0" borderId="53" xfId="62" applyNumberFormat="1" applyFont="1" applyFill="1" applyBorder="1" applyAlignment="1">
      <alignment horizontal="center"/>
    </xf>
    <xf numFmtId="168" fontId="9" fillId="0" borderId="49" xfId="62" applyNumberFormat="1" applyFont="1" applyFill="1" applyBorder="1" applyAlignment="1">
      <alignment horizontal="center"/>
    </xf>
    <xf numFmtId="166" fontId="9" fillId="3" borderId="44" xfId="62" applyNumberFormat="1" applyFont="1" applyFill="1" applyBorder="1" applyAlignment="1">
      <alignment horizontal="center"/>
    </xf>
    <xf numFmtId="166" fontId="9" fillId="0" borderId="47" xfId="62" applyNumberFormat="1" applyFont="1" applyFill="1" applyBorder="1" applyAlignment="1">
      <alignment horizontal="center"/>
    </xf>
    <xf numFmtId="166" fontId="9" fillId="0" borderId="54" xfId="62" applyNumberFormat="1" applyFont="1" applyFill="1" applyBorder="1" applyAlignment="1">
      <alignment horizontal="center"/>
    </xf>
    <xf numFmtId="0" fontId="12" fillId="0" borderId="0" xfId="62" applyFont="1" applyFill="1" applyAlignment="1">
      <alignment horizontal="center"/>
    </xf>
    <xf numFmtId="166" fontId="9" fillId="0" borderId="32" xfId="62" applyNumberFormat="1" applyFont="1" applyFill="1" applyBorder="1" applyAlignment="1">
      <alignment horizontal="center"/>
    </xf>
    <xf numFmtId="2" fontId="9" fillId="3" borderId="50" xfId="62" applyNumberFormat="1" applyFont="1" applyFill="1" applyBorder="1" applyAlignment="1">
      <alignment horizontal="center"/>
    </xf>
    <xf numFmtId="0" fontId="9" fillId="3" borderId="25" xfId="62" applyFont="1" applyFill="1" applyBorder="1" applyAlignment="1">
      <alignment horizontal="center"/>
    </xf>
    <xf numFmtId="0" fontId="9" fillId="3" borderId="50" xfId="62" applyFont="1" applyFill="1" applyBorder="1" applyAlignment="1">
      <alignment horizontal="center"/>
    </xf>
    <xf numFmtId="0" fontId="12" fillId="0" borderId="24" xfId="62" applyFont="1" applyFill="1" applyBorder="1"/>
    <xf numFmtId="167" fontId="9" fillId="0" borderId="24" xfId="62" applyNumberFormat="1" applyFont="1" applyFill="1" applyBorder="1" applyAlignment="1">
      <alignment horizontal="center"/>
    </xf>
    <xf numFmtId="1" fontId="9" fillId="3" borderId="5" xfId="62" applyNumberFormat="1" applyFont="1" applyFill="1" applyBorder="1" applyAlignment="1">
      <alignment horizontal="center"/>
    </xf>
    <xf numFmtId="1" fontId="9" fillId="0" borderId="32" xfId="62" applyNumberFormat="1" applyFont="1" applyFill="1" applyBorder="1" applyAlignment="1">
      <alignment horizontal="center"/>
    </xf>
    <xf numFmtId="0" fontId="9" fillId="0" borderId="24" xfId="62" applyFont="1" applyFill="1" applyBorder="1"/>
    <xf numFmtId="49" fontId="9" fillId="0" borderId="0" xfId="62" applyNumberFormat="1" applyFont="1" applyFill="1" applyBorder="1" applyAlignment="1"/>
    <xf numFmtId="0" fontId="9" fillId="0" borderId="24" xfId="62" applyFont="1" applyFill="1" applyBorder="1" applyAlignment="1">
      <alignment horizontal="center"/>
    </xf>
    <xf numFmtId="0" fontId="2" fillId="0" borderId="24" xfId="62" applyFont="1" applyFill="1" applyBorder="1"/>
    <xf numFmtId="0" fontId="9" fillId="0" borderId="24" xfId="62" quotePrefix="1" applyNumberFormat="1" applyFont="1" applyFill="1" applyBorder="1" applyAlignment="1">
      <alignment horizontal="center"/>
    </xf>
    <xf numFmtId="0" fontId="9" fillId="0" borderId="9" xfId="62" quotePrefix="1" applyNumberFormat="1" applyFont="1" applyFill="1" applyBorder="1" applyAlignment="1">
      <alignment horizontal="center"/>
    </xf>
    <xf numFmtId="2" fontId="9" fillId="0" borderId="47" xfId="62" applyNumberFormat="1" applyFont="1" applyFill="1" applyBorder="1" applyAlignment="1">
      <alignment horizontal="center"/>
    </xf>
    <xf numFmtId="2" fontId="9" fillId="3" borderId="48" xfId="62" applyNumberFormat="1" applyFont="1" applyFill="1" applyBorder="1" applyAlignment="1">
      <alignment horizontal="center"/>
    </xf>
    <xf numFmtId="2" fontId="9" fillId="3" borderId="45" xfId="62" applyNumberFormat="1" applyFont="1" applyFill="1" applyBorder="1" applyAlignment="1">
      <alignment horizontal="center"/>
    </xf>
    <xf numFmtId="168" fontId="9" fillId="0" borderId="45" xfId="62" applyNumberFormat="1" applyFont="1" applyFill="1" applyBorder="1" applyAlignment="1">
      <alignment horizontal="center"/>
    </xf>
    <xf numFmtId="168" fontId="9" fillId="0" borderId="54" xfId="62" applyNumberFormat="1" applyFont="1" applyFill="1" applyBorder="1" applyAlignment="1">
      <alignment horizontal="center"/>
    </xf>
    <xf numFmtId="0" fontId="9" fillId="0" borderId="44" xfId="62" applyFont="1" applyFill="1" applyBorder="1" applyAlignment="1">
      <alignment horizontal="center"/>
    </xf>
    <xf numFmtId="0" fontId="9" fillId="0" borderId="21" xfId="62" applyFont="1" applyFill="1" applyBorder="1" applyAlignment="1">
      <alignment horizontal="center"/>
    </xf>
    <xf numFmtId="1" fontId="9" fillId="3" borderId="0" xfId="62" applyNumberFormat="1" applyFont="1" applyFill="1" applyBorder="1" applyAlignment="1">
      <alignment horizontal="center"/>
    </xf>
    <xf numFmtId="0" fontId="9" fillId="3" borderId="9" xfId="62" applyFont="1" applyFill="1" applyBorder="1" applyAlignment="1">
      <alignment horizontal="center"/>
    </xf>
    <xf numFmtId="167" fontId="9" fillId="0" borderId="8" xfId="62" applyNumberFormat="1" applyFont="1" applyFill="1" applyBorder="1" applyAlignment="1">
      <alignment horizontal="center"/>
    </xf>
    <xf numFmtId="167" fontId="9" fillId="3" borderId="36" xfId="62" applyNumberFormat="1" applyFont="1" applyFill="1" applyBorder="1" applyAlignment="1">
      <alignment horizontal="center"/>
    </xf>
    <xf numFmtId="167" fontId="9" fillId="3" borderId="7" xfId="62" applyNumberFormat="1" applyFont="1" applyFill="1" applyBorder="1" applyAlignment="1">
      <alignment horizontal="center"/>
    </xf>
    <xf numFmtId="167" fontId="9" fillId="3" borderId="8" xfId="62" applyNumberFormat="1" applyFont="1" applyFill="1" applyBorder="1" applyAlignment="1">
      <alignment horizontal="center"/>
    </xf>
    <xf numFmtId="0" fontId="9" fillId="3" borderId="36" xfId="62" applyFont="1" applyFill="1" applyBorder="1" applyAlignment="1">
      <alignment horizontal="center"/>
    </xf>
    <xf numFmtId="0" fontId="9" fillId="3" borderId="37" xfId="62" applyFont="1" applyFill="1" applyBorder="1" applyAlignment="1">
      <alignment horizontal="center"/>
    </xf>
    <xf numFmtId="0" fontId="9" fillId="0" borderId="34" xfId="62" applyFont="1" applyFill="1" applyBorder="1" applyAlignment="1">
      <alignment horizontal="center"/>
    </xf>
    <xf numFmtId="0" fontId="9" fillId="0" borderId="55" xfId="62" applyFont="1" applyFill="1" applyBorder="1" applyAlignment="1">
      <alignment horizontal="center"/>
    </xf>
    <xf numFmtId="167" fontId="9" fillId="0" borderId="55" xfId="62" applyNumberFormat="1" applyFont="1" applyFill="1" applyBorder="1" applyAlignment="1">
      <alignment horizontal="center"/>
    </xf>
    <xf numFmtId="167" fontId="9" fillId="0" borderId="37" xfId="62" applyNumberFormat="1" applyFont="1" applyFill="1" applyBorder="1" applyAlignment="1">
      <alignment horizontal="center"/>
    </xf>
    <xf numFmtId="1" fontId="9" fillId="3" borderId="7" xfId="62" applyNumberFormat="1" applyFont="1" applyFill="1" applyBorder="1" applyAlignment="1">
      <alignment horizontal="center"/>
    </xf>
    <xf numFmtId="1" fontId="9" fillId="0" borderId="34" xfId="62" applyNumberFormat="1" applyFont="1" applyFill="1" applyBorder="1" applyAlignment="1">
      <alignment horizontal="center"/>
    </xf>
    <xf numFmtId="49" fontId="9" fillId="0" borderId="0" xfId="62" applyNumberFormat="1" applyFont="1" applyFill="1"/>
    <xf numFmtId="0" fontId="0" fillId="0" borderId="0" xfId="0" applyAlignment="1">
      <alignment horizontal="center"/>
    </xf>
    <xf numFmtId="0" fontId="0" fillId="0" borderId="6" xfId="0" applyBorder="1"/>
    <xf numFmtId="0" fontId="0" fillId="0" borderId="5" xfId="0" applyBorder="1"/>
    <xf numFmtId="0" fontId="4" fillId="0" borderId="0" xfId="0" applyFont="1" applyFill="1" applyBorder="1" applyAlignment="1" applyProtection="1">
      <alignment horizontal="left" vertical="center"/>
    </xf>
    <xf numFmtId="0" fontId="4" fillId="0" borderId="0" xfId="0" applyFont="1"/>
    <xf numFmtId="0" fontId="0" fillId="0" borderId="0" xfId="0" applyBorder="1" applyAlignment="1">
      <alignment horizontal="center"/>
    </xf>
    <xf numFmtId="0" fontId="9" fillId="0" borderId="0" xfId="0" applyFont="1" applyBorder="1" applyAlignment="1" applyProtection="1">
      <alignment horizontal="center" vertical="center"/>
    </xf>
    <xf numFmtId="0" fontId="17" fillId="0" borderId="0" xfId="0" applyFont="1" applyBorder="1" applyAlignment="1" applyProtection="1">
      <alignment vertical="center"/>
    </xf>
    <xf numFmtId="0" fontId="2"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vertical="center"/>
    </xf>
    <xf numFmtId="1" fontId="5" fillId="0" borderId="0" xfId="0" applyNumberFormat="1" applyFont="1" applyFill="1" applyBorder="1" applyAlignment="1" applyProtection="1">
      <alignment horizontal="center" vertical="center"/>
    </xf>
    <xf numFmtId="0" fontId="2" fillId="4" borderId="32" xfId="0" applyFont="1" applyFill="1" applyBorder="1" applyAlignment="1" applyProtection="1">
      <alignment horizontal="center" vertical="center"/>
    </xf>
    <xf numFmtId="0" fontId="9" fillId="0" borderId="44" xfId="0" applyFont="1" applyFill="1" applyBorder="1" applyAlignment="1" applyProtection="1">
      <alignment vertical="center"/>
    </xf>
    <xf numFmtId="0" fontId="9" fillId="0" borderId="56" xfId="0" applyFont="1" applyFill="1" applyBorder="1" applyAlignment="1" applyProtection="1">
      <alignment vertical="center"/>
    </xf>
    <xf numFmtId="0" fontId="9" fillId="0" borderId="57" xfId="0" applyFont="1" applyBorder="1" applyAlignment="1">
      <alignment horizontal="center"/>
    </xf>
    <xf numFmtId="0" fontId="0" fillId="0" borderId="3" xfId="0" applyBorder="1"/>
    <xf numFmtId="167" fontId="9" fillId="0" borderId="50" xfId="62" applyNumberFormat="1" applyFont="1" applyFill="1" applyBorder="1" applyAlignment="1">
      <alignment horizontal="center"/>
    </xf>
    <xf numFmtId="0" fontId="9" fillId="0" borderId="50" xfId="0" applyFont="1" applyFill="1" applyBorder="1"/>
    <xf numFmtId="0" fontId="9" fillId="0" borderId="0" xfId="0" applyFont="1" applyFill="1" applyBorder="1"/>
    <xf numFmtId="0" fontId="9" fillId="0" borderId="24" xfId="0" applyFont="1" applyFill="1" applyBorder="1"/>
    <xf numFmtId="167" fontId="9" fillId="0" borderId="50" xfId="0" applyNumberFormat="1" applyFont="1" applyFill="1" applyBorder="1" applyAlignment="1">
      <alignment horizontal="center"/>
    </xf>
    <xf numFmtId="167" fontId="9" fillId="0" borderId="24" xfId="0" applyNumberFormat="1" applyFont="1" applyFill="1" applyBorder="1" applyAlignment="1">
      <alignment horizontal="center"/>
    </xf>
    <xf numFmtId="0" fontId="4" fillId="0" borderId="0" xfId="0" applyFont="1" applyFill="1" applyBorder="1" applyAlignment="1" applyProtection="1">
      <alignment horizontal="center" vertical="center"/>
    </xf>
    <xf numFmtId="1" fontId="4" fillId="0" borderId="0" xfId="0" applyNumberFormat="1" applyFont="1" applyFill="1" applyBorder="1" applyAlignment="1" applyProtection="1">
      <alignment horizontal="center" vertical="center"/>
    </xf>
    <xf numFmtId="0" fontId="2" fillId="0" borderId="7" xfId="0" applyFont="1" applyBorder="1"/>
    <xf numFmtId="0" fontId="2" fillId="0" borderId="30" xfId="0" applyFont="1" applyBorder="1"/>
    <xf numFmtId="0" fontId="2" fillId="0" borderId="6" xfId="0" applyFont="1" applyBorder="1" applyAlignment="1">
      <alignment horizontal="center"/>
    </xf>
    <xf numFmtId="0" fontId="2" fillId="0" borderId="7" xfId="0" applyFont="1" applyBorder="1" applyAlignment="1">
      <alignment horizontal="center"/>
    </xf>
    <xf numFmtId="0" fontId="2" fillId="0" borderId="33" xfId="0" applyFont="1" applyBorder="1" applyAlignment="1">
      <alignment horizontal="center"/>
    </xf>
    <xf numFmtId="0" fontId="2" fillId="0" borderId="32" xfId="0" applyFont="1" applyFill="1" applyBorder="1" applyAlignment="1">
      <alignment horizontal="center"/>
    </xf>
    <xf numFmtId="49" fontId="0" fillId="0" borderId="0" xfId="0" applyNumberFormat="1" applyFill="1" applyBorder="1" applyAlignment="1" applyProtection="1">
      <alignment horizontal="left" vertical="center"/>
    </xf>
    <xf numFmtId="0" fontId="0" fillId="0" borderId="24" xfId="0" applyFill="1" applyBorder="1" applyAlignment="1" applyProtection="1">
      <alignment horizontal="center" vertical="center"/>
    </xf>
    <xf numFmtId="0" fontId="0" fillId="2" borderId="0" xfId="0" applyFill="1" applyBorder="1" applyAlignment="1" applyProtection="1">
      <alignment horizontal="center" vertical="center"/>
    </xf>
    <xf numFmtId="0" fontId="2" fillId="0" borderId="8" xfId="0" applyFont="1" applyBorder="1" applyAlignment="1">
      <alignment horizontal="center"/>
    </xf>
    <xf numFmtId="0" fontId="2" fillId="0" borderId="36" xfId="0" applyFont="1" applyBorder="1" applyAlignment="1">
      <alignment horizontal="center"/>
    </xf>
    <xf numFmtId="0" fontId="2" fillId="0" borderId="34" xfId="0" applyFont="1" applyBorder="1" applyAlignment="1">
      <alignment horizontal="center"/>
    </xf>
    <xf numFmtId="1" fontId="9" fillId="0" borderId="0" xfId="62" applyNumberFormat="1" applyFont="1" applyFill="1" applyBorder="1" applyAlignment="1">
      <alignment horizontal="center"/>
    </xf>
    <xf numFmtId="0" fontId="0" fillId="0" borderId="0" xfId="0" applyFill="1"/>
    <xf numFmtId="0" fontId="9" fillId="0" borderId="10" xfId="62" applyFont="1" applyFill="1" applyBorder="1" applyAlignment="1">
      <alignment horizontal="center"/>
    </xf>
    <xf numFmtId="0" fontId="9" fillId="0" borderId="12" xfId="62" applyFont="1" applyFill="1" applyBorder="1" applyAlignment="1">
      <alignment horizontal="center"/>
    </xf>
    <xf numFmtId="167" fontId="9" fillId="0" borderId="59" xfId="62" applyNumberFormat="1" applyFont="1" applyFill="1" applyBorder="1" applyAlignment="1">
      <alignment horizontal="center"/>
    </xf>
    <xf numFmtId="167" fontId="9" fillId="0" borderId="35" xfId="62" applyNumberFormat="1" applyFont="1" applyFill="1" applyBorder="1" applyAlignment="1">
      <alignment horizontal="center"/>
    </xf>
    <xf numFmtId="167" fontId="9" fillId="0" borderId="58" xfId="62" applyNumberFormat="1" applyFont="1" applyFill="1" applyBorder="1" applyAlignment="1">
      <alignment horizontal="center"/>
    </xf>
    <xf numFmtId="167" fontId="9" fillId="0" borderId="51" xfId="62" applyNumberFormat="1" applyFont="1" applyFill="1" applyBorder="1" applyAlignment="1">
      <alignment horizontal="center"/>
    </xf>
    <xf numFmtId="167" fontId="7" fillId="44" borderId="32" xfId="62" applyNumberFormat="1" applyFont="1" applyFill="1" applyBorder="1" applyAlignment="1">
      <alignment horizontal="center"/>
    </xf>
    <xf numFmtId="167" fontId="9" fillId="45" borderId="5" xfId="62" applyNumberFormat="1" applyFont="1" applyFill="1" applyBorder="1" applyAlignment="1">
      <alignment horizontal="center"/>
    </xf>
    <xf numFmtId="167" fontId="0" fillId="45" borderId="0" xfId="0" applyNumberFormat="1" applyFill="1" applyAlignment="1">
      <alignment horizontal="center" vertical="center"/>
    </xf>
    <xf numFmtId="0" fontId="12" fillId="0" borderId="0" xfId="0" applyFont="1" applyAlignment="1" applyProtection="1">
      <alignment horizontal="center"/>
      <protection locked="0"/>
    </xf>
    <xf numFmtId="0" fontId="12" fillId="45" borderId="0" xfId="0" applyFont="1" applyFill="1" applyAlignment="1" applyProtection="1">
      <alignment horizontal="center"/>
      <protection locked="0"/>
    </xf>
    <xf numFmtId="0" fontId="2" fillId="0" borderId="0" xfId="0" applyFont="1" applyBorder="1" applyAlignment="1">
      <alignment horizontal="center"/>
    </xf>
    <xf numFmtId="0" fontId="27" fillId="0" borderId="0" xfId="42" applyFont="1" applyFill="1" applyProtection="1"/>
    <xf numFmtId="0" fontId="27" fillId="0" borderId="0" xfId="42" applyFont="1" applyFill="1" applyBorder="1" applyAlignment="1" applyProtection="1">
      <alignment horizontal="center"/>
    </xf>
    <xf numFmtId="0" fontId="27" fillId="0" borderId="0" xfId="42" applyFont="1" applyAlignment="1" applyProtection="1">
      <alignment horizontal="left"/>
    </xf>
    <xf numFmtId="0" fontId="27" fillId="0" borderId="0" xfId="42" applyFont="1" applyFill="1" applyBorder="1" applyProtection="1"/>
    <xf numFmtId="1" fontId="27" fillId="0" borderId="0" xfId="42" applyNumberFormat="1" applyFont="1" applyFill="1" applyBorder="1" applyAlignment="1" applyProtection="1">
      <alignment horizontal="center"/>
    </xf>
    <xf numFmtId="0" fontId="13" fillId="0" borderId="0" xfId="42" applyFont="1" applyFill="1" applyBorder="1" applyAlignment="1" applyProtection="1">
      <alignment vertical="center"/>
    </xf>
    <xf numFmtId="0" fontId="27" fillId="0" borderId="0" xfId="42" applyNumberFormat="1" applyFont="1" applyBorder="1" applyAlignment="1" applyProtection="1">
      <alignment horizontal="center"/>
    </xf>
    <xf numFmtId="167" fontId="27" fillId="0" borderId="0" xfId="42" applyNumberFormat="1" applyFont="1" applyFill="1" applyBorder="1" applyAlignment="1" applyProtection="1">
      <alignment horizontal="center"/>
    </xf>
    <xf numFmtId="0" fontId="9" fillId="0" borderId="0" xfId="42" applyFont="1" applyFill="1" applyBorder="1" applyAlignment="1" applyProtection="1">
      <alignment horizontal="center"/>
    </xf>
    <xf numFmtId="1" fontId="9" fillId="0" borderId="0" xfId="42" applyNumberFormat="1" applyFont="1" applyFill="1" applyBorder="1" applyAlignment="1" applyProtection="1">
      <alignment horizontal="center"/>
    </xf>
    <xf numFmtId="0" fontId="0" fillId="2" borderId="13" xfId="0" applyFill="1" applyBorder="1" applyAlignment="1" applyProtection="1">
      <alignment vertical="center"/>
      <protection locked="0"/>
    </xf>
    <xf numFmtId="0" fontId="4" fillId="0" borderId="0" xfId="0" applyFont="1" applyFill="1" applyBorder="1" applyAlignment="1" applyProtection="1">
      <alignment vertical="center"/>
    </xf>
    <xf numFmtId="14" fontId="0" fillId="0" borderId="0" xfId="0" applyNumberFormat="1"/>
    <xf numFmtId="0" fontId="0" fillId="46" borderId="0" xfId="0" applyFill="1"/>
    <xf numFmtId="0" fontId="0" fillId="47" borderId="0" xfId="0" applyFill="1"/>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1" fontId="9" fillId="0" borderId="0"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1" fontId="2" fillId="0" borderId="0" xfId="0" applyNumberFormat="1" applyFont="1" applyFill="1" applyBorder="1" applyAlignment="1" applyProtection="1">
      <alignment horizontal="center" vertical="center"/>
      <protection hidden="1"/>
    </xf>
    <xf numFmtId="0" fontId="2" fillId="0" borderId="0" xfId="0" applyFont="1" applyAlignment="1" applyProtection="1">
      <alignment vertical="center"/>
      <protection hidden="1"/>
    </xf>
    <xf numFmtId="0" fontId="4" fillId="0" borderId="0" xfId="0" applyFont="1" applyFill="1" applyBorder="1" applyAlignment="1" applyProtection="1">
      <alignment horizontal="center" vertical="center"/>
      <protection hidden="1"/>
    </xf>
    <xf numFmtId="0" fontId="4" fillId="0" borderId="0" xfId="0" applyFont="1" applyAlignment="1" applyProtection="1">
      <alignment vertical="center"/>
      <protection hidden="1"/>
    </xf>
    <xf numFmtId="0" fontId="5" fillId="0" borderId="0" xfId="0"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0" fontId="12" fillId="0" borderId="0" xfId="0" applyFont="1" applyFill="1" applyBorder="1" applyAlignment="1" applyProtection="1">
      <alignment horizontal="center" vertical="center"/>
      <protection hidden="1"/>
    </xf>
    <xf numFmtId="0" fontId="5" fillId="0" borderId="0" xfId="0" applyFont="1" applyBorder="1" applyAlignment="1" applyProtection="1">
      <alignment vertical="center"/>
      <protection hidden="1"/>
    </xf>
    <xf numFmtId="0" fontId="0" fillId="0" borderId="0" xfId="0" applyBorder="1" applyAlignment="1" applyProtection="1">
      <alignment vertical="center"/>
      <protection hidden="1"/>
    </xf>
    <xf numFmtId="0" fontId="13" fillId="0" borderId="0" xfId="0" applyFont="1" applyBorder="1" applyAlignment="1" applyProtection="1">
      <alignment horizontal="center" vertical="center"/>
      <protection hidden="1"/>
    </xf>
    <xf numFmtId="0" fontId="2" fillId="48" borderId="3" xfId="0" applyFont="1" applyFill="1" applyBorder="1" applyAlignment="1" applyProtection="1">
      <alignment vertical="center"/>
    </xf>
    <xf numFmtId="0" fontId="2" fillId="48" borderId="63" xfId="0" applyFont="1" applyFill="1" applyBorder="1" applyAlignment="1" applyProtection="1">
      <alignment vertical="center"/>
    </xf>
    <xf numFmtId="0" fontId="4" fillId="48" borderId="64" xfId="0" applyFont="1" applyFill="1" applyBorder="1" applyAlignment="1" applyProtection="1">
      <alignment vertical="center"/>
    </xf>
    <xf numFmtId="0" fontId="4" fillId="48" borderId="63" xfId="0" applyFont="1" applyFill="1" applyBorder="1" applyAlignment="1" applyProtection="1">
      <alignment vertical="center"/>
    </xf>
    <xf numFmtId="0" fontId="4" fillId="48" borderId="63" xfId="0" applyFont="1" applyFill="1" applyBorder="1" applyAlignment="1" applyProtection="1">
      <alignment horizontal="center" vertical="center"/>
    </xf>
    <xf numFmtId="0" fontId="2" fillId="2" borderId="65" xfId="0" applyFont="1" applyFill="1" applyBorder="1" applyAlignment="1" applyProtection="1">
      <alignment horizontal="center" vertical="center"/>
      <protection locked="0"/>
    </xf>
    <xf numFmtId="0" fontId="2" fillId="2" borderId="66" xfId="0" applyFont="1" applyFill="1" applyBorder="1" applyAlignment="1" applyProtection="1">
      <alignment horizontal="center" vertical="center"/>
      <protection locked="0"/>
    </xf>
    <xf numFmtId="0" fontId="2" fillId="2" borderId="67" xfId="0" applyFont="1" applyFill="1" applyBorder="1" applyAlignment="1" applyProtection="1">
      <alignment horizontal="center" vertical="center"/>
      <protection locked="0"/>
    </xf>
    <xf numFmtId="0" fontId="2" fillId="2" borderId="68" xfId="0" applyFont="1" applyFill="1" applyBorder="1" applyAlignment="1" applyProtection="1">
      <alignment horizontal="center" vertical="center"/>
      <protection locked="0"/>
    </xf>
    <xf numFmtId="0" fontId="2" fillId="2" borderId="69" xfId="0" applyFont="1" applyFill="1" applyBorder="1" applyAlignment="1" applyProtection="1">
      <alignment horizontal="center" vertical="center"/>
      <protection locked="0"/>
    </xf>
    <xf numFmtId="0" fontId="2" fillId="2" borderId="70" xfId="0" applyFont="1" applyFill="1" applyBorder="1" applyAlignment="1" applyProtection="1">
      <alignment horizontal="center" vertical="center"/>
      <protection locked="0"/>
    </xf>
    <xf numFmtId="0" fontId="9" fillId="0" borderId="0" xfId="0" applyFont="1" applyAlignment="1" applyProtection="1">
      <alignment vertical="center"/>
    </xf>
    <xf numFmtId="0" fontId="2" fillId="2" borderId="71" xfId="0" applyFont="1" applyFill="1" applyBorder="1" applyAlignment="1" applyProtection="1">
      <alignment horizontal="center" vertical="center"/>
      <protection locked="0"/>
    </xf>
    <xf numFmtId="0" fontId="2" fillId="2" borderId="72" xfId="0" applyFont="1" applyFill="1" applyBorder="1" applyAlignment="1" applyProtection="1">
      <alignment horizontal="center" vertical="center"/>
      <protection locked="0"/>
    </xf>
    <xf numFmtId="0" fontId="2" fillId="0" borderId="75" xfId="0" applyFont="1" applyBorder="1" applyAlignment="1">
      <alignment horizontal="center"/>
    </xf>
    <xf numFmtId="0" fontId="2" fillId="0" borderId="76" xfId="0" applyFont="1" applyBorder="1" applyAlignment="1">
      <alignment horizontal="center"/>
    </xf>
    <xf numFmtId="49" fontId="2" fillId="49" borderId="0" xfId="62" applyNumberFormat="1" applyFont="1" applyFill="1"/>
    <xf numFmtId="0" fontId="2" fillId="2" borderId="77" xfId="0" applyFont="1" applyFill="1" applyBorder="1" applyAlignment="1" applyProtection="1">
      <alignment horizontal="center" vertical="center"/>
      <protection locked="0"/>
    </xf>
    <xf numFmtId="0" fontId="2" fillId="2" borderId="78" xfId="0" applyFont="1" applyFill="1" applyBorder="1" applyAlignment="1" applyProtection="1">
      <alignment horizontal="center" vertical="center"/>
      <protection locked="0"/>
    </xf>
    <xf numFmtId="0" fontId="2" fillId="2" borderId="79" xfId="0" applyFont="1" applyFill="1" applyBorder="1" applyAlignment="1" applyProtection="1">
      <alignment horizontal="center" vertical="center"/>
      <protection locked="0"/>
    </xf>
    <xf numFmtId="0" fontId="2" fillId="2" borderId="80" xfId="0" applyFont="1" applyFill="1" applyBorder="1" applyAlignment="1" applyProtection="1">
      <alignment horizontal="center" vertical="center"/>
      <protection locked="0"/>
    </xf>
    <xf numFmtId="0" fontId="2" fillId="2" borderId="81" xfId="0" applyFont="1" applyFill="1" applyBorder="1" applyAlignment="1" applyProtection="1">
      <alignment horizontal="center" vertical="center"/>
      <protection locked="0"/>
    </xf>
    <xf numFmtId="0" fontId="2" fillId="2" borderId="82" xfId="0" applyFont="1" applyFill="1" applyBorder="1" applyAlignment="1" applyProtection="1">
      <alignment horizontal="center" vertical="center"/>
      <protection locked="0"/>
    </xf>
    <xf numFmtId="0" fontId="2" fillId="2" borderId="83" xfId="0" applyFont="1" applyFill="1" applyBorder="1" applyAlignment="1" applyProtection="1">
      <alignment horizontal="center" vertical="center"/>
      <protection locked="0"/>
    </xf>
    <xf numFmtId="0" fontId="2" fillId="0" borderId="0" xfId="0" applyFont="1" applyFill="1" applyAlignment="1" applyProtection="1">
      <alignment vertical="center"/>
      <protection hidden="1"/>
    </xf>
    <xf numFmtId="0" fontId="9" fillId="0" borderId="0" xfId="0" applyFont="1" applyFill="1" applyAlignment="1" applyProtection="1">
      <alignment horizontal="center" vertical="center"/>
    </xf>
    <xf numFmtId="0" fontId="0" fillId="0" borderId="0" xfId="0" applyFill="1" applyAlignment="1" applyProtection="1">
      <alignment vertical="center"/>
      <protection hidden="1"/>
    </xf>
    <xf numFmtId="0" fontId="75" fillId="0" borderId="0" xfId="0" applyFont="1"/>
    <xf numFmtId="0" fontId="75" fillId="0" borderId="0" xfId="0" applyFont="1" applyAlignment="1">
      <alignment horizontal="center"/>
    </xf>
    <xf numFmtId="0" fontId="2" fillId="0" borderId="64" xfId="0" applyFont="1" applyBorder="1" applyAlignment="1">
      <alignment horizontal="center"/>
    </xf>
    <xf numFmtId="0" fontId="2" fillId="0" borderId="57" xfId="0" applyFont="1" applyBorder="1" applyAlignment="1">
      <alignment horizontal="center"/>
    </xf>
    <xf numFmtId="0" fontId="0" fillId="0" borderId="0" xfId="0" applyProtection="1"/>
    <xf numFmtId="0" fontId="48" fillId="0" borderId="0" xfId="42" applyProtection="1"/>
    <xf numFmtId="0" fontId="9" fillId="0" borderId="50" xfId="0" applyFont="1" applyFill="1" applyBorder="1" applyAlignment="1">
      <alignment horizontal="center"/>
    </xf>
    <xf numFmtId="0" fontId="9" fillId="0" borderId="0" xfId="0" applyFont="1" applyFill="1" applyBorder="1" applyAlignment="1">
      <alignment horizontal="center"/>
    </xf>
    <xf numFmtId="0" fontId="9" fillId="0" borderId="24" xfId="0" applyFont="1" applyFill="1" applyBorder="1" applyAlignment="1">
      <alignment horizontal="center"/>
    </xf>
    <xf numFmtId="167" fontId="9" fillId="45" borderId="50" xfId="0" applyNumberFormat="1" applyFont="1" applyFill="1" applyBorder="1" applyAlignment="1">
      <alignment horizontal="center"/>
    </xf>
    <xf numFmtId="167" fontId="9" fillId="0" borderId="25" xfId="0" applyNumberFormat="1" applyFont="1" applyFill="1" applyBorder="1" applyAlignment="1">
      <alignment horizontal="center"/>
    </xf>
    <xf numFmtId="0" fontId="12" fillId="45" borderId="25" xfId="0" applyFont="1" applyFill="1" applyBorder="1" applyAlignment="1" applyProtection="1">
      <alignment horizontal="center"/>
      <protection locked="0"/>
    </xf>
    <xf numFmtId="0" fontId="12" fillId="45" borderId="24" xfId="0" applyFont="1" applyFill="1" applyBorder="1" applyAlignment="1" applyProtection="1">
      <alignment horizontal="center"/>
      <protection locked="0"/>
    </xf>
    <xf numFmtId="167" fontId="0" fillId="45" borderId="0" xfId="0" applyNumberFormat="1" applyFill="1" applyBorder="1" applyAlignment="1">
      <alignment horizontal="center" vertical="center"/>
    </xf>
    <xf numFmtId="167" fontId="0" fillId="45" borderId="24" xfId="0" applyNumberFormat="1" applyFill="1" applyBorder="1" applyAlignment="1">
      <alignment horizontal="center" vertical="center"/>
    </xf>
    <xf numFmtId="167" fontId="9" fillId="45" borderId="25" xfId="0" applyNumberFormat="1" applyFont="1" applyFill="1" applyBorder="1" applyAlignment="1">
      <alignment horizontal="center"/>
    </xf>
    <xf numFmtId="0" fontId="12" fillId="45" borderId="50" xfId="0" applyFont="1" applyFill="1" applyBorder="1" applyAlignment="1" applyProtection="1">
      <alignment horizontal="center"/>
      <protection locked="0"/>
    </xf>
    <xf numFmtId="167" fontId="0" fillId="45" borderId="50" xfId="0" applyNumberFormat="1" applyFill="1" applyBorder="1" applyAlignment="1">
      <alignment horizontal="center" vertical="center"/>
    </xf>
    <xf numFmtId="167" fontId="9" fillId="2" borderId="84" xfId="0" applyNumberFormat="1" applyFont="1" applyFill="1" applyBorder="1" applyAlignment="1" applyProtection="1">
      <alignment horizontal="center" vertical="center"/>
      <protection locked="0"/>
    </xf>
    <xf numFmtId="167" fontId="9" fillId="2" borderId="65" xfId="0" applyNumberFormat="1" applyFont="1" applyFill="1" applyBorder="1" applyAlignment="1" applyProtection="1">
      <alignment horizontal="center" vertical="center"/>
      <protection locked="0"/>
    </xf>
    <xf numFmtId="167" fontId="0" fillId="2" borderId="87" xfId="0" applyNumberFormat="1" applyFill="1" applyBorder="1" applyAlignment="1" applyProtection="1">
      <alignment horizontal="center" vertical="center"/>
      <protection locked="0"/>
    </xf>
    <xf numFmtId="167" fontId="0" fillId="2" borderId="65" xfId="0" applyNumberFormat="1" applyFill="1" applyBorder="1" applyAlignment="1" applyProtection="1">
      <alignment horizontal="center" vertical="center"/>
      <protection locked="0"/>
    </xf>
    <xf numFmtId="167" fontId="0" fillId="2" borderId="84" xfId="0" applyNumberFormat="1" applyFill="1" applyBorder="1" applyAlignment="1" applyProtection="1">
      <alignment horizontal="center" vertical="center"/>
      <protection locked="0"/>
    </xf>
    <xf numFmtId="167" fontId="9" fillId="2" borderId="89" xfId="0" applyNumberFormat="1" applyFont="1" applyFill="1" applyBorder="1" applyAlignment="1" applyProtection="1">
      <alignment horizontal="center" vertical="center"/>
      <protection locked="0"/>
    </xf>
    <xf numFmtId="167" fontId="9" fillId="2" borderId="66" xfId="0" applyNumberFormat="1" applyFont="1" applyFill="1" applyBorder="1" applyAlignment="1" applyProtection="1">
      <alignment horizontal="center" vertical="center"/>
      <protection locked="0"/>
    </xf>
    <xf numFmtId="167" fontId="0" fillId="2" borderId="66" xfId="0" applyNumberFormat="1" applyFill="1" applyBorder="1" applyAlignment="1" applyProtection="1">
      <alignment horizontal="center" vertical="center"/>
      <protection locked="0"/>
    </xf>
    <xf numFmtId="167" fontId="0" fillId="2" borderId="89" xfId="0" applyNumberFormat="1" applyFill="1" applyBorder="1" applyAlignment="1" applyProtection="1">
      <alignment horizontal="center" vertical="center"/>
      <protection locked="0"/>
    </xf>
    <xf numFmtId="0" fontId="2" fillId="50" borderId="95" xfId="42" applyFont="1" applyFill="1" applyBorder="1" applyAlignment="1" applyProtection="1">
      <alignment horizontal="center"/>
      <protection locked="0"/>
    </xf>
    <xf numFmtId="0" fontId="5" fillId="0" borderId="64" xfId="0" applyFont="1" applyBorder="1" applyAlignment="1" applyProtection="1">
      <alignment vertical="center"/>
    </xf>
    <xf numFmtId="0" fontId="5" fillId="0" borderId="63" xfId="0" applyFont="1" applyBorder="1" applyAlignment="1" applyProtection="1">
      <alignment vertical="center"/>
    </xf>
    <xf numFmtId="0" fontId="5" fillId="0" borderId="63" xfId="0" applyFont="1" applyBorder="1" applyAlignment="1" applyProtection="1">
      <alignment horizontal="center" vertical="center"/>
    </xf>
    <xf numFmtId="0" fontId="5" fillId="0" borderId="64" xfId="0" applyFont="1" applyFill="1" applyBorder="1" applyAlignment="1" applyProtection="1">
      <alignment vertical="center"/>
    </xf>
    <xf numFmtId="0" fontId="9" fillId="0" borderId="64" xfId="42" applyNumberFormat="1" applyFont="1" applyBorder="1" applyAlignment="1" applyProtection="1">
      <alignment horizontal="center"/>
      <protection hidden="1"/>
    </xf>
    <xf numFmtId="1" fontId="9" fillId="0" borderId="49" xfId="42" applyNumberFormat="1" applyFont="1" applyFill="1" applyBorder="1" applyAlignment="1" applyProtection="1">
      <alignment horizontal="center" vertical="center"/>
      <protection hidden="1"/>
    </xf>
    <xf numFmtId="49" fontId="0" fillId="0" borderId="0" xfId="0" applyNumberFormat="1" applyFill="1" applyBorder="1" applyAlignment="1" applyProtection="1">
      <alignment horizontal="left" vertical="center"/>
      <protection hidden="1"/>
    </xf>
    <xf numFmtId="0" fontId="26" fillId="0" borderId="0" xfId="0" applyFont="1" applyProtection="1">
      <protection hidden="1"/>
    </xf>
    <xf numFmtId="0" fontId="76" fillId="0" borderId="0" xfId="0" applyFont="1" applyAlignment="1" applyProtection="1">
      <alignment vertical="center"/>
      <protection hidden="1"/>
    </xf>
    <xf numFmtId="0" fontId="5" fillId="0" borderId="0" xfId="0" applyFont="1" applyBorder="1" applyAlignment="1" applyProtection="1">
      <alignment vertical="center"/>
    </xf>
    <xf numFmtId="0" fontId="12" fillId="0" borderId="0" xfId="0" applyFont="1" applyFill="1" applyAlignment="1" applyProtection="1">
      <alignment horizontal="center"/>
      <protection locked="0"/>
    </xf>
    <xf numFmtId="167" fontId="0" fillId="0" borderId="0" xfId="0" applyNumberFormat="1" applyFill="1" applyAlignment="1">
      <alignment horizontal="center" vertical="center"/>
    </xf>
    <xf numFmtId="0" fontId="76" fillId="0" borderId="0" xfId="0" applyFont="1" applyFill="1" applyBorder="1" applyAlignment="1" applyProtection="1">
      <alignment vertical="center"/>
      <protection hidden="1"/>
    </xf>
    <xf numFmtId="0" fontId="9" fillId="0" borderId="0" xfId="0" applyFont="1" applyFill="1" applyBorder="1" applyAlignment="1" applyProtection="1">
      <alignment horizontal="center" vertical="center"/>
      <protection hidden="1"/>
    </xf>
    <xf numFmtId="1" fontId="2" fillId="0" borderId="0" xfId="0" applyNumberFormat="1" applyFont="1" applyBorder="1" applyAlignment="1" applyProtection="1">
      <alignment horizontal="center" vertical="center"/>
      <protection hidden="1"/>
    </xf>
    <xf numFmtId="167" fontId="5" fillId="0" borderId="0" xfId="0" applyNumberFormat="1" applyFont="1" applyBorder="1" applyAlignment="1" applyProtection="1">
      <alignment horizontal="left" vertical="center"/>
      <protection hidden="1"/>
    </xf>
    <xf numFmtId="0" fontId="2" fillId="2" borderId="96" xfId="0" applyFont="1" applyFill="1" applyBorder="1" applyAlignment="1" applyProtection="1">
      <alignment horizontal="center" vertical="center"/>
      <protection locked="0"/>
    </xf>
    <xf numFmtId="0" fontId="0" fillId="0" borderId="0" xfId="0" applyAlignment="1" applyProtection="1">
      <alignment vertical="center"/>
      <protection locked="0" hidden="1"/>
    </xf>
    <xf numFmtId="0" fontId="0" fillId="0" borderId="0" xfId="0" applyFill="1" applyAlignment="1" applyProtection="1">
      <alignment vertical="center"/>
      <protection locked="0" hidden="1"/>
    </xf>
    <xf numFmtId="0" fontId="77" fillId="0" borderId="0" xfId="0" applyFont="1" applyAlignment="1" applyProtection="1">
      <alignment vertical="center"/>
      <protection hidden="1"/>
    </xf>
    <xf numFmtId="0" fontId="0" fillId="0" borderId="57" xfId="0" applyBorder="1" applyAlignment="1" applyProtection="1">
      <alignment vertical="center"/>
      <protection locked="0" hidden="1"/>
    </xf>
    <xf numFmtId="0" fontId="9" fillId="0" borderId="1" xfId="0" applyFont="1" applyBorder="1" applyAlignment="1" applyProtection="1">
      <alignment vertical="center"/>
      <protection locked="0" hidden="1"/>
    </xf>
    <xf numFmtId="2" fontId="0" fillId="0" borderId="0" xfId="0" applyNumberFormat="1" applyAlignment="1" applyProtection="1">
      <alignment vertical="center"/>
      <protection locked="0" hidden="1"/>
    </xf>
    <xf numFmtId="0" fontId="0" fillId="0" borderId="0" xfId="0" applyFill="1" applyBorder="1" applyAlignment="1" applyProtection="1">
      <alignment vertical="center"/>
      <protection locked="0" hidden="1"/>
    </xf>
    <xf numFmtId="0" fontId="13" fillId="0" borderId="0" xfId="0" applyFont="1" applyAlignment="1" applyProtection="1">
      <alignment vertical="center"/>
      <protection locked="0" hidden="1"/>
    </xf>
    <xf numFmtId="0" fontId="13" fillId="0" borderId="0" xfId="0" applyFont="1" applyFill="1" applyAlignment="1" applyProtection="1">
      <alignment vertical="center"/>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vertical="center"/>
      <protection locked="0" hidden="1"/>
    </xf>
    <xf numFmtId="0" fontId="0" fillId="0" borderId="0" xfId="0" applyFill="1" applyBorder="1" applyAlignment="1" applyProtection="1">
      <alignment horizontal="center" vertical="center"/>
      <protection locked="0" hidden="1"/>
    </xf>
    <xf numFmtId="0" fontId="9" fillId="0" borderId="0" xfId="0" applyFont="1" applyFill="1" applyBorder="1" applyAlignment="1" applyProtection="1">
      <alignment horizontal="center" vertical="center"/>
      <protection locked="0" hidden="1"/>
    </xf>
    <xf numFmtId="0" fontId="2" fillId="0" borderId="0" xfId="0" applyFont="1" applyFill="1" applyBorder="1" applyAlignment="1" applyProtection="1">
      <alignment horizontal="left" vertical="center"/>
      <protection locked="0" hidden="1"/>
    </xf>
    <xf numFmtId="0" fontId="2" fillId="0" borderId="0" xfId="0" applyFont="1" applyFill="1" applyBorder="1" applyAlignment="1" applyProtection="1">
      <alignment horizontal="center" vertical="center"/>
      <protection locked="0" hidden="1"/>
    </xf>
    <xf numFmtId="0" fontId="9" fillId="0" borderId="24" xfId="0" applyFont="1" applyFill="1" applyBorder="1" applyAlignment="1" applyProtection="1">
      <alignment horizontal="center" vertical="center"/>
      <protection locked="0" hidden="1"/>
    </xf>
    <xf numFmtId="0" fontId="9" fillId="0" borderId="51" xfId="0" applyFont="1" applyFill="1" applyBorder="1" applyAlignment="1" applyProtection="1">
      <alignment horizontal="center" vertical="center"/>
      <protection locked="0" hidden="1"/>
    </xf>
    <xf numFmtId="0" fontId="9" fillId="0" borderId="13" xfId="0" applyFont="1" applyFill="1" applyBorder="1" applyAlignment="1" applyProtection="1">
      <alignment horizontal="center" vertical="center"/>
      <protection locked="0" hidden="1"/>
    </xf>
    <xf numFmtId="0" fontId="9" fillId="0" borderId="21" xfId="0" applyFont="1" applyFill="1" applyBorder="1" applyAlignment="1" applyProtection="1">
      <alignment horizontal="center" vertical="center"/>
      <protection locked="0" hidden="1"/>
    </xf>
    <xf numFmtId="0" fontId="9" fillId="51" borderId="13" xfId="0" applyFont="1" applyFill="1" applyBorder="1" applyAlignment="1" applyProtection="1">
      <alignment horizontal="center" vertical="center"/>
      <protection locked="0" hidden="1"/>
    </xf>
    <xf numFmtId="0" fontId="0" fillId="0" borderId="21" xfId="0" applyFill="1" applyBorder="1" applyAlignment="1" applyProtection="1">
      <alignment horizontal="center" vertical="center"/>
      <protection locked="0" hidden="1"/>
    </xf>
    <xf numFmtId="0" fontId="9" fillId="0" borderId="22" xfId="0" applyFont="1" applyFill="1" applyBorder="1" applyAlignment="1" applyProtection="1">
      <alignment horizontal="center" vertical="center"/>
      <protection locked="0" hidden="1"/>
    </xf>
    <xf numFmtId="0" fontId="0" fillId="0" borderId="22" xfId="0" applyFill="1" applyBorder="1" applyAlignment="1" applyProtection="1">
      <alignment horizontal="center" vertical="center"/>
      <protection locked="0" hidden="1"/>
    </xf>
    <xf numFmtId="0" fontId="9" fillId="0" borderId="50" xfId="0" applyFont="1" applyFill="1" applyBorder="1" applyAlignment="1" applyProtection="1">
      <alignment horizontal="center" vertical="center"/>
      <protection locked="0" hidden="1"/>
    </xf>
    <xf numFmtId="0" fontId="0" fillId="51" borderId="0" xfId="0" applyFill="1" applyBorder="1" applyAlignment="1" applyProtection="1">
      <alignment horizontal="center" vertical="center"/>
      <protection locked="0" hidden="1"/>
    </xf>
    <xf numFmtId="0" fontId="9" fillId="51" borderId="0" xfId="0" applyFont="1" applyFill="1" applyBorder="1" applyAlignment="1" applyProtection="1">
      <alignment horizontal="center" vertical="center"/>
      <protection locked="0" hidden="1"/>
    </xf>
    <xf numFmtId="0" fontId="9" fillId="0" borderId="25" xfId="0" applyFont="1" applyFill="1" applyBorder="1" applyAlignment="1" applyProtection="1">
      <alignment horizontal="center" vertical="center"/>
      <protection locked="0" hidden="1"/>
    </xf>
    <xf numFmtId="0" fontId="0" fillId="0" borderId="25" xfId="0" applyFill="1" applyBorder="1" applyAlignment="1" applyProtection="1">
      <alignment horizontal="center" vertical="center"/>
      <protection locked="0" hidden="1"/>
    </xf>
    <xf numFmtId="0" fontId="0" fillId="0" borderId="50" xfId="0" applyBorder="1" applyAlignment="1" applyProtection="1">
      <alignment vertical="center"/>
      <protection locked="0" hidden="1"/>
    </xf>
    <xf numFmtId="0" fontId="0" fillId="0" borderId="0" xfId="0" applyBorder="1" applyAlignment="1" applyProtection="1">
      <alignment vertical="center"/>
      <protection locked="0" hidden="1"/>
    </xf>
    <xf numFmtId="0" fontId="0" fillId="0" borderId="24" xfId="0" applyBorder="1" applyAlignment="1" applyProtection="1">
      <alignment vertical="center"/>
      <protection locked="0" hidden="1"/>
    </xf>
    <xf numFmtId="0" fontId="0" fillId="0" borderId="51" xfId="0" applyFill="1" applyBorder="1" applyAlignment="1" applyProtection="1">
      <alignment horizontal="center" vertical="center"/>
      <protection locked="0" hidden="1"/>
    </xf>
    <xf numFmtId="0" fontId="0" fillId="0" borderId="50" xfId="0" applyFill="1" applyBorder="1" applyAlignment="1" applyProtection="1">
      <alignment horizontal="center" vertical="center"/>
      <protection locked="0" hidden="1"/>
    </xf>
    <xf numFmtId="0" fontId="0" fillId="0" borderId="24" xfId="0" applyFill="1" applyBorder="1" applyAlignment="1" applyProtection="1">
      <alignment horizontal="center" vertical="center"/>
      <protection locked="0" hidden="1"/>
    </xf>
    <xf numFmtId="0" fontId="0" fillId="51" borderId="0" xfId="0" applyFill="1" applyAlignment="1" applyProtection="1">
      <alignment vertical="center"/>
      <protection locked="0" hidden="1"/>
    </xf>
    <xf numFmtId="0" fontId="9" fillId="0" borderId="58" xfId="0" applyFont="1" applyFill="1" applyBorder="1" applyAlignment="1" applyProtection="1">
      <alignment horizontal="center" vertical="center"/>
      <protection locked="0" hidden="1"/>
    </xf>
    <xf numFmtId="0" fontId="9" fillId="0" borderId="16" xfId="0" applyFont="1" applyFill="1" applyBorder="1" applyAlignment="1" applyProtection="1">
      <alignment horizontal="center" vertical="center"/>
      <protection locked="0" hidden="1"/>
    </xf>
    <xf numFmtId="0" fontId="9" fillId="0" borderId="2" xfId="0" applyFont="1" applyFill="1" applyBorder="1" applyAlignment="1" applyProtection="1">
      <alignment horizontal="center" vertical="center"/>
      <protection locked="0" hidden="1"/>
    </xf>
    <xf numFmtId="0" fontId="9" fillId="0" borderId="17" xfId="0" applyFont="1" applyFill="1" applyBorder="1" applyAlignment="1" applyProtection="1">
      <alignment horizontal="center" vertical="center"/>
      <protection locked="0" hidden="1"/>
    </xf>
    <xf numFmtId="1" fontId="0" fillId="0" borderId="0" xfId="0" applyNumberFormat="1" applyFill="1" applyBorder="1" applyAlignment="1" applyProtection="1">
      <alignment horizontal="center" vertical="center"/>
      <protection locked="0" hidden="1"/>
    </xf>
    <xf numFmtId="0" fontId="0" fillId="0" borderId="25" xfId="0" applyNumberFormat="1" applyFill="1" applyBorder="1" applyAlignment="1" applyProtection="1">
      <alignment horizontal="center" vertical="center"/>
      <protection locked="0" hidden="1"/>
    </xf>
    <xf numFmtId="0" fontId="0" fillId="0" borderId="61" xfId="35" applyNumberFormat="1" applyFont="1" applyFill="1" applyBorder="1" applyAlignment="1" applyProtection="1">
      <alignment horizontal="center" vertical="center"/>
      <protection locked="0" hidden="1"/>
    </xf>
    <xf numFmtId="1" fontId="0" fillId="0" borderId="50" xfId="0" applyNumberFormat="1" applyFill="1" applyBorder="1" applyAlignment="1" applyProtection="1">
      <alignment horizontal="center" vertical="center"/>
      <protection locked="0" hidden="1"/>
    </xf>
    <xf numFmtId="1" fontId="0" fillId="0" borderId="24" xfId="0" applyNumberFormat="1" applyFill="1" applyBorder="1" applyAlignment="1" applyProtection="1">
      <alignment horizontal="center" vertical="center"/>
      <protection locked="0" hidden="1"/>
    </xf>
    <xf numFmtId="167" fontId="0" fillId="51" borderId="0" xfId="0" applyNumberFormat="1" applyFill="1" applyBorder="1" applyAlignment="1" applyProtection="1">
      <alignment horizontal="center" vertical="center"/>
      <protection locked="0" hidden="1"/>
    </xf>
    <xf numFmtId="167" fontId="0" fillId="0" borderId="0" xfId="0" applyNumberFormat="1" applyFill="1" applyBorder="1" applyAlignment="1" applyProtection="1">
      <alignment horizontal="center" vertical="center"/>
      <protection locked="0" hidden="1"/>
    </xf>
    <xf numFmtId="167" fontId="0" fillId="0" borderId="24" xfId="0" applyNumberFormat="1" applyFill="1" applyBorder="1" applyAlignment="1" applyProtection="1">
      <alignment horizontal="center" vertical="center"/>
      <protection locked="0" hidden="1"/>
    </xf>
    <xf numFmtId="166" fontId="0" fillId="0" borderId="50" xfId="0" applyNumberFormat="1" applyFill="1" applyBorder="1" applyAlignment="1" applyProtection="1">
      <alignment horizontal="center" vertical="center"/>
      <protection locked="0" hidden="1"/>
    </xf>
    <xf numFmtId="166" fontId="0" fillId="0" borderId="24" xfId="0" applyNumberFormat="1" applyFill="1" applyBorder="1" applyAlignment="1" applyProtection="1">
      <alignment horizontal="center" vertical="center"/>
      <protection locked="0" hidden="1"/>
    </xf>
    <xf numFmtId="167" fontId="0" fillId="0" borderId="50" xfId="0" applyNumberFormat="1" applyFill="1" applyBorder="1" applyAlignment="1" applyProtection="1">
      <alignment horizontal="center" vertical="center"/>
      <protection locked="0" hidden="1"/>
    </xf>
    <xf numFmtId="167" fontId="0" fillId="0" borderId="25" xfId="0" applyNumberFormat="1" applyFill="1" applyBorder="1" applyAlignment="1" applyProtection="1">
      <alignment horizontal="center" vertical="center"/>
      <protection locked="0" hidden="1"/>
    </xf>
    <xf numFmtId="1" fontId="0" fillId="0" borderId="25" xfId="0" applyNumberFormat="1" applyFill="1" applyBorder="1" applyAlignment="1" applyProtection="1">
      <alignment horizontal="center" vertical="center"/>
      <protection locked="0" hidden="1"/>
    </xf>
    <xf numFmtId="167" fontId="0" fillId="49" borderId="24" xfId="0" applyNumberFormat="1" applyFill="1" applyBorder="1" applyAlignment="1" applyProtection="1">
      <alignment horizontal="center" vertical="center"/>
      <protection locked="0" hidden="1"/>
    </xf>
    <xf numFmtId="1" fontId="0" fillId="51" borderId="0" xfId="0" applyNumberFormat="1" applyFill="1" applyBorder="1" applyAlignment="1" applyProtection="1">
      <alignment horizontal="center" vertical="center"/>
      <protection locked="0" hidden="1"/>
    </xf>
    <xf numFmtId="0" fontId="0" fillId="49" borderId="0" xfId="0" applyFill="1" applyBorder="1" applyAlignment="1" applyProtection="1">
      <alignment horizontal="center" vertical="center"/>
      <protection locked="0" hidden="1"/>
    </xf>
    <xf numFmtId="0" fontId="0" fillId="4" borderId="25" xfId="0" applyFill="1" applyBorder="1" applyAlignment="1" applyProtection="1">
      <alignment horizontal="center" vertical="center"/>
      <protection locked="0" hidden="1"/>
    </xf>
    <xf numFmtId="1" fontId="0" fillId="4" borderId="24" xfId="0" applyNumberFormat="1" applyFill="1" applyBorder="1" applyAlignment="1" applyProtection="1">
      <alignment horizontal="center" vertical="center"/>
      <protection locked="0" hidden="1"/>
    </xf>
    <xf numFmtId="1" fontId="0" fillId="0" borderId="97" xfId="0" applyNumberFormat="1" applyFill="1" applyBorder="1" applyAlignment="1" applyProtection="1">
      <alignment horizontal="center" vertical="center"/>
      <protection locked="0" hidden="1"/>
    </xf>
    <xf numFmtId="1" fontId="0" fillId="0" borderId="19" xfId="0" applyNumberFormat="1" applyFill="1" applyBorder="1" applyAlignment="1" applyProtection="1">
      <alignment horizontal="center" vertical="center"/>
      <protection locked="0" hidden="1"/>
    </xf>
    <xf numFmtId="0" fontId="2" fillId="0" borderId="24" xfId="0" applyFont="1" applyFill="1" applyBorder="1" applyAlignment="1" applyProtection="1">
      <alignment horizontal="center" vertical="center"/>
      <protection locked="0" hidden="1"/>
    </xf>
    <xf numFmtId="0" fontId="2" fillId="0" borderId="25" xfId="0" applyFont="1" applyFill="1" applyBorder="1" applyAlignment="1" applyProtection="1">
      <alignment horizontal="center" vertical="center"/>
      <protection locked="0" hidden="1"/>
    </xf>
    <xf numFmtId="0" fontId="2" fillId="4" borderId="25" xfId="0" applyFont="1" applyFill="1" applyBorder="1" applyAlignment="1" applyProtection="1">
      <alignment horizontal="center" vertical="center"/>
      <protection locked="0" hidden="1"/>
    </xf>
    <xf numFmtId="1" fontId="2" fillId="0" borderId="33" xfId="0" applyNumberFormat="1" applyFont="1" applyFill="1" applyBorder="1" applyAlignment="1" applyProtection="1">
      <alignment horizontal="center" vertical="center"/>
      <protection locked="0" hidden="1"/>
    </xf>
    <xf numFmtId="0" fontId="2" fillId="0" borderId="17" xfId="0" applyFont="1" applyFill="1" applyBorder="1" applyAlignment="1" applyProtection="1">
      <alignment horizontal="center" vertical="center"/>
      <protection locked="0" hidden="1"/>
    </xf>
    <xf numFmtId="1" fontId="2" fillId="0" borderId="0" xfId="0" applyNumberFormat="1" applyFont="1" applyFill="1" applyBorder="1" applyAlignment="1" applyProtection="1">
      <alignment horizontal="center" vertical="center"/>
      <protection locked="0" hidden="1"/>
    </xf>
    <xf numFmtId="1" fontId="4" fillId="0" borderId="0" xfId="0" applyNumberFormat="1" applyFont="1" applyFill="1" applyBorder="1" applyAlignment="1" applyProtection="1">
      <alignment horizontal="center" vertical="center"/>
      <protection hidden="1"/>
    </xf>
    <xf numFmtId="1" fontId="4" fillId="0" borderId="0" xfId="0" applyNumberFormat="1" applyFont="1" applyFill="1" applyBorder="1" applyAlignment="1" applyProtection="1">
      <alignment horizontal="center" vertical="center"/>
      <protection locked="0" hidden="1"/>
    </xf>
    <xf numFmtId="1" fontId="4" fillId="0" borderId="57" xfId="0" applyNumberFormat="1" applyFont="1" applyFill="1" applyBorder="1" applyAlignment="1" applyProtection="1">
      <alignment horizontal="center" vertical="center"/>
      <protection locked="0" hidden="1"/>
    </xf>
    <xf numFmtId="0" fontId="4" fillId="0" borderId="0" xfId="0" applyFont="1" applyFill="1" applyBorder="1" applyAlignment="1" applyProtection="1">
      <alignment horizontal="center" vertical="center"/>
      <protection locked="0" hidden="1"/>
    </xf>
    <xf numFmtId="167" fontId="2" fillId="0" borderId="0"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locked="0" hidden="1"/>
    </xf>
    <xf numFmtId="0" fontId="5" fillId="0" borderId="0" xfId="0" applyFont="1" applyFill="1" applyBorder="1" applyAlignment="1" applyProtection="1">
      <alignment horizontal="center" vertical="center"/>
      <protection locked="0" hidden="1"/>
    </xf>
    <xf numFmtId="2" fontId="2" fillId="0" borderId="0" xfId="0" applyNumberFormat="1" applyFont="1" applyFill="1" applyBorder="1" applyAlignment="1" applyProtection="1">
      <alignment horizontal="center" vertical="center"/>
      <protection locked="0" hidden="1"/>
    </xf>
    <xf numFmtId="1" fontId="2" fillId="0" borderId="0" xfId="0" applyNumberFormat="1" applyFont="1" applyFill="1" applyBorder="1" applyAlignment="1" applyProtection="1">
      <alignment horizontal="left" vertical="center"/>
      <protection locked="0" hidden="1"/>
    </xf>
    <xf numFmtId="1" fontId="9" fillId="4" borderId="24" xfId="0" applyNumberFormat="1" applyFont="1" applyFill="1" applyBorder="1" applyAlignment="1" applyProtection="1">
      <alignment horizontal="center" vertical="center"/>
      <protection locked="0" hidden="1"/>
    </xf>
    <xf numFmtId="0" fontId="2" fillId="0" borderId="1" xfId="0" applyFont="1" applyFill="1" applyBorder="1" applyAlignment="1" applyProtection="1">
      <alignment horizontal="center" vertical="center"/>
      <protection locked="0" hidden="1"/>
    </xf>
    <xf numFmtId="0" fontId="9" fillId="0" borderId="1" xfId="42" applyFont="1" applyFill="1" applyBorder="1" applyAlignment="1" applyProtection="1">
      <alignment horizontal="center" vertical="center"/>
      <protection hidden="1"/>
    </xf>
    <xf numFmtId="1" fontId="9" fillId="0" borderId="1" xfId="42" applyNumberFormat="1" applyFont="1" applyFill="1" applyBorder="1" applyAlignment="1" applyProtection="1">
      <alignment horizontal="center" vertical="center"/>
      <protection hidden="1"/>
    </xf>
    <xf numFmtId="0" fontId="2" fillId="0" borderId="97" xfId="0" applyFont="1" applyFill="1" applyBorder="1" applyAlignment="1" applyProtection="1">
      <alignment horizontal="center" vertical="center"/>
      <protection locked="0" hidden="1"/>
    </xf>
    <xf numFmtId="1" fontId="2" fillId="0" borderId="1" xfId="0" applyNumberFormat="1" applyFont="1" applyFill="1" applyBorder="1" applyAlignment="1" applyProtection="1">
      <alignment horizontal="center" vertical="center"/>
      <protection locked="0" hidden="1"/>
    </xf>
    <xf numFmtId="1" fontId="9" fillId="0" borderId="24" xfId="0" applyNumberFormat="1" applyFont="1" applyFill="1" applyBorder="1" applyAlignment="1" applyProtection="1">
      <alignment horizontal="center" vertical="center"/>
      <protection locked="0" hidden="1"/>
    </xf>
    <xf numFmtId="0" fontId="0" fillId="4" borderId="25" xfId="0" applyFill="1" applyBorder="1" applyAlignment="1" applyProtection="1">
      <alignment vertical="center"/>
      <protection locked="0" hidden="1"/>
    </xf>
    <xf numFmtId="0" fontId="12" fillId="0" borderId="0" xfId="0" applyFont="1" applyFill="1" applyBorder="1" applyAlignment="1" applyProtection="1">
      <alignment horizontal="center" vertical="center"/>
      <protection locked="0" hidden="1"/>
    </xf>
    <xf numFmtId="1" fontId="5" fillId="0" borderId="57" xfId="0" applyNumberFormat="1" applyFont="1" applyFill="1" applyBorder="1" applyAlignment="1" applyProtection="1">
      <alignment horizontal="center" vertical="center"/>
      <protection locked="0" hidden="1"/>
    </xf>
    <xf numFmtId="1" fontId="5" fillId="0" borderId="95" xfId="0" applyNumberFormat="1" applyFont="1" applyFill="1" applyBorder="1" applyAlignment="1" applyProtection="1">
      <alignment horizontal="center" vertical="center"/>
      <protection locked="0" hidden="1"/>
    </xf>
    <xf numFmtId="1" fontId="5" fillId="0" borderId="37"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left" vertical="center"/>
      <protection locked="0" hidden="1"/>
    </xf>
    <xf numFmtId="0" fontId="5" fillId="0" borderId="0" xfId="0" applyFont="1" applyFill="1" applyBorder="1" applyAlignment="1" applyProtection="1">
      <alignment horizontal="left" vertical="center"/>
      <protection locked="0" hidden="1"/>
    </xf>
    <xf numFmtId="0" fontId="2" fillId="0" borderId="0" xfId="0" applyFont="1" applyAlignment="1" applyProtection="1">
      <alignment vertical="center"/>
      <protection locked="0" hidden="1"/>
    </xf>
    <xf numFmtId="167" fontId="2" fillId="0" borderId="0" xfId="0" applyNumberFormat="1" applyFont="1" applyFill="1" applyBorder="1" applyAlignment="1" applyProtection="1">
      <alignment horizontal="center" vertical="center" wrapText="1"/>
      <protection locked="0" hidden="1"/>
    </xf>
    <xf numFmtId="0" fontId="4" fillId="0" borderId="0" xfId="0" applyFont="1" applyAlignment="1" applyProtection="1">
      <alignment vertical="center"/>
      <protection locked="0" hidden="1"/>
    </xf>
    <xf numFmtId="165" fontId="2" fillId="0" borderId="46" xfId="0" applyNumberFormat="1" applyFont="1" applyBorder="1" applyAlignment="1" applyProtection="1">
      <alignment horizontal="center" vertical="center"/>
      <protection locked="0" hidden="1"/>
    </xf>
    <xf numFmtId="0" fontId="2" fillId="0" borderId="54" xfId="0" applyFont="1" applyFill="1" applyBorder="1" applyAlignment="1" applyProtection="1">
      <alignment horizontal="center" vertical="center"/>
      <protection locked="0" hidden="1"/>
    </xf>
    <xf numFmtId="0" fontId="2" fillId="0" borderId="0" xfId="0" applyFont="1" applyBorder="1" applyAlignment="1" applyProtection="1">
      <alignment horizontal="center" vertical="center"/>
      <protection locked="0" hidden="1"/>
    </xf>
    <xf numFmtId="167" fontId="2" fillId="0" borderId="0" xfId="0" applyNumberFormat="1" applyFont="1" applyBorder="1" applyAlignment="1" applyProtection="1">
      <alignment horizontal="center" vertical="center"/>
      <protection locked="0" hidden="1"/>
    </xf>
    <xf numFmtId="0" fontId="5" fillId="0" borderId="0" xfId="0" applyFont="1" applyBorder="1" applyAlignment="1" applyProtection="1">
      <alignment vertical="center"/>
      <protection locked="0" hidden="1"/>
    </xf>
    <xf numFmtId="0" fontId="5" fillId="0" borderId="0" xfId="0" applyFont="1" applyFill="1" applyBorder="1" applyAlignment="1" applyProtection="1">
      <alignment vertical="center"/>
      <protection locked="0" hidden="1"/>
    </xf>
    <xf numFmtId="0" fontId="0" fillId="0" borderId="0" xfId="0" applyProtection="1">
      <protection locked="0" hidden="1"/>
    </xf>
    <xf numFmtId="0" fontId="0" fillId="0" borderId="0" xfId="0" applyProtection="1">
      <protection hidden="1"/>
    </xf>
    <xf numFmtId="0" fontId="4" fillId="0" borderId="0" xfId="0" applyFont="1" applyProtection="1">
      <protection locked="0" hidden="1"/>
    </xf>
    <xf numFmtId="0" fontId="4" fillId="0" borderId="0" xfId="0" applyFont="1" applyProtection="1">
      <protection hidden="1"/>
    </xf>
    <xf numFmtId="0" fontId="9" fillId="0" borderId="0" xfId="0" applyFont="1" applyAlignment="1" applyProtection="1">
      <alignment horizontal="center"/>
      <protection locked="0" hidden="1"/>
    </xf>
    <xf numFmtId="0" fontId="2" fillId="0" borderId="33" xfId="0" applyFont="1" applyBorder="1" applyAlignment="1" applyProtection="1">
      <alignment horizontal="center" vertical="center"/>
    </xf>
    <xf numFmtId="0" fontId="2" fillId="50" borderId="98" xfId="0" applyFont="1" applyFill="1" applyBorder="1" applyAlignment="1" applyProtection="1">
      <alignment horizontal="center" vertical="center"/>
      <protection locked="0"/>
    </xf>
    <xf numFmtId="0" fontId="2" fillId="50" borderId="99" xfId="0" applyFont="1" applyFill="1" applyBorder="1" applyAlignment="1" applyProtection="1">
      <alignment horizontal="center" vertical="center"/>
      <protection locked="0"/>
    </xf>
    <xf numFmtId="1" fontId="0" fillId="0" borderId="0" xfId="0" applyNumberFormat="1"/>
    <xf numFmtId="49" fontId="0" fillId="0" borderId="0" xfId="0" applyNumberFormat="1" applyAlignment="1" applyProtection="1">
      <alignment vertical="center"/>
      <protection locked="0" hidden="1"/>
    </xf>
    <xf numFmtId="0" fontId="9" fillId="0" borderId="0" xfId="0" applyFont="1" applyFill="1" applyAlignment="1" applyProtection="1">
      <alignment vertical="center"/>
    </xf>
    <xf numFmtId="0" fontId="48" fillId="0" borderId="0" xfId="42"/>
    <xf numFmtId="1" fontId="48" fillId="0" borderId="0" xfId="42" applyNumberFormat="1"/>
    <xf numFmtId="1" fontId="0" fillId="0" borderId="0" xfId="0" applyNumberFormat="1" applyFill="1" applyAlignment="1" applyProtection="1">
      <alignment horizontal="center" vertical="center"/>
    </xf>
    <xf numFmtId="0" fontId="9" fillId="0" borderId="0" xfId="0" applyFont="1" applyAlignment="1" applyProtection="1">
      <alignment vertical="center"/>
      <protection hidden="1"/>
    </xf>
    <xf numFmtId="0" fontId="0" fillId="0" borderId="24" xfId="0" applyBorder="1" applyAlignment="1" applyProtection="1">
      <alignment horizontal="center" vertical="center"/>
      <protection locked="0" hidden="1"/>
    </xf>
    <xf numFmtId="0" fontId="0" fillId="0" borderId="50" xfId="0"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1" fontId="0" fillId="0" borderId="58" xfId="0" applyNumberFormat="1" applyFill="1" applyBorder="1" applyAlignment="1" applyProtection="1">
      <alignment horizontal="center" vertical="center"/>
      <protection locked="0" hidden="1"/>
    </xf>
    <xf numFmtId="167" fontId="0" fillId="0" borderId="50" xfId="0" applyNumberFormat="1" applyBorder="1" applyAlignment="1" applyProtection="1">
      <alignment horizontal="center" vertical="center"/>
      <protection locked="0" hidden="1"/>
    </xf>
    <xf numFmtId="167" fontId="0" fillId="0" borderId="0" xfId="0" applyNumberFormat="1" applyBorder="1" applyAlignment="1" applyProtection="1">
      <alignment horizontal="center" vertical="center"/>
      <protection locked="0" hidden="1"/>
    </xf>
    <xf numFmtId="1" fontId="0" fillId="0" borderId="2" xfId="0" applyNumberFormat="1" applyFill="1"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166" fontId="2" fillId="0" borderId="16" xfId="0" applyNumberFormat="1" applyFont="1" applyFill="1" applyBorder="1" applyAlignment="1" applyProtection="1">
      <alignment horizontal="center" vertical="center"/>
      <protection locked="0" hidden="1"/>
    </xf>
    <xf numFmtId="1" fontId="2" fillId="0" borderId="34" xfId="0" applyNumberFormat="1" applyFont="1" applyFill="1" applyBorder="1" applyAlignment="1" applyProtection="1">
      <alignment horizontal="center" vertical="center"/>
      <protection locked="0" hidden="1"/>
    </xf>
    <xf numFmtId="0" fontId="27" fillId="0" borderId="0" xfId="0" applyFont="1" applyAlignment="1" applyProtection="1">
      <alignment vertical="center"/>
      <protection hidden="1"/>
    </xf>
    <xf numFmtId="0" fontId="27" fillId="0" borderId="0" xfId="0" applyFont="1" applyAlignment="1" applyProtection="1">
      <alignment vertical="center"/>
      <protection locked="0" hidden="1"/>
    </xf>
    <xf numFmtId="0" fontId="27" fillId="0" borderId="0" xfId="0" applyFont="1" applyFill="1" applyAlignment="1" applyProtection="1">
      <alignment vertical="center"/>
      <protection locked="0" hidden="1"/>
    </xf>
    <xf numFmtId="0" fontId="4" fillId="0" borderId="0" xfId="0" applyFont="1" applyFill="1" applyAlignment="1" applyProtection="1">
      <alignment vertical="center"/>
      <protection locked="0" hidden="1"/>
    </xf>
    <xf numFmtId="0" fontId="9" fillId="0" borderId="0" xfId="0" applyFont="1" applyAlignment="1" applyProtection="1">
      <alignment vertical="center"/>
      <protection locked="0" hidden="1"/>
    </xf>
    <xf numFmtId="2" fontId="5" fillId="0" borderId="0" xfId="0" applyNumberFormat="1" applyFont="1" applyFill="1" applyBorder="1" applyAlignment="1" applyProtection="1">
      <alignment horizontal="center" vertical="center"/>
      <protection hidden="1"/>
    </xf>
    <xf numFmtId="2" fontId="5" fillId="0" borderId="0" xfId="0" applyNumberFormat="1" applyFont="1" applyBorder="1" applyAlignment="1" applyProtection="1">
      <alignment horizontal="center" vertical="center"/>
      <protection hidden="1"/>
    </xf>
    <xf numFmtId="167" fontId="2" fillId="0" borderId="100" xfId="0" applyNumberFormat="1" applyFont="1" applyFill="1" applyBorder="1" applyAlignment="1" applyProtection="1">
      <alignment horizontal="center" vertical="center"/>
      <protection locked="0" hidden="1"/>
    </xf>
    <xf numFmtId="1" fontId="2" fillId="0" borderId="50" xfId="0" applyNumberFormat="1" applyFont="1" applyFill="1" applyBorder="1" applyAlignment="1" applyProtection="1">
      <alignment horizontal="center" vertical="center"/>
      <protection locked="0" hidden="1"/>
    </xf>
    <xf numFmtId="1" fontId="2" fillId="51" borderId="0" xfId="0" applyNumberFormat="1" applyFont="1" applyFill="1" applyBorder="1" applyAlignment="1" applyProtection="1">
      <alignment horizontal="center" vertical="center"/>
      <protection locked="0" hidden="1"/>
    </xf>
    <xf numFmtId="0" fontId="2" fillId="2" borderId="101" xfId="0" applyFont="1" applyFill="1" applyBorder="1" applyAlignment="1" applyProtection="1">
      <alignment horizontal="center" vertical="center"/>
      <protection locked="0"/>
    </xf>
    <xf numFmtId="0" fontId="2" fillId="2" borderId="102" xfId="0" applyFont="1" applyFill="1" applyBorder="1" applyAlignment="1" applyProtection="1">
      <alignment horizontal="center" vertical="center"/>
      <protection locked="0"/>
    </xf>
    <xf numFmtId="0" fontId="0" fillId="2" borderId="7" xfId="0" applyFill="1" applyBorder="1" applyAlignment="1" applyProtection="1">
      <alignment horizontal="center" vertical="center"/>
    </xf>
    <xf numFmtId="0" fontId="2" fillId="50" borderId="72" xfId="0" applyFont="1" applyFill="1" applyBorder="1" applyAlignment="1" applyProtection="1">
      <alignment horizontal="center" vertical="center"/>
      <protection locked="0"/>
    </xf>
    <xf numFmtId="0" fontId="13" fillId="0" borderId="0" xfId="0" applyFont="1" applyProtection="1"/>
    <xf numFmtId="0" fontId="0" fillId="0" borderId="22" xfId="0" applyBorder="1" applyAlignment="1" applyProtection="1">
      <alignment horizontal="center"/>
    </xf>
    <xf numFmtId="0" fontId="0" fillId="0" borderId="51" xfId="0" applyBorder="1" applyAlignment="1" applyProtection="1">
      <alignment horizontal="center"/>
    </xf>
    <xf numFmtId="0" fontId="0" fillId="0" borderId="21" xfId="0" applyBorder="1" applyAlignment="1" applyProtection="1">
      <alignment horizontal="center"/>
    </xf>
    <xf numFmtId="0" fontId="0" fillId="0" borderId="13" xfId="0" applyBorder="1" applyAlignment="1" applyProtection="1">
      <alignment horizontal="center"/>
    </xf>
    <xf numFmtId="0" fontId="0" fillId="0" borderId="25" xfId="0" applyBorder="1" applyAlignment="1" applyProtection="1">
      <alignment horizontal="center"/>
    </xf>
    <xf numFmtId="0" fontId="0" fillId="0" borderId="50" xfId="0" applyBorder="1" applyAlignment="1" applyProtection="1">
      <alignment horizontal="center"/>
    </xf>
    <xf numFmtId="0" fontId="0" fillId="0" borderId="0" xfId="0" applyFill="1" applyProtection="1"/>
    <xf numFmtId="167" fontId="0" fillId="0" borderId="51" xfId="0" applyNumberFormat="1" applyBorder="1" applyAlignment="1" applyProtection="1">
      <alignment horizontal="center"/>
    </xf>
    <xf numFmtId="1" fontId="0" fillId="0" borderId="13" xfId="0" applyNumberFormat="1" applyBorder="1" applyAlignment="1" applyProtection="1">
      <alignment horizontal="center"/>
    </xf>
    <xf numFmtId="167" fontId="0" fillId="0" borderId="13" xfId="0" applyNumberFormat="1" applyBorder="1" applyAlignment="1" applyProtection="1">
      <alignment horizontal="center"/>
    </xf>
    <xf numFmtId="167" fontId="0" fillId="0" borderId="21" xfId="0" applyNumberFormat="1" applyBorder="1" applyAlignment="1" applyProtection="1">
      <alignment horizontal="center"/>
    </xf>
    <xf numFmtId="167" fontId="0" fillId="0" borderId="0" xfId="0" applyNumberFormat="1" applyFill="1" applyBorder="1" applyAlignment="1" applyProtection="1">
      <alignment horizontal="center"/>
    </xf>
    <xf numFmtId="1" fontId="0" fillId="0" borderId="0" xfId="0" applyNumberFormat="1" applyBorder="1" applyAlignment="1" applyProtection="1">
      <alignment horizontal="center"/>
    </xf>
    <xf numFmtId="167" fontId="0" fillId="0" borderId="0" xfId="0" applyNumberFormat="1" applyBorder="1" applyAlignment="1" applyProtection="1">
      <alignment horizontal="center"/>
    </xf>
    <xf numFmtId="167" fontId="0" fillId="0" borderId="24" xfId="0" applyNumberFormat="1" applyBorder="1" applyAlignment="1" applyProtection="1">
      <alignment horizontal="center"/>
    </xf>
    <xf numFmtId="0" fontId="0" fillId="0" borderId="0" xfId="0" applyBorder="1" applyAlignment="1" applyProtection="1"/>
    <xf numFmtId="0" fontId="0" fillId="0" borderId="2" xfId="0" applyBorder="1" applyAlignment="1" applyProtection="1"/>
    <xf numFmtId="0" fontId="0" fillId="0" borderId="103" xfId="0" applyBorder="1" applyAlignment="1" applyProtection="1"/>
    <xf numFmtId="0" fontId="0" fillId="0" borderId="104" xfId="0" applyBorder="1" applyAlignment="1" applyProtection="1"/>
    <xf numFmtId="0" fontId="0" fillId="0" borderId="105" xfId="0" applyBorder="1" applyAlignment="1" applyProtection="1"/>
    <xf numFmtId="0" fontId="0" fillId="0" borderId="106" xfId="0" applyBorder="1" applyAlignment="1" applyProtection="1"/>
    <xf numFmtId="0" fontId="0" fillId="0" borderId="107" xfId="0" applyBorder="1" applyAlignment="1" applyProtection="1"/>
    <xf numFmtId="0" fontId="0" fillId="0" borderId="108" xfId="0" applyBorder="1" applyAlignment="1" applyProtection="1"/>
    <xf numFmtId="1" fontId="9" fillId="0" borderId="0" xfId="42" applyNumberFormat="1" applyFont="1" applyFill="1" applyBorder="1" applyAlignment="1" applyProtection="1">
      <alignment horizontal="center" vertical="center"/>
      <protection hidden="1"/>
    </xf>
    <xf numFmtId="1" fontId="2" fillId="0" borderId="109" xfId="0" applyNumberFormat="1" applyFont="1" applyFill="1" applyBorder="1" applyAlignment="1" applyProtection="1">
      <alignment horizontal="center" vertical="center"/>
      <protection hidden="1"/>
    </xf>
    <xf numFmtId="1" fontId="2" fillId="0" borderId="91" xfId="0" applyNumberFormat="1" applyFont="1" applyFill="1" applyBorder="1" applyAlignment="1" applyProtection="1">
      <alignment horizontal="center" vertical="center"/>
      <protection hidden="1"/>
    </xf>
    <xf numFmtId="1" fontId="2" fillId="0" borderId="110" xfId="0" applyNumberFormat="1" applyFont="1" applyFill="1" applyBorder="1" applyAlignment="1" applyProtection="1">
      <alignment horizontal="center" vertical="center"/>
      <protection hidden="1"/>
    </xf>
    <xf numFmtId="1" fontId="2" fillId="0" borderId="0" xfId="0" applyNumberFormat="1" applyFont="1" applyFill="1" applyBorder="1" applyAlignment="1" applyProtection="1">
      <alignment vertical="center"/>
      <protection hidden="1"/>
    </xf>
    <xf numFmtId="0" fontId="9" fillId="0" borderId="0" xfId="0" applyFont="1" applyBorder="1" applyAlignment="1" applyProtection="1">
      <alignment horizontal="center"/>
    </xf>
    <xf numFmtId="0" fontId="0" fillId="0" borderId="0" xfId="0" applyAlignment="1" applyProtection="1">
      <alignment horizontal="center"/>
    </xf>
    <xf numFmtId="0" fontId="9" fillId="0" borderId="0" xfId="0" applyFont="1" applyFill="1" applyBorder="1" applyAlignment="1" applyProtection="1">
      <alignment vertical="center"/>
      <protection hidden="1"/>
    </xf>
    <xf numFmtId="0" fontId="4" fillId="0" borderId="0" xfId="0" applyFont="1" applyProtection="1"/>
    <xf numFmtId="0" fontId="0" fillId="0" borderId="16" xfId="0" applyBorder="1" applyAlignment="1" applyProtection="1"/>
    <xf numFmtId="2" fontId="9" fillId="0" borderId="0" xfId="42" applyNumberFormat="1" applyFont="1" applyFill="1" applyBorder="1" applyAlignment="1" applyProtection="1">
      <alignment horizontal="center" vertical="center"/>
      <protection hidden="1"/>
    </xf>
    <xf numFmtId="0" fontId="5" fillId="0" borderId="0" xfId="62" applyFont="1" applyFill="1" applyAlignment="1" applyProtection="1">
      <alignment horizontal="left"/>
      <protection locked="0"/>
    </xf>
    <xf numFmtId="0" fontId="5" fillId="0" borderId="0" xfId="62" applyFont="1" applyAlignment="1" applyProtection="1">
      <alignment horizontal="left"/>
      <protection locked="0"/>
    </xf>
    <xf numFmtId="0" fontId="5" fillId="0" borderId="0" xfId="62" applyFont="1" applyAlignment="1" applyProtection="1">
      <alignment horizontal="center"/>
      <protection locked="0"/>
    </xf>
    <xf numFmtId="0" fontId="2" fillId="0" borderId="30" xfId="62" applyFont="1" applyFill="1" applyBorder="1" applyAlignment="1" applyProtection="1">
      <protection locked="0"/>
    </xf>
    <xf numFmtId="0" fontId="2" fillId="0" borderId="30" xfId="62" applyFont="1" applyFill="1" applyBorder="1" applyAlignment="1" applyProtection="1">
      <alignment horizontal="center"/>
      <protection locked="0"/>
    </xf>
    <xf numFmtId="0" fontId="2" fillId="0" borderId="0" xfId="62" applyFont="1" applyAlignment="1" applyProtection="1">
      <alignment horizontal="left"/>
      <protection locked="0"/>
    </xf>
    <xf numFmtId="0" fontId="2" fillId="0" borderId="0" xfId="62" applyFont="1" applyAlignment="1" applyProtection="1">
      <alignment horizontal="center"/>
      <protection locked="0"/>
    </xf>
    <xf numFmtId="0" fontId="2" fillId="0" borderId="0" xfId="62" applyFont="1" applyFill="1" applyAlignment="1" applyProtection="1">
      <protection locked="0"/>
    </xf>
    <xf numFmtId="0" fontId="2" fillId="0" borderId="0" xfId="62" applyFont="1" applyAlignment="1" applyProtection="1">
      <protection locked="0"/>
    </xf>
    <xf numFmtId="0" fontId="2" fillId="0" borderId="0" xfId="62" applyFont="1" applyFill="1" applyAlignment="1" applyProtection="1">
      <alignment horizontal="center"/>
      <protection locked="0"/>
    </xf>
    <xf numFmtId="0" fontId="2" fillId="0" borderId="3" xfId="62" applyFont="1" applyFill="1" applyBorder="1" applyAlignment="1" applyProtection="1">
      <protection locked="0"/>
    </xf>
    <xf numFmtId="0" fontId="2" fillId="0" borderId="4" xfId="62" applyFont="1" applyFill="1" applyBorder="1" applyAlignment="1" applyProtection="1">
      <protection locked="0"/>
    </xf>
    <xf numFmtId="0" fontId="9" fillId="0" borderId="0" xfId="62" applyFont="1" applyFill="1" applyAlignment="1" applyProtection="1">
      <alignment horizontal="center"/>
      <protection locked="0"/>
    </xf>
    <xf numFmtId="0" fontId="9" fillId="0" borderId="0" xfId="62" applyAlignment="1" applyProtection="1">
      <alignment horizontal="center"/>
      <protection locked="0"/>
    </xf>
    <xf numFmtId="0" fontId="2" fillId="0" borderId="32" xfId="62" applyFont="1" applyFill="1" applyBorder="1" applyAlignment="1" applyProtection="1">
      <alignment horizontal="center"/>
      <protection locked="0"/>
    </xf>
    <xf numFmtId="0" fontId="2" fillId="0" borderId="0" xfId="62" applyFont="1" applyAlignment="1" applyProtection="1">
      <alignment horizontal="center" wrapText="1"/>
      <protection locked="0"/>
    </xf>
    <xf numFmtId="0" fontId="9" fillId="0" borderId="0" xfId="62" applyAlignment="1" applyProtection="1">
      <protection locked="0"/>
    </xf>
    <xf numFmtId="0" fontId="9" fillId="0" borderId="0" xfId="62" applyFill="1" applyAlignment="1" applyProtection="1">
      <protection locked="0"/>
    </xf>
    <xf numFmtId="0" fontId="2" fillId="0" borderId="0" xfId="62" applyFont="1" applyFill="1" applyAlignment="1" applyProtection="1">
      <alignment horizontal="center" vertical="center"/>
      <protection locked="0"/>
    </xf>
    <xf numFmtId="0" fontId="2" fillId="0" borderId="32" xfId="62" applyFont="1" applyFill="1" applyBorder="1" applyAlignment="1" applyProtection="1">
      <alignment horizontal="center" vertical="center"/>
      <protection locked="0"/>
    </xf>
    <xf numFmtId="0" fontId="2" fillId="0" borderId="34" xfId="62" applyFont="1" applyFill="1" applyBorder="1" applyProtection="1">
      <protection locked="0"/>
    </xf>
    <xf numFmtId="0" fontId="9" fillId="0" borderId="0" xfId="62" applyProtection="1">
      <protection locked="0"/>
    </xf>
    <xf numFmtId="0" fontId="9" fillId="0" borderId="0" xfId="62" applyFill="1" applyAlignment="1" applyProtection="1">
      <alignment horizontal="left"/>
      <protection locked="0"/>
    </xf>
    <xf numFmtId="0" fontId="2" fillId="0" borderId="34" xfId="62" applyFont="1" applyFill="1" applyBorder="1" applyAlignment="1" applyProtection="1">
      <alignment horizontal="center"/>
      <protection locked="0"/>
    </xf>
    <xf numFmtId="0" fontId="2" fillId="0" borderId="8" xfId="62" applyFont="1" applyFill="1" applyBorder="1" applyAlignment="1" applyProtection="1">
      <alignment horizontal="center"/>
      <protection locked="0"/>
    </xf>
    <xf numFmtId="0" fontId="2" fillId="0" borderId="36" xfId="62" applyFont="1" applyFill="1" applyBorder="1" applyAlignment="1" applyProtection="1">
      <alignment horizontal="center"/>
      <protection locked="0"/>
    </xf>
    <xf numFmtId="0" fontId="78" fillId="0" borderId="0" xfId="62" applyFont="1" applyFill="1" applyAlignment="1" applyProtection="1">
      <alignment horizontal="left" vertical="top"/>
      <protection locked="0"/>
    </xf>
    <xf numFmtId="0" fontId="78" fillId="0" borderId="0" xfId="62" applyFont="1" applyAlignment="1" applyProtection="1">
      <alignment horizontal="left" vertical="top"/>
      <protection locked="0"/>
    </xf>
    <xf numFmtId="0" fontId="78" fillId="0" borderId="0" xfId="62" applyFont="1" applyAlignment="1" applyProtection="1">
      <alignment horizontal="center" vertical="top"/>
      <protection locked="0"/>
    </xf>
    <xf numFmtId="0" fontId="2" fillId="0" borderId="43" xfId="62" applyFont="1" applyFill="1" applyBorder="1" applyAlignment="1" applyProtection="1">
      <alignment horizontal="center"/>
      <protection locked="0"/>
    </xf>
    <xf numFmtId="0" fontId="2" fillId="0" borderId="25" xfId="62" applyFont="1" applyFill="1" applyBorder="1" applyAlignment="1" applyProtection="1">
      <alignment horizontal="center"/>
      <protection locked="0"/>
    </xf>
    <xf numFmtId="2" fontId="79" fillId="0" borderId="40" xfId="62" applyNumberFormat="1" applyFont="1" applyFill="1" applyBorder="1" applyAlignment="1" applyProtection="1">
      <alignment horizontal="center"/>
      <protection locked="0"/>
    </xf>
    <xf numFmtId="2" fontId="9" fillId="0" borderId="0" xfId="62" applyNumberFormat="1" applyFont="1" applyFill="1" applyBorder="1" applyAlignment="1" applyProtection="1">
      <alignment horizontal="center"/>
      <protection locked="0"/>
    </xf>
    <xf numFmtId="0" fontId="9" fillId="0" borderId="0" xfId="62" applyFont="1" applyFill="1" applyBorder="1" applyProtection="1">
      <protection locked="0"/>
    </xf>
    <xf numFmtId="0" fontId="2" fillId="0" borderId="114" xfId="62" applyFont="1" applyFill="1" applyBorder="1" applyProtection="1">
      <protection locked="0"/>
    </xf>
    <xf numFmtId="0" fontId="9" fillId="0" borderId="0" xfId="62" applyFont="1" applyFill="1" applyBorder="1" applyAlignment="1" applyProtection="1">
      <alignment horizontal="center"/>
      <protection locked="0"/>
    </xf>
    <xf numFmtId="0" fontId="9" fillId="0" borderId="0" xfId="0" applyFont="1" applyAlignment="1" applyProtection="1">
      <alignment horizontal="center"/>
      <protection locked="0"/>
    </xf>
    <xf numFmtId="0" fontId="9" fillId="0" borderId="0" xfId="0" applyFont="1" applyFill="1" applyBorder="1" applyAlignment="1" applyProtection="1">
      <alignment vertical="top"/>
      <protection locked="0"/>
    </xf>
    <xf numFmtId="0" fontId="32" fillId="0" borderId="0" xfId="0" applyFont="1" applyAlignment="1" applyProtection="1">
      <alignment horizontal="center"/>
      <protection locked="0"/>
    </xf>
    <xf numFmtId="0" fontId="2" fillId="0" borderId="46" xfId="62" applyFont="1" applyBorder="1" applyAlignment="1" applyProtection="1">
      <protection locked="0"/>
    </xf>
    <xf numFmtId="0" fontId="2" fillId="0" borderId="54" xfId="62" applyFont="1" applyBorder="1" applyAlignment="1" applyProtection="1">
      <alignment horizontal="center"/>
      <protection locked="0"/>
    </xf>
    <xf numFmtId="0" fontId="73" fillId="0" borderId="32" xfId="62" applyFont="1" applyBorder="1" applyProtection="1">
      <protection locked="0"/>
    </xf>
    <xf numFmtId="0" fontId="9" fillId="0" borderId="0" xfId="62" applyFont="1" applyFill="1" applyProtection="1">
      <protection locked="0"/>
    </xf>
    <xf numFmtId="0" fontId="9" fillId="0" borderId="0" xfId="62" applyFill="1" applyAlignment="1" applyProtection="1">
      <alignment horizontal="center"/>
      <protection locked="0"/>
    </xf>
    <xf numFmtId="0" fontId="5" fillId="49" borderId="0" xfId="62" applyFont="1" applyFill="1" applyBorder="1" applyAlignment="1" applyProtection="1">
      <alignment horizontal="left"/>
      <protection locked="0"/>
    </xf>
    <xf numFmtId="0" fontId="78" fillId="49" borderId="0" xfId="62" applyFont="1" applyFill="1" applyBorder="1" applyAlignment="1" applyProtection="1">
      <alignment horizontal="left" vertical="top"/>
      <protection locked="0"/>
    </xf>
    <xf numFmtId="0" fontId="9" fillId="49" borderId="0" xfId="62" applyFont="1" applyFill="1" applyBorder="1" applyAlignment="1" applyProtection="1">
      <alignment horizontal="center"/>
      <protection locked="0"/>
    </xf>
    <xf numFmtId="0" fontId="2" fillId="49" borderId="30" xfId="42" applyFont="1" applyFill="1" applyBorder="1" applyAlignment="1" applyProtection="1">
      <alignment horizontal="center" vertical="center" wrapText="1"/>
      <protection locked="0"/>
    </xf>
    <xf numFmtId="0" fontId="2" fillId="49" borderId="32" xfId="42" applyFont="1" applyFill="1" applyBorder="1" applyAlignment="1" applyProtection="1">
      <alignment horizontal="center" vertical="center" wrapText="1"/>
      <protection locked="0"/>
    </xf>
    <xf numFmtId="0" fontId="2" fillId="49" borderId="34" xfId="42" applyFont="1" applyFill="1" applyBorder="1" applyAlignment="1" applyProtection="1">
      <alignment horizontal="center" vertical="center" wrapText="1"/>
      <protection locked="0"/>
    </xf>
    <xf numFmtId="0" fontId="0" fillId="0" borderId="0" xfId="0" applyBorder="1" applyAlignment="1" applyProtection="1">
      <alignment horizontal="center"/>
    </xf>
    <xf numFmtId="0" fontId="9" fillId="0" borderId="51" xfId="0" applyFont="1" applyBorder="1" applyAlignment="1" applyProtection="1">
      <alignment horizontal="center"/>
    </xf>
    <xf numFmtId="0" fontId="9" fillId="0" borderId="50" xfId="0" applyFont="1" applyBorder="1" applyAlignment="1" applyProtection="1">
      <alignment horizontal="center"/>
    </xf>
    <xf numFmtId="0" fontId="9" fillId="0" borderId="107" xfId="0" applyFont="1" applyBorder="1" applyAlignment="1" applyProtection="1"/>
    <xf numFmtId="0" fontId="12" fillId="0" borderId="0" xfId="0" applyFont="1" applyBorder="1" applyAlignment="1" applyProtection="1">
      <alignment horizontal="left" vertical="center"/>
    </xf>
    <xf numFmtId="0" fontId="13" fillId="0" borderId="0" xfId="0" applyFont="1" applyFill="1" applyAlignment="1" applyProtection="1">
      <alignment horizontal="left"/>
    </xf>
    <xf numFmtId="0" fontId="13" fillId="0" borderId="0" xfId="0" applyFont="1" applyFill="1" applyBorder="1" applyAlignment="1" applyProtection="1">
      <alignment horizontal="left"/>
    </xf>
    <xf numFmtId="0" fontId="0" fillId="0" borderId="2" xfId="0" applyBorder="1" applyProtection="1"/>
    <xf numFmtId="0" fontId="0" fillId="0" borderId="0" xfId="0" applyFill="1" applyBorder="1" applyAlignment="1" applyProtection="1">
      <alignment horizontal="center"/>
    </xf>
    <xf numFmtId="167" fontId="0" fillId="0" borderId="0" xfId="0" applyNumberFormat="1" applyAlignment="1" applyProtection="1">
      <alignment vertical="center"/>
      <protection hidden="1"/>
    </xf>
    <xf numFmtId="0" fontId="9" fillId="0" borderId="0" xfId="0" applyFont="1" applyFill="1" applyAlignment="1">
      <alignment horizontal="center"/>
    </xf>
    <xf numFmtId="0" fontId="13" fillId="0" borderId="0" xfId="0" applyFont="1" applyBorder="1" applyAlignment="1" applyProtection="1">
      <alignment horizontal="left"/>
    </xf>
    <xf numFmtId="0" fontId="0" fillId="0" borderId="0" xfId="0" applyAlignment="1" applyProtection="1">
      <alignment horizontal="left"/>
    </xf>
    <xf numFmtId="2" fontId="0" fillId="0" borderId="50" xfId="0" applyNumberFormat="1" applyFill="1" applyBorder="1" applyAlignment="1" applyProtection="1">
      <alignment horizontal="center" vertical="center"/>
      <protection locked="0" hidden="1"/>
    </xf>
    <xf numFmtId="0" fontId="2" fillId="0" borderId="0" xfId="0" applyFont="1" applyFill="1" applyBorder="1" applyAlignment="1">
      <alignment horizontal="center"/>
    </xf>
    <xf numFmtId="0" fontId="12" fillId="0" borderId="0" xfId="0" applyFont="1" applyAlignment="1" applyProtection="1">
      <alignment horizontal="center" vertical="center"/>
      <protection hidden="1"/>
    </xf>
    <xf numFmtId="0" fontId="9" fillId="0" borderId="64" xfId="0" applyFont="1" applyFill="1" applyBorder="1" applyAlignment="1">
      <alignment horizontal="center"/>
    </xf>
    <xf numFmtId="0" fontId="9" fillId="0" borderId="63" xfId="0" applyFont="1" applyFill="1" applyBorder="1" applyAlignment="1">
      <alignment horizontal="center"/>
    </xf>
    <xf numFmtId="0" fontId="9" fillId="0" borderId="118" xfId="0" applyFont="1" applyFill="1" applyBorder="1" applyAlignment="1">
      <alignment horizontal="center"/>
    </xf>
    <xf numFmtId="0" fontId="9" fillId="0" borderId="120" xfId="0" applyFont="1" applyFill="1" applyBorder="1" applyAlignment="1">
      <alignment horizontal="center"/>
    </xf>
    <xf numFmtId="167" fontId="0" fillId="49" borderId="0" xfId="0" applyNumberFormat="1" applyFill="1" applyAlignment="1" applyProtection="1">
      <alignment vertical="center"/>
      <protection hidden="1"/>
    </xf>
    <xf numFmtId="1" fontId="0" fillId="0" borderId="0" xfId="0" applyNumberFormat="1" applyAlignment="1" applyProtection="1">
      <alignment vertical="center"/>
      <protection hidden="1"/>
    </xf>
    <xf numFmtId="2" fontId="0" fillId="0" borderId="0" xfId="0" applyNumberFormat="1" applyAlignment="1" applyProtection="1">
      <alignment vertical="center"/>
      <protection hidden="1"/>
    </xf>
    <xf numFmtId="1" fontId="9" fillId="0" borderId="0" xfId="62" applyNumberFormat="1" applyFill="1" applyBorder="1" applyAlignment="1" applyProtection="1">
      <alignment horizontal="center" vertical="center"/>
      <protection locked="0" hidden="1"/>
    </xf>
    <xf numFmtId="0" fontId="0" fillId="0" borderId="0" xfId="0" applyFill="1" applyBorder="1" applyAlignment="1" applyProtection="1"/>
    <xf numFmtId="167" fontId="0" fillId="46" borderId="0" xfId="0" applyNumberFormat="1" applyFill="1" applyAlignment="1" applyProtection="1">
      <alignment vertical="center"/>
      <protection hidden="1"/>
    </xf>
    <xf numFmtId="167" fontId="0" fillId="46" borderId="0" xfId="0" applyNumberFormat="1" applyFill="1" applyBorder="1" applyAlignment="1" applyProtection="1">
      <alignment horizontal="center"/>
    </xf>
    <xf numFmtId="0" fontId="9" fillId="0" borderId="0" xfId="62" applyAlignment="1" applyProtection="1">
      <alignment horizontal="center" wrapText="1"/>
      <protection locked="0"/>
    </xf>
    <xf numFmtId="0" fontId="2" fillId="0" borderId="5" xfId="62" applyFont="1" applyFill="1" applyBorder="1" applyAlignment="1" applyProtection="1">
      <alignment horizontal="center" wrapText="1"/>
      <protection locked="0"/>
    </xf>
    <xf numFmtId="167" fontId="9" fillId="0" borderId="0" xfId="62" applyNumberFormat="1" applyFont="1" applyFill="1" applyBorder="1" applyAlignment="1" applyProtection="1">
      <alignment horizontal="center"/>
      <protection locked="0"/>
    </xf>
    <xf numFmtId="0" fontId="9" fillId="0" borderId="6" xfId="0" applyFont="1" applyBorder="1" applyAlignment="1" applyProtection="1">
      <alignment vertical="center"/>
    </xf>
    <xf numFmtId="0" fontId="2" fillId="0" borderId="7" xfId="0" applyFont="1" applyBorder="1" applyAlignment="1" applyProtection="1">
      <alignment vertical="center"/>
    </xf>
    <xf numFmtId="0" fontId="2" fillId="0" borderId="7" xfId="0" applyFont="1" applyBorder="1" applyAlignment="1" applyProtection="1">
      <alignment horizontal="center" vertical="center"/>
    </xf>
    <xf numFmtId="0" fontId="9" fillId="46" borderId="0" xfId="0" applyFont="1" applyFill="1" applyAlignment="1" applyProtection="1">
      <alignment vertical="center"/>
      <protection hidden="1"/>
    </xf>
    <xf numFmtId="0" fontId="0" fillId="46" borderId="0" xfId="0" applyFill="1" applyAlignment="1" applyProtection="1">
      <alignment vertical="center"/>
      <protection hidden="1"/>
    </xf>
    <xf numFmtId="1" fontId="2" fillId="0" borderId="3" xfId="0" applyNumberFormat="1" applyFont="1" applyBorder="1" applyAlignment="1" applyProtection="1">
      <alignment horizontal="center" vertical="center"/>
      <protection hidden="1"/>
    </xf>
    <xf numFmtId="0" fontId="2" fillId="0" borderId="64" xfId="0" applyFont="1" applyBorder="1" applyAlignment="1" applyProtection="1">
      <alignment vertical="center"/>
      <protection hidden="1"/>
    </xf>
    <xf numFmtId="0" fontId="2" fillId="0" borderId="63" xfId="0" applyFont="1" applyBorder="1" applyAlignment="1" applyProtection="1">
      <alignment vertical="center"/>
      <protection hidden="1"/>
    </xf>
    <xf numFmtId="1" fontId="2" fillId="0" borderId="64" xfId="0" applyNumberFormat="1" applyFont="1" applyBorder="1" applyAlignment="1" applyProtection="1">
      <alignment horizontal="center" vertical="center"/>
      <protection hidden="1"/>
    </xf>
    <xf numFmtId="0" fontId="0" fillId="4" borderId="0" xfId="0" applyFill="1" applyBorder="1" applyAlignment="1" applyProtection="1">
      <alignment horizontal="center" vertical="center"/>
      <protection locked="0" hidden="1"/>
    </xf>
    <xf numFmtId="1" fontId="0" fillId="4" borderId="0" xfId="0" applyNumberFormat="1" applyFill="1" applyBorder="1" applyAlignment="1" applyProtection="1">
      <alignment horizontal="center" vertical="center"/>
      <protection locked="0" hidden="1"/>
    </xf>
    <xf numFmtId="167" fontId="12" fillId="0" borderId="0" xfId="0" applyNumberFormat="1" applyFont="1" applyAlignment="1" applyProtection="1">
      <alignment vertical="center"/>
      <protection locked="0" hidden="1"/>
    </xf>
    <xf numFmtId="1" fontId="0" fillId="0" borderId="0" xfId="0" applyNumberFormat="1" applyAlignment="1" applyProtection="1">
      <alignment vertical="center"/>
      <protection locked="0" hidden="1"/>
    </xf>
    <xf numFmtId="167" fontId="9" fillId="0" borderId="0" xfId="0" applyNumberFormat="1" applyFont="1" applyAlignment="1" applyProtection="1">
      <alignment vertical="center"/>
      <protection hidden="1"/>
    </xf>
    <xf numFmtId="2" fontId="9" fillId="0" borderId="0" xfId="0" applyNumberFormat="1" applyFont="1" applyAlignment="1" applyProtection="1">
      <alignment vertical="center"/>
      <protection hidden="1"/>
    </xf>
    <xf numFmtId="0" fontId="2" fillId="0" borderId="0" xfId="0" applyFont="1" applyAlignment="1" applyProtection="1">
      <alignment horizontal="center" vertical="center"/>
      <protection hidden="1"/>
    </xf>
    <xf numFmtId="0" fontId="2" fillId="0" borderId="0" xfId="0" applyFont="1" applyAlignment="1" applyProtection="1">
      <alignment horizontal="left" vertical="center"/>
      <protection hidden="1"/>
    </xf>
    <xf numFmtId="0" fontId="82" fillId="0" borderId="0" xfId="0" applyFont="1" applyAlignment="1" applyProtection="1">
      <alignment vertical="center"/>
      <protection hidden="1"/>
    </xf>
    <xf numFmtId="0" fontId="2" fillId="2" borderId="1" xfId="0" applyFont="1" applyFill="1" applyBorder="1" applyAlignment="1" applyProtection="1">
      <alignment horizontal="center" vertical="center"/>
      <protection locked="0"/>
    </xf>
    <xf numFmtId="0" fontId="2" fillId="0" borderId="0" xfId="0" applyFont="1" applyAlignment="1" applyProtection="1">
      <alignment vertical="center"/>
    </xf>
    <xf numFmtId="0" fontId="12" fillId="2" borderId="1" xfId="0" applyFont="1" applyFill="1" applyBorder="1" applyAlignment="1" applyProtection="1">
      <alignment horizontal="center" vertical="center"/>
      <protection locked="0"/>
    </xf>
    <xf numFmtId="0" fontId="2" fillId="0" borderId="0" xfId="0" applyFont="1" applyBorder="1" applyAlignment="1" applyProtection="1">
      <alignment horizontal="left" vertical="center"/>
      <protection locked="0" hidden="1"/>
    </xf>
    <xf numFmtId="0" fontId="2" fillId="5" borderId="0" xfId="0" applyFont="1" applyFill="1" applyAlignment="1" applyProtection="1">
      <alignment horizontal="left" vertical="center"/>
      <protection hidden="1"/>
    </xf>
    <xf numFmtId="0" fontId="2" fillId="5" borderId="0" xfId="0" applyFont="1" applyFill="1" applyAlignment="1" applyProtection="1">
      <alignment horizontal="center" vertical="center"/>
      <protection hidden="1"/>
    </xf>
    <xf numFmtId="0" fontId="2" fillId="5" borderId="0" xfId="0" applyFont="1" applyFill="1" applyAlignment="1" applyProtection="1">
      <alignment vertical="center"/>
      <protection hidden="1"/>
    </xf>
    <xf numFmtId="0" fontId="2" fillId="5" borderId="0" xfId="0" applyFont="1" applyFill="1" applyBorder="1" applyAlignment="1" applyProtection="1">
      <alignment horizontal="center" vertical="center"/>
      <protection locked="0" hidden="1"/>
    </xf>
    <xf numFmtId="0" fontId="2" fillId="5" borderId="0" xfId="0" applyFont="1" applyFill="1" applyBorder="1" applyAlignment="1" applyProtection="1">
      <alignment horizontal="left" vertical="center"/>
      <protection locked="0" hidden="1"/>
    </xf>
    <xf numFmtId="0" fontId="5" fillId="5" borderId="0" xfId="0" applyFont="1" applyFill="1" applyAlignment="1" applyProtection="1">
      <alignment vertical="center"/>
      <protection hidden="1"/>
    </xf>
    <xf numFmtId="0" fontId="5" fillId="5" borderId="0" xfId="0" applyFont="1" applyFill="1" applyBorder="1" applyAlignment="1" applyProtection="1">
      <alignment vertical="center"/>
      <protection locked="0" hidden="1"/>
    </xf>
    <xf numFmtId="167" fontId="5" fillId="0" borderId="0" xfId="0" applyNumberFormat="1" applyFont="1" applyBorder="1" applyAlignment="1" applyProtection="1">
      <alignment vertical="center"/>
      <protection locked="0" hidden="1"/>
    </xf>
    <xf numFmtId="0" fontId="13" fillId="0" borderId="0" xfId="0" applyFont="1" applyAlignment="1" applyProtection="1">
      <alignment horizontal="center" vertical="center"/>
      <protection hidden="1"/>
    </xf>
    <xf numFmtId="0" fontId="0" fillId="0" borderId="2" xfId="0" applyBorder="1" applyAlignment="1" applyProtection="1">
      <alignment horizontal="center"/>
    </xf>
    <xf numFmtId="1" fontId="2" fillId="0" borderId="0" xfId="0" applyNumberFormat="1" applyFont="1" applyBorder="1" applyAlignment="1" applyProtection="1">
      <alignment horizontal="center" vertical="center"/>
      <protection locked="0" hidden="1"/>
    </xf>
    <xf numFmtId="0" fontId="72" fillId="0" borderId="34" xfId="0" applyFont="1" applyBorder="1" applyAlignment="1">
      <alignment textRotation="90"/>
    </xf>
    <xf numFmtId="0" fontId="2" fillId="0" borderId="5" xfId="62" applyFont="1" applyFill="1" applyBorder="1" applyAlignment="1" applyProtection="1">
      <alignment horizontal="center"/>
      <protection locked="0"/>
    </xf>
    <xf numFmtId="0" fontId="12" fillId="0" borderId="0" xfId="0" applyFont="1" applyFill="1" applyBorder="1" applyProtection="1"/>
    <xf numFmtId="1" fontId="2" fillId="0" borderId="93" xfId="0" applyNumberFormat="1" applyFont="1" applyFill="1" applyBorder="1" applyAlignment="1" applyProtection="1">
      <alignment horizontal="center" vertical="center"/>
      <protection hidden="1"/>
    </xf>
    <xf numFmtId="1" fontId="2" fillId="0" borderId="123" xfId="0" applyNumberFormat="1" applyFont="1" applyFill="1" applyBorder="1" applyAlignment="1" applyProtection="1">
      <alignment horizontal="center" vertical="center"/>
      <protection hidden="1"/>
    </xf>
    <xf numFmtId="0" fontId="2" fillId="48" borderId="50" xfId="0" applyFont="1" applyFill="1" applyBorder="1" applyAlignment="1" applyProtection="1">
      <alignment horizontal="center" vertical="center"/>
    </xf>
    <xf numFmtId="0" fontId="2" fillId="50" borderId="92" xfId="0" applyFont="1" applyFill="1" applyBorder="1" applyAlignment="1" applyProtection="1">
      <alignment horizontal="center" vertical="center"/>
      <protection locked="0"/>
    </xf>
    <xf numFmtId="0" fontId="2" fillId="50" borderId="124" xfId="0" applyFont="1" applyFill="1" applyBorder="1" applyAlignment="1" applyProtection="1">
      <alignment horizontal="center" vertical="center"/>
      <protection locked="0"/>
    </xf>
    <xf numFmtId="1" fontId="2" fillId="0" borderId="125" xfId="0" applyNumberFormat="1" applyFont="1" applyFill="1" applyBorder="1" applyAlignment="1" applyProtection="1">
      <alignment horizontal="center" vertical="center"/>
      <protection locked="0" hidden="1"/>
    </xf>
    <xf numFmtId="1" fontId="27" fillId="0" borderId="0" xfId="0" applyNumberFormat="1" applyFont="1" applyFill="1" applyBorder="1" applyAlignment="1" applyProtection="1">
      <alignment horizontal="center" vertical="center"/>
      <protection locked="0" hidden="1"/>
    </xf>
    <xf numFmtId="0" fontId="2" fillId="2" borderId="126" xfId="0" applyFont="1" applyFill="1" applyBorder="1" applyAlignment="1" applyProtection="1">
      <alignment horizontal="center" vertical="center"/>
      <protection locked="0"/>
    </xf>
    <xf numFmtId="0" fontId="2" fillId="0" borderId="127" xfId="0" applyFont="1" applyBorder="1" applyAlignment="1" applyProtection="1">
      <alignment horizontal="center" vertical="center"/>
    </xf>
    <xf numFmtId="0" fontId="2" fillId="2" borderId="128" xfId="0" applyFont="1" applyFill="1" applyBorder="1" applyAlignment="1" applyProtection="1">
      <alignment horizontal="center" vertical="center"/>
      <protection locked="0"/>
    </xf>
    <xf numFmtId="0" fontId="2" fillId="0" borderId="129" xfId="0" applyFont="1" applyBorder="1" applyAlignment="1" applyProtection="1">
      <alignment horizontal="center" vertical="center"/>
    </xf>
    <xf numFmtId="0" fontId="2" fillId="0" borderId="130" xfId="0" applyFont="1" applyBorder="1" applyAlignment="1" applyProtection="1">
      <alignment horizontal="center" vertical="center"/>
    </xf>
    <xf numFmtId="0" fontId="2" fillId="50" borderId="131" xfId="0" applyFont="1" applyFill="1" applyBorder="1" applyAlignment="1" applyProtection="1">
      <alignment horizontal="center" vertical="center"/>
      <protection locked="0"/>
    </xf>
    <xf numFmtId="0" fontId="9" fillId="0" borderId="132" xfId="0" applyFont="1" applyBorder="1" applyAlignment="1" applyProtection="1">
      <alignment vertical="center"/>
    </xf>
    <xf numFmtId="0" fontId="2" fillId="0" borderId="133" xfId="0" applyFont="1" applyBorder="1" applyAlignment="1" applyProtection="1">
      <alignment vertical="center"/>
    </xf>
    <xf numFmtId="0" fontId="2" fillId="0" borderId="133" xfId="0" applyFont="1" applyBorder="1" applyAlignment="1" applyProtection="1">
      <alignment horizontal="center" vertical="center"/>
    </xf>
    <xf numFmtId="0" fontId="2" fillId="0" borderId="134" xfId="0" applyFont="1" applyBorder="1" applyAlignment="1" applyProtection="1">
      <alignment horizontal="center" vertical="center"/>
    </xf>
    <xf numFmtId="0" fontId="2" fillId="0" borderId="0" xfId="0" applyFont="1" applyBorder="1" applyAlignment="1" applyProtection="1">
      <alignment vertical="center"/>
      <protection hidden="1"/>
    </xf>
    <xf numFmtId="0" fontId="13" fillId="0" borderId="5" xfId="0" applyFont="1" applyBorder="1" applyAlignment="1" applyProtection="1">
      <alignment horizontal="left"/>
    </xf>
    <xf numFmtId="0" fontId="12" fillId="0" borderId="31" xfId="0" applyFont="1" applyBorder="1" applyAlignment="1" applyProtection="1">
      <alignment horizontal="center" vertical="center"/>
    </xf>
    <xf numFmtId="0" fontId="27" fillId="0" borderId="64" xfId="0" applyFont="1" applyBorder="1" applyProtection="1"/>
    <xf numFmtId="0" fontId="0" fillId="0" borderId="63" xfId="0" applyBorder="1" applyProtection="1"/>
    <xf numFmtId="0" fontId="9" fillId="0" borderId="63" xfId="0" applyFont="1" applyBorder="1" applyAlignment="1" applyProtection="1">
      <alignment horizontal="left"/>
    </xf>
    <xf numFmtId="0" fontId="12" fillId="0" borderId="63" xfId="0" applyFont="1" applyBorder="1" applyAlignment="1" applyProtection="1">
      <alignment horizontal="center" vertical="center"/>
    </xf>
    <xf numFmtId="0" fontId="12" fillId="0" borderId="118" xfId="0" applyFont="1" applyBorder="1" applyAlignment="1" applyProtection="1">
      <alignment horizontal="center" vertical="center"/>
    </xf>
    <xf numFmtId="0" fontId="13" fillId="0" borderId="10" xfId="0" applyFont="1" applyBorder="1" applyProtection="1"/>
    <xf numFmtId="0" fontId="2" fillId="0" borderId="2" xfId="0" applyFont="1" applyBorder="1" applyAlignment="1" applyProtection="1">
      <alignment vertical="center"/>
      <protection hidden="1"/>
    </xf>
    <xf numFmtId="0" fontId="0" fillId="0" borderId="2" xfId="0" applyBorder="1" applyAlignment="1" applyProtection="1">
      <alignment horizontal="left"/>
    </xf>
    <xf numFmtId="0" fontId="0" fillId="0" borderId="59" xfId="0" applyBorder="1" applyAlignment="1" applyProtection="1">
      <alignment horizontal="center"/>
    </xf>
    <xf numFmtId="0" fontId="12" fillId="0" borderId="97" xfId="0" applyFont="1" applyBorder="1" applyAlignment="1" applyProtection="1">
      <alignment horizontal="center" vertical="center"/>
    </xf>
    <xf numFmtId="0" fontId="12" fillId="0" borderId="115" xfId="0" applyFont="1" applyBorder="1" applyAlignment="1" applyProtection="1">
      <alignment horizontal="center" vertical="center"/>
    </xf>
    <xf numFmtId="0" fontId="13" fillId="0" borderId="0" xfId="0" applyFont="1" applyFill="1" applyBorder="1" applyAlignment="1" applyProtection="1">
      <alignment vertical="center"/>
    </xf>
    <xf numFmtId="0" fontId="9" fillId="0" borderId="53" xfId="0" applyFont="1" applyBorder="1" applyAlignment="1" applyProtection="1">
      <alignment vertical="center"/>
    </xf>
    <xf numFmtId="0" fontId="9" fillId="0" borderId="19" xfId="0" applyFont="1" applyBorder="1" applyAlignment="1" applyProtection="1">
      <alignment vertical="center"/>
    </xf>
    <xf numFmtId="0" fontId="9" fillId="0" borderId="135" xfId="0" applyFont="1" applyBorder="1" applyAlignment="1" applyProtection="1">
      <alignment vertical="center"/>
    </xf>
    <xf numFmtId="0" fontId="9" fillId="0" borderId="86" xfId="0" applyFont="1" applyBorder="1" applyAlignment="1" applyProtection="1">
      <alignment vertical="center"/>
    </xf>
    <xf numFmtId="0" fontId="9" fillId="0" borderId="91" xfId="0" applyFont="1" applyBorder="1" applyAlignment="1" applyProtection="1">
      <alignment vertical="center"/>
    </xf>
    <xf numFmtId="0" fontId="9" fillId="0" borderId="136" xfId="0" applyFont="1" applyBorder="1" applyAlignment="1" applyProtection="1">
      <alignment vertical="center"/>
    </xf>
    <xf numFmtId="0" fontId="2" fillId="48" borderId="111" xfId="0" applyFont="1" applyFill="1" applyBorder="1" applyAlignment="1" applyProtection="1">
      <alignment vertical="center"/>
    </xf>
    <xf numFmtId="0" fontId="2" fillId="48" borderId="55" xfId="0" applyFont="1" applyFill="1" applyBorder="1" applyAlignment="1" applyProtection="1">
      <alignment vertical="center"/>
    </xf>
    <xf numFmtId="0" fontId="9" fillId="48" borderId="5" xfId="0" applyFont="1" applyFill="1" applyBorder="1" applyAlignment="1" applyProtection="1">
      <alignment vertical="center"/>
    </xf>
    <xf numFmtId="0" fontId="9" fillId="48" borderId="24" xfId="0" applyFont="1" applyFill="1" applyBorder="1" applyAlignment="1" applyProtection="1">
      <alignment horizontal="left" vertical="center"/>
    </xf>
    <xf numFmtId="0" fontId="72" fillId="52" borderId="36" xfId="0" applyFont="1" applyFill="1" applyBorder="1" applyAlignment="1">
      <alignment horizontal="center"/>
    </xf>
    <xf numFmtId="0" fontId="9" fillId="0" borderId="0" xfId="0" applyFont="1" applyBorder="1" applyAlignment="1" applyProtection="1">
      <alignment vertical="center"/>
      <protection hidden="1"/>
    </xf>
    <xf numFmtId="2" fontId="0" fillId="0" borderId="0" xfId="0" applyNumberFormat="1" applyFill="1" applyBorder="1" applyAlignment="1" applyProtection="1">
      <alignment horizontal="center" vertical="center"/>
      <protection locked="0" hidden="1"/>
    </xf>
    <xf numFmtId="0" fontId="0" fillId="0" borderId="85" xfId="0" applyFill="1" applyBorder="1" applyProtection="1"/>
    <xf numFmtId="0" fontId="0" fillId="0" borderId="137" xfId="0" applyFill="1" applyBorder="1" applyAlignment="1" applyProtection="1">
      <alignment horizontal="center"/>
    </xf>
    <xf numFmtId="1" fontId="0" fillId="0" borderId="138" xfId="0" applyNumberFormat="1" applyFill="1" applyBorder="1" applyAlignment="1" applyProtection="1">
      <alignment horizontal="center"/>
    </xf>
    <xf numFmtId="167" fontId="0" fillId="0" borderId="73" xfId="0" applyNumberFormat="1" applyFill="1" applyBorder="1" applyAlignment="1" applyProtection="1">
      <alignment horizontal="center"/>
    </xf>
    <xf numFmtId="0" fontId="0" fillId="0" borderId="90" xfId="0" applyFill="1" applyBorder="1" applyProtection="1"/>
    <xf numFmtId="0" fontId="0" fillId="0" borderId="139" xfId="0" applyFill="1" applyBorder="1" applyAlignment="1" applyProtection="1">
      <alignment horizontal="center"/>
    </xf>
    <xf numFmtId="1" fontId="0" fillId="0" borderId="140" xfId="0" applyNumberFormat="1" applyFill="1" applyBorder="1" applyAlignment="1" applyProtection="1">
      <alignment horizontal="center"/>
    </xf>
    <xf numFmtId="167" fontId="0" fillId="0" borderId="74" xfId="0" applyNumberFormat="1" applyFill="1" applyBorder="1" applyAlignment="1" applyProtection="1">
      <alignment horizontal="center"/>
    </xf>
    <xf numFmtId="0" fontId="13" fillId="0" borderId="86" xfId="0" applyFont="1" applyFill="1" applyBorder="1" applyProtection="1"/>
    <xf numFmtId="167" fontId="0" fillId="0" borderId="88" xfId="0" applyNumberFormat="1" applyFill="1" applyBorder="1" applyAlignment="1" applyProtection="1">
      <alignment horizontal="center"/>
    </xf>
    <xf numFmtId="0" fontId="13" fillId="0" borderId="91" xfId="0" applyFont="1" applyFill="1" applyBorder="1" applyProtection="1"/>
    <xf numFmtId="167" fontId="0" fillId="0" borderId="93" xfId="0" applyNumberFormat="1" applyFill="1" applyBorder="1" applyAlignment="1" applyProtection="1">
      <alignment horizontal="center"/>
    </xf>
    <xf numFmtId="0" fontId="13" fillId="0" borderId="136" xfId="0" applyFont="1" applyFill="1" applyBorder="1" applyProtection="1"/>
    <xf numFmtId="0" fontId="0" fillId="0" borderId="141" xfId="0" applyFill="1" applyBorder="1" applyProtection="1"/>
    <xf numFmtId="0" fontId="0" fillId="0" borderId="142" xfId="0" applyFill="1" applyBorder="1" applyAlignment="1" applyProtection="1">
      <alignment horizontal="center"/>
    </xf>
    <xf numFmtId="1" fontId="0" fillId="0" borderId="143" xfId="0" applyNumberFormat="1" applyFill="1" applyBorder="1" applyAlignment="1" applyProtection="1">
      <alignment horizontal="center"/>
    </xf>
    <xf numFmtId="167" fontId="0" fillId="0" borderId="144" xfId="0" applyNumberFormat="1" applyFill="1" applyBorder="1" applyAlignment="1" applyProtection="1">
      <alignment horizontal="center"/>
    </xf>
    <xf numFmtId="167" fontId="0" fillId="0" borderId="123" xfId="0" applyNumberFormat="1" applyFill="1" applyBorder="1" applyAlignment="1" applyProtection="1">
      <alignment horizontal="center"/>
    </xf>
    <xf numFmtId="0" fontId="0" fillId="50" borderId="139" xfId="0" applyFill="1" applyBorder="1" applyAlignment="1" applyProtection="1">
      <alignment horizontal="center"/>
      <protection locked="0"/>
    </xf>
    <xf numFmtId="0" fontId="0" fillId="50" borderId="74" xfId="0" applyFill="1" applyBorder="1" applyAlignment="1" applyProtection="1">
      <alignment horizontal="center"/>
      <protection locked="0"/>
    </xf>
    <xf numFmtId="2" fontId="0" fillId="50" borderId="74" xfId="0" applyNumberFormat="1" applyFill="1" applyBorder="1" applyAlignment="1" applyProtection="1">
      <alignment horizontal="center"/>
      <protection locked="0"/>
    </xf>
    <xf numFmtId="0" fontId="0" fillId="0" borderId="0" xfId="0" applyBorder="1" applyProtection="1"/>
    <xf numFmtId="2" fontId="0" fillId="50" borderId="93" xfId="0" applyNumberFormat="1" applyFill="1" applyBorder="1" applyAlignment="1" applyProtection="1">
      <alignment horizontal="center"/>
      <protection locked="0"/>
    </xf>
    <xf numFmtId="0" fontId="0" fillId="50" borderId="142" xfId="0" applyFill="1" applyBorder="1" applyAlignment="1" applyProtection="1">
      <alignment horizontal="center"/>
      <protection locked="0"/>
    </xf>
    <xf numFmtId="0" fontId="0" fillId="50" borderId="144" xfId="0" applyFill="1" applyBorder="1" applyAlignment="1" applyProtection="1">
      <alignment horizontal="center"/>
      <protection locked="0"/>
    </xf>
    <xf numFmtId="2" fontId="0" fillId="50" borderId="144" xfId="0" applyNumberFormat="1" applyFill="1" applyBorder="1" applyAlignment="1" applyProtection="1">
      <alignment horizontal="center"/>
      <protection locked="0"/>
    </xf>
    <xf numFmtId="2" fontId="0" fillId="50" borderId="123" xfId="0" applyNumberFormat="1" applyFill="1" applyBorder="1" applyAlignment="1" applyProtection="1">
      <alignment horizontal="center"/>
      <protection locked="0"/>
    </xf>
    <xf numFmtId="0" fontId="0" fillId="50" borderId="146" xfId="0" applyFill="1" applyBorder="1" applyAlignment="1" applyProtection="1">
      <alignment horizontal="center"/>
      <protection locked="0"/>
    </xf>
    <xf numFmtId="0" fontId="0" fillId="50" borderId="147" xfId="0" applyFill="1" applyBorder="1" applyAlignment="1" applyProtection="1">
      <alignment horizontal="center"/>
      <protection locked="0"/>
    </xf>
    <xf numFmtId="2" fontId="0" fillId="50" borderId="147" xfId="0" applyNumberFormat="1" applyFill="1" applyBorder="1" applyAlignment="1" applyProtection="1">
      <alignment horizontal="center"/>
      <protection locked="0"/>
    </xf>
    <xf numFmtId="2" fontId="0" fillId="50" borderId="148" xfId="0" applyNumberFormat="1" applyFill="1" applyBorder="1" applyAlignment="1" applyProtection="1">
      <alignment horizontal="center"/>
      <protection locked="0"/>
    </xf>
    <xf numFmtId="167" fontId="0" fillId="50" borderId="74" xfId="0" applyNumberFormat="1" applyFill="1" applyBorder="1" applyAlignment="1" applyProtection="1">
      <alignment horizontal="center"/>
      <protection locked="0"/>
    </xf>
    <xf numFmtId="0" fontId="0" fillId="50" borderId="137" xfId="0" applyFill="1" applyBorder="1" applyAlignment="1" applyProtection="1">
      <alignment horizontal="center"/>
      <protection locked="0"/>
    </xf>
    <xf numFmtId="167" fontId="0" fillId="50" borderId="73" xfId="0" applyNumberFormat="1" applyFill="1" applyBorder="1" applyAlignment="1" applyProtection="1">
      <alignment horizontal="center"/>
      <protection locked="0"/>
    </xf>
    <xf numFmtId="167" fontId="0" fillId="50" borderId="88" xfId="0" applyNumberFormat="1" applyFill="1" applyBorder="1" applyAlignment="1" applyProtection="1">
      <alignment horizontal="center"/>
      <protection locked="0"/>
    </xf>
    <xf numFmtId="167" fontId="0" fillId="50" borderId="93" xfId="0" applyNumberFormat="1" applyFill="1" applyBorder="1" applyAlignment="1" applyProtection="1">
      <alignment horizontal="center"/>
      <protection locked="0"/>
    </xf>
    <xf numFmtId="167" fontId="0" fillId="50" borderId="144" xfId="0" applyNumberFormat="1" applyFill="1" applyBorder="1" applyAlignment="1" applyProtection="1">
      <alignment horizontal="center"/>
      <protection locked="0"/>
    </xf>
    <xf numFmtId="167" fontId="0" fillId="50" borderId="123" xfId="0" applyNumberFormat="1" applyFill="1" applyBorder="1" applyAlignment="1" applyProtection="1">
      <alignment horizontal="center"/>
      <protection locked="0"/>
    </xf>
    <xf numFmtId="0" fontId="4" fillId="0" borderId="7" xfId="0" applyFont="1" applyFill="1" applyBorder="1" applyAlignment="1" applyProtection="1">
      <alignment vertical="center"/>
    </xf>
    <xf numFmtId="0" fontId="0" fillId="50" borderId="85" xfId="0" applyFill="1" applyBorder="1" applyAlignment="1" applyProtection="1">
      <alignment horizontal="center"/>
      <protection locked="0"/>
    </xf>
    <xf numFmtId="0" fontId="0" fillId="50" borderId="73" xfId="0" applyFill="1" applyBorder="1" applyAlignment="1" applyProtection="1">
      <alignment horizontal="center"/>
      <protection locked="0"/>
    </xf>
    <xf numFmtId="0" fontId="0" fillId="50" borderId="90" xfId="0" applyFill="1" applyBorder="1" applyAlignment="1" applyProtection="1">
      <alignment horizontal="center"/>
      <protection locked="0"/>
    </xf>
    <xf numFmtId="0" fontId="0" fillId="50" borderId="141" xfId="0" applyFill="1" applyBorder="1" applyAlignment="1" applyProtection="1">
      <alignment horizontal="center"/>
      <protection locked="0"/>
    </xf>
    <xf numFmtId="0" fontId="0" fillId="0" borderId="138" xfId="0" applyFill="1" applyBorder="1" applyProtection="1"/>
    <xf numFmtId="0" fontId="0" fillId="0" borderId="140" xfId="0" applyFill="1" applyBorder="1" applyProtection="1"/>
    <xf numFmtId="0" fontId="0" fillId="0" borderId="143" xfId="0" applyFill="1" applyBorder="1" applyProtection="1"/>
    <xf numFmtId="49" fontId="9" fillId="0" borderId="0" xfId="0" applyNumberFormat="1" applyFont="1" applyFill="1" applyBorder="1" applyAlignment="1" applyProtection="1">
      <alignment horizontal="left" vertical="center"/>
    </xf>
    <xf numFmtId="0" fontId="2" fillId="52" borderId="0" xfId="0" applyFont="1" applyFill="1" applyAlignment="1" applyProtection="1">
      <alignment horizontal="right" vertical="center"/>
      <protection hidden="1"/>
    </xf>
    <xf numFmtId="0" fontId="4" fillId="0" borderId="0" xfId="0" applyFont="1" applyAlignment="1" applyProtection="1">
      <alignment vertical="center"/>
    </xf>
    <xf numFmtId="0" fontId="27" fillId="0" borderId="0" xfId="0" applyFont="1" applyAlignment="1" applyProtection="1">
      <alignment vertical="center"/>
    </xf>
    <xf numFmtId="0" fontId="27" fillId="48" borderId="6" xfId="0" applyFont="1" applyFill="1" applyBorder="1" applyAlignment="1" applyProtection="1">
      <alignment vertical="center"/>
    </xf>
    <xf numFmtId="0" fontId="13" fillId="0" borderId="0" xfId="0" applyFont="1" applyAlignment="1" applyProtection="1">
      <alignment vertical="center"/>
    </xf>
    <xf numFmtId="1" fontId="9" fillId="0" borderId="0" xfId="0" applyNumberFormat="1" applyFont="1" applyFill="1" applyBorder="1" applyAlignment="1" applyProtection="1">
      <alignment horizontal="center" vertical="center"/>
    </xf>
    <xf numFmtId="0" fontId="48" fillId="0" borderId="0" xfId="42" applyFill="1" applyProtection="1"/>
    <xf numFmtId="0" fontId="5" fillId="0" borderId="0" xfId="0" applyFont="1" applyBorder="1" applyProtection="1"/>
    <xf numFmtId="1" fontId="2" fillId="0" borderId="149" xfId="0" applyNumberFormat="1" applyFont="1" applyFill="1" applyBorder="1" applyAlignment="1" applyProtection="1">
      <alignment horizontal="center" vertical="center"/>
      <protection hidden="1"/>
    </xf>
    <xf numFmtId="1" fontId="2" fillId="0" borderId="150" xfId="0" applyNumberFormat="1" applyFont="1" applyFill="1" applyBorder="1" applyAlignment="1" applyProtection="1">
      <alignment horizontal="center" vertical="center"/>
      <protection hidden="1"/>
    </xf>
    <xf numFmtId="0" fontId="0" fillId="0" borderId="150" xfId="0" applyFill="1" applyBorder="1" applyAlignment="1" applyProtection="1">
      <alignment horizontal="center" vertical="center"/>
    </xf>
    <xf numFmtId="167" fontId="0" fillId="0" borderId="0" xfId="0" applyNumberFormat="1" applyFill="1" applyBorder="1" applyAlignment="1" applyProtection="1">
      <alignment horizontal="center" vertical="center"/>
      <protection hidden="1"/>
    </xf>
    <xf numFmtId="0" fontId="9" fillId="0" borderId="117" xfId="0" applyFont="1" applyFill="1" applyBorder="1" applyAlignment="1" applyProtection="1">
      <alignment vertical="center"/>
      <protection hidden="1"/>
    </xf>
    <xf numFmtId="0" fontId="9" fillId="0" borderId="94" xfId="0" applyFont="1" applyFill="1" applyBorder="1" applyAlignment="1" applyProtection="1">
      <alignment vertical="center"/>
      <protection hidden="1"/>
    </xf>
    <xf numFmtId="166" fontId="0" fillId="0" borderId="0" xfId="0" applyNumberFormat="1" applyAlignment="1" applyProtection="1">
      <alignment vertical="center"/>
      <protection locked="0" hidden="1"/>
    </xf>
    <xf numFmtId="2" fontId="0" fillId="0" borderId="0" xfId="0" applyNumberFormat="1" applyBorder="1" applyAlignment="1" applyProtection="1">
      <alignment horizontal="center"/>
    </xf>
    <xf numFmtId="166" fontId="0" fillId="0" borderId="0" xfId="0" applyNumberFormat="1" applyBorder="1" applyAlignment="1" applyProtection="1">
      <alignment horizontal="center"/>
    </xf>
    <xf numFmtId="167" fontId="0" fillId="50" borderId="74" xfId="0" applyNumberFormat="1" applyFill="1" applyBorder="1" applyAlignment="1" applyProtection="1">
      <alignment horizontal="center"/>
      <protection locked="0"/>
    </xf>
    <xf numFmtId="2" fontId="79" fillId="0" borderId="0" xfId="62" applyNumberFormat="1" applyFont="1" applyFill="1" applyBorder="1" applyAlignment="1" applyProtection="1">
      <alignment horizontal="center"/>
      <protection locked="0"/>
    </xf>
    <xf numFmtId="0" fontId="9" fillId="0" borderId="0" xfId="0" applyFont="1" applyFill="1" applyAlignment="1" applyProtection="1">
      <alignment vertical="center"/>
      <protection locked="0" hidden="1"/>
    </xf>
    <xf numFmtId="1" fontId="0" fillId="49" borderId="0" xfId="0" applyNumberFormat="1" applyFill="1" applyAlignment="1" applyProtection="1">
      <alignment vertical="center"/>
      <protection hidden="1"/>
    </xf>
    <xf numFmtId="0" fontId="0" fillId="0" borderId="0" xfId="0" applyFill="1" applyAlignment="1" applyProtection="1">
      <alignment horizontal="center" vertical="center"/>
      <protection locked="0" hidden="1"/>
    </xf>
    <xf numFmtId="1" fontId="4" fillId="0" borderId="118" xfId="0" applyNumberFormat="1" applyFont="1" applyFill="1" applyBorder="1" applyAlignment="1" applyProtection="1">
      <alignment horizontal="center" vertical="center"/>
      <protection locked="0" hidden="1"/>
    </xf>
    <xf numFmtId="0" fontId="2" fillId="0" borderId="0" xfId="0" applyFont="1" applyFill="1" applyAlignment="1" applyProtection="1">
      <alignment horizontal="center" vertical="center"/>
      <protection hidden="1"/>
    </xf>
    <xf numFmtId="0" fontId="2" fillId="0" borderId="0" xfId="0" applyFont="1" applyFill="1" applyAlignment="1" applyProtection="1">
      <alignment horizontal="center" vertical="center"/>
      <protection locked="0" hidden="1"/>
    </xf>
    <xf numFmtId="0" fontId="9" fillId="0" borderId="0" xfId="62" applyFont="1" applyFill="1" applyAlignment="1">
      <alignment horizontal="left"/>
    </xf>
    <xf numFmtId="0" fontId="9" fillId="0" borderId="0" xfId="0" applyFont="1" applyProtection="1">
      <protection locked="0" hidden="1"/>
    </xf>
    <xf numFmtId="0" fontId="2" fillId="0" borderId="0" xfId="0" applyFont="1" applyBorder="1" applyAlignment="1">
      <alignment horizontal="left"/>
    </xf>
    <xf numFmtId="167" fontId="0" fillId="49" borderId="0" xfId="0" applyNumberFormat="1" applyFill="1" applyBorder="1" applyAlignment="1" applyProtection="1">
      <alignment horizontal="center" vertical="center"/>
      <protection locked="0" hidden="1"/>
    </xf>
    <xf numFmtId="2" fontId="0" fillId="0" borderId="24" xfId="0" applyNumberFormat="1" applyFill="1" applyBorder="1" applyAlignment="1" applyProtection="1">
      <alignment horizontal="center" vertical="center"/>
      <protection locked="0" hidden="1"/>
    </xf>
    <xf numFmtId="167" fontId="0" fillId="49" borderId="50" xfId="0" applyNumberFormat="1" applyFill="1" applyBorder="1" applyAlignment="1" applyProtection="1">
      <alignment horizontal="center" vertical="center"/>
      <protection locked="0" hidden="1"/>
    </xf>
    <xf numFmtId="167" fontId="0" fillId="49" borderId="25" xfId="0" applyNumberFormat="1" applyFill="1" applyBorder="1" applyAlignment="1" applyProtection="1">
      <alignment horizontal="center" vertical="center"/>
      <protection locked="0" hidden="1"/>
    </xf>
    <xf numFmtId="0" fontId="0" fillId="49" borderId="25" xfId="0" applyFill="1" applyBorder="1" applyAlignment="1" applyProtection="1">
      <alignment horizontal="center" vertical="center"/>
      <protection locked="0" hidden="1"/>
    </xf>
    <xf numFmtId="2" fontId="0" fillId="51" borderId="0" xfId="0" applyNumberFormat="1" applyFill="1" applyBorder="1" applyAlignment="1" applyProtection="1">
      <alignment horizontal="center" vertical="center"/>
      <protection locked="0" hidden="1"/>
    </xf>
    <xf numFmtId="0" fontId="2" fillId="0" borderId="5" xfId="0" applyFont="1" applyBorder="1" applyAlignment="1">
      <alignment horizontal="center"/>
    </xf>
    <xf numFmtId="0" fontId="2" fillId="0" borderId="100" xfId="0" applyFont="1" applyFill="1" applyBorder="1" applyAlignment="1">
      <alignment horizontal="center"/>
    </xf>
    <xf numFmtId="0" fontId="2" fillId="0" borderId="31" xfId="0" applyFont="1" applyFill="1" applyBorder="1" applyAlignment="1">
      <alignment horizontal="center"/>
    </xf>
    <xf numFmtId="0" fontId="36" fillId="0" borderId="61" xfId="35" applyNumberFormat="1" applyFont="1" applyFill="1" applyBorder="1" applyAlignment="1" applyProtection="1">
      <alignment horizontal="center" vertical="center"/>
      <protection locked="0" hidden="1"/>
    </xf>
    <xf numFmtId="1" fontId="0" fillId="0" borderId="0" xfId="0" applyNumberFormat="1" applyFill="1" applyAlignment="1" applyProtection="1">
      <alignment vertical="center"/>
      <protection hidden="1"/>
    </xf>
    <xf numFmtId="0" fontId="9" fillId="48" borderId="29" xfId="0" applyFont="1" applyFill="1" applyBorder="1" applyAlignment="1" applyProtection="1">
      <alignment horizontal="center"/>
    </xf>
    <xf numFmtId="0" fontId="39" fillId="48" borderId="5" xfId="0" applyFont="1" applyFill="1" applyBorder="1" applyAlignment="1" applyProtection="1">
      <alignment horizontal="left" vertical="center"/>
    </xf>
    <xf numFmtId="1" fontId="5" fillId="0" borderId="0" xfId="0" applyNumberFormat="1" applyFont="1" applyFill="1" applyBorder="1" applyAlignment="1" applyProtection="1">
      <alignment horizontal="left" vertical="center"/>
      <protection hidden="1"/>
    </xf>
    <xf numFmtId="0" fontId="2" fillId="48" borderId="7" xfId="0" applyFont="1" applyFill="1" applyBorder="1" applyAlignment="1" applyProtection="1">
      <alignment horizontal="center" vertical="center"/>
    </xf>
    <xf numFmtId="1" fontId="12" fillId="0" borderId="189" xfId="0" applyNumberFormat="1" applyFont="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2" fillId="0" borderId="0" xfId="0" applyFont="1" applyBorder="1" applyAlignment="1" applyProtection="1">
      <alignment horizontal="center" vertical="center"/>
      <protection hidden="1"/>
    </xf>
    <xf numFmtId="0" fontId="13" fillId="0" borderId="190" xfId="0" applyFont="1" applyBorder="1" applyAlignment="1" applyProtection="1">
      <alignment horizontal="center" vertical="center"/>
      <protection hidden="1"/>
    </xf>
    <xf numFmtId="0" fontId="13" fillId="0" borderId="193" xfId="0" applyFont="1" applyBorder="1" applyAlignment="1" applyProtection="1">
      <alignment horizontal="center" vertical="center"/>
      <protection hidden="1"/>
    </xf>
    <xf numFmtId="0" fontId="13" fillId="0" borderId="195" xfId="0" applyFont="1" applyBorder="1" applyAlignment="1" applyProtection="1">
      <alignment vertical="center"/>
      <protection hidden="1"/>
    </xf>
    <xf numFmtId="0" fontId="13" fillId="0" borderId="196" xfId="0" applyFont="1" applyBorder="1" applyAlignment="1" applyProtection="1">
      <alignment horizontal="center" vertical="center"/>
      <protection hidden="1"/>
    </xf>
    <xf numFmtId="2" fontId="33" fillId="0" borderId="200" xfId="0" applyNumberFormat="1" applyFont="1" applyBorder="1" applyAlignment="1" applyProtection="1">
      <alignment horizontal="center" vertical="center"/>
      <protection hidden="1"/>
    </xf>
    <xf numFmtId="1" fontId="12" fillId="0" borderId="200" xfId="0" applyNumberFormat="1" applyFont="1" applyBorder="1" applyAlignment="1" applyProtection="1">
      <alignment horizontal="center" vertical="center"/>
      <protection hidden="1"/>
    </xf>
    <xf numFmtId="1" fontId="12" fillId="0" borderId="207" xfId="0" applyNumberFormat="1" applyFont="1" applyBorder="1" applyAlignment="1" applyProtection="1">
      <alignment horizontal="center" vertical="center"/>
      <protection hidden="1"/>
    </xf>
    <xf numFmtId="0" fontId="2" fillId="0" borderId="209" xfId="0" applyFont="1" applyBorder="1" applyAlignment="1" applyProtection="1">
      <alignment vertical="center"/>
    </xf>
    <xf numFmtId="0" fontId="2" fillId="0" borderId="209" xfId="0" applyFont="1" applyBorder="1" applyAlignment="1" applyProtection="1">
      <alignment horizontal="center" vertical="center"/>
    </xf>
    <xf numFmtId="0" fontId="2" fillId="0" borderId="212" xfId="0" applyFont="1" applyFill="1" applyBorder="1" applyAlignment="1" applyProtection="1">
      <alignment vertical="center"/>
      <protection hidden="1"/>
    </xf>
    <xf numFmtId="0" fontId="2" fillId="0" borderId="213" xfId="0" applyFont="1" applyFill="1" applyBorder="1" applyAlignment="1" applyProtection="1">
      <alignment vertical="center"/>
      <protection hidden="1"/>
    </xf>
    <xf numFmtId="0" fontId="2" fillId="0" borderId="214" xfId="0" applyFont="1" applyFill="1" applyBorder="1" applyAlignment="1" applyProtection="1">
      <alignment vertical="center"/>
      <protection hidden="1"/>
    </xf>
    <xf numFmtId="0" fontId="9" fillId="0" borderId="215" xfId="0" applyFont="1" applyFill="1" applyBorder="1" applyAlignment="1" applyProtection="1">
      <alignment vertical="center"/>
      <protection hidden="1"/>
    </xf>
    <xf numFmtId="0" fontId="0" fillId="0" borderId="216" xfId="0" applyFill="1" applyBorder="1" applyAlignment="1" applyProtection="1">
      <alignment vertical="center"/>
      <protection hidden="1"/>
    </xf>
    <xf numFmtId="0" fontId="0" fillId="0" borderId="217" xfId="0" applyFill="1" applyBorder="1" applyAlignment="1" applyProtection="1">
      <alignment vertical="center"/>
      <protection hidden="1"/>
    </xf>
    <xf numFmtId="0" fontId="9" fillId="0" borderId="218" xfId="0" applyFont="1" applyFill="1" applyBorder="1" applyAlignment="1" applyProtection="1">
      <alignment vertical="center"/>
      <protection hidden="1"/>
    </xf>
    <xf numFmtId="0" fontId="0" fillId="0" borderId="219" xfId="0" applyFill="1" applyBorder="1" applyAlignment="1" applyProtection="1">
      <alignment vertical="center"/>
      <protection hidden="1"/>
    </xf>
    <xf numFmtId="0" fontId="0" fillId="0" borderId="220" xfId="0" applyFill="1" applyBorder="1" applyAlignment="1" applyProtection="1">
      <alignment vertical="center"/>
      <protection hidden="1"/>
    </xf>
    <xf numFmtId="167" fontId="2" fillId="0" borderId="212" xfId="0" applyNumberFormat="1" applyFont="1" applyFill="1" applyBorder="1" applyAlignment="1" applyProtection="1">
      <alignment horizontal="center" vertical="center"/>
      <protection hidden="1"/>
    </xf>
    <xf numFmtId="167" fontId="2" fillId="0" borderId="214" xfId="0" applyNumberFormat="1" applyFont="1" applyFill="1" applyBorder="1" applyAlignment="1" applyProtection="1">
      <alignment horizontal="center" vertical="center"/>
      <protection hidden="1"/>
    </xf>
    <xf numFmtId="167" fontId="0" fillId="0" borderId="215" xfId="0" applyNumberFormat="1" applyFill="1" applyBorder="1" applyAlignment="1" applyProtection="1">
      <alignment horizontal="center" vertical="center"/>
      <protection hidden="1"/>
    </xf>
    <xf numFmtId="167" fontId="0" fillId="0" borderId="217" xfId="0" applyNumberFormat="1" applyFill="1" applyBorder="1" applyAlignment="1" applyProtection="1">
      <alignment horizontal="center" vertical="center"/>
      <protection hidden="1"/>
    </xf>
    <xf numFmtId="167" fontId="0" fillId="0" borderId="218" xfId="0" applyNumberFormat="1" applyFill="1" applyBorder="1" applyAlignment="1" applyProtection="1">
      <alignment horizontal="center" vertical="center"/>
      <protection hidden="1"/>
    </xf>
    <xf numFmtId="167" fontId="0" fillId="0" borderId="220" xfId="0" applyNumberFormat="1" applyFill="1" applyBorder="1" applyAlignment="1" applyProtection="1">
      <alignment horizontal="center" vertical="center"/>
      <protection hidden="1"/>
    </xf>
    <xf numFmtId="0" fontId="27" fillId="48" borderId="3" xfId="0" applyFont="1" applyFill="1" applyBorder="1" applyAlignment="1" applyProtection="1">
      <alignment vertical="center"/>
    </xf>
    <xf numFmtId="0" fontId="0" fillId="48" borderId="100" xfId="0" applyFill="1" applyBorder="1" applyAlignment="1" applyProtection="1">
      <alignment horizontal="center"/>
    </xf>
    <xf numFmtId="0" fontId="0" fillId="48" borderId="111" xfId="0" applyFill="1" applyBorder="1" applyAlignment="1" applyProtection="1">
      <alignment horizontal="center"/>
    </xf>
    <xf numFmtId="0" fontId="27" fillId="48" borderId="5" xfId="0" applyFont="1" applyFill="1" applyBorder="1" applyAlignment="1" applyProtection="1">
      <alignment vertical="center"/>
    </xf>
    <xf numFmtId="0" fontId="0" fillId="48" borderId="25" xfId="0" applyFill="1" applyBorder="1" applyAlignment="1" applyProtection="1">
      <alignment horizontal="center"/>
    </xf>
    <xf numFmtId="0" fontId="0" fillId="48" borderId="24" xfId="0" applyFill="1" applyBorder="1" applyAlignment="1" applyProtection="1">
      <alignment horizontal="center"/>
    </xf>
    <xf numFmtId="0" fontId="0" fillId="48" borderId="36" xfId="0" applyFill="1" applyBorder="1" applyAlignment="1" applyProtection="1">
      <alignment horizontal="center"/>
    </xf>
    <xf numFmtId="0" fontId="0" fillId="48" borderId="55" xfId="0" applyFill="1" applyBorder="1" applyAlignment="1" applyProtection="1">
      <alignment horizontal="center"/>
    </xf>
    <xf numFmtId="0" fontId="2" fillId="48" borderId="100" xfId="0" applyFont="1" applyFill="1" applyBorder="1" applyAlignment="1" applyProtection="1">
      <alignment horizontal="center"/>
    </xf>
    <xf numFmtId="0" fontId="2" fillId="48" borderId="112" xfId="0" applyFont="1" applyFill="1" applyBorder="1" applyAlignment="1" applyProtection="1">
      <alignment horizontal="center"/>
    </xf>
    <xf numFmtId="0" fontId="2" fillId="48" borderId="29" xfId="0" applyFont="1" applyFill="1" applyBorder="1" applyAlignment="1" applyProtection="1">
      <alignment horizontal="center"/>
    </xf>
    <xf numFmtId="0" fontId="0" fillId="48" borderId="4" xfId="0" applyFill="1" applyBorder="1" applyProtection="1"/>
    <xf numFmtId="0" fontId="83" fillId="48" borderId="100" xfId="0" applyFont="1" applyFill="1" applyBorder="1" applyAlignment="1" applyProtection="1">
      <alignment horizontal="center"/>
    </xf>
    <xf numFmtId="0" fontId="0" fillId="48" borderId="0" xfId="0" applyFill="1" applyBorder="1" applyProtection="1"/>
    <xf numFmtId="0" fontId="0" fillId="48" borderId="7" xfId="0" applyFill="1" applyBorder="1" applyProtection="1"/>
    <xf numFmtId="1" fontId="0" fillId="54" borderId="56" xfId="0" applyNumberFormat="1" applyFill="1" applyBorder="1" applyAlignment="1" applyProtection="1">
      <alignment horizontal="center" vertical="center"/>
      <protection hidden="1"/>
    </xf>
    <xf numFmtId="0" fontId="13" fillId="48" borderId="64" xfId="0" applyFont="1" applyFill="1" applyBorder="1" applyAlignment="1" applyProtection="1">
      <alignment vertical="center"/>
    </xf>
    <xf numFmtId="0" fontId="2" fillId="2" borderId="152" xfId="0" applyFont="1" applyFill="1" applyBorder="1" applyAlignment="1" applyProtection="1">
      <alignment horizontal="center" vertical="center"/>
      <protection locked="0"/>
    </xf>
    <xf numFmtId="0" fontId="2" fillId="0" borderId="153" xfId="0" applyFont="1" applyBorder="1" applyAlignment="1" applyProtection="1">
      <alignment horizontal="center" vertical="center"/>
    </xf>
    <xf numFmtId="0" fontId="2" fillId="0" borderId="122" xfId="0" applyFont="1" applyBorder="1" applyAlignment="1" applyProtection="1">
      <alignment horizontal="center" vertical="center"/>
    </xf>
    <xf numFmtId="0" fontId="27" fillId="48" borderId="154" xfId="0" applyFont="1" applyFill="1" applyBorder="1" applyAlignment="1" applyProtection="1">
      <alignment horizontal="left"/>
    </xf>
    <xf numFmtId="0" fontId="27" fillId="48" borderId="155" xfId="0" applyFont="1" applyFill="1" applyBorder="1" applyAlignment="1" applyProtection="1">
      <alignment horizontal="left"/>
    </xf>
    <xf numFmtId="0" fontId="2" fillId="48" borderId="155" xfId="0" applyFont="1" applyFill="1" applyBorder="1" applyAlignment="1" applyProtection="1">
      <alignment vertical="center"/>
      <protection hidden="1"/>
    </xf>
    <xf numFmtId="0" fontId="27" fillId="48" borderId="155" xfId="0" applyFont="1" applyFill="1" applyBorder="1" applyAlignment="1" applyProtection="1">
      <alignment horizontal="right"/>
    </xf>
    <xf numFmtId="0" fontId="12" fillId="48" borderId="155" xfId="0" applyFont="1" applyFill="1" applyBorder="1" applyAlignment="1" applyProtection="1">
      <alignment horizontal="center" vertical="center"/>
    </xf>
    <xf numFmtId="0" fontId="12" fillId="48" borderId="151" xfId="0" applyFont="1" applyFill="1" applyBorder="1" applyAlignment="1" applyProtection="1">
      <alignment horizontal="center" vertical="center"/>
    </xf>
    <xf numFmtId="0" fontId="85" fillId="55" borderId="195" xfId="0" applyFont="1" applyFill="1" applyBorder="1" applyProtection="1"/>
    <xf numFmtId="49" fontId="0" fillId="55" borderId="196" xfId="0" applyNumberFormat="1" applyFill="1" applyBorder="1" applyProtection="1"/>
    <xf numFmtId="49" fontId="0" fillId="55" borderId="196" xfId="0" applyNumberFormat="1" applyFill="1" applyBorder="1" applyAlignment="1" applyProtection="1">
      <alignment horizontal="center"/>
    </xf>
    <xf numFmtId="0" fontId="2" fillId="55" borderId="195" xfId="0" applyFont="1" applyFill="1" applyBorder="1" applyAlignment="1" applyProtection="1">
      <alignment horizontal="left"/>
    </xf>
    <xf numFmtId="0" fontId="13" fillId="55" borderId="196" xfId="0" applyFont="1" applyFill="1" applyBorder="1" applyAlignment="1" applyProtection="1">
      <alignment horizontal="center"/>
    </xf>
    <xf numFmtId="0" fontId="0" fillId="55" borderId="221" xfId="0" applyFill="1" applyBorder="1" applyAlignment="1" applyProtection="1">
      <alignment horizontal="center"/>
    </xf>
    <xf numFmtId="0" fontId="0" fillId="55" borderId="197" xfId="0" applyFill="1" applyBorder="1" applyProtection="1"/>
    <xf numFmtId="49" fontId="0" fillId="55" borderId="0" xfId="0" applyNumberFormat="1" applyFill="1" applyBorder="1" applyProtection="1"/>
    <xf numFmtId="49" fontId="0" fillId="55" borderId="0" xfId="0" applyNumberFormat="1" applyFill="1" applyBorder="1" applyAlignment="1" applyProtection="1">
      <alignment horizontal="center"/>
    </xf>
    <xf numFmtId="0" fontId="2" fillId="55" borderId="197" xfId="0" applyFont="1" applyFill="1" applyBorder="1" applyAlignment="1" applyProtection="1">
      <alignment horizontal="left"/>
    </xf>
    <xf numFmtId="0" fontId="2" fillId="55" borderId="0" xfId="0" applyFont="1" applyFill="1" applyBorder="1" applyAlignment="1" applyProtection="1">
      <alignment horizontal="center"/>
    </xf>
    <xf numFmtId="0" fontId="0" fillId="55" borderId="201" xfId="0" applyFill="1" applyBorder="1" applyAlignment="1" applyProtection="1">
      <alignment horizontal="center"/>
    </xf>
    <xf numFmtId="0" fontId="85" fillId="55" borderId="197" xfId="0" applyFont="1" applyFill="1" applyBorder="1" applyProtection="1"/>
    <xf numFmtId="0" fontId="13" fillId="55" borderId="0" xfId="0" applyFont="1" applyFill="1" applyBorder="1" applyAlignment="1" applyProtection="1">
      <alignment horizontal="center"/>
    </xf>
    <xf numFmtId="0" fontId="86" fillId="55" borderId="210" xfId="0" applyFont="1" applyFill="1" applyBorder="1" applyAlignment="1" applyProtection="1">
      <alignment vertical="top"/>
    </xf>
    <xf numFmtId="49" fontId="0" fillId="55" borderId="200" xfId="0" applyNumberFormat="1" applyFill="1" applyBorder="1" applyProtection="1"/>
    <xf numFmtId="49" fontId="0" fillId="55" borderId="200" xfId="0" applyNumberFormat="1" applyFill="1" applyBorder="1" applyAlignment="1" applyProtection="1">
      <alignment horizontal="center"/>
    </xf>
    <xf numFmtId="0" fontId="2" fillId="55" borderId="210" xfId="0" applyFont="1" applyFill="1" applyBorder="1" applyAlignment="1" applyProtection="1">
      <alignment horizontal="left"/>
    </xf>
    <xf numFmtId="0" fontId="2" fillId="55" borderId="200" xfId="0" applyFont="1" applyFill="1" applyBorder="1" applyAlignment="1" applyProtection="1">
      <alignment horizontal="center"/>
    </xf>
    <xf numFmtId="0" fontId="0" fillId="55" borderId="222" xfId="0" applyFill="1" applyBorder="1" applyAlignment="1" applyProtection="1">
      <alignment horizontal="center"/>
    </xf>
    <xf numFmtId="0" fontId="2" fillId="55" borderId="195" xfId="0" applyFont="1" applyFill="1" applyBorder="1" applyAlignment="1" applyProtection="1">
      <alignment vertical="center"/>
      <protection hidden="1"/>
    </xf>
    <xf numFmtId="0" fontId="2" fillId="55" borderId="196" xfId="0" applyFont="1" applyFill="1" applyBorder="1" applyAlignment="1" applyProtection="1">
      <alignment vertical="center"/>
      <protection hidden="1"/>
    </xf>
    <xf numFmtId="0" fontId="2" fillId="55" borderId="221" xfId="0" applyFont="1" applyFill="1" applyBorder="1" applyAlignment="1" applyProtection="1">
      <alignment vertical="center"/>
      <protection hidden="1"/>
    </xf>
    <xf numFmtId="0" fontId="2" fillId="55" borderId="195" xfId="0" applyFont="1" applyFill="1" applyBorder="1" applyAlignment="1" applyProtection="1">
      <alignment horizontal="center"/>
    </xf>
    <xf numFmtId="0" fontId="2" fillId="55" borderId="221" xfId="0" applyFont="1" applyFill="1" applyBorder="1" applyAlignment="1" applyProtection="1">
      <alignment horizontal="center"/>
    </xf>
    <xf numFmtId="0" fontId="9" fillId="55" borderId="210" xfId="0" applyFont="1" applyFill="1" applyBorder="1" applyAlignment="1" applyProtection="1">
      <alignment vertical="center"/>
      <protection hidden="1"/>
    </xf>
    <xf numFmtId="0" fontId="0" fillId="55" borderId="200" xfId="0" applyFill="1" applyBorder="1" applyAlignment="1" applyProtection="1">
      <alignment vertical="center"/>
      <protection hidden="1"/>
    </xf>
    <xf numFmtId="0" fontId="0" fillId="55" borderId="222" xfId="0" applyFill="1" applyBorder="1" applyAlignment="1" applyProtection="1">
      <alignment vertical="center"/>
      <protection hidden="1"/>
    </xf>
    <xf numFmtId="0" fontId="4" fillId="55" borderId="196" xfId="0" applyFont="1" applyFill="1" applyBorder="1" applyAlignment="1" applyProtection="1">
      <alignment horizontal="center" vertical="center"/>
      <protection hidden="1"/>
    </xf>
    <xf numFmtId="0" fontId="13" fillId="55" borderId="0" xfId="0" applyFont="1" applyFill="1" applyBorder="1" applyAlignment="1" applyProtection="1">
      <alignment horizontal="center" vertical="center"/>
      <protection hidden="1"/>
    </xf>
    <xf numFmtId="0" fontId="27" fillId="55" borderId="223" xfId="0" applyFont="1" applyFill="1" applyBorder="1" applyAlignment="1" applyProtection="1">
      <alignment vertical="center"/>
      <protection hidden="1"/>
    </xf>
    <xf numFmtId="0" fontId="27" fillId="55" borderId="224" xfId="0" applyFont="1" applyFill="1" applyBorder="1" applyAlignment="1" applyProtection="1">
      <alignment vertical="center"/>
      <protection hidden="1"/>
    </xf>
    <xf numFmtId="0" fontId="13" fillId="55" borderId="200" xfId="0" applyFont="1" applyFill="1" applyBorder="1" applyAlignment="1" applyProtection="1">
      <alignment horizontal="center" vertical="center"/>
      <protection hidden="1"/>
    </xf>
    <xf numFmtId="0" fontId="27" fillId="55" borderId="189" xfId="0" applyFont="1" applyFill="1" applyBorder="1" applyAlignment="1" applyProtection="1">
      <alignment vertical="center"/>
      <protection hidden="1"/>
    </xf>
    <xf numFmtId="0" fontId="2" fillId="55" borderId="225" xfId="42" applyFont="1" applyFill="1" applyBorder="1" applyAlignment="1" applyProtection="1">
      <alignment vertical="center"/>
    </xf>
    <xf numFmtId="2" fontId="9" fillId="0" borderId="226" xfId="42" applyNumberFormat="1" applyFont="1" applyFill="1" applyBorder="1" applyAlignment="1" applyProtection="1">
      <alignment horizontal="center" vertical="center"/>
      <protection hidden="1"/>
    </xf>
    <xf numFmtId="0" fontId="2" fillId="55" borderId="227" xfId="42" applyFont="1" applyFill="1" applyBorder="1" applyProtection="1"/>
    <xf numFmtId="0" fontId="2" fillId="55" borderId="228" xfId="42" applyFont="1" applyFill="1" applyBorder="1" applyProtection="1"/>
    <xf numFmtId="0" fontId="2" fillId="55" borderId="229" xfId="42" applyFont="1" applyFill="1" applyBorder="1" applyAlignment="1" applyProtection="1">
      <alignment horizontal="center" vertical="center"/>
    </xf>
    <xf numFmtId="0" fontId="2" fillId="55" borderId="230" xfId="42" applyFont="1" applyFill="1" applyBorder="1" applyAlignment="1" applyProtection="1">
      <alignment horizontal="center" vertical="center"/>
    </xf>
    <xf numFmtId="0" fontId="2" fillId="55" borderId="227" xfId="42" applyFont="1" applyFill="1" applyBorder="1" applyAlignment="1" applyProtection="1">
      <alignment horizontal="center" vertical="center"/>
    </xf>
    <xf numFmtId="0" fontId="2" fillId="55" borderId="202" xfId="0" applyFont="1" applyFill="1" applyBorder="1" applyAlignment="1" applyProtection="1">
      <alignment horizontal="center" vertical="center"/>
      <protection hidden="1"/>
    </xf>
    <xf numFmtId="0" fontId="2" fillId="55" borderId="202" xfId="42" applyFont="1" applyFill="1" applyBorder="1" applyAlignment="1" applyProtection="1">
      <alignment horizontal="center" vertical="center"/>
    </xf>
    <xf numFmtId="2" fontId="9" fillId="0" borderId="225" xfId="42" applyNumberFormat="1" applyFont="1" applyFill="1" applyBorder="1" applyAlignment="1" applyProtection="1">
      <alignment horizontal="center" vertical="center"/>
      <protection hidden="1"/>
    </xf>
    <xf numFmtId="2" fontId="9" fillId="0" borderId="231" xfId="42" applyNumberFormat="1" applyFont="1" applyFill="1" applyBorder="1" applyAlignment="1" applyProtection="1">
      <alignment horizontal="center" vertical="center"/>
      <protection hidden="1"/>
    </xf>
    <xf numFmtId="167" fontId="12" fillId="0" borderId="210" xfId="0" applyNumberFormat="1" applyFont="1" applyFill="1" applyBorder="1" applyAlignment="1" applyProtection="1">
      <alignment horizontal="center" vertical="center"/>
    </xf>
    <xf numFmtId="0" fontId="12" fillId="48" borderId="232" xfId="0" applyFont="1" applyFill="1" applyBorder="1" applyAlignment="1" applyProtection="1">
      <alignment horizontal="center" vertical="center"/>
    </xf>
    <xf numFmtId="167" fontId="12" fillId="0" borderId="232" xfId="0" applyNumberFormat="1" applyFont="1" applyFill="1" applyBorder="1" applyAlignment="1" applyProtection="1">
      <alignment horizontal="center" vertical="center"/>
    </xf>
    <xf numFmtId="0" fontId="12" fillId="48" borderId="233" xfId="0" applyFont="1" applyFill="1" applyBorder="1" applyAlignment="1" applyProtection="1">
      <alignment horizontal="center" vertical="center"/>
    </xf>
    <xf numFmtId="0" fontId="12" fillId="48" borderId="4" xfId="0" applyFont="1" applyFill="1" applyBorder="1" applyAlignment="1" applyProtection="1">
      <alignment vertical="center"/>
    </xf>
    <xf numFmtId="0" fontId="82" fillId="48" borderId="4" xfId="0" applyFont="1" applyFill="1" applyBorder="1" applyAlignment="1" applyProtection="1">
      <alignment horizontal="left" vertical="center"/>
      <protection hidden="1"/>
    </xf>
    <xf numFmtId="0" fontId="12" fillId="48" borderId="4" xfId="0" applyFont="1" applyFill="1" applyBorder="1" applyAlignment="1" applyProtection="1">
      <alignment horizontal="center" vertical="center"/>
    </xf>
    <xf numFmtId="0" fontId="2" fillId="48" borderId="6" xfId="0" applyFont="1" applyFill="1" applyBorder="1" applyAlignment="1" applyProtection="1">
      <alignment vertical="center"/>
    </xf>
    <xf numFmtId="0" fontId="2" fillId="48" borderId="7" xfId="0" applyFont="1" applyFill="1" applyBorder="1" applyAlignment="1" applyProtection="1">
      <alignment vertical="center"/>
    </xf>
    <xf numFmtId="0" fontId="9" fillId="48" borderId="0" xfId="0" applyFont="1" applyFill="1" applyBorder="1" applyAlignment="1" applyProtection="1">
      <alignment vertical="center"/>
      <protection hidden="1"/>
    </xf>
    <xf numFmtId="0" fontId="4" fillId="55" borderId="234" xfId="0" applyFont="1" applyFill="1" applyBorder="1" applyAlignment="1" applyProtection="1">
      <alignment vertical="center"/>
    </xf>
    <xf numFmtId="0" fontId="0" fillId="55" borderId="235" xfId="0" applyFill="1" applyBorder="1" applyAlignment="1" applyProtection="1">
      <alignment vertical="center"/>
    </xf>
    <xf numFmtId="0" fontId="0" fillId="55" borderId="236" xfId="0" applyFill="1" applyBorder="1" applyAlignment="1" applyProtection="1">
      <alignment horizontal="center" vertical="center"/>
    </xf>
    <xf numFmtId="0" fontId="9" fillId="0" borderId="237" xfId="0" applyFont="1" applyBorder="1" applyAlignment="1" applyProtection="1">
      <alignment vertical="center"/>
    </xf>
    <xf numFmtId="0" fontId="2" fillId="0" borderId="238" xfId="0" applyFont="1" applyBorder="1" applyAlignment="1" applyProtection="1">
      <alignment vertical="center"/>
    </xf>
    <xf numFmtId="0" fontId="9" fillId="0" borderId="237" xfId="0" applyFont="1" applyBorder="1" applyAlignment="1" applyProtection="1">
      <alignment vertical="center"/>
      <protection hidden="1"/>
    </xf>
    <xf numFmtId="0" fontId="9" fillId="48" borderId="239" xfId="0" applyFont="1" applyFill="1" applyBorder="1" applyAlignment="1" applyProtection="1">
      <alignment vertical="center"/>
      <protection hidden="1"/>
    </xf>
    <xf numFmtId="0" fontId="4" fillId="46" borderId="240" xfId="0" applyFont="1" applyFill="1" applyBorder="1" applyAlignment="1" applyProtection="1">
      <alignment vertical="center"/>
    </xf>
    <xf numFmtId="0" fontId="4" fillId="46" borderId="241" xfId="0" applyFont="1" applyFill="1" applyBorder="1" applyAlignment="1" applyProtection="1">
      <alignment vertical="center"/>
    </xf>
    <xf numFmtId="0" fontId="4" fillId="46" borderId="241" xfId="0" applyFont="1" applyFill="1" applyBorder="1" applyAlignment="1" applyProtection="1">
      <alignment horizontal="center" vertical="center"/>
    </xf>
    <xf numFmtId="0" fontId="4" fillId="46" borderId="242" xfId="0" applyFont="1" applyFill="1" applyBorder="1" applyAlignment="1" applyProtection="1">
      <alignment horizontal="center" vertical="center"/>
    </xf>
    <xf numFmtId="0" fontId="13" fillId="48" borderId="3" xfId="0" applyFont="1" applyFill="1" applyBorder="1" applyProtection="1"/>
    <xf numFmtId="0" fontId="13" fillId="48" borderId="6" xfId="0" applyFont="1" applyFill="1" applyBorder="1" applyProtection="1"/>
    <xf numFmtId="0" fontId="0" fillId="48" borderId="36" xfId="0" applyFill="1" applyBorder="1" applyAlignment="1" applyProtection="1">
      <alignment vertical="center"/>
    </xf>
    <xf numFmtId="0" fontId="2" fillId="48" borderId="100" xfId="0" applyFont="1" applyFill="1" applyBorder="1" applyAlignment="1" applyProtection="1">
      <alignment vertical="center"/>
    </xf>
    <xf numFmtId="0" fontId="0" fillId="0" borderId="63" xfId="0" applyFill="1" applyBorder="1" applyAlignment="1" applyProtection="1">
      <alignment vertical="center"/>
    </xf>
    <xf numFmtId="0" fontId="9" fillId="0" borderId="198" xfId="0" applyFont="1" applyFill="1" applyBorder="1" applyAlignment="1" applyProtection="1">
      <alignment horizontal="left" vertical="center"/>
    </xf>
    <xf numFmtId="0" fontId="9" fillId="0" borderId="193" xfId="0" applyFont="1" applyFill="1" applyBorder="1" applyAlignment="1" applyProtection="1">
      <alignment horizontal="left" vertical="center"/>
    </xf>
    <xf numFmtId="0" fontId="4" fillId="55" borderId="235" xfId="0" applyFont="1" applyFill="1" applyBorder="1" applyAlignment="1" applyProtection="1">
      <alignment vertical="center"/>
    </xf>
    <xf numFmtId="0" fontId="4" fillId="55" borderId="236" xfId="0" applyFont="1" applyFill="1" applyBorder="1" applyAlignment="1" applyProtection="1">
      <alignment vertical="center"/>
    </xf>
    <xf numFmtId="2" fontId="9" fillId="0" borderId="0" xfId="0" applyNumberFormat="1" applyFont="1" applyFill="1"/>
    <xf numFmtId="0" fontId="13" fillId="0" borderId="156" xfId="0" applyFont="1" applyBorder="1" applyProtection="1"/>
    <xf numFmtId="0" fontId="0" fillId="0" borderId="157" xfId="0" applyBorder="1" applyProtection="1"/>
    <xf numFmtId="0" fontId="2" fillId="0" borderId="157" xfId="0" applyFont="1" applyBorder="1" applyAlignment="1" applyProtection="1">
      <alignment vertical="center"/>
      <protection hidden="1"/>
    </xf>
    <xf numFmtId="0" fontId="0" fillId="0" borderId="157" xfId="0" applyBorder="1" applyAlignment="1" applyProtection="1">
      <alignment horizontal="left"/>
    </xf>
    <xf numFmtId="0" fontId="0" fillId="0" borderId="157" xfId="0" applyBorder="1" applyAlignment="1" applyProtection="1">
      <alignment horizontal="center"/>
    </xf>
    <xf numFmtId="0" fontId="0" fillId="0" borderId="158" xfId="0" applyBorder="1" applyAlignment="1" applyProtection="1">
      <alignment horizontal="center"/>
    </xf>
    <xf numFmtId="0" fontId="2" fillId="0" borderId="0" xfId="0" applyFont="1"/>
    <xf numFmtId="0" fontId="45" fillId="0" borderId="0" xfId="0" applyFont="1"/>
    <xf numFmtId="0" fontId="0" fillId="0" borderId="244" xfId="0" applyFill="1" applyBorder="1" applyAlignment="1" applyProtection="1">
      <alignment vertical="center"/>
      <protection hidden="1"/>
    </xf>
    <xf numFmtId="0" fontId="0" fillId="0" borderId="245" xfId="0" applyFill="1" applyBorder="1" applyAlignment="1" applyProtection="1">
      <alignment vertical="center"/>
      <protection hidden="1"/>
    </xf>
    <xf numFmtId="1" fontId="0" fillId="5" borderId="246" xfId="0" applyNumberFormat="1" applyFill="1" applyBorder="1" applyAlignment="1" applyProtection="1">
      <alignment horizontal="center" vertical="center"/>
      <protection hidden="1"/>
    </xf>
    <xf numFmtId="1" fontId="0" fillId="5" borderId="244" xfId="0" applyNumberFormat="1" applyFill="1" applyBorder="1" applyAlignment="1" applyProtection="1">
      <alignment horizontal="center" vertical="center"/>
      <protection hidden="1"/>
    </xf>
    <xf numFmtId="167" fontId="0" fillId="0" borderId="246" xfId="0" applyNumberFormat="1" applyFill="1" applyBorder="1" applyAlignment="1" applyProtection="1">
      <alignment horizontal="center" vertical="center"/>
      <protection hidden="1"/>
    </xf>
    <xf numFmtId="167" fontId="0" fillId="5" borderId="245" xfId="0" applyNumberFormat="1" applyFill="1" applyBorder="1" applyAlignment="1" applyProtection="1">
      <alignment horizontal="center" vertical="center"/>
      <protection hidden="1"/>
    </xf>
    <xf numFmtId="165" fontId="0" fillId="0" borderId="0" xfId="0" applyNumberFormat="1" applyAlignment="1" applyProtection="1">
      <alignment vertical="center"/>
      <protection locked="0" hidden="1"/>
    </xf>
    <xf numFmtId="0" fontId="27" fillId="0" borderId="142" xfId="0" applyFont="1" applyFill="1" applyBorder="1" applyAlignment="1" applyProtection="1"/>
    <xf numFmtId="0" fontId="5" fillId="0" borderId="215" xfId="0" applyFont="1" applyFill="1" applyBorder="1" applyAlignment="1" applyProtection="1">
      <alignment vertical="center"/>
      <protection hidden="1"/>
    </xf>
    <xf numFmtId="0" fontId="5" fillId="0" borderId="216" xfId="0" applyFont="1" applyFill="1" applyBorder="1" applyAlignment="1" applyProtection="1">
      <alignment vertical="center"/>
      <protection hidden="1"/>
    </xf>
    <xf numFmtId="0" fontId="5" fillId="0" borderId="217" xfId="0" applyFont="1" applyFill="1" applyBorder="1" applyAlignment="1" applyProtection="1">
      <alignment vertical="center"/>
      <protection hidden="1"/>
    </xf>
    <xf numFmtId="167" fontId="5" fillId="5" borderId="217" xfId="0" applyNumberFormat="1" applyFont="1" applyFill="1" applyBorder="1" applyAlignment="1" applyProtection="1">
      <alignment horizontal="center" vertical="center"/>
      <protection hidden="1"/>
    </xf>
    <xf numFmtId="1" fontId="0" fillId="0" borderId="0" xfId="0" applyNumberFormat="1" applyAlignment="1">
      <alignment horizontal="left" vertical="center"/>
    </xf>
    <xf numFmtId="1" fontId="0" fillId="0" borderId="247" xfId="0" applyNumberFormat="1" applyFill="1" applyBorder="1" applyAlignment="1" applyProtection="1">
      <alignment horizontal="center" vertical="center"/>
      <protection hidden="1"/>
    </xf>
    <xf numFmtId="1" fontId="0" fillId="0" borderId="217" xfId="0" applyNumberFormat="1" applyFill="1" applyBorder="1" applyAlignment="1" applyProtection="1">
      <alignment horizontal="center" vertical="center"/>
      <protection hidden="1"/>
    </xf>
    <xf numFmtId="1" fontId="0" fillId="0" borderId="215" xfId="0" applyNumberFormat="1" applyFill="1" applyBorder="1" applyAlignment="1" applyProtection="1">
      <alignment horizontal="center" vertical="center"/>
      <protection hidden="1"/>
    </xf>
    <xf numFmtId="1" fontId="0" fillId="0" borderId="216" xfId="0" applyNumberFormat="1" applyFill="1" applyBorder="1" applyAlignment="1" applyProtection="1">
      <alignment horizontal="center" vertical="center"/>
      <protection hidden="1"/>
    </xf>
    <xf numFmtId="0" fontId="0" fillId="49" borderId="0" xfId="0" applyFill="1" applyAlignment="1" applyProtection="1">
      <alignment vertical="center"/>
      <protection hidden="1"/>
    </xf>
    <xf numFmtId="0" fontId="9" fillId="0" borderId="50" xfId="0" applyFont="1" applyBorder="1" applyAlignment="1" applyProtection="1">
      <alignment vertical="center"/>
      <protection locked="0" hidden="1"/>
    </xf>
    <xf numFmtId="0" fontId="9" fillId="0" borderId="0" xfId="0" applyFont="1" applyBorder="1" applyAlignment="1" applyProtection="1">
      <alignment vertical="center"/>
      <protection locked="0" hidden="1"/>
    </xf>
    <xf numFmtId="165" fontId="0" fillId="0" borderId="50" xfId="0" applyNumberFormat="1" applyBorder="1" applyAlignment="1" applyProtection="1">
      <alignment vertical="center"/>
      <protection locked="0" hidden="1"/>
    </xf>
    <xf numFmtId="165" fontId="0" fillId="0" borderId="0" xfId="0" applyNumberFormat="1" applyBorder="1" applyAlignment="1" applyProtection="1">
      <alignment vertical="center"/>
      <protection locked="0" hidden="1"/>
    </xf>
    <xf numFmtId="0" fontId="2" fillId="0" borderId="0" xfId="0" applyFont="1" applyBorder="1" applyProtection="1"/>
    <xf numFmtId="0" fontId="2" fillId="0" borderId="0" xfId="0" applyFont="1" applyFill="1" applyBorder="1" applyAlignment="1" applyProtection="1">
      <alignment horizontal="center"/>
    </xf>
    <xf numFmtId="167" fontId="0" fillId="0" borderId="0" xfId="0" applyNumberFormat="1" applyFill="1" applyBorder="1" applyAlignment="1" applyProtection="1">
      <alignment horizontal="center" vertical="center"/>
    </xf>
    <xf numFmtId="1" fontId="9" fillId="0" borderId="1" xfId="0" applyNumberFormat="1" applyFont="1" applyFill="1" applyBorder="1" applyAlignment="1" applyProtection="1">
      <alignment horizontal="center" vertical="center"/>
      <protection hidden="1"/>
    </xf>
    <xf numFmtId="1" fontId="9" fillId="0" borderId="159" xfId="0" applyNumberFormat="1" applyFont="1" applyFill="1" applyBorder="1" applyAlignment="1" applyProtection="1">
      <alignment horizontal="center" vertical="center"/>
      <protection hidden="1"/>
    </xf>
    <xf numFmtId="0" fontId="2" fillId="48" borderId="44" xfId="0" applyFont="1" applyFill="1" applyBorder="1" applyAlignment="1" applyProtection="1">
      <alignment vertical="center"/>
      <protection hidden="1"/>
    </xf>
    <xf numFmtId="0" fontId="2" fillId="48" borderId="45" xfId="0" applyFont="1" applyFill="1" applyBorder="1" applyAlignment="1" applyProtection="1">
      <alignment vertical="center"/>
      <protection hidden="1"/>
    </xf>
    <xf numFmtId="0" fontId="2" fillId="48" borderId="54" xfId="0" applyFont="1" applyFill="1" applyBorder="1" applyAlignment="1" applyProtection="1">
      <alignment vertical="center"/>
      <protection hidden="1"/>
    </xf>
    <xf numFmtId="0" fontId="9" fillId="50" borderId="1" xfId="0" applyFont="1" applyFill="1" applyBorder="1" applyAlignment="1" applyProtection="1">
      <alignment horizontal="center" vertical="center"/>
      <protection locked="0" hidden="1"/>
    </xf>
    <xf numFmtId="0" fontId="87" fillId="48" borderId="45" xfId="0" applyFont="1" applyFill="1" applyBorder="1" applyAlignment="1" applyProtection="1">
      <alignment horizontal="center" vertical="center"/>
      <protection hidden="1"/>
    </xf>
    <xf numFmtId="2" fontId="5" fillId="0" borderId="215" xfId="0" applyNumberFormat="1" applyFont="1" applyFill="1" applyBorder="1" applyAlignment="1" applyProtection="1">
      <alignment horizontal="center" vertical="center"/>
      <protection hidden="1"/>
    </xf>
    <xf numFmtId="1" fontId="82" fillId="0" borderId="0" xfId="0" applyNumberFormat="1" applyFont="1" applyFill="1" applyBorder="1" applyAlignment="1" applyProtection="1">
      <alignment horizontal="left" vertical="center"/>
      <protection hidden="1"/>
    </xf>
    <xf numFmtId="0" fontId="87" fillId="0" borderId="0" xfId="0" applyFont="1" applyBorder="1" applyAlignment="1" applyProtection="1">
      <alignment horizontal="right" vertical="center"/>
      <protection hidden="1"/>
    </xf>
    <xf numFmtId="0" fontId="9" fillId="50" borderId="142" xfId="0" applyFont="1" applyFill="1" applyBorder="1" applyAlignment="1" applyProtection="1">
      <alignment horizontal="center"/>
      <protection locked="0"/>
    </xf>
    <xf numFmtId="0" fontId="27" fillId="50" borderId="138" xfId="0" applyFont="1" applyFill="1" applyBorder="1" applyAlignment="1" applyProtection="1">
      <alignment vertical="center"/>
    </xf>
    <xf numFmtId="0" fontId="0" fillId="0" borderId="137" xfId="0" applyFill="1" applyBorder="1" applyAlignment="1" applyProtection="1">
      <alignment vertical="center"/>
    </xf>
    <xf numFmtId="0" fontId="27" fillId="0" borderId="139" xfId="0" applyFont="1" applyFill="1" applyBorder="1" applyAlignment="1" applyProtection="1"/>
    <xf numFmtId="0" fontId="0" fillId="0" borderId="139" xfId="0" applyFill="1" applyBorder="1" applyAlignment="1" applyProtection="1">
      <alignment vertical="center"/>
    </xf>
    <xf numFmtId="0" fontId="0" fillId="0" borderId="142" xfId="0" applyFill="1" applyBorder="1" applyAlignment="1" applyProtection="1">
      <alignment vertical="center"/>
    </xf>
    <xf numFmtId="0" fontId="2" fillId="0" borderId="0" xfId="62" applyFont="1" applyFill="1" applyProtection="1"/>
    <xf numFmtId="0" fontId="9" fillId="0" borderId="0" xfId="62" applyFont="1" applyFill="1" applyProtection="1"/>
    <xf numFmtId="0" fontId="9" fillId="0" borderId="0" xfId="62" applyFont="1" applyFill="1" applyAlignment="1" applyProtection="1">
      <alignment horizontal="center"/>
    </xf>
    <xf numFmtId="2" fontId="9" fillId="0" borderId="0" xfId="62" applyNumberFormat="1" applyFont="1" applyBorder="1" applyAlignment="1" applyProtection="1">
      <alignment horizontal="center"/>
    </xf>
    <xf numFmtId="1" fontId="9" fillId="0" borderId="0" xfId="62" applyNumberFormat="1" applyFont="1" applyBorder="1" applyAlignment="1" applyProtection="1">
      <alignment horizontal="center"/>
    </xf>
    <xf numFmtId="0" fontId="2" fillId="0" borderId="30" xfId="62" applyFont="1" applyFill="1" applyBorder="1" applyAlignment="1" applyProtection="1"/>
    <xf numFmtId="0" fontId="2" fillId="0" borderId="30" xfId="62" applyFont="1" applyFill="1" applyBorder="1" applyAlignment="1" applyProtection="1">
      <alignment horizontal="center"/>
    </xf>
    <xf numFmtId="2" fontId="9" fillId="0" borderId="3" xfId="62" applyNumberFormat="1" applyFont="1" applyBorder="1" applyAlignment="1" applyProtection="1">
      <alignment horizontal="center"/>
    </xf>
    <xf numFmtId="1" fontId="2" fillId="0" borderId="3" xfId="62" applyNumberFormat="1" applyFont="1" applyBorder="1" applyAlignment="1" applyProtection="1">
      <alignment horizontal="center"/>
    </xf>
    <xf numFmtId="1" fontId="2" fillId="0" borderId="30" xfId="49" applyNumberFormat="1" applyFont="1" applyBorder="1" applyAlignment="1" applyProtection="1">
      <alignment horizontal="center" vertical="center" wrapText="1"/>
    </xf>
    <xf numFmtId="0" fontId="2" fillId="0" borderId="32" xfId="62" applyFont="1" applyFill="1" applyBorder="1" applyAlignment="1" applyProtection="1">
      <alignment horizontal="center"/>
    </xf>
    <xf numFmtId="0" fontId="2" fillId="0" borderId="32" xfId="62" applyFont="1" applyFill="1" applyBorder="1" applyAlignment="1" applyProtection="1">
      <alignment horizontal="center" vertical="center"/>
    </xf>
    <xf numFmtId="0" fontId="2" fillId="0" borderId="5" xfId="62" applyFont="1" applyFill="1" applyBorder="1" applyAlignment="1" applyProtection="1">
      <alignment vertical="center"/>
    </xf>
    <xf numFmtId="0" fontId="2" fillId="0" borderId="0" xfId="62" applyFont="1" applyFill="1" applyBorder="1" applyAlignment="1" applyProtection="1">
      <alignment vertical="center"/>
    </xf>
    <xf numFmtId="2" fontId="2" fillId="0" borderId="5" xfId="37" applyNumberFormat="1" applyFont="1" applyFill="1" applyBorder="1" applyAlignment="1" applyProtection="1">
      <alignment horizontal="center" vertical="center"/>
    </xf>
    <xf numFmtId="1" fontId="53" fillId="0" borderId="5" xfId="49" applyNumberFormat="1" applyFont="1" applyFill="1" applyBorder="1" applyAlignment="1" applyProtection="1">
      <alignment horizontal="center"/>
    </xf>
    <xf numFmtId="1" fontId="2" fillId="0" borderId="32" xfId="49" applyNumberFormat="1" applyFont="1" applyBorder="1" applyAlignment="1" applyProtection="1">
      <alignment horizontal="center" vertical="center" wrapText="1"/>
    </xf>
    <xf numFmtId="0" fontId="2" fillId="0" borderId="34" xfId="62" applyFont="1" applyFill="1" applyBorder="1" applyProtection="1"/>
    <xf numFmtId="0" fontId="2" fillId="0" borderId="34" xfId="62" applyFont="1" applyFill="1" applyBorder="1" applyAlignment="1" applyProtection="1">
      <alignment horizontal="center"/>
    </xf>
    <xf numFmtId="0" fontId="2" fillId="0" borderId="8" xfId="62" applyFont="1" applyFill="1" applyBorder="1" applyAlignment="1" applyProtection="1">
      <alignment horizontal="center"/>
    </xf>
    <xf numFmtId="0" fontId="2" fillId="0" borderId="36" xfId="62" applyFont="1" applyFill="1" applyBorder="1" applyAlignment="1" applyProtection="1">
      <alignment horizontal="center"/>
    </xf>
    <xf numFmtId="2" fontId="13" fillId="0" borderId="6" xfId="37" applyNumberFormat="1" applyFont="1" applyFill="1" applyBorder="1" applyAlignment="1" applyProtection="1">
      <alignment horizontal="center"/>
    </xf>
    <xf numFmtId="1" fontId="6" fillId="0" borderId="6" xfId="49" applyNumberFormat="1" applyFont="1" applyFill="1" applyBorder="1" applyAlignment="1" applyProtection="1">
      <alignment horizontal="center" vertical="center" wrapText="1"/>
    </xf>
    <xf numFmtId="1" fontId="2" fillId="0" borderId="34" xfId="49" applyNumberFormat="1" applyFont="1" applyBorder="1" applyAlignment="1" applyProtection="1">
      <alignment horizontal="center" vertical="center" wrapText="1"/>
    </xf>
    <xf numFmtId="2" fontId="9" fillId="0" borderId="25" xfId="62" applyNumberFormat="1" applyFont="1" applyFill="1" applyBorder="1" applyAlignment="1" applyProtection="1">
      <alignment horizontal="center"/>
    </xf>
    <xf numFmtId="2" fontId="9" fillId="0" borderId="32" xfId="62" applyNumberFormat="1" applyFont="1" applyFill="1" applyBorder="1" applyAlignment="1" applyProtection="1">
      <alignment horizontal="center"/>
    </xf>
    <xf numFmtId="1" fontId="9" fillId="0" borderId="43" xfId="62" applyNumberFormat="1" applyFont="1" applyFill="1" applyBorder="1" applyAlignment="1" applyProtection="1">
      <alignment horizontal="center"/>
    </xf>
    <xf numFmtId="1" fontId="9" fillId="0" borderId="32" xfId="62" applyNumberFormat="1" applyFont="1" applyFill="1" applyBorder="1" applyAlignment="1" applyProtection="1">
      <alignment horizontal="center"/>
    </xf>
    <xf numFmtId="0" fontId="9" fillId="0" borderId="0" xfId="62" applyFont="1" applyFill="1" applyBorder="1" applyAlignment="1" applyProtection="1">
      <alignment horizontal="left"/>
    </xf>
    <xf numFmtId="0" fontId="9" fillId="0" borderId="32" xfId="62" applyFont="1" applyBorder="1" applyAlignment="1" applyProtection="1">
      <alignment horizontal="left"/>
    </xf>
    <xf numFmtId="0" fontId="2" fillId="0" borderId="0" xfId="0" applyFont="1" applyFill="1" applyBorder="1" applyAlignment="1" applyProtection="1">
      <alignment horizontal="center" vertical="center"/>
      <protection locked="0" hidden="1"/>
    </xf>
    <xf numFmtId="1" fontId="2" fillId="0" borderId="0" xfId="0" applyNumberFormat="1" applyFont="1" applyFill="1" applyBorder="1" applyAlignment="1" applyProtection="1">
      <alignment horizontal="center" vertical="center"/>
      <protection locked="0" hidden="1"/>
    </xf>
    <xf numFmtId="0" fontId="9" fillId="5" borderId="0" xfId="0" applyFont="1" applyFill="1"/>
    <xf numFmtId="1" fontId="9" fillId="5" borderId="0" xfId="62" applyNumberFormat="1" applyFont="1" applyFill="1" applyBorder="1" applyAlignment="1">
      <alignment horizontal="center"/>
    </xf>
    <xf numFmtId="0" fontId="0" fillId="5" borderId="0" xfId="0" applyFill="1" applyAlignment="1" applyProtection="1">
      <alignment vertical="center"/>
      <protection locked="0" hidden="1"/>
    </xf>
    <xf numFmtId="0" fontId="5" fillId="0" borderId="0" xfId="0" applyFont="1" applyBorder="1" applyAlignment="1" applyProtection="1">
      <alignment horizontal="right" vertical="center"/>
    </xf>
    <xf numFmtId="1" fontId="5" fillId="0" borderId="0" xfId="0" applyNumberFormat="1" applyFont="1" applyAlignment="1" applyProtection="1">
      <alignment horizontal="left" vertical="center"/>
      <protection hidden="1"/>
    </xf>
    <xf numFmtId="0" fontId="4" fillId="47" borderId="64" xfId="0" applyFont="1" applyFill="1" applyBorder="1" applyAlignment="1" applyProtection="1">
      <alignment vertical="center"/>
    </xf>
    <xf numFmtId="0" fontId="13" fillId="47" borderId="64" xfId="0" applyFont="1" applyFill="1" applyBorder="1" applyAlignment="1" applyProtection="1">
      <alignment vertical="center"/>
    </xf>
    <xf numFmtId="0" fontId="13" fillId="47" borderId="63" xfId="0" applyFont="1" applyFill="1" applyBorder="1" applyAlignment="1" applyProtection="1">
      <alignment vertical="center"/>
    </xf>
    <xf numFmtId="0" fontId="13" fillId="47" borderId="118" xfId="0" applyFont="1" applyFill="1" applyBorder="1" applyAlignment="1" applyProtection="1">
      <alignment vertical="center"/>
    </xf>
    <xf numFmtId="0" fontId="0" fillId="47" borderId="63" xfId="0" applyFill="1" applyBorder="1" applyAlignment="1" applyProtection="1">
      <alignment vertical="center"/>
      <protection hidden="1"/>
    </xf>
    <xf numFmtId="0" fontId="0" fillId="47" borderId="118" xfId="0" applyFill="1" applyBorder="1" applyAlignment="1" applyProtection="1">
      <alignment vertical="center"/>
      <protection hidden="1"/>
    </xf>
    <xf numFmtId="0" fontId="2" fillId="47" borderId="63" xfId="0" applyFont="1" applyFill="1" applyBorder="1" applyAlignment="1" applyProtection="1">
      <alignment vertical="center"/>
    </xf>
    <xf numFmtId="0" fontId="2" fillId="47" borderId="118" xfId="0" applyFont="1" applyFill="1" applyBorder="1" applyAlignment="1" applyProtection="1">
      <alignment vertical="center"/>
    </xf>
    <xf numFmtId="0" fontId="13" fillId="47" borderId="118" xfId="0" applyFont="1" applyFill="1" applyBorder="1" applyAlignment="1" applyProtection="1">
      <alignment horizontal="left" vertical="center"/>
    </xf>
    <xf numFmtId="1" fontId="9" fillId="0" borderId="49" xfId="42" applyNumberFormat="1" applyFont="1" applyBorder="1" applyAlignment="1" applyProtection="1">
      <alignment horizontal="center" vertical="center"/>
      <protection hidden="1"/>
    </xf>
    <xf numFmtId="0" fontId="9" fillId="0" borderId="116" xfId="0" applyFont="1" applyBorder="1" applyAlignment="1" applyProtection="1">
      <alignment horizontal="center" vertical="center"/>
      <protection hidden="1"/>
    </xf>
    <xf numFmtId="2" fontId="9" fillId="0" borderId="117" xfId="42" applyNumberFormat="1" applyFont="1" applyBorder="1" applyAlignment="1" applyProtection="1">
      <alignment horizontal="center" vertical="center"/>
      <protection hidden="1"/>
    </xf>
    <xf numFmtId="0" fontId="9" fillId="0" borderId="116" xfId="0" applyFont="1" applyBorder="1" applyAlignment="1">
      <alignment horizontal="center" vertical="center"/>
    </xf>
    <xf numFmtId="0" fontId="9" fillId="0" borderId="160" xfId="0" applyFont="1" applyBorder="1" applyAlignment="1">
      <alignment horizontal="center" vertical="center"/>
    </xf>
    <xf numFmtId="0" fontId="2" fillId="50" borderId="117" xfId="0" applyFont="1" applyFill="1" applyBorder="1" applyAlignment="1" applyProtection="1">
      <alignment horizontal="center" vertical="center"/>
      <protection locked="0"/>
    </xf>
    <xf numFmtId="0" fontId="9" fillId="0" borderId="47" xfId="42" applyFont="1" applyBorder="1" applyAlignment="1">
      <alignment horizontal="center" vertical="center"/>
    </xf>
    <xf numFmtId="1" fontId="9" fillId="0" borderId="0" xfId="0" applyNumberFormat="1" applyFont="1" applyFill="1" applyBorder="1" applyAlignment="1" applyProtection="1">
      <alignment horizontal="center" vertical="center"/>
      <protection hidden="1"/>
    </xf>
    <xf numFmtId="1" fontId="2" fillId="0" borderId="0" xfId="0" applyNumberFormat="1" applyFont="1" applyFill="1" applyBorder="1" applyAlignment="1" applyProtection="1">
      <alignment horizontal="center" vertical="center"/>
      <protection locked="0" hidden="1"/>
    </xf>
    <xf numFmtId="0" fontId="9" fillId="0" borderId="0" xfId="0" applyFont="1" applyFill="1" applyBorder="1" applyAlignment="1" applyProtection="1">
      <alignment horizontal="center" vertical="center"/>
      <protection locked="0" hidden="1"/>
    </xf>
    <xf numFmtId="1" fontId="4" fillId="0" borderId="0" xfId="0" applyNumberFormat="1"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xf>
    <xf numFmtId="0" fontId="5" fillId="47" borderId="0" xfId="62" applyFont="1" applyFill="1" applyAlignment="1" applyProtection="1">
      <alignment horizontal="left"/>
      <protection locked="0"/>
    </xf>
    <xf numFmtId="0" fontId="2" fillId="58" borderId="4" xfId="62" applyFont="1" applyFill="1" applyBorder="1" applyAlignment="1" applyProtection="1">
      <protection locked="0"/>
    </xf>
    <xf numFmtId="0" fontId="2"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1" fontId="2" fillId="0" borderId="0" xfId="0" applyNumberFormat="1" applyFont="1" applyFill="1" applyBorder="1" applyAlignment="1" applyProtection="1">
      <alignment horizontal="center" vertical="center"/>
      <protection locked="0" hidden="1"/>
    </xf>
    <xf numFmtId="0" fontId="2" fillId="0" borderId="0" xfId="0" applyFont="1" applyAlignment="1" applyProtection="1">
      <alignment horizontal="center" vertical="center"/>
      <protection locked="0" hidden="1"/>
    </xf>
    <xf numFmtId="0" fontId="2" fillId="0" borderId="0" xfId="0" applyFont="1" applyAlignment="1" applyProtection="1">
      <alignment horizontal="center" vertical="center"/>
      <protection locked="0" hidden="1"/>
    </xf>
    <xf numFmtId="0" fontId="2" fillId="0" borderId="3" xfId="0" applyFont="1" applyBorder="1" applyAlignment="1" applyProtection="1">
      <alignment horizontal="center" vertical="center"/>
      <protection locked="0" hidden="1"/>
    </xf>
    <xf numFmtId="0" fontId="2" fillId="0" borderId="4" xfId="0" applyFont="1" applyBorder="1" applyAlignment="1" applyProtection="1">
      <alignment horizontal="center" vertical="center"/>
      <protection locked="0" hidden="1"/>
    </xf>
    <xf numFmtId="0" fontId="2" fillId="0" borderId="29" xfId="0" applyFont="1" applyBorder="1" applyAlignment="1" applyProtection="1">
      <alignment horizontal="center" vertical="center"/>
      <protection locked="0" hidden="1"/>
    </xf>
    <xf numFmtId="0" fontId="2" fillId="0" borderId="5" xfId="0" applyFont="1" applyBorder="1" applyAlignment="1" applyProtection="1">
      <alignment horizontal="center" vertical="center"/>
      <protection locked="0" hidden="1"/>
    </xf>
    <xf numFmtId="0" fontId="2" fillId="0" borderId="31" xfId="0" applyFont="1" applyBorder="1" applyAlignment="1" applyProtection="1">
      <alignment horizontal="center" vertical="center"/>
      <protection locked="0" hidden="1"/>
    </xf>
    <xf numFmtId="167" fontId="2" fillId="0" borderId="0" xfId="0" applyNumberFormat="1" applyFont="1" applyAlignment="1" applyProtection="1">
      <alignment horizontal="center" vertical="center"/>
      <protection locked="0" hidden="1"/>
    </xf>
    <xf numFmtId="167" fontId="2" fillId="0" borderId="0" xfId="0" applyNumberFormat="1" applyFont="1" applyAlignment="1" applyProtection="1">
      <alignment vertical="center"/>
      <protection hidden="1"/>
    </xf>
    <xf numFmtId="0" fontId="5" fillId="0" borderId="5" xfId="0" applyFont="1" applyBorder="1" applyAlignment="1">
      <alignment horizontal="center" vertical="center"/>
    </xf>
    <xf numFmtId="0" fontId="5" fillId="0" borderId="0" xfId="0" applyFont="1" applyAlignment="1">
      <alignment horizontal="center" vertical="center"/>
    </xf>
    <xf numFmtId="0" fontId="5" fillId="0" borderId="5" xfId="0" applyFont="1" applyBorder="1" applyAlignment="1" applyProtection="1">
      <alignment horizontal="center" vertical="center"/>
      <protection hidden="1"/>
    </xf>
    <xf numFmtId="0" fontId="5" fillId="0" borderId="0" xfId="0" applyFont="1" applyAlignment="1" applyProtection="1">
      <alignment horizontal="center" vertical="center"/>
      <protection hidden="1"/>
    </xf>
    <xf numFmtId="0" fontId="5" fillId="0" borderId="6" xfId="0" applyFont="1" applyBorder="1" applyAlignment="1">
      <alignment horizontal="center" vertical="center"/>
    </xf>
    <xf numFmtId="0" fontId="2" fillId="0" borderId="7" xfId="0" applyFont="1" applyBorder="1" applyAlignment="1" applyProtection="1">
      <alignment horizontal="center" vertical="center"/>
      <protection locked="0" hidden="1"/>
    </xf>
    <xf numFmtId="0" fontId="2" fillId="0" borderId="33" xfId="0" applyFont="1" applyBorder="1" applyAlignment="1" applyProtection="1">
      <alignment horizontal="center" vertical="center"/>
      <protection locked="0" hidden="1"/>
    </xf>
    <xf numFmtId="2" fontId="9" fillId="0" borderId="117" xfId="0" applyNumberFormat="1" applyFont="1" applyBorder="1" applyAlignment="1" applyProtection="1">
      <alignment horizontal="center" vertical="center"/>
      <protection hidden="1"/>
    </xf>
    <xf numFmtId="2" fontId="9" fillId="0" borderId="94" xfId="0" applyNumberFormat="1" applyFont="1" applyBorder="1" applyAlignment="1" applyProtection="1">
      <alignment horizontal="center" vertical="center"/>
      <protection hidden="1"/>
    </xf>
    <xf numFmtId="2" fontId="0" fillId="0" borderId="117" xfId="0" applyNumberFormat="1" applyBorder="1" applyAlignment="1" applyProtection="1">
      <alignment horizontal="center" vertical="center"/>
      <protection hidden="1"/>
    </xf>
    <xf numFmtId="2" fontId="0" fillId="0" borderId="94" xfId="0" applyNumberFormat="1" applyBorder="1" applyAlignment="1" applyProtection="1">
      <alignment horizontal="center" vertical="center"/>
      <protection hidden="1"/>
    </xf>
    <xf numFmtId="166" fontId="2" fillId="0" borderId="0" xfId="0" applyNumberFormat="1" applyFont="1" applyFill="1" applyBorder="1" applyAlignment="1" applyProtection="1">
      <alignment horizontal="center" vertical="center"/>
      <protection locked="0" hidden="1"/>
    </xf>
    <xf numFmtId="0" fontId="0" fillId="0" borderId="0" xfId="0" applyFill="1" applyBorder="1" applyAlignment="1" applyProtection="1">
      <alignment vertical="center"/>
    </xf>
    <xf numFmtId="0" fontId="2" fillId="0" borderId="0" xfId="0" applyFont="1" applyFill="1" applyBorder="1" applyAlignment="1" applyProtection="1">
      <alignment horizontal="center" vertical="center"/>
      <protection hidden="1"/>
    </xf>
    <xf numFmtId="0" fontId="38" fillId="0" borderId="0" xfId="0" applyFont="1" applyFill="1" applyBorder="1" applyAlignment="1" applyProtection="1">
      <alignment vertical="center"/>
    </xf>
    <xf numFmtId="1" fontId="2" fillId="51" borderId="0" xfId="0" applyNumberFormat="1" applyFont="1" applyFill="1" applyBorder="1" applyAlignment="1" applyProtection="1">
      <alignment vertical="center"/>
      <protection locked="0" hidden="1"/>
    </xf>
    <xf numFmtId="0" fontId="2" fillId="0" borderId="47" xfId="0" applyFont="1" applyFill="1" applyBorder="1" applyAlignment="1" applyProtection="1">
      <alignment horizontal="center" vertical="center" wrapText="1"/>
      <protection hidden="1"/>
    </xf>
    <xf numFmtId="0" fontId="9" fillId="0" borderId="116" xfId="0" applyFont="1" applyBorder="1" applyAlignment="1" applyProtection="1">
      <alignment horizontal="center" vertical="center"/>
      <protection hidden="1"/>
    </xf>
    <xf numFmtId="0" fontId="9" fillId="0" borderId="116" xfId="0" applyFont="1" applyBorder="1" applyAlignment="1">
      <alignment horizontal="center" vertical="center"/>
    </xf>
    <xf numFmtId="0" fontId="4" fillId="0" borderId="0" xfId="0" applyFont="1" applyFill="1" applyBorder="1" applyAlignment="1" applyProtection="1">
      <alignment horizontal="center" vertical="center"/>
    </xf>
    <xf numFmtId="0" fontId="1" fillId="0" borderId="25" xfId="0" applyFont="1" applyFill="1" applyBorder="1" applyAlignment="1" applyProtection="1">
      <alignment horizontal="center" vertical="center"/>
      <protection locked="0" hidden="1"/>
    </xf>
    <xf numFmtId="1" fontId="1" fillId="0" borderId="0" xfId="62" applyNumberFormat="1" applyFont="1" applyAlignment="1">
      <alignment horizontal="center"/>
    </xf>
    <xf numFmtId="167" fontId="0" fillId="0" borderId="25" xfId="0" applyNumberFormat="1" applyBorder="1" applyAlignment="1" applyProtection="1">
      <alignment horizontal="center" vertical="center"/>
      <protection locked="0" hidden="1"/>
    </xf>
    <xf numFmtId="0" fontId="2" fillId="0" borderId="3" xfId="0" applyFont="1" applyBorder="1" applyAlignment="1" applyProtection="1">
      <alignment vertical="center"/>
      <protection hidden="1"/>
    </xf>
    <xf numFmtId="1" fontId="5" fillId="0" borderId="4" xfId="0" applyNumberFormat="1" applyFont="1" applyBorder="1" applyAlignment="1" applyProtection="1">
      <alignment horizontal="center" vertical="center"/>
      <protection locked="0" hidden="1"/>
    </xf>
    <xf numFmtId="0" fontId="2" fillId="0" borderId="4" xfId="0" applyFont="1" applyBorder="1" applyAlignment="1" applyProtection="1">
      <alignment vertical="center"/>
      <protection hidden="1"/>
    </xf>
    <xf numFmtId="1" fontId="5" fillId="0" borderId="29" xfId="0" applyNumberFormat="1" applyFont="1" applyBorder="1" applyAlignment="1" applyProtection="1">
      <alignment horizontal="center" vertical="center"/>
      <protection locked="0" hidden="1"/>
    </xf>
    <xf numFmtId="0" fontId="2" fillId="0" borderId="0" xfId="0" applyFont="1" applyAlignment="1" applyProtection="1">
      <alignment horizontal="left" vertical="center"/>
      <protection locked="0" hidden="1"/>
    </xf>
    <xf numFmtId="0" fontId="2" fillId="0" borderId="31" xfId="0" applyFont="1" applyBorder="1" applyAlignment="1" applyProtection="1">
      <alignment vertical="center"/>
      <protection hidden="1"/>
    </xf>
    <xf numFmtId="0" fontId="2" fillId="0" borderId="6" xfId="0" applyFont="1" applyBorder="1" applyAlignment="1" applyProtection="1">
      <alignment horizontal="center" vertical="center"/>
      <protection locked="0" hidden="1"/>
    </xf>
    <xf numFmtId="0" fontId="1" fillId="48" borderId="100" xfId="0" applyFont="1" applyFill="1" applyBorder="1" applyAlignment="1" applyProtection="1">
      <alignment horizontal="center"/>
    </xf>
    <xf numFmtId="0" fontId="1" fillId="48" borderId="60" xfId="0" applyFont="1" applyFill="1" applyBorder="1" applyAlignment="1" applyProtection="1">
      <alignment horizontal="center"/>
    </xf>
    <xf numFmtId="0" fontId="1" fillId="48" borderId="36" xfId="0" applyFont="1" applyFill="1" applyBorder="1" applyAlignment="1" applyProtection="1">
      <alignment horizontal="center"/>
    </xf>
    <xf numFmtId="0" fontId="2" fillId="0" borderId="0" xfId="0" applyFont="1" applyFill="1" applyBorder="1"/>
    <xf numFmtId="0" fontId="0" fillId="0" borderId="0" xfId="0" applyFill="1" applyBorder="1"/>
    <xf numFmtId="0" fontId="0" fillId="0" borderId="0" xfId="0" applyFill="1" applyBorder="1" applyAlignment="1">
      <alignment horizontal="center"/>
    </xf>
    <xf numFmtId="0" fontId="9" fillId="0" borderId="0" xfId="0" applyFont="1" applyFill="1" applyBorder="1" applyAlignment="1">
      <alignment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0" xfId="0" applyFill="1" applyBorder="1" applyAlignment="1"/>
    <xf numFmtId="0" fontId="9" fillId="0" borderId="0" xfId="0" applyFont="1" applyFill="1" applyBorder="1" applyAlignment="1">
      <alignment horizontal="center" vertical="center"/>
    </xf>
    <xf numFmtId="0" fontId="12" fillId="0" borderId="0" xfId="0" applyFont="1" applyFill="1" applyBorder="1" applyAlignment="1">
      <alignment vertical="center" wrapText="1"/>
    </xf>
    <xf numFmtId="0" fontId="2" fillId="0" borderId="0" xfId="0" applyFont="1" applyFill="1" applyBorder="1" applyAlignment="1" applyProtection="1">
      <alignment vertical="center"/>
      <protection hidden="1"/>
    </xf>
    <xf numFmtId="1" fontId="2" fillId="0" borderId="0" xfId="0" applyNumberFormat="1" applyFont="1" applyFill="1" applyBorder="1" applyAlignment="1" applyProtection="1">
      <alignment vertical="center"/>
    </xf>
    <xf numFmtId="1" fontId="4" fillId="0" borderId="0" xfId="0" applyNumberFormat="1" applyFont="1" applyFill="1" applyBorder="1" applyAlignment="1" applyProtection="1">
      <alignment vertical="center"/>
      <protection hidden="1"/>
    </xf>
    <xf numFmtId="0" fontId="1" fillId="0" borderId="0" xfId="0" applyFont="1"/>
    <xf numFmtId="0" fontId="1" fillId="0" borderId="0" xfId="0" applyFont="1" applyFill="1" applyBorder="1"/>
    <xf numFmtId="0" fontId="1" fillId="48" borderId="112" xfId="0" applyFont="1" applyFill="1" applyBorder="1" applyAlignment="1" applyProtection="1">
      <alignment horizontal="center"/>
    </xf>
    <xf numFmtId="0" fontId="1" fillId="48" borderId="111" xfId="0" applyFont="1" applyFill="1" applyBorder="1" applyAlignment="1" applyProtection="1">
      <alignment horizontal="center"/>
    </xf>
    <xf numFmtId="0" fontId="1" fillId="48" borderId="29" xfId="0" applyFont="1" applyFill="1" applyBorder="1" applyAlignment="1" applyProtection="1">
      <alignment horizontal="center" vertical="center"/>
    </xf>
    <xf numFmtId="0" fontId="1" fillId="48" borderId="25" xfId="0" applyFont="1" applyFill="1" applyBorder="1" applyAlignment="1" applyProtection="1">
      <alignment horizontal="center"/>
    </xf>
    <xf numFmtId="0" fontId="73" fillId="48" borderId="25" xfId="0" applyFont="1" applyFill="1" applyBorder="1" applyAlignment="1" applyProtection="1">
      <alignment horizontal="center"/>
    </xf>
    <xf numFmtId="0" fontId="1" fillId="48" borderId="50" xfId="0" applyFont="1" applyFill="1" applyBorder="1" applyAlignment="1" applyProtection="1">
      <alignment horizontal="center"/>
    </xf>
    <xf numFmtId="0" fontId="1" fillId="48" borderId="24" xfId="0" applyFont="1" applyFill="1" applyBorder="1" applyAlignment="1" applyProtection="1">
      <alignment horizontal="center"/>
    </xf>
    <xf numFmtId="0" fontId="73" fillId="48" borderId="36" xfId="0" applyFont="1" applyFill="1" applyBorder="1" applyAlignment="1" applyProtection="1">
      <alignment horizontal="center"/>
    </xf>
    <xf numFmtId="0" fontId="1" fillId="48" borderId="55" xfId="0" applyFont="1" applyFill="1" applyBorder="1" applyAlignment="1" applyProtection="1">
      <alignment horizontal="center"/>
    </xf>
    <xf numFmtId="0" fontId="0" fillId="48" borderId="63" xfId="0" applyFill="1" applyBorder="1"/>
    <xf numFmtId="0" fontId="2" fillId="57" borderId="8" xfId="62" applyFont="1" applyFill="1" applyBorder="1" applyAlignment="1" applyProtection="1">
      <alignment horizontal="center"/>
      <protection locked="0"/>
    </xf>
    <xf numFmtId="0" fontId="2" fillId="57" borderId="36" xfId="62" applyFont="1" applyFill="1" applyBorder="1" applyAlignment="1" applyProtection="1">
      <alignment horizontal="center"/>
      <protection locked="0"/>
    </xf>
    <xf numFmtId="0" fontId="2" fillId="0" borderId="3" xfId="62" applyFont="1" applyFill="1" applyBorder="1" applyAlignment="1" applyProtection="1">
      <alignment horizontal="center"/>
      <protection locked="0"/>
    </xf>
    <xf numFmtId="0" fontId="2" fillId="0" borderId="6" xfId="62" applyFont="1" applyFill="1" applyBorder="1" applyAlignment="1" applyProtection="1">
      <alignment horizontal="center"/>
      <protection locked="0"/>
    </xf>
    <xf numFmtId="0" fontId="9" fillId="0" borderId="0" xfId="0" applyFont="1" applyFill="1" applyBorder="1" applyAlignment="1" applyProtection="1">
      <alignment horizontal="center" vertical="top"/>
      <protection locked="0"/>
    </xf>
    <xf numFmtId="0" fontId="72" fillId="0" borderId="6" xfId="0" applyFont="1" applyBorder="1" applyAlignment="1">
      <alignment horizontal="center" vertical="top"/>
    </xf>
    <xf numFmtId="0" fontId="2" fillId="0" borderId="3" xfId="62" applyFont="1" applyBorder="1" applyProtection="1">
      <protection locked="0"/>
    </xf>
    <xf numFmtId="0" fontId="2" fillId="0" borderId="4" xfId="62" applyFont="1" applyBorder="1" applyProtection="1">
      <protection locked="0"/>
    </xf>
    <xf numFmtId="0" fontId="2" fillId="0" borderId="5" xfId="62" applyFont="1" applyBorder="1" applyAlignment="1" applyProtection="1">
      <alignment vertical="center"/>
      <protection locked="0"/>
    </xf>
    <xf numFmtId="0" fontId="2" fillId="0" borderId="0" xfId="62" applyFont="1" applyAlignment="1" applyProtection="1">
      <alignment vertical="center"/>
      <protection locked="0"/>
    </xf>
    <xf numFmtId="0" fontId="2" fillId="0" borderId="8" xfId="62" applyFont="1" applyBorder="1" applyAlignment="1" applyProtection="1">
      <alignment horizontal="center"/>
      <protection locked="0"/>
    </xf>
    <xf numFmtId="0" fontId="2" fillId="0" borderId="36" xfId="62" applyFont="1" applyBorder="1" applyAlignment="1" applyProtection="1">
      <alignment horizontal="center"/>
      <protection locked="0"/>
    </xf>
    <xf numFmtId="0" fontId="2" fillId="0" borderId="5" xfId="62" applyFont="1" applyFill="1" applyBorder="1" applyAlignment="1" applyProtection="1">
      <alignment horizontal="center" vertical="center"/>
      <protection locked="0"/>
    </xf>
    <xf numFmtId="0" fontId="9" fillId="0" borderId="0" xfId="62" applyFont="1" applyFill="1" applyAlignment="1" applyProtection="1">
      <alignment horizontal="left"/>
      <protection locked="0"/>
    </xf>
    <xf numFmtId="0" fontId="5" fillId="59" borderId="0" xfId="62" applyFont="1" applyFill="1" applyAlignment="1" applyProtection="1">
      <alignment horizontal="left"/>
      <protection locked="0"/>
    </xf>
    <xf numFmtId="0" fontId="2" fillId="59" borderId="29" xfId="62" applyFont="1" applyFill="1" applyBorder="1" applyAlignment="1" applyProtection="1">
      <alignment horizontal="center"/>
      <protection locked="0"/>
    </xf>
    <xf numFmtId="0" fontId="2" fillId="59" borderId="31" xfId="62" applyFont="1" applyFill="1" applyBorder="1" applyAlignment="1" applyProtection="1">
      <alignment horizontal="center" textRotation="90"/>
      <protection locked="0"/>
    </xf>
    <xf numFmtId="0" fontId="2" fillId="59" borderId="33" xfId="62" applyFont="1" applyFill="1" applyBorder="1" applyAlignment="1" applyProtection="1">
      <alignment horizontal="center"/>
      <protection locked="0"/>
    </xf>
    <xf numFmtId="0" fontId="0" fillId="0" borderId="5" xfId="0" applyBorder="1"/>
    <xf numFmtId="0" fontId="0" fillId="0" borderId="0" xfId="0" applyBorder="1"/>
    <xf numFmtId="0" fontId="7" fillId="0" borderId="0" xfId="62" applyFont="1"/>
    <xf numFmtId="0" fontId="6" fillId="0" borderId="0" xfId="62" applyFont="1"/>
    <xf numFmtId="0" fontId="6" fillId="0" borderId="29" xfId="62" applyFont="1" applyBorder="1" applyAlignment="1">
      <alignment horizontal="center"/>
    </xf>
    <xf numFmtId="0" fontId="6" fillId="0" borderId="3" xfId="62" applyFont="1" applyBorder="1"/>
    <xf numFmtId="0" fontId="6" fillId="0" borderId="4" xfId="62" applyFont="1" applyBorder="1"/>
    <xf numFmtId="0" fontId="6" fillId="0" borderId="4" xfId="62" applyFont="1" applyBorder="1" applyAlignment="1">
      <alignment horizontal="left"/>
    </xf>
    <xf numFmtId="0" fontId="6" fillId="0" borderId="29" xfId="62" applyFont="1" applyBorder="1" applyAlignment="1">
      <alignment horizontal="left"/>
    </xf>
    <xf numFmtId="0" fontId="6" fillId="0" borderId="0" xfId="62" applyFont="1" applyAlignment="1">
      <alignment horizontal="left"/>
    </xf>
    <xf numFmtId="0" fontId="6" fillId="0" borderId="33" xfId="62" applyFont="1" applyBorder="1"/>
    <xf numFmtId="0" fontId="6" fillId="0" borderId="7" xfId="62" applyFont="1" applyBorder="1" applyAlignment="1">
      <alignment horizontal="centerContinuous"/>
    </xf>
    <xf numFmtId="0" fontId="6" fillId="0" borderId="36" xfId="62" applyFont="1" applyBorder="1" applyAlignment="1">
      <alignment horizontal="center"/>
    </xf>
    <xf numFmtId="0" fontId="6" fillId="0" borderId="0" xfId="62" applyFont="1" applyAlignment="1">
      <alignment horizontal="center"/>
    </xf>
    <xf numFmtId="0" fontId="6" fillId="0" borderId="33" xfId="62" applyFont="1" applyBorder="1" applyAlignment="1">
      <alignment horizontal="center"/>
    </xf>
    <xf numFmtId="0" fontId="6" fillId="0" borderId="31" xfId="62" applyFont="1" applyBorder="1"/>
    <xf numFmtId="0" fontId="6" fillId="0" borderId="0" xfId="62" applyFont="1" applyAlignment="1">
      <alignment horizontal="centerContinuous"/>
    </xf>
    <xf numFmtId="0" fontId="6" fillId="0" borderId="25" xfId="62" applyFont="1" applyBorder="1" applyAlignment="1">
      <alignment horizontal="center"/>
    </xf>
    <xf numFmtId="0" fontId="6" fillId="0" borderId="111" xfId="62" applyFont="1" applyBorder="1" applyAlignment="1">
      <alignment horizontal="center"/>
    </xf>
    <xf numFmtId="0" fontId="6" fillId="0" borderId="31" xfId="62" applyFont="1" applyBorder="1" applyAlignment="1">
      <alignment horizontal="center"/>
    </xf>
    <xf numFmtId="0" fontId="1" fillId="0" borderId="31" xfId="62" applyFont="1" applyBorder="1"/>
    <xf numFmtId="2" fontId="1" fillId="0" borderId="50" xfId="62" applyNumberFormat="1" applyFont="1" applyBorder="1" applyAlignment="1">
      <alignment horizontal="centerContinuous"/>
    </xf>
    <xf numFmtId="2" fontId="7" fillId="0" borderId="24" xfId="62" applyNumberFormat="1" applyFont="1" applyBorder="1" applyAlignment="1">
      <alignment horizontal="center"/>
    </xf>
    <xf numFmtId="0" fontId="7" fillId="0" borderId="25" xfId="62" applyFont="1" applyBorder="1" applyAlignment="1">
      <alignment horizontal="center"/>
    </xf>
    <xf numFmtId="0" fontId="7" fillId="0" borderId="31" xfId="62" applyFont="1" applyBorder="1" applyAlignment="1">
      <alignment horizontal="center"/>
    </xf>
    <xf numFmtId="0" fontId="7" fillId="0" borderId="0" xfId="62" applyFont="1" applyAlignment="1">
      <alignment horizontal="center"/>
    </xf>
    <xf numFmtId="2" fontId="7" fillId="0" borderId="0" xfId="62" applyNumberFormat="1" applyFont="1" applyAlignment="1">
      <alignment horizontal="center"/>
    </xf>
    <xf numFmtId="0" fontId="1" fillId="0" borderId="33" xfId="62" applyFont="1" applyBorder="1"/>
    <xf numFmtId="2" fontId="1" fillId="0" borderId="60" xfId="62" applyNumberFormat="1" applyFont="1" applyBorder="1" applyAlignment="1">
      <alignment horizontal="centerContinuous"/>
    </xf>
    <xf numFmtId="2" fontId="7" fillId="0" borderId="55" xfId="62" applyNumberFormat="1" applyFont="1" applyBorder="1" applyAlignment="1">
      <alignment horizontal="center"/>
    </xf>
    <xf numFmtId="2" fontId="10" fillId="0" borderId="0" xfId="62" applyNumberFormat="1" applyFont="1" applyAlignment="1">
      <alignment horizontal="centerContinuous"/>
    </xf>
    <xf numFmtId="0" fontId="7" fillId="0" borderId="4" xfId="62" applyFont="1" applyBorder="1"/>
    <xf numFmtId="2" fontId="2" fillId="0" borderId="4" xfId="62" applyNumberFormat="1" applyFont="1" applyBorder="1" applyAlignment="1">
      <alignment horizontal="center"/>
    </xf>
    <xf numFmtId="2" fontId="10" fillId="0" borderId="4" xfId="62" applyNumberFormat="1" applyFont="1" applyBorder="1" applyAlignment="1">
      <alignment horizontal="centerContinuous"/>
    </xf>
    <xf numFmtId="0" fontId="7" fillId="0" borderId="29" xfId="62" applyFont="1" applyBorder="1"/>
    <xf numFmtId="0" fontId="6" fillId="0" borderId="55" xfId="62" applyFont="1" applyBorder="1" applyAlignment="1">
      <alignment horizontal="center"/>
    </xf>
    <xf numFmtId="0" fontId="7" fillId="0" borderId="24" xfId="62" applyFont="1" applyBorder="1" applyAlignment="1">
      <alignment horizontal="center"/>
    </xf>
    <xf numFmtId="0" fontId="96" fillId="0" borderId="25" xfId="62" applyFont="1" applyBorder="1" applyAlignment="1">
      <alignment horizontal="center"/>
    </xf>
    <xf numFmtId="0" fontId="96" fillId="0" borderId="31" xfId="62" applyFont="1" applyBorder="1" applyAlignment="1">
      <alignment horizontal="center"/>
    </xf>
    <xf numFmtId="0" fontId="96" fillId="0" borderId="24" xfId="62" applyFont="1" applyBorder="1" applyAlignment="1">
      <alignment horizontal="center"/>
    </xf>
    <xf numFmtId="0" fontId="7" fillId="0" borderId="25" xfId="62" applyFont="1" applyBorder="1"/>
    <xf numFmtId="0" fontId="7" fillId="0" borderId="31" xfId="62" applyFont="1" applyBorder="1"/>
    <xf numFmtId="0" fontId="96" fillId="0" borderId="55" xfId="62" applyFont="1" applyBorder="1" applyAlignment="1">
      <alignment horizontal="center"/>
    </xf>
    <xf numFmtId="0" fontId="7" fillId="0" borderId="36" xfId="62" applyFont="1" applyBorder="1"/>
    <xf numFmtId="0" fontId="7" fillId="0" borderId="33" xfId="62" applyFont="1" applyBorder="1"/>
    <xf numFmtId="0" fontId="2" fillId="0" borderId="30" xfId="62" applyFont="1" applyBorder="1" applyAlignment="1">
      <alignment horizontal="center"/>
    </xf>
    <xf numFmtId="0" fontId="6" fillId="0" borderId="24" xfId="62" applyFont="1" applyBorder="1" applyAlignment="1">
      <alignment horizontal="centerContinuous"/>
    </xf>
    <xf numFmtId="0" fontId="6" fillId="60" borderId="31" xfId="62" applyFont="1" applyFill="1" applyBorder="1" applyAlignment="1">
      <alignment horizontal="center"/>
    </xf>
    <xf numFmtId="0" fontId="6" fillId="0" borderId="287" xfId="62" applyFont="1" applyBorder="1" applyAlignment="1">
      <alignment horizontal="centerContinuous"/>
    </xf>
    <xf numFmtId="0" fontId="6" fillId="0" borderId="111" xfId="62" applyFont="1" applyBorder="1" applyAlignment="1">
      <alignment horizontal="centerContinuous"/>
    </xf>
    <xf numFmtId="0" fontId="6" fillId="0" borderId="100" xfId="62" applyFont="1" applyBorder="1" applyAlignment="1">
      <alignment horizontal="center"/>
    </xf>
    <xf numFmtId="0" fontId="6" fillId="0" borderId="4" xfId="62" applyFont="1" applyBorder="1" applyAlignment="1">
      <alignment horizontal="centerContinuous"/>
    </xf>
    <xf numFmtId="0" fontId="6" fillId="60" borderId="29" xfId="62" applyFont="1" applyFill="1" applyBorder="1" applyAlignment="1">
      <alignment horizontal="center"/>
    </xf>
    <xf numFmtId="167" fontId="1" fillId="0" borderId="0" xfId="62" applyNumberFormat="1" applyFont="1" applyAlignment="1">
      <alignment horizontal="centerContinuous"/>
    </xf>
    <xf numFmtId="167" fontId="7" fillId="0" borderId="25" xfId="62" applyNumberFormat="1" applyFont="1" applyBorder="1" applyAlignment="1">
      <alignment horizontal="center"/>
    </xf>
    <xf numFmtId="167" fontId="7" fillId="0" borderId="32" xfId="62" applyNumberFormat="1" applyFont="1" applyBorder="1" applyAlignment="1">
      <alignment horizontal="center"/>
    </xf>
    <xf numFmtId="167" fontId="1" fillId="0" borderId="24" xfId="62" applyNumberFormat="1" applyFont="1" applyBorder="1" applyAlignment="1">
      <alignment horizontal="center"/>
    </xf>
    <xf numFmtId="167" fontId="1" fillId="0" borderId="25" xfId="62" applyNumberFormat="1" applyFont="1" applyBorder="1" applyAlignment="1">
      <alignment horizontal="center"/>
    </xf>
    <xf numFmtId="167" fontId="1" fillId="0" borderId="8" xfId="62" applyNumberFormat="1" applyFont="1" applyBorder="1" applyAlignment="1">
      <alignment horizontal="center"/>
    </xf>
    <xf numFmtId="167" fontId="1" fillId="0" borderId="36" xfId="62" applyNumberFormat="1" applyFont="1" applyBorder="1" applyAlignment="1">
      <alignment horizontal="center"/>
    </xf>
    <xf numFmtId="167" fontId="7" fillId="0" borderId="36" xfId="62" applyNumberFormat="1" applyFont="1" applyBorder="1" applyAlignment="1">
      <alignment horizontal="center"/>
    </xf>
    <xf numFmtId="167" fontId="1" fillId="0" borderId="7" xfId="62" applyNumberFormat="1" applyFont="1" applyBorder="1" applyAlignment="1">
      <alignment horizontal="centerContinuous"/>
    </xf>
    <xf numFmtId="0" fontId="97" fillId="0" borderId="0" xfId="62" applyFont="1" applyAlignment="1">
      <alignment vertical="center"/>
    </xf>
    <xf numFmtId="0" fontId="6" fillId="0" borderId="112" xfId="62" applyFont="1" applyBorder="1" applyAlignment="1">
      <alignment horizontal="center"/>
    </xf>
    <xf numFmtId="0" fontId="6" fillId="60" borderId="113" xfId="62" applyFont="1" applyFill="1" applyBorder="1" applyAlignment="1">
      <alignment horizontal="center"/>
    </xf>
    <xf numFmtId="2" fontId="7" fillId="0" borderId="25" xfId="62" applyNumberFormat="1" applyFont="1" applyBorder="1" applyAlignment="1">
      <alignment horizontal="center"/>
    </xf>
    <xf numFmtId="0" fontId="7" fillId="0" borderId="50" xfId="62" applyFont="1" applyBorder="1" applyAlignment="1">
      <alignment horizontal="center"/>
    </xf>
    <xf numFmtId="0" fontId="6" fillId="0" borderId="24" xfId="62" applyFont="1" applyBorder="1" applyAlignment="1">
      <alignment horizontal="center"/>
    </xf>
    <xf numFmtId="0" fontId="6" fillId="0" borderId="4" xfId="62" applyFont="1" applyBorder="1" applyAlignment="1">
      <alignment horizontal="center"/>
    </xf>
    <xf numFmtId="0" fontId="7" fillId="0" borderId="7" xfId="62" applyFont="1" applyBorder="1"/>
    <xf numFmtId="167" fontId="96" fillId="0" borderId="8" xfId="62" applyNumberFormat="1" applyFont="1" applyBorder="1" applyAlignment="1">
      <alignment horizontal="center"/>
    </xf>
    <xf numFmtId="167" fontId="96" fillId="0" borderId="36" xfId="62" applyNumberFormat="1" applyFont="1" applyBorder="1" applyAlignment="1">
      <alignment horizontal="center"/>
    </xf>
    <xf numFmtId="0" fontId="96" fillId="0" borderId="36" xfId="62" applyFont="1" applyBorder="1" applyAlignment="1">
      <alignment horizontal="center"/>
    </xf>
    <xf numFmtId="167" fontId="7" fillId="0" borderId="7" xfId="62" applyNumberFormat="1" applyFont="1" applyBorder="1" applyAlignment="1">
      <alignment horizontal="center"/>
    </xf>
    <xf numFmtId="0" fontId="7" fillId="0" borderId="7" xfId="62" applyFont="1" applyBorder="1" applyAlignment="1">
      <alignment horizontal="center"/>
    </xf>
    <xf numFmtId="0" fontId="7" fillId="60" borderId="37" xfId="62" applyFont="1" applyFill="1" applyBorder="1" applyAlignment="1">
      <alignment horizontal="center"/>
    </xf>
    <xf numFmtId="0" fontId="7" fillId="0" borderId="0" xfId="62" applyFont="1" applyAlignment="1">
      <alignment horizontal="left"/>
    </xf>
    <xf numFmtId="0" fontId="7" fillId="0" borderId="3" xfId="62" applyFont="1" applyBorder="1"/>
    <xf numFmtId="0" fontId="7" fillId="0" borderId="6" xfId="62" applyFont="1" applyBorder="1"/>
    <xf numFmtId="0" fontId="7" fillId="0" borderId="5" xfId="62" applyFont="1" applyBorder="1"/>
    <xf numFmtId="0" fontId="2" fillId="48" borderId="63" xfId="0" applyFont="1" applyFill="1" applyBorder="1" applyAlignment="1">
      <alignment vertical="center"/>
    </xf>
    <xf numFmtId="0" fontId="6" fillId="0" borderId="0" xfId="62" applyFont="1" applyFill="1" applyBorder="1" applyAlignment="1">
      <alignment horizontal="center"/>
    </xf>
    <xf numFmtId="0" fontId="0" fillId="0" borderId="7" xfId="0" applyBorder="1"/>
    <xf numFmtId="0" fontId="1" fillId="0" borderId="0" xfId="0" applyFont="1" applyAlignment="1" applyProtection="1">
      <alignment vertical="center"/>
      <protection hidden="1"/>
    </xf>
    <xf numFmtId="0" fontId="0" fillId="0" borderId="2" xfId="0" applyBorder="1" applyAlignment="1" applyProtection="1">
      <alignment vertical="center"/>
      <protection hidden="1"/>
    </xf>
    <xf numFmtId="0" fontId="0" fillId="50" borderId="73" xfId="0" applyFill="1" applyBorder="1" applyAlignment="1" applyProtection="1">
      <alignment horizontal="center" vertical="center"/>
      <protection locked="0"/>
    </xf>
    <xf numFmtId="0" fontId="0" fillId="50" borderId="137" xfId="0" applyFill="1" applyBorder="1" applyAlignment="1" applyProtection="1">
      <alignment horizontal="center" vertical="center"/>
      <protection locked="0"/>
    </xf>
    <xf numFmtId="0" fontId="0" fillId="50" borderId="139" xfId="0" applyFill="1" applyBorder="1" applyAlignment="1" applyProtection="1">
      <alignment horizontal="center" vertical="center"/>
      <protection locked="0"/>
    </xf>
    <xf numFmtId="0" fontId="0" fillId="0" borderId="4" xfId="0" applyBorder="1"/>
    <xf numFmtId="0" fontId="1" fillId="0" borderId="0" xfId="0" applyFont="1" applyAlignment="1" applyProtection="1">
      <alignment vertical="center"/>
      <protection locked="0" hidden="1"/>
    </xf>
    <xf numFmtId="0" fontId="1" fillId="0" borderId="24" xfId="0" applyFont="1" applyBorder="1" applyAlignment="1" applyProtection="1">
      <alignment vertical="center"/>
      <protection locked="0" hidden="1"/>
    </xf>
    <xf numFmtId="1" fontId="0" fillId="0" borderId="24" xfId="0" applyNumberFormat="1" applyBorder="1" applyAlignment="1" applyProtection="1">
      <alignment vertical="center"/>
      <protection locked="0" hidden="1"/>
    </xf>
    <xf numFmtId="167" fontId="0" fillId="0" borderId="0" xfId="0" applyNumberFormat="1" applyAlignment="1" applyProtection="1">
      <alignment vertical="center"/>
      <protection locked="0" hidden="1"/>
    </xf>
    <xf numFmtId="0" fontId="0" fillId="0" borderId="50" xfId="0" applyBorder="1"/>
    <xf numFmtId="0" fontId="0" fillId="50" borderId="142" xfId="0" applyFill="1" applyBorder="1" applyAlignment="1" applyProtection="1">
      <alignment horizontal="center" vertical="center"/>
      <protection locked="0"/>
    </xf>
    <xf numFmtId="0" fontId="73" fillId="0" borderId="0" xfId="0" applyFont="1" applyBorder="1" applyAlignment="1">
      <alignment vertical="top" wrapText="1"/>
    </xf>
    <xf numFmtId="0" fontId="0" fillId="50" borderId="280" xfId="0" applyFill="1" applyBorder="1" applyAlignment="1" applyProtection="1">
      <alignment horizontal="center" vertical="center"/>
      <protection locked="0"/>
    </xf>
    <xf numFmtId="0" fontId="0" fillId="50" borderId="281" xfId="0" applyFill="1" applyBorder="1" applyAlignment="1" applyProtection="1">
      <alignment horizontal="center" vertical="center"/>
      <protection locked="0"/>
    </xf>
    <xf numFmtId="0" fontId="0" fillId="50" borderId="289" xfId="0" applyFill="1" applyBorder="1" applyAlignment="1" applyProtection="1">
      <alignment horizontal="center" vertical="center"/>
      <protection locked="0"/>
    </xf>
    <xf numFmtId="0" fontId="0" fillId="50" borderId="282" xfId="0" applyFill="1" applyBorder="1" applyAlignment="1" applyProtection="1">
      <alignment horizontal="center" vertical="center"/>
      <protection locked="0"/>
    </xf>
    <xf numFmtId="0" fontId="0" fillId="50" borderId="283" xfId="0" applyFill="1" applyBorder="1" applyAlignment="1" applyProtection="1">
      <alignment horizontal="center" vertical="center"/>
      <protection locked="0"/>
    </xf>
    <xf numFmtId="0" fontId="0" fillId="50" borderId="288" xfId="0"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hidden="1"/>
    </xf>
    <xf numFmtId="0" fontId="1" fillId="0" borderId="0" xfId="0" applyFont="1" applyAlignment="1"/>
    <xf numFmtId="0" fontId="1" fillId="0" borderId="0" xfId="0" applyFont="1" applyAlignment="1" applyProtection="1">
      <alignment horizontal="center"/>
      <protection locked="0"/>
    </xf>
    <xf numFmtId="0" fontId="1" fillId="0" borderId="0" xfId="62" applyFont="1" applyFill="1" applyAlignment="1">
      <alignment horizontal="center"/>
    </xf>
    <xf numFmtId="1" fontId="2" fillId="45" borderId="0" xfId="0" applyNumberFormat="1" applyFont="1" applyFill="1" applyBorder="1" applyAlignment="1" applyProtection="1">
      <alignment horizontal="center" vertical="center"/>
      <protection locked="0" hidden="1"/>
    </xf>
    <xf numFmtId="0" fontId="1" fillId="48" borderId="111" xfId="0" applyFont="1" applyFill="1" applyBorder="1" applyAlignment="1" applyProtection="1">
      <alignment textRotation="90" wrapText="1"/>
    </xf>
    <xf numFmtId="0" fontId="1" fillId="48" borderId="24" xfId="0" applyFont="1" applyFill="1" applyBorder="1" applyAlignment="1" applyProtection="1">
      <alignment textRotation="90" wrapText="1"/>
    </xf>
    <xf numFmtId="0" fontId="1" fillId="48" borderId="55" xfId="0" applyFont="1" applyFill="1" applyBorder="1" applyAlignment="1" applyProtection="1">
      <alignment textRotation="90" wrapText="1"/>
    </xf>
    <xf numFmtId="0" fontId="1" fillId="48" borderId="4" xfId="0" applyFont="1" applyFill="1" applyBorder="1" applyProtection="1"/>
    <xf numFmtId="0" fontId="1" fillId="48" borderId="0" xfId="0" applyFont="1" applyFill="1" applyBorder="1" applyProtection="1"/>
    <xf numFmtId="0" fontId="1" fillId="48" borderId="7" xfId="0" applyFont="1" applyFill="1" applyBorder="1" applyProtection="1"/>
    <xf numFmtId="1" fontId="2" fillId="62" borderId="0" xfId="0" applyNumberFormat="1" applyFont="1" applyFill="1" applyBorder="1" applyAlignment="1" applyProtection="1">
      <alignment horizontal="center" vertical="center"/>
      <protection locked="0" hidden="1"/>
    </xf>
    <xf numFmtId="0" fontId="0" fillId="62" borderId="0" xfId="0" applyFill="1" applyBorder="1" applyAlignment="1" applyProtection="1">
      <alignment horizontal="center" vertical="center"/>
      <protection locked="0" hidden="1"/>
    </xf>
    <xf numFmtId="1" fontId="2" fillId="62" borderId="0" xfId="0" applyNumberFormat="1" applyFont="1" applyFill="1" applyBorder="1" applyAlignment="1" applyProtection="1">
      <alignment horizontal="right" vertical="center"/>
      <protection locked="0" hidden="1"/>
    </xf>
    <xf numFmtId="1" fontId="2" fillId="4" borderId="0" xfId="0" applyNumberFormat="1" applyFont="1" applyFill="1" applyBorder="1" applyAlignment="1" applyProtection="1">
      <alignment horizontal="center" vertical="center"/>
      <protection locked="0" hidden="1"/>
    </xf>
    <xf numFmtId="1" fontId="2" fillId="5" borderId="0" xfId="0" applyNumberFormat="1" applyFont="1" applyFill="1" applyBorder="1" applyAlignment="1" applyProtection="1">
      <alignment horizontal="center" vertical="center"/>
      <protection locked="0" hidden="1"/>
    </xf>
    <xf numFmtId="0" fontId="9" fillId="5" borderId="0" xfId="0" applyFont="1" applyFill="1" applyAlignment="1" applyProtection="1">
      <alignment vertical="center"/>
      <protection locked="0" hidden="1"/>
    </xf>
    <xf numFmtId="0" fontId="17" fillId="63" borderId="50" xfId="0" applyFont="1" applyFill="1" applyBorder="1" applyProtection="1">
      <protection locked="0"/>
    </xf>
    <xf numFmtId="1" fontId="2" fillId="63" borderId="0" xfId="0" applyNumberFormat="1" applyFont="1" applyFill="1" applyBorder="1" applyAlignment="1" applyProtection="1">
      <alignment horizontal="center" vertical="center"/>
      <protection locked="0" hidden="1"/>
    </xf>
    <xf numFmtId="0" fontId="9" fillId="63" borderId="0" xfId="0" applyFont="1" applyFill="1" applyAlignment="1" applyProtection="1">
      <alignment vertical="center"/>
      <protection locked="0" hidden="1"/>
    </xf>
    <xf numFmtId="0" fontId="0" fillId="63" borderId="0" xfId="0" applyFill="1" applyAlignment="1" applyProtection="1">
      <alignment vertical="center"/>
      <protection locked="0" hidden="1"/>
    </xf>
    <xf numFmtId="0" fontId="0" fillId="64" borderId="51" xfId="0" applyFill="1" applyBorder="1" applyAlignment="1" applyProtection="1">
      <alignment horizontal="center"/>
    </xf>
    <xf numFmtId="0" fontId="0" fillId="64" borderId="13" xfId="0" applyFill="1" applyBorder="1" applyAlignment="1" applyProtection="1">
      <alignment horizontal="center"/>
    </xf>
    <xf numFmtId="0" fontId="0" fillId="64" borderId="21" xfId="0" applyFill="1" applyBorder="1" applyAlignment="1" applyProtection="1">
      <alignment horizontal="center"/>
    </xf>
    <xf numFmtId="0" fontId="0" fillId="64" borderId="103" xfId="0" applyFill="1" applyBorder="1" applyAlignment="1" applyProtection="1"/>
    <xf numFmtId="0" fontId="0" fillId="64" borderId="104" xfId="0" applyFill="1" applyBorder="1" applyAlignment="1" applyProtection="1"/>
    <xf numFmtId="0" fontId="0" fillId="64" borderId="105" xfId="0" applyFill="1" applyBorder="1" applyAlignment="1" applyProtection="1"/>
    <xf numFmtId="167" fontId="0" fillId="64" borderId="0" xfId="0" applyNumberFormat="1" applyFill="1" applyBorder="1" applyAlignment="1" applyProtection="1">
      <alignment horizontal="center"/>
    </xf>
    <xf numFmtId="0" fontId="0" fillId="64" borderId="0" xfId="0" applyFill="1" applyBorder="1" applyAlignment="1" applyProtection="1">
      <alignment horizontal="center" vertical="center"/>
      <protection locked="0" hidden="1"/>
    </xf>
    <xf numFmtId="1" fontId="2" fillId="64" borderId="0" xfId="0" applyNumberFormat="1" applyFont="1" applyFill="1" applyBorder="1" applyAlignment="1" applyProtection="1">
      <alignment horizontal="center" vertical="center"/>
      <protection locked="0" hidden="1"/>
    </xf>
    <xf numFmtId="0" fontId="1" fillId="64" borderId="0" xfId="0" applyFont="1" applyFill="1" applyBorder="1" applyAlignment="1" applyProtection="1">
      <alignment horizontal="center" vertical="center"/>
      <protection locked="0" hidden="1"/>
    </xf>
    <xf numFmtId="167" fontId="0" fillId="64" borderId="0" xfId="0" applyNumberFormat="1" applyFill="1" applyAlignment="1" applyProtection="1">
      <alignment vertical="center"/>
      <protection hidden="1"/>
    </xf>
    <xf numFmtId="0" fontId="9" fillId="65" borderId="0" xfId="0" applyFont="1" applyFill="1" applyBorder="1" applyAlignment="1" applyProtection="1">
      <alignment horizontal="center"/>
    </xf>
    <xf numFmtId="0" fontId="0" fillId="65" borderId="0" xfId="0" applyFill="1" applyBorder="1" applyAlignment="1" applyProtection="1">
      <alignment horizontal="center"/>
    </xf>
    <xf numFmtId="0" fontId="9" fillId="65" borderId="0" xfId="0" applyFont="1" applyFill="1" applyBorder="1" applyAlignment="1" applyProtection="1">
      <alignment horizontal="left"/>
    </xf>
    <xf numFmtId="0" fontId="17" fillId="0" borderId="0" xfId="0" applyFont="1" applyFill="1" applyBorder="1" applyAlignment="1" applyProtection="1">
      <alignment horizontal="center" vertical="center"/>
      <protection hidden="1"/>
    </xf>
    <xf numFmtId="0" fontId="1" fillId="0" borderId="3" xfId="0" applyFont="1" applyBorder="1" applyAlignment="1" applyProtection="1">
      <alignment vertical="center"/>
      <protection hidden="1"/>
    </xf>
    <xf numFmtId="0" fontId="0" fillId="0" borderId="4" xfId="0" applyBorder="1" applyAlignment="1" applyProtection="1">
      <alignment vertical="center"/>
      <protection hidden="1"/>
    </xf>
    <xf numFmtId="0" fontId="0" fillId="6" borderId="4" xfId="0" applyFill="1" applyBorder="1" applyAlignment="1" applyProtection="1">
      <alignment vertical="center"/>
      <protection hidden="1"/>
    </xf>
    <xf numFmtId="0" fontId="0" fillId="0" borderId="29" xfId="0" applyBorder="1" applyAlignment="1" applyProtection="1">
      <alignment horizontal="center" vertical="center"/>
      <protection hidden="1"/>
    </xf>
    <xf numFmtId="0" fontId="0" fillId="43" borderId="167" xfId="0" applyFill="1" applyBorder="1" applyAlignment="1" applyProtection="1">
      <alignment vertical="center"/>
      <protection hidden="1"/>
    </xf>
    <xf numFmtId="0" fontId="0" fillId="43" borderId="290" xfId="0" applyFill="1" applyBorder="1" applyAlignment="1" applyProtection="1">
      <alignment vertical="center"/>
      <protection hidden="1"/>
    </xf>
    <xf numFmtId="0" fontId="0" fillId="43" borderId="279" xfId="0" applyFill="1" applyBorder="1" applyAlignment="1" applyProtection="1">
      <alignment horizontal="center" vertical="center"/>
      <protection hidden="1"/>
    </xf>
    <xf numFmtId="0" fontId="2" fillId="0" borderId="0" xfId="62" applyFont="1" applyAlignment="1">
      <alignment horizontal="center"/>
    </xf>
    <xf numFmtId="167" fontId="7" fillId="0" borderId="0" xfId="62" applyNumberFormat="1" applyFont="1" applyFill="1" applyBorder="1" applyAlignment="1">
      <alignment horizontal="center"/>
    </xf>
    <xf numFmtId="0" fontId="1" fillId="0" borderId="0" xfId="0" applyFont="1" applyFill="1"/>
    <xf numFmtId="0" fontId="73" fillId="49" borderId="40" xfId="62" applyFont="1" applyFill="1" applyBorder="1" applyAlignment="1">
      <alignment horizontal="center"/>
    </xf>
    <xf numFmtId="2" fontId="80" fillId="49" borderId="43" xfId="62" applyNumberFormat="1" applyFont="1" applyFill="1" applyBorder="1" applyAlignment="1">
      <alignment horizontal="center"/>
    </xf>
    <xf numFmtId="0" fontId="98" fillId="61" borderId="43" xfId="62" applyFont="1" applyFill="1" applyBorder="1" applyAlignment="1">
      <alignment horizontal="center"/>
    </xf>
    <xf numFmtId="1" fontId="0" fillId="0" borderId="0" xfId="0" applyNumberFormat="1" applyAlignment="1">
      <alignment horizontal="center" vertical="center"/>
    </xf>
    <xf numFmtId="0" fontId="0" fillId="50" borderId="284" xfId="0" applyFill="1" applyBorder="1" applyAlignment="1" applyProtection="1">
      <alignment horizontal="center" vertical="center"/>
      <protection locked="0"/>
    </xf>
    <xf numFmtId="0" fontId="0" fillId="50" borderId="291" xfId="0" applyFill="1" applyBorder="1" applyAlignment="1" applyProtection="1">
      <alignment horizontal="center" vertical="center"/>
      <protection locked="0"/>
    </xf>
    <xf numFmtId="0" fontId="0" fillId="50" borderId="147" xfId="0" applyFill="1" applyBorder="1" applyAlignment="1" applyProtection="1">
      <alignment horizontal="center" vertical="center"/>
      <protection locked="0"/>
    </xf>
    <xf numFmtId="0" fontId="0" fillId="50" borderId="109" xfId="0" applyFill="1" applyBorder="1" applyAlignment="1" applyProtection="1">
      <alignment horizontal="center" vertical="center"/>
      <protection locked="0"/>
    </xf>
    <xf numFmtId="0" fontId="1" fillId="46" borderId="0" xfId="0" applyFont="1" applyFill="1"/>
    <xf numFmtId="1" fontId="0" fillId="0" borderId="0" xfId="0" applyNumberFormat="1" applyAlignment="1" applyProtection="1">
      <alignment horizontal="center" vertical="center"/>
      <protection locked="0"/>
    </xf>
    <xf numFmtId="1" fontId="2" fillId="0" borderId="0" xfId="0" applyNumberFormat="1" applyFont="1" applyFill="1" applyBorder="1" applyAlignment="1" applyProtection="1">
      <alignment horizontal="center" vertical="center"/>
      <protection locked="0" hidden="1"/>
    </xf>
    <xf numFmtId="0" fontId="1" fillId="0" borderId="50" xfId="0" applyFont="1" applyBorder="1" applyAlignment="1" applyProtection="1">
      <alignment horizontal="center" vertical="center"/>
      <protection locked="0" hidden="1"/>
    </xf>
    <xf numFmtId="0" fontId="1" fillId="0" borderId="0" xfId="0" applyFont="1" applyAlignment="1" applyProtection="1">
      <alignment horizontal="center" vertical="center"/>
      <protection locked="0" hidden="1"/>
    </xf>
    <xf numFmtId="0" fontId="1" fillId="0" borderId="24" xfId="0" applyFont="1" applyBorder="1" applyAlignment="1" applyProtection="1">
      <alignment horizontal="center" vertical="center"/>
      <protection locked="0" hidden="1"/>
    </xf>
    <xf numFmtId="0" fontId="1" fillId="0" borderId="3" xfId="0" applyFont="1" applyBorder="1"/>
    <xf numFmtId="0" fontId="1" fillId="0" borderId="5" xfId="0" applyFont="1" applyBorder="1"/>
    <xf numFmtId="0" fontId="1" fillId="0" borderId="31" xfId="0" applyFont="1" applyBorder="1"/>
    <xf numFmtId="0" fontId="1" fillId="0" borderId="5" xfId="0" applyFont="1" applyBorder="1" applyAlignment="1" applyProtection="1">
      <alignment horizontal="center" vertical="center"/>
      <protection locked="0" hidden="1"/>
    </xf>
    <xf numFmtId="0" fontId="1" fillId="0" borderId="31" xfId="0" applyFont="1" applyBorder="1" applyAlignment="1" applyProtection="1">
      <alignment horizontal="center" vertical="center"/>
      <protection locked="0" hidden="1"/>
    </xf>
    <xf numFmtId="167" fontId="73" fillId="0" borderId="5" xfId="0" applyNumberFormat="1" applyFont="1" applyBorder="1" applyAlignment="1">
      <alignment horizontal="center" vertical="top"/>
    </xf>
    <xf numFmtId="0" fontId="7" fillId="0" borderId="0" xfId="62" applyFont="1" applyAlignment="1">
      <alignment horizontal="center" vertical="top"/>
    </xf>
    <xf numFmtId="0" fontId="7" fillId="0" borderId="31" xfId="0" applyFont="1" applyBorder="1" applyAlignment="1">
      <alignment horizontal="center"/>
    </xf>
    <xf numFmtId="0" fontId="93" fillId="0" borderId="5" xfId="0" applyFont="1" applyBorder="1"/>
    <xf numFmtId="0" fontId="93" fillId="0" borderId="0" xfId="0" applyFont="1"/>
    <xf numFmtId="0" fontId="93" fillId="0" borderId="31" xfId="0" applyFont="1" applyBorder="1"/>
    <xf numFmtId="0" fontId="93" fillId="0" borderId="6" xfId="0" applyFont="1" applyBorder="1"/>
    <xf numFmtId="0" fontId="93" fillId="0" borderId="7" xfId="0" applyFont="1" applyBorder="1"/>
    <xf numFmtId="0" fontId="93" fillId="0" borderId="33" xfId="0" applyFont="1" applyBorder="1"/>
    <xf numFmtId="167" fontId="0" fillId="0" borderId="0" xfId="0" applyNumberFormat="1" applyAlignment="1" applyProtection="1">
      <alignment horizontal="center" vertical="center"/>
      <protection locked="0" hidden="1"/>
    </xf>
    <xf numFmtId="170" fontId="2" fillId="0" borderId="0" xfId="0" applyNumberFormat="1" applyFont="1" applyFill="1" applyBorder="1" applyAlignment="1" applyProtection="1">
      <alignment horizontal="center" vertical="center"/>
      <protection locked="0" hidden="1"/>
    </xf>
    <xf numFmtId="0" fontId="1" fillId="2" borderId="1" xfId="0" applyFont="1" applyFill="1" applyBorder="1" applyAlignment="1" applyProtection="1">
      <alignment horizontal="center" vertical="center"/>
      <protection locked="0"/>
    </xf>
    <xf numFmtId="0" fontId="1" fillId="0" borderId="0" xfId="0" applyFont="1" applyFill="1" applyAlignment="1" applyProtection="1">
      <alignment horizontal="left" vertical="center"/>
    </xf>
    <xf numFmtId="0" fontId="1" fillId="0" borderId="0" xfId="0" applyFont="1" applyAlignment="1" applyProtection="1">
      <alignment vertical="center"/>
    </xf>
    <xf numFmtId="0" fontId="1" fillId="0" borderId="0" xfId="0" applyFont="1" applyFill="1" applyBorder="1" applyAlignment="1" applyProtection="1">
      <alignment horizontal="left" vertical="center"/>
    </xf>
    <xf numFmtId="0" fontId="0" fillId="0" borderId="0" xfId="0" applyAlignment="1">
      <alignment horizontal="center" vertical="center"/>
    </xf>
    <xf numFmtId="0" fontId="6" fillId="0" borderId="3" xfId="62" applyFont="1" applyBorder="1" applyAlignment="1">
      <alignment horizontal="center"/>
    </xf>
    <xf numFmtId="0" fontId="6" fillId="0" borderId="4" xfId="62" applyFont="1" applyBorder="1" applyAlignment="1">
      <alignment horizontal="center"/>
    </xf>
    <xf numFmtId="0" fontId="1" fillId="0" borderId="0" xfId="0" applyFont="1" applyAlignment="1">
      <alignment vertical="top" wrapText="1"/>
    </xf>
    <xf numFmtId="0" fontId="1" fillId="0" borderId="7" xfId="0" applyFont="1" applyBorder="1" applyAlignment="1">
      <alignment vertical="top" wrapText="1"/>
    </xf>
    <xf numFmtId="0" fontId="53" fillId="48" borderId="119" xfId="0" applyFont="1" applyFill="1" applyBorder="1" applyAlignment="1">
      <alignment horizontal="center" vertical="center" wrapText="1"/>
    </xf>
    <xf numFmtId="0" fontId="53" fillId="48" borderId="120" xfId="0" applyFont="1" applyFill="1" applyBorder="1" applyAlignment="1">
      <alignment horizontal="center" vertical="center" wrapText="1"/>
    </xf>
    <xf numFmtId="1" fontId="53" fillId="48" borderId="95" xfId="73" applyNumberFormat="1" applyFont="1" applyFill="1" applyBorder="1" applyAlignment="1">
      <alignment horizontal="center" vertical="center" wrapText="1"/>
    </xf>
    <xf numFmtId="0" fontId="2" fillId="0" borderId="0" xfId="0" applyFont="1" applyAlignment="1">
      <alignment vertical="center"/>
    </xf>
    <xf numFmtId="2" fontId="0" fillId="0" borderId="0" xfId="0" applyNumberFormat="1"/>
    <xf numFmtId="0" fontId="1" fillId="0" borderId="0" xfId="0" applyFont="1" applyAlignment="1">
      <alignment vertical="center" wrapText="1"/>
    </xf>
    <xf numFmtId="0" fontId="0" fillId="0" borderId="0" xfId="0" applyAlignment="1">
      <alignment vertical="center" wrapText="1"/>
    </xf>
    <xf numFmtId="0" fontId="101" fillId="0" borderId="0" xfId="0" applyFont="1" applyAlignment="1">
      <alignment horizontal="center" vertical="center"/>
    </xf>
    <xf numFmtId="1" fontId="101" fillId="0" borderId="0" xfId="0" applyNumberFormat="1" applyFont="1" applyAlignment="1">
      <alignment horizontal="center" vertical="center"/>
    </xf>
    <xf numFmtId="0" fontId="0" fillId="0" borderId="0" xfId="0" applyBorder="1" applyProtection="1">
      <protection locked="0" hidden="1"/>
    </xf>
    <xf numFmtId="0" fontId="5" fillId="0" borderId="0" xfId="62" applyFont="1" applyAlignment="1">
      <alignment horizontal="left"/>
    </xf>
    <xf numFmtId="0" fontId="2" fillId="0" borderId="3" xfId="62" applyFont="1" applyBorder="1"/>
    <xf numFmtId="0" fontId="2" fillId="0" borderId="4" xfId="62" applyFont="1" applyBorder="1"/>
    <xf numFmtId="0" fontId="2" fillId="0" borderId="5" xfId="62" applyFont="1" applyBorder="1"/>
    <xf numFmtId="0" fontId="2" fillId="0" borderId="0" xfId="62" applyFont="1"/>
    <xf numFmtId="0" fontId="2" fillId="0" borderId="8" xfId="62" applyFont="1" applyBorder="1" applyAlignment="1">
      <alignment horizontal="center"/>
    </xf>
    <xf numFmtId="0" fontId="2" fillId="0" borderId="36" xfId="62" applyFont="1" applyBorder="1" applyAlignment="1">
      <alignment horizontal="center"/>
    </xf>
    <xf numFmtId="0" fontId="2" fillId="0" borderId="5" xfId="62" applyFont="1" applyBorder="1" applyAlignment="1">
      <alignment horizontal="center"/>
    </xf>
    <xf numFmtId="0" fontId="6" fillId="0" borderId="32" xfId="62" applyFont="1" applyBorder="1" applyAlignment="1">
      <alignment horizontal="center"/>
    </xf>
    <xf numFmtId="167" fontId="105" fillId="0" borderId="0" xfId="62" applyNumberFormat="1" applyFont="1" applyAlignment="1">
      <alignment horizontal="left"/>
    </xf>
    <xf numFmtId="0" fontId="106" fillId="0" borderId="0" xfId="62" applyFont="1" applyAlignment="1">
      <alignment horizontal="left"/>
    </xf>
    <xf numFmtId="0" fontId="9" fillId="0" borderId="3" xfId="62" applyBorder="1" applyAlignment="1">
      <alignment horizontal="left"/>
    </xf>
    <xf numFmtId="0" fontId="2" fillId="0" borderId="4" xfId="62" applyFont="1" applyBorder="1" applyAlignment="1">
      <alignment horizontal="center"/>
    </xf>
    <xf numFmtId="0" fontId="2" fillId="0" borderId="29" xfId="62" applyFont="1" applyBorder="1" applyAlignment="1">
      <alignment horizontal="center"/>
    </xf>
    <xf numFmtId="0" fontId="9" fillId="0" borderId="5" xfId="62" applyBorder="1" applyAlignment="1">
      <alignment horizontal="left"/>
    </xf>
    <xf numFmtId="0" fontId="2" fillId="0" borderId="31" xfId="62" applyFont="1" applyBorder="1" applyAlignment="1">
      <alignment horizontal="center"/>
    </xf>
    <xf numFmtId="0" fontId="7" fillId="0" borderId="5" xfId="62" applyFont="1" applyBorder="1" applyAlignment="1">
      <alignment vertical="center"/>
    </xf>
    <xf numFmtId="0" fontId="9" fillId="0" borderId="0" xfId="62" applyAlignment="1">
      <alignment horizontal="center"/>
    </xf>
    <xf numFmtId="0" fontId="9" fillId="0" borderId="31" xfId="62" applyBorder="1" applyAlignment="1">
      <alignment horizontal="center"/>
    </xf>
    <xf numFmtId="168" fontId="9" fillId="0" borderId="6" xfId="62" applyNumberFormat="1" applyBorder="1" applyAlignment="1">
      <alignment horizontal="center"/>
    </xf>
    <xf numFmtId="168" fontId="9" fillId="0" borderId="36" xfId="62" applyNumberFormat="1" applyBorder="1" applyAlignment="1">
      <alignment horizontal="center"/>
    </xf>
    <xf numFmtId="168" fontId="9" fillId="0" borderId="33" xfId="62" applyNumberFormat="1" applyBorder="1" applyAlignment="1">
      <alignment horizontal="center"/>
    </xf>
    <xf numFmtId="0" fontId="105" fillId="0" borderId="0" xfId="62" applyFont="1" applyAlignment="1">
      <alignment horizontal="left"/>
    </xf>
    <xf numFmtId="0" fontId="6" fillId="0" borderId="3" xfId="62" applyFont="1" applyBorder="1" applyAlignment="1">
      <alignment horizontal="left"/>
    </xf>
    <xf numFmtId="0" fontId="6" fillId="0" borderId="5" xfId="62" applyFont="1" applyBorder="1" applyAlignment="1">
      <alignment horizontal="left"/>
    </xf>
    <xf numFmtId="0" fontId="6" fillId="0" borderId="5" xfId="62" applyFont="1" applyBorder="1" applyAlignment="1">
      <alignment vertical="center"/>
    </xf>
    <xf numFmtId="166" fontId="6" fillId="0" borderId="0" xfId="62" applyNumberFormat="1" applyFont="1" applyAlignment="1">
      <alignment horizontal="center"/>
    </xf>
    <xf numFmtId="166" fontId="6" fillId="0" borderId="31" xfId="62" applyNumberFormat="1" applyFont="1" applyBorder="1" applyAlignment="1">
      <alignment horizontal="center"/>
    </xf>
    <xf numFmtId="166" fontId="6" fillId="0" borderId="6" xfId="62" applyNumberFormat="1" applyFont="1" applyBorder="1" applyAlignment="1">
      <alignment horizontal="center" wrapText="1"/>
    </xf>
    <xf numFmtId="166" fontId="6" fillId="0" borderId="36" xfId="62" applyNumberFormat="1" applyFont="1" applyBorder="1" applyAlignment="1">
      <alignment horizontal="center" wrapText="1"/>
    </xf>
    <xf numFmtId="166" fontId="6" fillId="0" borderId="33" xfId="62" applyNumberFormat="1" applyFont="1" applyBorder="1" applyAlignment="1">
      <alignment horizontal="center" wrapText="1"/>
    </xf>
    <xf numFmtId="0" fontId="6" fillId="0" borderId="3" xfId="62" applyFont="1" applyBorder="1" applyAlignment="1">
      <alignment vertical="center"/>
    </xf>
    <xf numFmtId="0" fontId="6" fillId="0" borderId="4" xfId="62" applyFont="1" applyBorder="1" applyAlignment="1">
      <alignment vertical="center"/>
    </xf>
    <xf numFmtId="0" fontId="6" fillId="0" borderId="29" xfId="62" applyFont="1" applyBorder="1" applyAlignment="1">
      <alignment vertical="center"/>
    </xf>
    <xf numFmtId="0" fontId="6" fillId="0" borderId="5" xfId="62" applyFont="1" applyBorder="1"/>
    <xf numFmtId="0" fontId="6" fillId="0" borderId="0" xfId="62" applyFont="1" applyAlignment="1">
      <alignment vertical="center"/>
    </xf>
    <xf numFmtId="0" fontId="6" fillId="0" borderId="31" xfId="62" applyFont="1" applyBorder="1" applyAlignment="1">
      <alignment vertical="center"/>
    </xf>
    <xf numFmtId="168" fontId="6" fillId="0" borderId="8" xfId="62" applyNumberFormat="1" applyFont="1" applyBorder="1" applyAlignment="1">
      <alignment horizontal="center"/>
    </xf>
    <xf numFmtId="168" fontId="6" fillId="0" borderId="36" xfId="62" applyNumberFormat="1" applyFont="1" applyBorder="1" applyAlignment="1">
      <alignment horizontal="center"/>
    </xf>
    <xf numFmtId="168" fontId="6" fillId="0" borderId="37" xfId="62" applyNumberFormat="1" applyFont="1" applyBorder="1" applyAlignment="1">
      <alignment horizontal="center"/>
    </xf>
    <xf numFmtId="167" fontId="7" fillId="44" borderId="0" xfId="62" applyNumberFormat="1" applyFont="1" applyFill="1" applyBorder="1" applyAlignment="1">
      <alignment horizontal="center"/>
    </xf>
    <xf numFmtId="0" fontId="105" fillId="0" borderId="0" xfId="62" applyFont="1" applyAlignment="1">
      <alignment horizontal="center"/>
    </xf>
    <xf numFmtId="0" fontId="6" fillId="0" borderId="4" xfId="62" applyFont="1" applyBorder="1" applyAlignment="1">
      <alignment horizontal="center" vertical="center"/>
    </xf>
    <xf numFmtId="0" fontId="6" fillId="0" borderId="0" xfId="62" applyFont="1" applyAlignment="1">
      <alignment horizontal="center" vertical="center"/>
    </xf>
    <xf numFmtId="0" fontId="107" fillId="0" borderId="0" xfId="62" applyFont="1" applyAlignment="1">
      <alignment horizontal="center"/>
    </xf>
    <xf numFmtId="168" fontId="6" fillId="0" borderId="7" xfId="62" applyNumberFormat="1" applyFont="1" applyBorder="1" applyAlignment="1">
      <alignment horizontal="center" wrapText="1"/>
    </xf>
    <xf numFmtId="0" fontId="6" fillId="0" borderId="30" xfId="62" applyFont="1" applyBorder="1" applyAlignment="1">
      <alignment horizontal="center"/>
    </xf>
    <xf numFmtId="166" fontId="6" fillId="0" borderId="34" xfId="62" applyNumberFormat="1" applyFont="1" applyBorder="1" applyAlignment="1">
      <alignment horizontal="center"/>
    </xf>
    <xf numFmtId="2" fontId="105" fillId="0" borderId="0" xfId="62" applyNumberFormat="1" applyFont="1" applyAlignment="1">
      <alignment horizontal="center"/>
    </xf>
    <xf numFmtId="2" fontId="2" fillId="0" borderId="3" xfId="0" applyNumberFormat="1" applyFont="1" applyBorder="1" applyAlignment="1">
      <alignment horizontal="center"/>
    </xf>
    <xf numFmtId="2" fontId="2" fillId="0" borderId="5" xfId="0" applyNumberFormat="1" applyFont="1" applyBorder="1" applyAlignment="1">
      <alignment horizontal="center"/>
    </xf>
    <xf numFmtId="2" fontId="2" fillId="0" borderId="6" xfId="0" applyNumberFormat="1" applyFont="1" applyBorder="1" applyAlignment="1">
      <alignment horizontal="center"/>
    </xf>
    <xf numFmtId="2" fontId="105" fillId="0" borderId="0" xfId="62" applyNumberFormat="1" applyFont="1"/>
    <xf numFmtId="2" fontId="108" fillId="0" borderId="0" xfId="62" applyNumberFormat="1" applyFont="1" applyAlignment="1">
      <alignment horizontal="left"/>
    </xf>
    <xf numFmtId="2" fontId="5" fillId="0" borderId="0" xfId="62" applyNumberFormat="1" applyFont="1" applyAlignment="1">
      <alignment horizontal="left"/>
    </xf>
    <xf numFmtId="1" fontId="105" fillId="0" borderId="0" xfId="62" applyNumberFormat="1" applyFont="1" applyAlignment="1">
      <alignment horizontal="left"/>
    </xf>
    <xf numFmtId="2" fontId="2" fillId="0" borderId="3" xfId="0" applyNumberFormat="1" applyFont="1" applyBorder="1"/>
    <xf numFmtId="2" fontId="72" fillId="0" borderId="3" xfId="62" applyNumberFormat="1" applyFont="1" applyBorder="1"/>
    <xf numFmtId="2" fontId="72" fillId="0" borderId="4" xfId="62" applyNumberFormat="1" applyFont="1" applyBorder="1"/>
    <xf numFmtId="2" fontId="2" fillId="0" borderId="4" xfId="62" applyNumberFormat="1" applyFont="1" applyBorder="1"/>
    <xf numFmtId="1" fontId="2" fillId="0" borderId="30" xfId="0" applyNumberFormat="1" applyFont="1" applyBorder="1" applyAlignment="1">
      <alignment horizontal="center"/>
    </xf>
    <xf numFmtId="2" fontId="2" fillId="0" borderId="5" xfId="0" applyNumberFormat="1" applyFont="1" applyBorder="1"/>
    <xf numFmtId="2" fontId="72" fillId="0" borderId="5" xfId="62" applyNumberFormat="1" applyFont="1" applyBorder="1"/>
    <xf numFmtId="2" fontId="72" fillId="0" borderId="0" xfId="62" applyNumberFormat="1" applyFont="1"/>
    <xf numFmtId="2" fontId="2" fillId="0" borderId="0" xfId="62" applyNumberFormat="1" applyFont="1"/>
    <xf numFmtId="1" fontId="2" fillId="0" borderId="31" xfId="0" applyNumberFormat="1" applyFont="1" applyBorder="1" applyAlignment="1">
      <alignment horizontal="center"/>
    </xf>
    <xf numFmtId="2" fontId="2" fillId="0" borderId="6" xfId="0" applyNumberFormat="1" applyFont="1" applyBorder="1"/>
    <xf numFmtId="2" fontId="72" fillId="0" borderId="8" xfId="62" applyNumberFormat="1" applyFont="1" applyBorder="1" applyAlignment="1">
      <alignment horizontal="center"/>
    </xf>
    <xf numFmtId="2" fontId="72" fillId="0" borderId="36" xfId="62" applyNumberFormat="1" applyFont="1" applyBorder="1" applyAlignment="1">
      <alignment horizontal="center"/>
    </xf>
    <xf numFmtId="2" fontId="2" fillId="0" borderId="36" xfId="62" applyNumberFormat="1" applyFont="1" applyBorder="1" applyAlignment="1">
      <alignment horizontal="center"/>
    </xf>
    <xf numFmtId="1" fontId="2" fillId="0" borderId="33" xfId="0" applyNumberFormat="1" applyFont="1" applyBorder="1" applyAlignment="1">
      <alignment horizontal="center"/>
    </xf>
    <xf numFmtId="49" fontId="105" fillId="0" borderId="0" xfId="62" applyNumberFormat="1" applyFont="1" applyAlignment="1">
      <alignment horizontal="left"/>
    </xf>
    <xf numFmtId="2" fontId="105" fillId="0" borderId="0" xfId="62" applyNumberFormat="1" applyFont="1" applyAlignment="1">
      <alignment horizontal="left"/>
    </xf>
    <xf numFmtId="49" fontId="2" fillId="0" borderId="4" xfId="62" applyNumberFormat="1" applyFont="1" applyBorder="1"/>
    <xf numFmtId="167" fontId="2" fillId="0" borderId="3" xfId="62" applyNumberFormat="1" applyFont="1" applyBorder="1"/>
    <xf numFmtId="167" fontId="2" fillId="0" borderId="4" xfId="62" applyNumberFormat="1" applyFont="1" applyBorder="1"/>
    <xf numFmtId="49" fontId="2" fillId="0" borderId="0" xfId="62" applyNumberFormat="1" applyFont="1"/>
    <xf numFmtId="167" fontId="2" fillId="0" borderId="5" xfId="62" applyNumberFormat="1" applyFont="1" applyBorder="1"/>
    <xf numFmtId="167" fontId="2" fillId="0" borderId="0" xfId="62" applyNumberFormat="1" applyFont="1"/>
    <xf numFmtId="0" fontId="107" fillId="0" borderId="32" xfId="62" applyFont="1" applyBorder="1" applyAlignment="1">
      <alignment horizontal="center"/>
    </xf>
    <xf numFmtId="0" fontId="7" fillId="0" borderId="5" xfId="62" applyFont="1" applyBorder="1" applyAlignment="1">
      <alignment horizontal="center"/>
    </xf>
    <xf numFmtId="166" fontId="7" fillId="0" borderId="9" xfId="62" applyNumberFormat="1" applyFont="1" applyBorder="1" applyAlignment="1">
      <alignment horizontal="center"/>
    </xf>
    <xf numFmtId="49" fontId="9" fillId="0" borderId="7" xfId="62" applyNumberFormat="1" applyBorder="1"/>
    <xf numFmtId="0" fontId="2" fillId="0" borderId="7" xfId="62" applyFont="1" applyBorder="1" applyAlignment="1">
      <alignment horizontal="center"/>
    </xf>
    <xf numFmtId="2" fontId="2" fillId="0" borderId="34" xfId="62" applyNumberFormat="1" applyFont="1" applyBorder="1" applyAlignment="1">
      <alignment horizontal="center" wrapText="1"/>
    </xf>
    <xf numFmtId="167" fontId="2" fillId="0" borderId="8" xfId="62" applyNumberFormat="1" applyFont="1" applyBorder="1" applyAlignment="1">
      <alignment horizontal="center"/>
    </xf>
    <xf numFmtId="167" fontId="2" fillId="0" borderId="36" xfId="62" applyNumberFormat="1" applyFont="1" applyBorder="1" applyAlignment="1">
      <alignment horizontal="center"/>
    </xf>
    <xf numFmtId="167" fontId="2" fillId="0" borderId="34" xfId="62" applyNumberFormat="1" applyFont="1" applyBorder="1" applyAlignment="1">
      <alignment horizontal="center"/>
    </xf>
    <xf numFmtId="0" fontId="7" fillId="0" borderId="6" xfId="62" applyFont="1" applyBorder="1" applyAlignment="1">
      <alignment horizontal="center"/>
    </xf>
    <xf numFmtId="166" fontId="7" fillId="0" borderId="37" xfId="62" applyNumberFormat="1" applyFont="1" applyBorder="1" applyAlignment="1">
      <alignment horizontal="center"/>
    </xf>
    <xf numFmtId="1" fontId="2" fillId="0" borderId="0" xfId="0" applyNumberFormat="1" applyFont="1" applyBorder="1" applyAlignment="1">
      <alignment horizontal="center"/>
    </xf>
    <xf numFmtId="49" fontId="1" fillId="0" borderId="0" xfId="62" applyNumberFormat="1" applyFont="1" applyFill="1" applyAlignment="1">
      <alignment horizontal="left"/>
    </xf>
    <xf numFmtId="49" fontId="9" fillId="0" borderId="0" xfId="62" applyNumberFormat="1"/>
    <xf numFmtId="2" fontId="84" fillId="0" borderId="32" xfId="62" applyNumberFormat="1" applyFont="1" applyBorder="1" applyAlignment="1">
      <alignment horizontal="center"/>
    </xf>
    <xf numFmtId="2" fontId="73" fillId="0" borderId="43" xfId="62" applyNumberFormat="1" applyFont="1" applyBorder="1" applyAlignment="1">
      <alignment horizontal="center"/>
    </xf>
    <xf numFmtId="2" fontId="84" fillId="0" borderId="25" xfId="62" applyNumberFormat="1" applyFont="1" applyBorder="1" applyAlignment="1">
      <alignment horizontal="center"/>
    </xf>
    <xf numFmtId="2" fontId="84" fillId="0" borderId="43" xfId="62" applyNumberFormat="1" applyFont="1" applyBorder="1" applyAlignment="1">
      <alignment horizontal="center"/>
    </xf>
    <xf numFmtId="2" fontId="73" fillId="0" borderId="32" xfId="62" applyNumberFormat="1" applyFont="1" applyBorder="1" applyAlignment="1">
      <alignment horizontal="center"/>
    </xf>
    <xf numFmtId="2" fontId="7" fillId="0" borderId="32" xfId="62" applyNumberFormat="1" applyFont="1" applyBorder="1" applyAlignment="1">
      <alignment horizontal="center"/>
    </xf>
    <xf numFmtId="2" fontId="84" fillId="0" borderId="9" xfId="62" applyNumberFormat="1" applyFont="1" applyBorder="1" applyAlignment="1">
      <alignment horizontal="center"/>
    </xf>
    <xf numFmtId="167" fontId="7" fillId="0" borderId="43" xfId="62" applyNumberFormat="1" applyFont="1" applyBorder="1" applyAlignment="1">
      <alignment horizontal="center"/>
    </xf>
    <xf numFmtId="167" fontId="7" fillId="0" borderId="0" xfId="62" applyNumberFormat="1" applyFont="1" applyAlignment="1">
      <alignment horizontal="center"/>
    </xf>
    <xf numFmtId="167" fontId="7" fillId="0" borderId="9" xfId="62" applyNumberFormat="1" applyFont="1" applyBorder="1" applyAlignment="1">
      <alignment horizontal="center"/>
    </xf>
    <xf numFmtId="2" fontId="9" fillId="0" borderId="43" xfId="62" applyNumberFormat="1" applyBorder="1" applyAlignment="1">
      <alignment horizontal="center"/>
    </xf>
    <xf numFmtId="2" fontId="9" fillId="0" borderId="32" xfId="62" applyNumberFormat="1" applyBorder="1" applyAlignment="1">
      <alignment horizontal="center"/>
    </xf>
    <xf numFmtId="167" fontId="9" fillId="0" borderId="43" xfId="62" applyNumberFormat="1" applyBorder="1" applyAlignment="1">
      <alignment horizontal="center"/>
    </xf>
    <xf numFmtId="167" fontId="9" fillId="0" borderId="9" xfId="62" applyNumberFormat="1" applyBorder="1" applyAlignment="1">
      <alignment horizontal="center"/>
    </xf>
    <xf numFmtId="2" fontId="9" fillId="0" borderId="43" xfId="62" applyNumberFormat="1" applyBorder="1"/>
    <xf numFmtId="2" fontId="79" fillId="0" borderId="43" xfId="62" applyNumberFormat="1" applyFont="1" applyBorder="1" applyAlignment="1">
      <alignment horizontal="center"/>
    </xf>
    <xf numFmtId="2" fontId="79" fillId="0" borderId="25" xfId="62" applyNumberFormat="1" applyFont="1" applyBorder="1" applyAlignment="1">
      <alignment horizontal="center"/>
    </xf>
    <xf numFmtId="2" fontId="73" fillId="0" borderId="25" xfId="62" applyNumberFormat="1" applyFont="1" applyBorder="1" applyAlignment="1">
      <alignment horizontal="center"/>
    </xf>
    <xf numFmtId="1" fontId="79" fillId="0" borderId="9" xfId="62" applyNumberFormat="1" applyFont="1" applyBorder="1" applyAlignment="1">
      <alignment horizontal="center"/>
    </xf>
    <xf numFmtId="49" fontId="9" fillId="0" borderId="13" xfId="62" applyNumberFormat="1" applyBorder="1"/>
    <xf numFmtId="0" fontId="9" fillId="0" borderId="13" xfId="62" applyBorder="1" applyAlignment="1">
      <alignment horizontal="center"/>
    </xf>
    <xf numFmtId="2" fontId="73" fillId="0" borderId="41" xfId="62" applyNumberFormat="1" applyFont="1" applyBorder="1" applyAlignment="1">
      <alignment horizontal="center"/>
    </xf>
    <xf numFmtId="2" fontId="80" fillId="0" borderId="40" xfId="62" applyNumberFormat="1" applyFont="1" applyBorder="1" applyAlignment="1">
      <alignment horizontal="center"/>
    </xf>
    <xf numFmtId="2" fontId="80" fillId="0" borderId="22" xfId="62" applyNumberFormat="1" applyFont="1" applyBorder="1" applyAlignment="1">
      <alignment horizontal="center"/>
    </xf>
    <xf numFmtId="2" fontId="73" fillId="0" borderId="22" xfId="62" applyNumberFormat="1" applyFont="1" applyBorder="1" applyAlignment="1">
      <alignment horizontal="center"/>
    </xf>
    <xf numFmtId="2" fontId="7" fillId="0" borderId="41" xfId="62" applyNumberFormat="1" applyFont="1" applyBorder="1" applyAlignment="1">
      <alignment horizontal="center"/>
    </xf>
    <xf numFmtId="2" fontId="9" fillId="0" borderId="40" xfId="62" applyNumberFormat="1" applyBorder="1" applyAlignment="1">
      <alignment horizontal="center"/>
    </xf>
    <xf numFmtId="2" fontId="9" fillId="0" borderId="22" xfId="62" applyNumberFormat="1" applyBorder="1" applyAlignment="1">
      <alignment horizontal="center"/>
    </xf>
    <xf numFmtId="2" fontId="9" fillId="0" borderId="42" xfId="62" applyNumberFormat="1" applyBorder="1" applyAlignment="1">
      <alignment horizontal="center"/>
    </xf>
    <xf numFmtId="2" fontId="84" fillId="0" borderId="22" xfId="62" applyNumberFormat="1" applyFont="1" applyBorder="1" applyAlignment="1">
      <alignment horizontal="center"/>
    </xf>
    <xf numFmtId="2" fontId="84" fillId="0" borderId="42" xfId="62" applyNumberFormat="1" applyFont="1" applyBorder="1" applyAlignment="1">
      <alignment horizontal="center"/>
    </xf>
    <xf numFmtId="2" fontId="84" fillId="0" borderId="40" xfId="62" applyNumberFormat="1" applyFont="1" applyBorder="1" applyAlignment="1">
      <alignment horizontal="center"/>
    </xf>
    <xf numFmtId="167" fontId="7" fillId="0" borderId="40" xfId="62" applyNumberFormat="1" applyFont="1" applyBorder="1" applyAlignment="1">
      <alignment horizontal="center"/>
    </xf>
    <xf numFmtId="167" fontId="7" fillId="0" borderId="13" xfId="62" applyNumberFormat="1" applyFont="1" applyBorder="1" applyAlignment="1">
      <alignment horizontal="center"/>
    </xf>
    <xf numFmtId="167" fontId="7" fillId="0" borderId="42" xfId="62" applyNumberFormat="1" applyFont="1" applyBorder="1" applyAlignment="1">
      <alignment horizontal="center"/>
    </xf>
    <xf numFmtId="2" fontId="9" fillId="0" borderId="41" xfId="62" applyNumberFormat="1" applyBorder="1" applyAlignment="1">
      <alignment horizontal="center"/>
    </xf>
    <xf numFmtId="167" fontId="9" fillId="0" borderId="40" xfId="62" applyNumberFormat="1" applyBorder="1" applyAlignment="1">
      <alignment horizontal="center"/>
    </xf>
    <xf numFmtId="167" fontId="9" fillId="0" borderId="42" xfId="62" applyNumberFormat="1" applyBorder="1" applyAlignment="1">
      <alignment horizontal="center"/>
    </xf>
    <xf numFmtId="2" fontId="9" fillId="0" borderId="40" xfId="62" applyNumberFormat="1" applyBorder="1"/>
    <xf numFmtId="2" fontId="79" fillId="0" borderId="40" xfId="62" applyNumberFormat="1" applyFont="1" applyBorder="1" applyAlignment="1">
      <alignment horizontal="center"/>
    </xf>
    <xf numFmtId="2" fontId="79" fillId="0" borderId="22" xfId="62" applyNumberFormat="1" applyFont="1" applyBorder="1" applyAlignment="1">
      <alignment horizontal="center"/>
    </xf>
    <xf numFmtId="1" fontId="79" fillId="0" borderId="42" xfId="62" applyNumberFormat="1" applyFont="1" applyBorder="1" applyAlignment="1">
      <alignment horizontal="center"/>
    </xf>
    <xf numFmtId="49" fontId="9" fillId="62" borderId="0" xfId="62" applyNumberFormat="1" applyFill="1"/>
    <xf numFmtId="0" fontId="9" fillId="62" borderId="0" xfId="62" applyFill="1" applyAlignment="1">
      <alignment horizontal="center"/>
    </xf>
    <xf numFmtId="2" fontId="73" fillId="62" borderId="32" xfId="62" applyNumberFormat="1" applyFont="1" applyFill="1" applyBorder="1" applyAlignment="1">
      <alignment horizontal="center"/>
    </xf>
    <xf numFmtId="2" fontId="80" fillId="62" borderId="43" xfId="62" applyNumberFormat="1" applyFont="1" applyFill="1" applyBorder="1" applyAlignment="1">
      <alignment horizontal="center"/>
    </xf>
    <xf numFmtId="2" fontId="80" fillId="62" borderId="25" xfId="62" applyNumberFormat="1" applyFont="1" applyFill="1" applyBorder="1" applyAlignment="1">
      <alignment horizontal="center"/>
    </xf>
    <xf numFmtId="2" fontId="73" fillId="62" borderId="25" xfId="62" applyNumberFormat="1" applyFont="1" applyFill="1" applyBorder="1" applyAlignment="1">
      <alignment horizontal="center"/>
    </xf>
    <xf numFmtId="2" fontId="7" fillId="62" borderId="32" xfId="62" applyNumberFormat="1" applyFont="1" applyFill="1" applyBorder="1" applyAlignment="1">
      <alignment horizontal="center"/>
    </xf>
    <xf numFmtId="2" fontId="9" fillId="62" borderId="43" xfId="62" applyNumberFormat="1" applyFill="1" applyBorder="1" applyAlignment="1">
      <alignment horizontal="center"/>
    </xf>
    <xf numFmtId="2" fontId="9" fillId="62" borderId="25" xfId="62" applyNumberFormat="1" applyFill="1" applyBorder="1" applyAlignment="1">
      <alignment horizontal="center"/>
    </xf>
    <xf numFmtId="2" fontId="9" fillId="62" borderId="9" xfId="62" applyNumberFormat="1" applyFill="1" applyBorder="1" applyAlignment="1">
      <alignment horizontal="center"/>
    </xf>
    <xf numFmtId="2" fontId="84" fillId="62" borderId="25" xfId="62" applyNumberFormat="1" applyFont="1" applyFill="1" applyBorder="1" applyAlignment="1">
      <alignment horizontal="center"/>
    </xf>
    <xf numFmtId="2" fontId="84" fillId="62" borderId="9" xfId="62" applyNumberFormat="1" applyFont="1" applyFill="1" applyBorder="1" applyAlignment="1">
      <alignment horizontal="center"/>
    </xf>
    <xf numFmtId="2" fontId="84" fillId="62" borderId="43" xfId="62" applyNumberFormat="1" applyFont="1" applyFill="1" applyBorder="1" applyAlignment="1">
      <alignment horizontal="center"/>
    </xf>
    <xf numFmtId="167" fontId="7" fillId="62" borderId="43" xfId="62" applyNumberFormat="1" applyFont="1" applyFill="1" applyBorder="1" applyAlignment="1">
      <alignment horizontal="center"/>
    </xf>
    <xf numFmtId="167" fontId="7" fillId="62" borderId="0" xfId="62" applyNumberFormat="1" applyFont="1" applyFill="1" applyAlignment="1">
      <alignment horizontal="center"/>
    </xf>
    <xf numFmtId="167" fontId="7" fillId="62" borderId="9" xfId="62" applyNumberFormat="1" applyFont="1" applyFill="1" applyBorder="1" applyAlignment="1">
      <alignment horizontal="center"/>
    </xf>
    <xf numFmtId="2" fontId="9" fillId="62" borderId="32" xfId="62" applyNumberFormat="1" applyFill="1" applyBorder="1" applyAlignment="1">
      <alignment horizontal="center"/>
    </xf>
    <xf numFmtId="167" fontId="9" fillId="62" borderId="43" xfId="62" applyNumberFormat="1" applyFill="1" applyBorder="1" applyAlignment="1">
      <alignment horizontal="center"/>
    </xf>
    <xf numFmtId="167" fontId="9" fillId="62" borderId="9" xfId="62" applyNumberFormat="1" applyFill="1" applyBorder="1" applyAlignment="1">
      <alignment horizontal="center"/>
    </xf>
    <xf numFmtId="2" fontId="9" fillId="62" borderId="43" xfId="62" applyNumberFormat="1" applyFill="1" applyBorder="1"/>
    <xf numFmtId="2" fontId="79" fillId="62" borderId="43" xfId="62" applyNumberFormat="1" applyFont="1" applyFill="1" applyBorder="1" applyAlignment="1">
      <alignment horizontal="center"/>
    </xf>
    <xf numFmtId="2" fontId="79" fillId="62" borderId="25" xfId="62" applyNumberFormat="1" applyFont="1" applyFill="1" applyBorder="1" applyAlignment="1">
      <alignment horizontal="center"/>
    </xf>
    <xf numFmtId="1" fontId="79" fillId="62" borderId="9" xfId="62" applyNumberFormat="1" applyFont="1" applyFill="1" applyBorder="1" applyAlignment="1">
      <alignment horizontal="center"/>
    </xf>
    <xf numFmtId="2" fontId="80" fillId="0" borderId="43" xfId="62" applyNumberFormat="1" applyFont="1" applyBorder="1" applyAlignment="1">
      <alignment horizontal="center"/>
    </xf>
    <xf numFmtId="2" fontId="80" fillId="0" borderId="25" xfId="62" applyNumberFormat="1" applyFont="1" applyBorder="1" applyAlignment="1">
      <alignment horizontal="center"/>
    </xf>
    <xf numFmtId="2" fontId="9" fillId="0" borderId="25" xfId="62" applyNumberFormat="1" applyBorder="1" applyAlignment="1">
      <alignment horizontal="center"/>
    </xf>
    <xf numFmtId="2" fontId="9" fillId="0" borderId="9" xfId="62" applyNumberFormat="1" applyBorder="1" applyAlignment="1">
      <alignment horizontal="center"/>
    </xf>
    <xf numFmtId="2" fontId="7" fillId="0" borderId="43" xfId="62" applyNumberFormat="1" applyFont="1" applyBorder="1" applyAlignment="1">
      <alignment horizontal="center"/>
    </xf>
    <xf numFmtId="2" fontId="7" fillId="0" borderId="9" xfId="62" applyNumberFormat="1" applyFont="1" applyBorder="1" applyAlignment="1">
      <alignment horizontal="center"/>
    </xf>
    <xf numFmtId="167" fontId="7" fillId="0" borderId="31" xfId="62" applyNumberFormat="1" applyFont="1" applyBorder="1" applyAlignment="1">
      <alignment horizontal="center"/>
    </xf>
    <xf numFmtId="49" fontId="9" fillId="47" borderId="0" xfId="62" applyNumberFormat="1" applyFill="1"/>
    <xf numFmtId="167" fontId="9" fillId="0" borderId="0" xfId="62" applyNumberFormat="1" applyAlignment="1">
      <alignment horizontal="center"/>
    </xf>
    <xf numFmtId="2" fontId="84" fillId="0" borderId="41" xfId="62" applyNumberFormat="1" applyFont="1" applyBorder="1" applyAlignment="1">
      <alignment horizontal="center"/>
    </xf>
    <xf numFmtId="2" fontId="73" fillId="0" borderId="40" xfId="62" applyNumberFormat="1" applyFont="1" applyBorder="1" applyAlignment="1">
      <alignment horizontal="center"/>
    </xf>
    <xf numFmtId="0" fontId="73" fillId="0" borderId="43" xfId="62" applyFont="1" applyBorder="1" applyAlignment="1">
      <alignment horizontal="center"/>
    </xf>
    <xf numFmtId="167" fontId="73" fillId="0" borderId="25" xfId="62" applyNumberFormat="1" applyFont="1" applyBorder="1" applyAlignment="1">
      <alignment horizontal="center"/>
    </xf>
    <xf numFmtId="2" fontId="9" fillId="0" borderId="32" xfId="62" applyNumberFormat="1" applyBorder="1"/>
    <xf numFmtId="2" fontId="79" fillId="0" borderId="43" xfId="62" applyNumberFormat="1" applyFont="1" applyBorder="1" applyAlignment="1">
      <alignment horizontal="centerContinuous"/>
    </xf>
    <xf numFmtId="2" fontId="9" fillId="0" borderId="25" xfId="62" applyNumberFormat="1" applyBorder="1" applyAlignment="1">
      <alignment horizontal="centerContinuous"/>
    </xf>
    <xf numFmtId="2" fontId="84" fillId="62" borderId="32" xfId="62" applyNumberFormat="1" applyFont="1" applyFill="1" applyBorder="1" applyAlignment="1">
      <alignment horizontal="center"/>
    </xf>
    <xf numFmtId="2" fontId="73" fillId="62" borderId="43" xfId="62" applyNumberFormat="1" applyFont="1" applyFill="1" applyBorder="1" applyAlignment="1">
      <alignment horizontal="center"/>
    </xf>
    <xf numFmtId="0" fontId="73" fillId="62" borderId="43" xfId="62" applyFont="1" applyFill="1" applyBorder="1" applyAlignment="1">
      <alignment horizontal="center"/>
    </xf>
    <xf numFmtId="167" fontId="73" fillId="62" borderId="25" xfId="62" applyNumberFormat="1" applyFont="1" applyFill="1" applyBorder="1" applyAlignment="1">
      <alignment horizontal="center"/>
    </xf>
    <xf numFmtId="2" fontId="9" fillId="62" borderId="32" xfId="62" applyNumberFormat="1" applyFill="1" applyBorder="1"/>
    <xf numFmtId="2" fontId="79" fillId="62" borderId="43" xfId="62" applyNumberFormat="1" applyFont="1" applyFill="1" applyBorder="1" applyAlignment="1">
      <alignment horizontal="centerContinuous"/>
    </xf>
    <xf numFmtId="2" fontId="9" fillId="62" borderId="25" xfId="62" applyNumberFormat="1" applyFill="1" applyBorder="1" applyAlignment="1">
      <alignment horizontal="centerContinuous"/>
    </xf>
    <xf numFmtId="2" fontId="7" fillId="62" borderId="25" xfId="62" applyNumberFormat="1" applyFont="1" applyFill="1" applyBorder="1" applyAlignment="1">
      <alignment horizontal="center"/>
    </xf>
    <xf numFmtId="167" fontId="73" fillId="0" borderId="43" xfId="62" applyNumberFormat="1" applyFont="1" applyBorder="1" applyAlignment="1">
      <alignment horizontal="center"/>
    </xf>
    <xf numFmtId="0" fontId="73" fillId="62" borderId="43" xfId="62" applyFont="1" applyFill="1" applyBorder="1"/>
    <xf numFmtId="0" fontId="73" fillId="62" borderId="25" xfId="62" applyFont="1" applyFill="1" applyBorder="1"/>
    <xf numFmtId="0" fontId="73" fillId="0" borderId="43" xfId="62" applyFont="1" applyBorder="1"/>
    <xf numFmtId="0" fontId="73" fillId="0" borderId="25" xfId="62" applyFont="1" applyBorder="1"/>
    <xf numFmtId="49" fontId="73" fillId="0" borderId="0" xfId="62" applyNumberFormat="1" applyFont="1"/>
    <xf numFmtId="166" fontId="73" fillId="0" borderId="32" xfId="62" applyNumberFormat="1" applyFont="1" applyBorder="1" applyAlignment="1">
      <alignment horizontal="center"/>
    </xf>
    <xf numFmtId="0" fontId="73" fillId="0" borderId="25" xfId="62" applyFont="1" applyBorder="1" applyAlignment="1">
      <alignment horizontal="center"/>
    </xf>
    <xf numFmtId="0" fontId="7" fillId="0" borderId="32" xfId="62" applyFont="1" applyBorder="1" applyAlignment="1">
      <alignment horizontal="center"/>
    </xf>
    <xf numFmtId="167" fontId="9" fillId="0" borderId="25" xfId="62" applyNumberFormat="1" applyBorder="1" applyAlignment="1">
      <alignment horizontal="center"/>
    </xf>
    <xf numFmtId="165" fontId="9" fillId="0" borderId="9" xfId="62" applyNumberFormat="1" applyBorder="1" applyAlignment="1">
      <alignment horizontal="center"/>
    </xf>
    <xf numFmtId="165" fontId="84" fillId="0" borderId="9" xfId="62" applyNumberFormat="1" applyFont="1" applyBorder="1" applyAlignment="1">
      <alignment horizontal="center"/>
    </xf>
    <xf numFmtId="1" fontId="7" fillId="0" borderId="43" xfId="62" applyNumberFormat="1" applyFont="1" applyBorder="1" applyAlignment="1">
      <alignment horizontal="center"/>
    </xf>
    <xf numFmtId="2" fontId="84" fillId="5" borderId="32" xfId="62" applyNumberFormat="1" applyFont="1" applyFill="1" applyBorder="1" applyAlignment="1">
      <alignment horizontal="center"/>
    </xf>
    <xf numFmtId="167" fontId="7" fillId="5" borderId="32" xfId="62" applyNumberFormat="1" applyFont="1" applyFill="1" applyBorder="1" applyAlignment="1">
      <alignment horizontal="center"/>
    </xf>
    <xf numFmtId="49" fontId="9" fillId="62" borderId="0" xfId="62" applyNumberFormat="1" applyFill="1" applyAlignment="1">
      <alignment horizontal="left"/>
    </xf>
    <xf numFmtId="166" fontId="73" fillId="62" borderId="32" xfId="62" applyNumberFormat="1" applyFont="1" applyFill="1" applyBorder="1" applyAlignment="1">
      <alignment horizontal="center"/>
    </xf>
    <xf numFmtId="0" fontId="73" fillId="62" borderId="25" xfId="62" applyFont="1" applyFill="1" applyBorder="1" applyAlignment="1">
      <alignment horizontal="center"/>
    </xf>
    <xf numFmtId="0" fontId="7" fillId="62" borderId="32" xfId="62" applyFont="1" applyFill="1" applyBorder="1" applyAlignment="1">
      <alignment horizontal="center"/>
    </xf>
    <xf numFmtId="167" fontId="7" fillId="62" borderId="32" xfId="62" applyNumberFormat="1" applyFont="1" applyFill="1" applyBorder="1" applyAlignment="1">
      <alignment horizontal="center"/>
    </xf>
    <xf numFmtId="167" fontId="9" fillId="62" borderId="25" xfId="62" applyNumberFormat="1" applyFill="1" applyBorder="1" applyAlignment="1">
      <alignment horizontal="center"/>
    </xf>
    <xf numFmtId="165" fontId="9" fillId="62" borderId="9" xfId="62" applyNumberFormat="1" applyFill="1" applyBorder="1" applyAlignment="1">
      <alignment horizontal="center"/>
    </xf>
    <xf numFmtId="167" fontId="9" fillId="62" borderId="0" xfId="62" applyNumberFormat="1" applyFill="1" applyAlignment="1">
      <alignment horizontal="center"/>
    </xf>
    <xf numFmtId="1" fontId="7" fillId="62" borderId="43" xfId="62" applyNumberFormat="1" applyFont="1" applyFill="1" applyBorder="1" applyAlignment="1">
      <alignment horizontal="center"/>
    </xf>
    <xf numFmtId="49" fontId="9" fillId="0" borderId="0" xfId="62" applyNumberFormat="1" applyAlignment="1">
      <alignment horizontal="left"/>
    </xf>
    <xf numFmtId="2" fontId="7" fillId="5" borderId="32" xfId="62" applyNumberFormat="1" applyFont="1" applyFill="1" applyBorder="1" applyAlignment="1">
      <alignment horizontal="center"/>
    </xf>
    <xf numFmtId="0" fontId="7" fillId="0" borderId="43" xfId="62" applyFont="1" applyBorder="1" applyAlignment="1">
      <alignment horizontal="center"/>
    </xf>
    <xf numFmtId="0" fontId="98" fillId="61" borderId="25" xfId="62" applyFont="1" applyFill="1" applyBorder="1" applyAlignment="1">
      <alignment horizontal="center"/>
    </xf>
    <xf numFmtId="167" fontId="72" fillId="0" borderId="43" xfId="62" applyNumberFormat="1" applyFont="1" applyBorder="1" applyAlignment="1">
      <alignment horizontal="center"/>
    </xf>
    <xf numFmtId="167" fontId="72" fillId="0" borderId="25" xfId="62" applyNumberFormat="1" applyFont="1" applyBorder="1" applyAlignment="1">
      <alignment horizontal="center"/>
    </xf>
    <xf numFmtId="167" fontId="6" fillId="0" borderId="32" xfId="62" applyNumberFormat="1" applyFont="1" applyBorder="1" applyAlignment="1">
      <alignment horizontal="center"/>
    </xf>
    <xf numFmtId="0" fontId="7" fillId="0" borderId="9" xfId="62" applyFont="1" applyBorder="1" applyAlignment="1">
      <alignment horizontal="center"/>
    </xf>
    <xf numFmtId="1" fontId="7" fillId="0" borderId="9" xfId="62" applyNumberFormat="1" applyFont="1" applyBorder="1" applyAlignment="1">
      <alignment horizontal="center"/>
    </xf>
    <xf numFmtId="2" fontId="110" fillId="0" borderId="32" xfId="62" applyNumberFormat="1" applyFont="1" applyBorder="1" applyAlignment="1">
      <alignment horizontal="center"/>
    </xf>
    <xf numFmtId="2" fontId="98" fillId="5" borderId="43" xfId="62" applyNumberFormat="1" applyFont="1" applyFill="1" applyBorder="1" applyAlignment="1">
      <alignment horizontal="center"/>
    </xf>
    <xf numFmtId="2" fontId="98" fillId="5" borderId="25" xfId="62" applyNumberFormat="1" applyFont="1" applyFill="1" applyBorder="1" applyAlignment="1">
      <alignment horizontal="center"/>
    </xf>
    <xf numFmtId="1" fontId="7" fillId="0" borderId="9" xfId="62" applyNumberFormat="1" applyFont="1" applyBorder="1"/>
    <xf numFmtId="166" fontId="84" fillId="0" borderId="32" xfId="62" applyNumberFormat="1" applyFont="1" applyBorder="1" applyAlignment="1">
      <alignment horizontal="center"/>
    </xf>
    <xf numFmtId="167" fontId="9" fillId="0" borderId="25" xfId="62" applyNumberFormat="1" applyBorder="1" applyAlignment="1">
      <alignment horizontal="left" indent="3"/>
    </xf>
    <xf numFmtId="166" fontId="9" fillId="0" borderId="9" xfId="62" applyNumberFormat="1" applyBorder="1" applyAlignment="1">
      <alignment horizontal="center"/>
    </xf>
    <xf numFmtId="0" fontId="7" fillId="0" borderId="41" xfId="62" applyFont="1" applyBorder="1" applyAlignment="1">
      <alignment horizontal="center"/>
    </xf>
    <xf numFmtId="167" fontId="9" fillId="0" borderId="41" xfId="62" applyNumberFormat="1" applyBorder="1" applyAlignment="1">
      <alignment horizontal="center"/>
    </xf>
    <xf numFmtId="167" fontId="9" fillId="0" borderId="22" xfId="62" applyNumberFormat="1" applyBorder="1" applyAlignment="1">
      <alignment horizontal="center"/>
    </xf>
    <xf numFmtId="0" fontId="9" fillId="0" borderId="40" xfId="62" applyBorder="1"/>
    <xf numFmtId="167" fontId="9" fillId="0" borderId="13" xfId="62" applyNumberFormat="1" applyBorder="1" applyAlignment="1">
      <alignment horizontal="center"/>
    </xf>
    <xf numFmtId="1" fontId="7" fillId="0" borderId="40" xfId="62" applyNumberFormat="1" applyFont="1" applyBorder="1" applyAlignment="1">
      <alignment horizontal="center"/>
    </xf>
    <xf numFmtId="2" fontId="79" fillId="0" borderId="40" xfId="62" applyNumberFormat="1" applyFont="1" applyBorder="1" applyAlignment="1">
      <alignment horizontal="centerContinuous"/>
    </xf>
    <xf numFmtId="2" fontId="9" fillId="0" borderId="22" xfId="62" applyNumberFormat="1" applyBorder="1" applyAlignment="1">
      <alignment horizontal="centerContinuous"/>
    </xf>
    <xf numFmtId="2" fontId="7" fillId="0" borderId="22" xfId="62" applyNumberFormat="1" applyFont="1" applyBorder="1" applyAlignment="1">
      <alignment horizontal="center"/>
    </xf>
    <xf numFmtId="1" fontId="7" fillId="0" borderId="42" xfId="62" applyNumberFormat="1" applyFont="1" applyBorder="1" applyAlignment="1">
      <alignment horizontal="center"/>
    </xf>
    <xf numFmtId="167" fontId="110" fillId="0" borderId="25" xfId="62" applyNumberFormat="1" applyFont="1" applyBorder="1" applyAlignment="1">
      <alignment horizontal="center"/>
    </xf>
    <xf numFmtId="167" fontId="9" fillId="0" borderId="25" xfId="62" applyNumberFormat="1" applyBorder="1" applyAlignment="1">
      <alignment horizontal="left"/>
    </xf>
    <xf numFmtId="2" fontId="79" fillId="0" borderId="24" xfId="62" applyNumberFormat="1" applyFont="1" applyBorder="1" applyAlignment="1">
      <alignment horizontal="centerContinuous"/>
    </xf>
    <xf numFmtId="2" fontId="79" fillId="0" borderId="50" xfId="62" applyNumberFormat="1" applyFont="1" applyBorder="1" applyAlignment="1">
      <alignment horizontal="centerContinuous"/>
    </xf>
    <xf numFmtId="2" fontId="7" fillId="49" borderId="25" xfId="62" applyNumberFormat="1" applyFont="1" applyFill="1" applyBorder="1" applyAlignment="1">
      <alignment horizontal="center"/>
    </xf>
    <xf numFmtId="2" fontId="7" fillId="49" borderId="31" xfId="62" applyNumberFormat="1" applyFont="1" applyFill="1" applyBorder="1" applyAlignment="1">
      <alignment horizontal="center"/>
    </xf>
    <xf numFmtId="2" fontId="79" fillId="0" borderId="50" xfId="62" applyNumberFormat="1" applyFont="1" applyBorder="1" applyAlignment="1">
      <alignment horizontal="center"/>
    </xf>
    <xf numFmtId="2" fontId="79" fillId="0" borderId="55" xfId="62" applyNumberFormat="1" applyFont="1" applyBorder="1" applyAlignment="1">
      <alignment horizontal="centerContinuous"/>
    </xf>
    <xf numFmtId="2" fontId="79" fillId="0" borderId="36" xfId="62" applyNumberFormat="1" applyFont="1" applyBorder="1" applyAlignment="1">
      <alignment horizontal="center"/>
    </xf>
    <xf numFmtId="2" fontId="79" fillId="0" borderId="60" xfId="62" applyNumberFormat="1" applyFont="1" applyBorder="1" applyAlignment="1">
      <alignment horizontal="center"/>
    </xf>
    <xf numFmtId="2" fontId="7" fillId="49" borderId="36" xfId="62" applyNumberFormat="1" applyFont="1" applyFill="1" applyBorder="1" applyAlignment="1">
      <alignment horizontal="center"/>
    </xf>
    <xf numFmtId="2" fontId="7" fillId="49" borderId="33" xfId="62" applyNumberFormat="1" applyFont="1" applyFill="1" applyBorder="1" applyAlignment="1">
      <alignment horizontal="center"/>
    </xf>
    <xf numFmtId="0" fontId="72" fillId="0" borderId="29" xfId="62" applyFont="1" applyBorder="1" applyAlignment="1">
      <alignment horizontal="center"/>
    </xf>
    <xf numFmtId="0" fontId="111" fillId="0" borderId="30" xfId="62" applyFont="1" applyBorder="1" applyAlignment="1">
      <alignment horizontal="center"/>
    </xf>
    <xf numFmtId="0" fontId="72" fillId="0" borderId="3" xfId="62" applyFont="1" applyBorder="1"/>
    <xf numFmtId="0" fontId="72" fillId="0" borderId="4" xfId="62" applyFont="1" applyBorder="1"/>
    <xf numFmtId="0" fontId="72" fillId="0" borderId="33" xfId="62" applyFont="1" applyBorder="1"/>
    <xf numFmtId="0" fontId="111" fillId="0" borderId="34" xfId="62" applyFont="1" applyBorder="1" applyAlignment="1">
      <alignment horizontal="center"/>
    </xf>
    <xf numFmtId="0" fontId="72" fillId="0" borderId="55" xfId="62" applyFont="1" applyBorder="1" applyAlignment="1">
      <alignment horizontal="centerContinuous"/>
    </xf>
    <xf numFmtId="0" fontId="72" fillId="0" borderId="0" xfId="62" applyFont="1" applyAlignment="1">
      <alignment horizontal="centerContinuous"/>
    </xf>
    <xf numFmtId="0" fontId="6" fillId="49" borderId="33" xfId="62" applyFont="1" applyFill="1" applyBorder="1" applyAlignment="1">
      <alignment horizontal="center"/>
    </xf>
    <xf numFmtId="0" fontId="2" fillId="0" borderId="34" xfId="62" applyFont="1" applyBorder="1" applyAlignment="1">
      <alignment horizontal="center"/>
    </xf>
    <xf numFmtId="0" fontId="73" fillId="0" borderId="31" xfId="62" applyFont="1" applyBorder="1"/>
    <xf numFmtId="0" fontId="84" fillId="0" borderId="32" xfId="62" applyFont="1" applyBorder="1" applyAlignment="1">
      <alignment horizontal="center"/>
    </xf>
    <xf numFmtId="167" fontId="79" fillId="0" borderId="24" xfId="62" applyNumberFormat="1" applyFont="1" applyBorder="1" applyAlignment="1">
      <alignment horizontal="center"/>
    </xf>
    <xf numFmtId="167" fontId="79" fillId="0" borderId="100" xfId="62" applyNumberFormat="1" applyFont="1" applyBorder="1" applyAlignment="1">
      <alignment horizontal="center"/>
    </xf>
    <xf numFmtId="167" fontId="1" fillId="0" borderId="4" xfId="62" applyNumberFormat="1" applyFont="1" applyBorder="1" applyAlignment="1">
      <alignment horizontal="centerContinuous"/>
    </xf>
    <xf numFmtId="167" fontId="7" fillId="0" borderId="100" xfId="62" applyNumberFormat="1" applyFont="1" applyBorder="1" applyAlignment="1">
      <alignment horizontal="center"/>
    </xf>
    <xf numFmtId="167" fontId="7" fillId="0" borderId="50" xfId="62" applyNumberFormat="1" applyFont="1" applyBorder="1" applyAlignment="1">
      <alignment horizontal="center"/>
    </xf>
    <xf numFmtId="167" fontId="7" fillId="49" borderId="30" xfId="62" applyNumberFormat="1" applyFont="1" applyFill="1" applyBorder="1" applyAlignment="1">
      <alignment horizontal="center"/>
    </xf>
    <xf numFmtId="167" fontId="84" fillId="0" borderId="30" xfId="62" applyNumberFormat="1" applyFont="1" applyBorder="1" applyAlignment="1">
      <alignment horizontal="center"/>
    </xf>
    <xf numFmtId="167" fontId="79" fillId="0" borderId="24" xfId="62" applyNumberFormat="1" applyFont="1" applyBorder="1" applyAlignment="1">
      <alignment horizontal="centerContinuous"/>
    </xf>
    <xf numFmtId="167" fontId="79" fillId="0" borderId="25" xfId="62" applyNumberFormat="1" applyFont="1" applyBorder="1" applyAlignment="1">
      <alignment horizontal="centerContinuous"/>
    </xf>
    <xf numFmtId="167" fontId="79" fillId="0" borderId="25" xfId="62" applyNumberFormat="1" applyFont="1" applyBorder="1" applyAlignment="1">
      <alignment horizontal="center"/>
    </xf>
    <xf numFmtId="167" fontId="7" fillId="49" borderId="32" xfId="62" applyNumberFormat="1" applyFont="1" applyFill="1" applyBorder="1" applyAlignment="1">
      <alignment horizontal="center"/>
    </xf>
    <xf numFmtId="167" fontId="84" fillId="0" borderId="32" xfId="62" applyNumberFormat="1" applyFont="1" applyBorder="1" applyAlignment="1">
      <alignment horizontal="center"/>
    </xf>
    <xf numFmtId="0" fontId="73" fillId="0" borderId="33" xfId="62" applyFont="1" applyBorder="1"/>
    <xf numFmtId="0" fontId="84" fillId="0" borderId="34" xfId="62" applyFont="1" applyBorder="1" applyAlignment="1">
      <alignment horizontal="center"/>
    </xf>
    <xf numFmtId="167" fontId="7" fillId="0" borderId="60" xfId="62" applyNumberFormat="1" applyFont="1" applyBorder="1" applyAlignment="1">
      <alignment horizontal="center"/>
    </xf>
    <xf numFmtId="167" fontId="7" fillId="49" borderId="34" xfId="62" applyNumberFormat="1" applyFont="1" applyFill="1" applyBorder="1" applyAlignment="1">
      <alignment horizontal="center"/>
    </xf>
    <xf numFmtId="167" fontId="84" fillId="0" borderId="34" xfId="62" applyNumberFormat="1" applyFont="1" applyBorder="1" applyAlignment="1">
      <alignment horizontal="center"/>
    </xf>
    <xf numFmtId="0" fontId="73" fillId="0" borderId="4" xfId="62" applyFont="1" applyBorder="1"/>
    <xf numFmtId="0" fontId="1" fillId="0" borderId="7" xfId="62" applyFont="1" applyBorder="1"/>
    <xf numFmtId="0" fontId="79" fillId="0" borderId="287" xfId="62" applyFont="1" applyBorder="1" applyAlignment="1">
      <alignment horizontal="center"/>
    </xf>
    <xf numFmtId="0" fontId="79" fillId="0" borderId="100" xfId="62" applyFont="1" applyBorder="1" applyAlignment="1">
      <alignment horizontal="center"/>
    </xf>
    <xf numFmtId="2" fontId="79" fillId="0" borderId="100" xfId="62" applyNumberFormat="1" applyFont="1" applyBorder="1" applyAlignment="1">
      <alignment horizontal="center"/>
    </xf>
    <xf numFmtId="0" fontId="73" fillId="0" borderId="4" xfId="62" applyFont="1" applyBorder="1" applyAlignment="1">
      <alignment horizontal="center"/>
    </xf>
    <xf numFmtId="2" fontId="7" fillId="0" borderId="100" xfId="62" applyNumberFormat="1" applyFont="1" applyBorder="1" applyAlignment="1">
      <alignment horizontal="center"/>
    </xf>
    <xf numFmtId="2" fontId="7" fillId="49" borderId="30" xfId="62" applyNumberFormat="1" applyFont="1" applyFill="1" applyBorder="1" applyAlignment="1">
      <alignment horizontal="center"/>
    </xf>
    <xf numFmtId="2" fontId="1" fillId="0" borderId="8" xfId="62" applyNumberFormat="1" applyFont="1" applyBorder="1" applyAlignment="1">
      <alignment horizontal="center"/>
    </xf>
    <xf numFmtId="2" fontId="1" fillId="0" borderId="36" xfId="62" applyNumberFormat="1" applyFont="1" applyBorder="1" applyAlignment="1">
      <alignment horizontal="center"/>
    </xf>
    <xf numFmtId="2" fontId="7" fillId="0" borderId="36" xfId="62" applyNumberFormat="1" applyFont="1" applyBorder="1" applyAlignment="1">
      <alignment horizontal="center"/>
    </xf>
    <xf numFmtId="2" fontId="1" fillId="0" borderId="7" xfId="62" applyNumberFormat="1" applyFont="1" applyBorder="1" applyAlignment="1">
      <alignment horizontal="center"/>
    </xf>
    <xf numFmtId="2" fontId="7" fillId="0" borderId="37" xfId="62" applyNumberFormat="1" applyFont="1" applyBorder="1" applyAlignment="1">
      <alignment horizontal="center"/>
    </xf>
    <xf numFmtId="0" fontId="7" fillId="49" borderId="34" xfId="62" applyFont="1" applyFill="1" applyBorder="1" applyAlignment="1">
      <alignment horizontal="center"/>
    </xf>
    <xf numFmtId="0" fontId="2" fillId="0" borderId="30" xfId="62" applyFont="1" applyBorder="1" applyProtection="1">
      <protection locked="0"/>
    </xf>
    <xf numFmtId="0" fontId="2" fillId="0" borderId="0" xfId="63" applyFont="1" applyAlignment="1" applyProtection="1">
      <alignment horizontal="center"/>
      <protection locked="0"/>
    </xf>
    <xf numFmtId="0" fontId="2" fillId="0" borderId="0" xfId="62" applyFont="1" applyProtection="1">
      <protection locked="0"/>
    </xf>
    <xf numFmtId="0" fontId="2" fillId="47" borderId="32" xfId="62" applyFont="1" applyFill="1" applyBorder="1" applyProtection="1">
      <protection locked="0"/>
    </xf>
    <xf numFmtId="0" fontId="2" fillId="0" borderId="30" xfId="62" applyFont="1" applyBorder="1" applyAlignment="1" applyProtection="1">
      <alignment horizontal="center"/>
      <protection locked="0"/>
    </xf>
    <xf numFmtId="0" fontId="2" fillId="0" borderId="43" xfId="62" applyFont="1" applyBorder="1" applyAlignment="1" applyProtection="1">
      <alignment horizontal="center"/>
      <protection locked="0"/>
    </xf>
    <xf numFmtId="0" fontId="2" fillId="0" borderId="25" xfId="62" applyFont="1" applyBorder="1" applyAlignment="1" applyProtection="1">
      <alignment horizontal="center"/>
      <protection locked="0"/>
    </xf>
    <xf numFmtId="0" fontId="2" fillId="0" borderId="32" xfId="62" applyFont="1" applyBorder="1" applyAlignment="1" applyProtection="1">
      <alignment horizontal="centerContinuous"/>
      <protection locked="0"/>
    </xf>
    <xf numFmtId="0" fontId="2" fillId="59" borderId="32" xfId="62" applyFont="1" applyFill="1" applyBorder="1" applyAlignment="1" applyProtection="1">
      <alignment horizontal="center"/>
      <protection locked="0"/>
    </xf>
    <xf numFmtId="1" fontId="2" fillId="0" borderId="30" xfId="62" applyNumberFormat="1" applyFont="1" applyBorder="1" applyAlignment="1" applyProtection="1">
      <alignment horizontal="center"/>
      <protection locked="0"/>
    </xf>
    <xf numFmtId="1" fontId="2" fillId="0" borderId="4" xfId="62" applyNumberFormat="1" applyFont="1" applyBorder="1" applyAlignment="1" applyProtection="1">
      <alignment horizontal="center"/>
      <protection locked="0"/>
    </xf>
    <xf numFmtId="1" fontId="2" fillId="0" borderId="0" xfId="62" applyNumberFormat="1" applyFont="1" applyAlignment="1" applyProtection="1">
      <alignment horizontal="center"/>
      <protection locked="0"/>
    </xf>
    <xf numFmtId="0" fontId="9" fillId="0" borderId="41" xfId="62" applyBorder="1" applyProtection="1">
      <protection locked="0"/>
    </xf>
    <xf numFmtId="0" fontId="7" fillId="0" borderId="0" xfId="62" applyFont="1" applyAlignment="1" applyProtection="1">
      <alignment horizontal="center"/>
      <protection locked="0"/>
    </xf>
    <xf numFmtId="0" fontId="9" fillId="0" borderId="13" xfId="62" applyBorder="1" applyProtection="1">
      <protection locked="0"/>
    </xf>
    <xf numFmtId="0" fontId="9" fillId="47" borderId="41" xfId="62" applyFill="1" applyBorder="1" applyProtection="1">
      <protection locked="0"/>
    </xf>
    <xf numFmtId="0" fontId="79" fillId="0" borderId="41" xfId="62" applyFont="1" applyBorder="1" applyAlignment="1" applyProtection="1">
      <alignment horizontal="center"/>
      <protection locked="0"/>
    </xf>
    <xf numFmtId="2" fontId="79" fillId="0" borderId="40" xfId="62" applyNumberFormat="1" applyFont="1" applyBorder="1" applyAlignment="1" applyProtection="1">
      <alignment horizontal="center"/>
      <protection locked="0"/>
    </xf>
    <xf numFmtId="2" fontId="79" fillId="0" borderId="22" xfId="62" applyNumberFormat="1" applyFont="1" applyBorder="1" applyAlignment="1" applyProtection="1">
      <alignment horizontal="center"/>
      <protection locked="0"/>
    </xf>
    <xf numFmtId="2" fontId="9" fillId="0" borderId="22" xfId="62" applyNumberFormat="1" applyBorder="1" applyAlignment="1" applyProtection="1">
      <alignment horizontal="center"/>
      <protection locked="0"/>
    </xf>
    <xf numFmtId="0" fontId="79" fillId="0" borderId="41" xfId="62" applyFont="1" applyBorder="1" applyAlignment="1" applyProtection="1">
      <alignment horizontal="centerContinuous"/>
      <protection locked="0"/>
    </xf>
    <xf numFmtId="167" fontId="9" fillId="59" borderId="41" xfId="62" applyNumberFormat="1" applyFill="1" applyBorder="1" applyAlignment="1" applyProtection="1">
      <alignment horizontal="center"/>
      <protection locked="0"/>
    </xf>
    <xf numFmtId="2" fontId="9" fillId="0" borderId="41" xfId="62" applyNumberFormat="1" applyBorder="1" applyAlignment="1" applyProtection="1">
      <alignment horizontal="center"/>
      <protection locked="0"/>
    </xf>
    <xf numFmtId="1" fontId="9" fillId="0" borderId="41" xfId="62" applyNumberFormat="1" applyBorder="1" applyAlignment="1" applyProtection="1">
      <alignment horizontal="center"/>
      <protection locked="0"/>
    </xf>
    <xf numFmtId="167" fontId="9" fillId="0" borderId="41" xfId="62" applyNumberFormat="1" applyBorder="1" applyAlignment="1" applyProtection="1">
      <alignment horizontal="center"/>
      <protection locked="0"/>
    </xf>
    <xf numFmtId="1" fontId="9" fillId="0" borderId="12" xfId="62" applyNumberFormat="1" applyBorder="1" applyAlignment="1" applyProtection="1">
      <alignment horizontal="center"/>
      <protection locked="0"/>
    </xf>
    <xf numFmtId="1" fontId="9" fillId="0" borderId="13" xfId="62" applyNumberFormat="1" applyBorder="1" applyAlignment="1" applyProtection="1">
      <alignment horizontal="center"/>
      <protection locked="0"/>
    </xf>
    <xf numFmtId="0" fontId="9" fillId="0" borderId="41" xfId="62" applyBorder="1" applyAlignment="1" applyProtection="1">
      <alignment horizontal="center"/>
      <protection locked="0"/>
    </xf>
    <xf numFmtId="2" fontId="9" fillId="0" borderId="40" xfId="62" applyNumberFormat="1" applyBorder="1" applyAlignment="1" applyProtection="1">
      <alignment horizontal="center"/>
      <protection locked="0"/>
    </xf>
    <xf numFmtId="0" fontId="9" fillId="0" borderId="41" xfId="62" applyBorder="1" applyAlignment="1" applyProtection="1">
      <alignment horizontal="centerContinuous"/>
      <protection locked="0"/>
    </xf>
    <xf numFmtId="0" fontId="9" fillId="0" borderId="114" xfId="62" applyBorder="1" applyProtection="1">
      <protection locked="0"/>
    </xf>
    <xf numFmtId="0" fontId="9" fillId="0" borderId="97" xfId="62" applyBorder="1" applyProtection="1">
      <protection locked="0"/>
    </xf>
    <xf numFmtId="0" fontId="9" fillId="47" borderId="114" xfId="62" applyFill="1" applyBorder="1" applyProtection="1">
      <protection locked="0"/>
    </xf>
    <xf numFmtId="0" fontId="79" fillId="0" borderId="114" xfId="62" applyFont="1" applyBorder="1" applyAlignment="1" applyProtection="1">
      <alignment horizontal="center"/>
      <protection locked="0"/>
    </xf>
    <xf numFmtId="2" fontId="79" fillId="0" borderId="116" xfId="62" applyNumberFormat="1" applyFont="1" applyBorder="1" applyAlignment="1" applyProtection="1">
      <alignment horizontal="center"/>
      <protection locked="0"/>
    </xf>
    <xf numFmtId="2" fontId="79" fillId="0" borderId="1" xfId="62" applyNumberFormat="1" applyFont="1" applyBorder="1" applyAlignment="1" applyProtection="1">
      <alignment horizontal="center"/>
      <protection locked="0"/>
    </xf>
    <xf numFmtId="2" fontId="9" fillId="0" borderId="1" xfId="62" applyNumberFormat="1" applyBorder="1" applyAlignment="1" applyProtection="1">
      <alignment horizontal="center"/>
      <protection locked="0"/>
    </xf>
    <xf numFmtId="167" fontId="9" fillId="0" borderId="114" xfId="62" applyNumberFormat="1" applyBorder="1" applyAlignment="1" applyProtection="1">
      <alignment horizontal="centerContinuous"/>
      <protection locked="0"/>
    </xf>
    <xf numFmtId="167" fontId="9" fillId="59" borderId="114" xfId="62" applyNumberFormat="1" applyFill="1" applyBorder="1" applyAlignment="1" applyProtection="1">
      <alignment horizontal="center"/>
      <protection locked="0"/>
    </xf>
    <xf numFmtId="2" fontId="9" fillId="0" borderId="32" xfId="62" applyNumberFormat="1" applyBorder="1" applyAlignment="1" applyProtection="1">
      <alignment horizontal="center"/>
      <protection locked="0"/>
    </xf>
    <xf numFmtId="1" fontId="9" fillId="0" borderId="32" xfId="62" applyNumberFormat="1" applyBorder="1" applyAlignment="1" applyProtection="1">
      <alignment horizontal="center"/>
      <protection locked="0"/>
    </xf>
    <xf numFmtId="1" fontId="81" fillId="0" borderId="32" xfId="61" applyNumberFormat="1" applyFont="1" applyBorder="1" applyAlignment="1" applyProtection="1">
      <alignment horizontal="center" vertical="center" wrapText="1"/>
      <protection locked="0"/>
    </xf>
    <xf numFmtId="167" fontId="81" fillId="0" borderId="32" xfId="63" applyNumberFormat="1" applyFont="1" applyBorder="1" applyAlignment="1" applyProtection="1">
      <alignment horizontal="center"/>
      <protection locked="0"/>
    </xf>
    <xf numFmtId="1" fontId="81" fillId="0" borderId="5" xfId="63" applyNumberFormat="1" applyFont="1" applyBorder="1" applyAlignment="1" applyProtection="1">
      <alignment horizontal="center"/>
      <protection locked="0"/>
    </xf>
    <xf numFmtId="1" fontId="81" fillId="0" borderId="0" xfId="63" applyNumberFormat="1" applyFont="1" applyAlignment="1" applyProtection="1">
      <alignment horizontal="center"/>
      <protection locked="0"/>
    </xf>
    <xf numFmtId="0" fontId="2" fillId="0" borderId="114" xfId="62" applyFont="1" applyBorder="1" applyProtection="1">
      <protection locked="0"/>
    </xf>
    <xf numFmtId="0" fontId="9" fillId="0" borderId="114" xfId="62" applyBorder="1" applyAlignment="1" applyProtection="1">
      <alignment horizontal="center"/>
      <protection locked="0"/>
    </xf>
    <xf numFmtId="2" fontId="9" fillId="0" borderId="19" xfId="62" applyNumberFormat="1" applyBorder="1" applyAlignment="1" applyProtection="1">
      <alignment horizontal="center"/>
      <protection locked="0"/>
    </xf>
    <xf numFmtId="0" fontId="9" fillId="0" borderId="114" xfId="62" applyBorder="1" applyAlignment="1" applyProtection="1">
      <alignment horizontal="centerContinuous"/>
      <protection locked="0"/>
    </xf>
    <xf numFmtId="2" fontId="9" fillId="0" borderId="114" xfId="62" applyNumberFormat="1" applyBorder="1" applyAlignment="1" applyProtection="1">
      <alignment horizontal="center"/>
      <protection locked="0"/>
    </xf>
    <xf numFmtId="1" fontId="9" fillId="0" borderId="114" xfId="62" applyNumberFormat="1" applyBorder="1" applyAlignment="1" applyProtection="1">
      <alignment horizontal="center"/>
      <protection locked="0"/>
    </xf>
    <xf numFmtId="167" fontId="9" fillId="0" borderId="114" xfId="62" applyNumberFormat="1" applyBorder="1" applyAlignment="1" applyProtection="1">
      <alignment horizontal="center"/>
      <protection locked="0"/>
    </xf>
    <xf numFmtId="1" fontId="9" fillId="0" borderId="56" xfId="62" applyNumberFormat="1" applyBorder="1" applyAlignment="1" applyProtection="1">
      <alignment horizontal="center"/>
      <protection locked="0"/>
    </xf>
    <xf numFmtId="1" fontId="9" fillId="0" borderId="97" xfId="62" applyNumberFormat="1" applyBorder="1" applyAlignment="1" applyProtection="1">
      <alignment horizontal="center"/>
      <protection locked="0"/>
    </xf>
    <xf numFmtId="2" fontId="79" fillId="0" borderId="21" xfId="62" applyNumberFormat="1" applyFont="1" applyBorder="1" applyAlignment="1" applyProtection="1">
      <alignment horizontal="center"/>
      <protection locked="0"/>
    </xf>
    <xf numFmtId="2" fontId="9" fillId="0" borderId="21" xfId="62" applyNumberFormat="1" applyBorder="1" applyAlignment="1" applyProtection="1">
      <alignment horizontal="center"/>
      <protection locked="0"/>
    </xf>
    <xf numFmtId="0" fontId="9" fillId="0" borderId="32" xfId="62" applyBorder="1" applyProtection="1">
      <protection locked="0"/>
    </xf>
    <xf numFmtId="0" fontId="9" fillId="47" borderId="32" xfId="62" applyFill="1" applyBorder="1" applyProtection="1">
      <protection locked="0"/>
    </xf>
    <xf numFmtId="0" fontId="9" fillId="0" borderId="32" xfId="62" applyBorder="1" applyAlignment="1" applyProtection="1">
      <alignment horizontal="center"/>
      <protection locked="0"/>
    </xf>
    <xf numFmtId="2" fontId="9" fillId="0" borderId="24" xfId="62" applyNumberFormat="1" applyBorder="1" applyAlignment="1" applyProtection="1">
      <alignment horizontal="center"/>
      <protection locked="0"/>
    </xf>
    <xf numFmtId="2" fontId="9" fillId="0" borderId="25" xfId="62" applyNumberFormat="1" applyBorder="1" applyAlignment="1" applyProtection="1">
      <alignment horizontal="center"/>
      <protection locked="0"/>
    </xf>
    <xf numFmtId="0" fontId="80" fillId="0" borderId="32" xfId="62" applyFont="1" applyBorder="1" applyAlignment="1" applyProtection="1">
      <alignment horizontal="centerContinuous"/>
      <protection locked="0"/>
    </xf>
    <xf numFmtId="167" fontId="9" fillId="59" borderId="32" xfId="62" applyNumberFormat="1" applyFill="1" applyBorder="1" applyAlignment="1" applyProtection="1">
      <alignment horizontal="center"/>
      <protection locked="0"/>
    </xf>
    <xf numFmtId="167" fontId="9" fillId="0" borderId="32" xfId="62" applyNumberFormat="1" applyBorder="1" applyAlignment="1" applyProtection="1">
      <alignment horizontal="center"/>
      <protection locked="0"/>
    </xf>
    <xf numFmtId="1" fontId="9" fillId="0" borderId="5" xfId="62" applyNumberFormat="1" applyBorder="1" applyAlignment="1" applyProtection="1">
      <alignment horizontal="center"/>
      <protection locked="0"/>
    </xf>
    <xf numFmtId="1" fontId="9" fillId="0" borderId="0" xfId="62" applyNumberFormat="1" applyAlignment="1" applyProtection="1">
      <alignment horizontal="center"/>
      <protection locked="0"/>
    </xf>
    <xf numFmtId="0" fontId="79" fillId="0" borderId="32" xfId="62" applyFont="1" applyBorder="1" applyAlignment="1" applyProtection="1">
      <alignment horizontal="center"/>
      <protection locked="0"/>
    </xf>
    <xf numFmtId="2" fontId="79" fillId="0" borderId="24" xfId="62" applyNumberFormat="1" applyFont="1" applyBorder="1" applyAlignment="1" applyProtection="1">
      <alignment horizontal="center"/>
      <protection locked="0"/>
    </xf>
    <xf numFmtId="2" fontId="79" fillId="0" borderId="25" xfId="62" applyNumberFormat="1" applyFont="1" applyBorder="1" applyAlignment="1" applyProtection="1">
      <alignment horizontal="center"/>
      <protection locked="0"/>
    </xf>
    <xf numFmtId="0" fontId="9" fillId="0" borderId="32" xfId="62" applyBorder="1" applyAlignment="1" applyProtection="1">
      <alignment horizontal="centerContinuous"/>
      <protection locked="0"/>
    </xf>
    <xf numFmtId="167" fontId="80" fillId="0" borderId="32" xfId="62" applyNumberFormat="1" applyFont="1" applyBorder="1" applyAlignment="1" applyProtection="1">
      <alignment horizontal="centerContinuous"/>
      <protection locked="0"/>
    </xf>
    <xf numFmtId="2" fontId="84" fillId="0" borderId="25" xfId="62" applyNumberFormat="1" applyFont="1" applyBorder="1" applyAlignment="1" applyProtection="1">
      <alignment horizontal="center"/>
      <protection locked="0"/>
    </xf>
    <xf numFmtId="167" fontId="9" fillId="0" borderId="32" xfId="62" applyNumberFormat="1" applyBorder="1" applyAlignment="1" applyProtection="1">
      <alignment horizontal="centerContinuous"/>
      <protection locked="0"/>
    </xf>
    <xf numFmtId="0" fontId="84" fillId="0" borderId="32" xfId="62" applyFont="1" applyBorder="1" applyProtection="1">
      <protection locked="0"/>
    </xf>
    <xf numFmtId="0" fontId="9" fillId="0" borderId="31" xfId="62" applyBorder="1" applyAlignment="1" applyProtection="1">
      <alignment horizontal="left"/>
      <protection locked="0"/>
    </xf>
    <xf numFmtId="0" fontId="9" fillId="47" borderId="32" xfId="62" applyFill="1" applyBorder="1" applyAlignment="1" applyProtection="1">
      <alignment horizontal="left"/>
      <protection locked="0"/>
    </xf>
    <xf numFmtId="0" fontId="84" fillId="0" borderId="32" xfId="62" applyFont="1" applyBorder="1" applyAlignment="1" applyProtection="1">
      <alignment horizontal="center"/>
      <protection locked="0"/>
    </xf>
    <xf numFmtId="2" fontId="84" fillId="0" borderId="24" xfId="62" applyNumberFormat="1" applyFont="1" applyBorder="1" applyAlignment="1" applyProtection="1">
      <alignment horizontal="center"/>
      <protection locked="0"/>
    </xf>
    <xf numFmtId="1" fontId="81" fillId="0" borderId="32" xfId="62" applyNumberFormat="1" applyFont="1" applyBorder="1" applyAlignment="1" applyProtection="1">
      <alignment horizontal="center"/>
      <protection locked="0"/>
    </xf>
    <xf numFmtId="167" fontId="81" fillId="0" borderId="32" xfId="62" applyNumberFormat="1" applyFont="1" applyBorder="1" applyAlignment="1" applyProtection="1">
      <alignment horizontal="center"/>
      <protection locked="0"/>
    </xf>
    <xf numFmtId="1" fontId="81" fillId="0" borderId="5" xfId="62" applyNumberFormat="1" applyFont="1" applyBorder="1" applyAlignment="1" applyProtection="1">
      <alignment horizontal="center"/>
      <protection locked="0"/>
    </xf>
    <xf numFmtId="1" fontId="81" fillId="0" borderId="0" xfId="62" applyNumberFormat="1" applyFont="1" applyAlignment="1" applyProtection="1">
      <alignment horizontal="center"/>
      <protection locked="0"/>
    </xf>
    <xf numFmtId="0" fontId="9" fillId="0" borderId="32" xfId="62" applyBorder="1" applyAlignment="1" applyProtection="1">
      <alignment wrapText="1"/>
      <protection locked="0"/>
    </xf>
    <xf numFmtId="0" fontId="84" fillId="0" borderId="24" xfId="62" applyFont="1" applyBorder="1" applyAlignment="1" applyProtection="1">
      <alignment horizontal="center"/>
      <protection locked="0"/>
    </xf>
    <xf numFmtId="0" fontId="9" fillId="0" borderId="25" xfId="62" applyBorder="1" applyAlignment="1" applyProtection="1">
      <alignment horizontal="center"/>
      <protection locked="0"/>
    </xf>
    <xf numFmtId="0" fontId="2" fillId="0" borderId="32" xfId="62" applyFont="1" applyBorder="1" applyProtection="1">
      <protection locked="0"/>
    </xf>
    <xf numFmtId="0" fontId="2" fillId="0" borderId="46" xfId="0" applyFont="1" applyBorder="1" applyProtection="1">
      <protection locked="0"/>
    </xf>
    <xf numFmtId="0" fontId="1" fillId="0" borderId="2" xfId="0" applyFont="1" applyBorder="1" applyAlignment="1" applyProtection="1">
      <alignment horizontal="center"/>
      <protection locked="0"/>
    </xf>
    <xf numFmtId="0" fontId="1" fillId="0" borderId="2" xfId="0" applyFont="1" applyBorder="1" applyProtection="1">
      <protection locked="0"/>
    </xf>
    <xf numFmtId="0" fontId="2" fillId="0" borderId="54" xfId="0" applyFont="1" applyBorder="1" applyProtection="1">
      <protection locked="0"/>
    </xf>
    <xf numFmtId="0" fontId="2" fillId="47" borderId="46" xfId="0" applyFont="1" applyFill="1" applyBorder="1" applyProtection="1">
      <protection locked="0"/>
    </xf>
    <xf numFmtId="0" fontId="2" fillId="0" borderId="46" xfId="0" applyFont="1" applyBorder="1" applyAlignment="1" applyProtection="1">
      <alignment horizontal="center"/>
      <protection locked="0"/>
    </xf>
    <xf numFmtId="0" fontId="2" fillId="0" borderId="47" xfId="0" applyFont="1" applyBorder="1" applyAlignment="1" applyProtection="1">
      <alignment horizontal="center"/>
      <protection locked="0"/>
    </xf>
    <xf numFmtId="0" fontId="2" fillId="0" borderId="48" xfId="0" applyFont="1" applyBorder="1" applyAlignment="1" applyProtection="1">
      <alignment horizontal="center"/>
      <protection locked="0"/>
    </xf>
    <xf numFmtId="0" fontId="2" fillId="0" borderId="53" xfId="0" applyFont="1" applyBorder="1" applyAlignment="1" applyProtection="1">
      <alignment horizontal="center"/>
      <protection locked="0"/>
    </xf>
    <xf numFmtId="167" fontId="2" fillId="0" borderId="46" xfId="0" applyNumberFormat="1" applyFont="1" applyBorder="1" applyAlignment="1" applyProtection="1">
      <alignment horizontal="center"/>
      <protection locked="0"/>
    </xf>
    <xf numFmtId="0" fontId="2" fillId="59" borderId="32" xfId="0" applyFont="1" applyFill="1" applyBorder="1" applyAlignment="1" applyProtection="1">
      <alignment horizontal="center"/>
      <protection locked="0"/>
    </xf>
    <xf numFmtId="0" fontId="1" fillId="0" borderId="32" xfId="0" applyFont="1" applyBorder="1" applyProtection="1">
      <protection locked="0"/>
    </xf>
    <xf numFmtId="0" fontId="9" fillId="0" borderId="31" xfId="62" applyBorder="1" applyProtection="1">
      <protection locked="0"/>
    </xf>
    <xf numFmtId="0" fontId="1" fillId="0" borderId="32" xfId="0" applyFont="1" applyBorder="1" applyAlignment="1" applyProtection="1">
      <alignment horizontal="center"/>
      <protection locked="0"/>
    </xf>
    <xf numFmtId="167" fontId="1" fillId="0" borderId="32" xfId="0" applyNumberFormat="1" applyFont="1" applyBorder="1" applyAlignment="1" applyProtection="1">
      <alignment horizontal="center"/>
      <protection locked="0"/>
    </xf>
    <xf numFmtId="0" fontId="1" fillId="59" borderId="32" xfId="0" applyFont="1" applyFill="1" applyBorder="1" applyAlignment="1" applyProtection="1">
      <alignment horizontal="center"/>
      <protection locked="0"/>
    </xf>
    <xf numFmtId="164" fontId="1" fillId="0" borderId="41" xfId="32" applyFont="1" applyFill="1" applyBorder="1" applyAlignment="1" applyProtection="1">
      <alignment horizontal="center"/>
      <protection locked="0"/>
    </xf>
    <xf numFmtId="1" fontId="1" fillId="0" borderId="41" xfId="32" applyNumberFormat="1" applyFont="1" applyFill="1" applyBorder="1" applyAlignment="1" applyProtection="1">
      <alignment horizontal="center"/>
      <protection locked="0"/>
    </xf>
    <xf numFmtId="167" fontId="1" fillId="0" borderId="41" xfId="37" applyNumberFormat="1" applyFont="1" applyFill="1" applyBorder="1" applyAlignment="1" applyProtection="1">
      <alignment horizontal="center"/>
      <protection locked="0"/>
    </xf>
    <xf numFmtId="1" fontId="1" fillId="0" borderId="12" xfId="37" applyNumberFormat="1" applyFont="1" applyFill="1" applyBorder="1" applyAlignment="1" applyProtection="1">
      <alignment horizontal="center"/>
      <protection locked="0"/>
    </xf>
    <xf numFmtId="1" fontId="1" fillId="0" borderId="0" xfId="37" applyNumberFormat="1" applyFont="1" applyFill="1" applyBorder="1" applyAlignment="1" applyProtection="1">
      <alignment horizontal="center"/>
      <protection locked="0"/>
    </xf>
    <xf numFmtId="0" fontId="1" fillId="0" borderId="43" xfId="0" applyFont="1" applyBorder="1" applyAlignment="1" applyProtection="1">
      <alignment horizontal="center"/>
      <protection locked="0"/>
    </xf>
    <xf numFmtId="0" fontId="1" fillId="0" borderId="25" xfId="0" applyFont="1" applyBorder="1" applyAlignment="1" applyProtection="1">
      <alignment horizontal="center"/>
      <protection locked="0"/>
    </xf>
    <xf numFmtId="2" fontId="1" fillId="0" borderId="25" xfId="0" applyNumberFormat="1" applyFont="1" applyBorder="1" applyAlignment="1" applyProtection="1">
      <alignment horizontal="center"/>
      <protection locked="0"/>
    </xf>
    <xf numFmtId="167" fontId="81" fillId="0" borderId="32" xfId="0" applyNumberFormat="1" applyFont="1" applyBorder="1" applyAlignment="1" applyProtection="1">
      <alignment horizontal="center"/>
      <protection locked="0"/>
    </xf>
    <xf numFmtId="164" fontId="1" fillId="0" borderId="32" xfId="32" applyFont="1" applyFill="1" applyBorder="1" applyAlignment="1" applyProtection="1">
      <alignment horizontal="center"/>
      <protection locked="0"/>
    </xf>
    <xf numFmtId="1" fontId="1" fillId="0" borderId="32" xfId="32" applyNumberFormat="1" applyFont="1" applyFill="1" applyBorder="1" applyAlignment="1" applyProtection="1">
      <alignment horizontal="center"/>
      <protection locked="0"/>
    </xf>
    <xf numFmtId="167" fontId="1" fillId="0" borderId="32" xfId="37" applyNumberFormat="1" applyFont="1" applyFill="1" applyBorder="1" applyAlignment="1" applyProtection="1">
      <alignment horizontal="center"/>
      <protection locked="0"/>
    </xf>
    <xf numFmtId="1" fontId="1" fillId="0" borderId="5" xfId="37" applyNumberFormat="1" applyFont="1" applyFill="1" applyBorder="1" applyAlignment="1" applyProtection="1">
      <alignment horizontal="center"/>
      <protection locked="0"/>
    </xf>
    <xf numFmtId="2" fontId="1" fillId="0" borderId="43" xfId="0" applyNumberFormat="1" applyFont="1" applyBorder="1" applyAlignment="1" applyProtection="1">
      <alignment horizontal="center"/>
      <protection locked="0"/>
    </xf>
    <xf numFmtId="2" fontId="9" fillId="0" borderId="43" xfId="62" applyNumberFormat="1" applyBorder="1" applyAlignment="1" applyProtection="1">
      <alignment horizontal="center"/>
      <protection locked="0"/>
    </xf>
    <xf numFmtId="0" fontId="2" fillId="0" borderId="114" xfId="0" applyFont="1" applyBorder="1" applyProtection="1">
      <protection locked="0"/>
    </xf>
    <xf numFmtId="0" fontId="9" fillId="0" borderId="115" xfId="62" applyBorder="1" applyProtection="1">
      <protection locked="0"/>
    </xf>
    <xf numFmtId="0" fontId="1" fillId="0" borderId="114" xfId="0" applyFont="1" applyBorder="1" applyAlignment="1" applyProtection="1">
      <alignment horizontal="center"/>
      <protection locked="0"/>
    </xf>
    <xf numFmtId="2" fontId="9" fillId="0" borderId="116" xfId="62" applyNumberFormat="1" applyBorder="1" applyAlignment="1" applyProtection="1">
      <alignment horizontal="center"/>
      <protection locked="0"/>
    </xf>
    <xf numFmtId="0" fontId="1" fillId="59" borderId="114" xfId="0" applyFont="1" applyFill="1" applyBorder="1" applyAlignment="1" applyProtection="1">
      <alignment horizontal="center"/>
      <protection locked="0"/>
    </xf>
    <xf numFmtId="164" fontId="1" fillId="0" borderId="114" xfId="32" applyFont="1" applyFill="1" applyBorder="1" applyAlignment="1" applyProtection="1">
      <alignment horizontal="center"/>
      <protection locked="0"/>
    </xf>
    <xf numFmtId="1" fontId="1" fillId="0" borderId="114" xfId="32" applyNumberFormat="1" applyFont="1" applyFill="1" applyBorder="1" applyAlignment="1" applyProtection="1">
      <alignment horizontal="center"/>
      <protection locked="0"/>
    </xf>
    <xf numFmtId="167" fontId="1" fillId="0" borderId="114" xfId="37" applyNumberFormat="1" applyFont="1" applyFill="1" applyBorder="1" applyAlignment="1" applyProtection="1">
      <alignment horizontal="center"/>
      <protection locked="0"/>
    </xf>
    <xf numFmtId="1" fontId="1" fillId="0" borderId="56" xfId="37" applyNumberFormat="1" applyFont="1" applyFill="1" applyBorder="1" applyAlignment="1" applyProtection="1">
      <alignment horizontal="center"/>
      <protection locked="0"/>
    </xf>
    <xf numFmtId="1" fontId="1" fillId="0" borderId="97" xfId="37" applyNumberFormat="1" applyFont="1" applyFill="1" applyBorder="1" applyAlignment="1" applyProtection="1">
      <alignment horizontal="center"/>
      <protection locked="0"/>
    </xf>
    <xf numFmtId="0" fontId="1" fillId="0" borderId="31" xfId="0" applyFont="1" applyBorder="1" applyAlignment="1" applyProtection="1">
      <alignment vertical="top"/>
      <protection locked="0"/>
    </xf>
    <xf numFmtId="0" fontId="1" fillId="47" borderId="32" xfId="0" applyFont="1" applyFill="1" applyBorder="1" applyAlignment="1" applyProtection="1">
      <alignment vertical="top"/>
      <protection locked="0"/>
    </xf>
    <xf numFmtId="0" fontId="1" fillId="0" borderId="32" xfId="0" applyFont="1" applyBorder="1" applyAlignment="1" applyProtection="1">
      <alignment horizontal="center" vertical="top"/>
      <protection locked="0"/>
    </xf>
    <xf numFmtId="0" fontId="79" fillId="0" borderId="43" xfId="0" applyFont="1" applyBorder="1" applyAlignment="1" applyProtection="1">
      <alignment horizontal="center" vertical="top"/>
      <protection locked="0"/>
    </xf>
    <xf numFmtId="0" fontId="79" fillId="0" borderId="25" xfId="0" applyFont="1" applyBorder="1" applyAlignment="1" applyProtection="1">
      <alignment horizontal="center" vertical="top"/>
      <protection locked="0"/>
    </xf>
    <xf numFmtId="2" fontId="1" fillId="0" borderId="25" xfId="0" applyNumberFormat="1" applyFont="1" applyBorder="1" applyAlignment="1" applyProtection="1">
      <alignment horizontal="center" vertical="top"/>
      <protection locked="0"/>
    </xf>
    <xf numFmtId="0" fontId="1" fillId="0" borderId="25" xfId="0" applyFont="1" applyBorder="1" applyAlignment="1" applyProtection="1">
      <alignment horizontal="center" vertical="top"/>
      <protection locked="0"/>
    </xf>
    <xf numFmtId="167" fontId="9" fillId="0" borderId="32" xfId="62" applyNumberFormat="1" applyBorder="1" applyAlignment="1" applyProtection="1">
      <alignment horizontal="center" vertical="top"/>
      <protection locked="0"/>
    </xf>
    <xf numFmtId="0" fontId="1" fillId="59" borderId="32" xfId="0" applyFont="1" applyFill="1" applyBorder="1" applyAlignment="1" applyProtection="1">
      <alignment horizontal="center" vertical="top"/>
      <protection locked="0"/>
    </xf>
    <xf numFmtId="0" fontId="79" fillId="0" borderId="0" xfId="0" applyFont="1" applyAlignment="1" applyProtection="1">
      <alignment horizontal="center" vertical="top"/>
      <protection locked="0"/>
    </xf>
    <xf numFmtId="0" fontId="1" fillId="0" borderId="0" xfId="0" applyFont="1" applyAlignment="1" applyProtection="1">
      <alignment horizontal="center" vertical="top"/>
      <protection locked="0"/>
    </xf>
    <xf numFmtId="164" fontId="1" fillId="0" borderId="5" xfId="32" applyFont="1" applyFill="1" applyBorder="1" applyAlignment="1" applyProtection="1">
      <alignment horizontal="center"/>
      <protection locked="0"/>
    </xf>
    <xf numFmtId="1" fontId="1" fillId="0" borderId="5" xfId="32" applyNumberFormat="1" applyFont="1" applyFill="1" applyBorder="1" applyAlignment="1" applyProtection="1">
      <alignment horizontal="center"/>
      <protection locked="0"/>
    </xf>
    <xf numFmtId="0" fontId="73" fillId="5" borderId="0" xfId="62" applyFont="1" applyFill="1" applyProtection="1">
      <protection locked="0"/>
    </xf>
    <xf numFmtId="0" fontId="73" fillId="47" borderId="32" xfId="62" applyFont="1" applyFill="1" applyBorder="1" applyProtection="1">
      <protection locked="0"/>
    </xf>
    <xf numFmtId="2" fontId="79" fillId="0" borderId="43" xfId="0" applyNumberFormat="1" applyFont="1" applyBorder="1" applyAlignment="1" applyProtection="1">
      <alignment horizontal="center"/>
      <protection locked="0"/>
    </xf>
    <xf numFmtId="2" fontId="79" fillId="0" borderId="25" xfId="0" applyNumberFormat="1" applyFont="1" applyBorder="1" applyAlignment="1" applyProtection="1">
      <alignment horizontal="center"/>
      <protection locked="0"/>
    </xf>
    <xf numFmtId="167" fontId="80" fillId="0" borderId="32" xfId="62" applyNumberFormat="1" applyFont="1" applyBorder="1" applyAlignment="1" applyProtection="1">
      <alignment horizontal="center"/>
      <protection locked="0"/>
    </xf>
    <xf numFmtId="0" fontId="9" fillId="59" borderId="31" xfId="62" applyFill="1" applyBorder="1" applyAlignment="1" applyProtection="1">
      <alignment horizontal="center"/>
      <protection locked="0"/>
    </xf>
    <xf numFmtId="167" fontId="1" fillId="0" borderId="32" xfId="32" applyNumberFormat="1" applyFont="1" applyFill="1" applyBorder="1" applyAlignment="1" applyProtection="1">
      <alignment horizontal="center"/>
      <protection locked="0"/>
    </xf>
    <xf numFmtId="1" fontId="1" fillId="0" borderId="0" xfId="32" applyNumberFormat="1" applyFont="1" applyFill="1" applyBorder="1" applyAlignment="1" applyProtection="1">
      <alignment horizontal="center"/>
      <protection locked="0"/>
    </xf>
    <xf numFmtId="0" fontId="9" fillId="59" borderId="32" xfId="62" applyFill="1" applyBorder="1" applyAlignment="1" applyProtection="1">
      <alignment horizontal="center"/>
      <protection locked="0"/>
    </xf>
    <xf numFmtId="0" fontId="2" fillId="0" borderId="46" xfId="62" applyFont="1" applyBorder="1" applyProtection="1">
      <protection locked="0"/>
    </xf>
    <xf numFmtId="0" fontId="2" fillId="5" borderId="45" xfId="62" applyFont="1" applyFill="1" applyBorder="1" applyProtection="1">
      <protection locked="0"/>
    </xf>
    <xf numFmtId="0" fontId="2" fillId="47" borderId="46" xfId="62" applyFont="1" applyFill="1" applyBorder="1" applyProtection="1">
      <protection locked="0"/>
    </xf>
    <xf numFmtId="0" fontId="2" fillId="0" borderId="46" xfId="62" applyFont="1" applyBorder="1" applyAlignment="1" applyProtection="1">
      <alignment horizontal="center"/>
      <protection locked="0"/>
    </xf>
    <xf numFmtId="0" fontId="2" fillId="0" borderId="47" xfId="62" applyFont="1" applyBorder="1" applyAlignment="1" applyProtection="1">
      <alignment horizontal="center"/>
      <protection locked="0"/>
    </xf>
    <xf numFmtId="0" fontId="2" fillId="0" borderId="48" xfId="62" applyFont="1" applyBorder="1" applyAlignment="1" applyProtection="1">
      <alignment horizontal="center"/>
      <protection locked="0"/>
    </xf>
    <xf numFmtId="2" fontId="2" fillId="0" borderId="30" xfId="62" applyNumberFormat="1" applyFont="1" applyBorder="1" applyAlignment="1" applyProtection="1">
      <alignment horizontal="center"/>
      <protection locked="0"/>
    </xf>
    <xf numFmtId="0" fontId="73" fillId="0" borderId="31" xfId="62" applyFont="1" applyBorder="1" applyProtection="1">
      <protection locked="0"/>
    </xf>
    <xf numFmtId="0" fontId="73" fillId="47" borderId="0" xfId="62" applyFont="1" applyFill="1" applyBorder="1" applyProtection="1">
      <protection locked="0"/>
    </xf>
    <xf numFmtId="2" fontId="1" fillId="0" borderId="5" xfId="0" applyNumberFormat="1" applyFont="1" applyBorder="1" applyAlignment="1" applyProtection="1">
      <alignment horizontal="center"/>
      <protection locked="0"/>
    </xf>
    <xf numFmtId="2" fontId="1" fillId="0" borderId="0" xfId="0" applyNumberFormat="1" applyFont="1" applyBorder="1" applyAlignment="1" applyProtection="1">
      <alignment horizontal="center"/>
      <protection locked="0"/>
    </xf>
    <xf numFmtId="167" fontId="80" fillId="0" borderId="0" xfId="62" applyNumberFormat="1" applyFont="1" applyBorder="1" applyAlignment="1" applyProtection="1">
      <alignment horizontal="center"/>
      <protection locked="0"/>
    </xf>
    <xf numFmtId="0" fontId="9" fillId="59" borderId="0" xfId="62" applyFill="1" applyBorder="1" applyAlignment="1" applyProtection="1">
      <alignment horizontal="center"/>
      <protection locked="0"/>
    </xf>
    <xf numFmtId="2" fontId="9" fillId="0" borderId="0" xfId="62" applyNumberFormat="1" applyBorder="1" applyAlignment="1" applyProtection="1">
      <alignment horizontal="center"/>
      <protection locked="0"/>
    </xf>
    <xf numFmtId="1" fontId="9" fillId="0" borderId="0" xfId="62" applyNumberFormat="1" applyBorder="1" applyAlignment="1" applyProtection="1">
      <alignment horizontal="center"/>
      <protection locked="0"/>
    </xf>
    <xf numFmtId="2" fontId="79" fillId="0" borderId="5" xfId="62" applyNumberFormat="1" applyFont="1" applyFill="1" applyBorder="1" applyAlignment="1" applyProtection="1">
      <alignment horizontal="center"/>
      <protection locked="0"/>
    </xf>
    <xf numFmtId="2" fontId="79" fillId="0" borderId="24" xfId="62" applyNumberFormat="1" applyFont="1" applyFill="1" applyBorder="1" applyAlignment="1" applyProtection="1">
      <alignment horizontal="center"/>
      <protection locked="0"/>
    </xf>
    <xf numFmtId="0" fontId="72" fillId="0" borderId="30" xfId="0" applyFont="1" applyBorder="1" applyAlignment="1">
      <alignment vertical="top"/>
    </xf>
    <xf numFmtId="0" fontId="73" fillId="0" borderId="30" xfId="0" applyFont="1" applyBorder="1" applyAlignment="1">
      <alignment horizontal="center" vertical="top"/>
    </xf>
    <xf numFmtId="0" fontId="73" fillId="0" borderId="29" xfId="0" applyFont="1" applyBorder="1" applyAlignment="1">
      <alignment horizontal="center" vertical="top"/>
    </xf>
    <xf numFmtId="2" fontId="73" fillId="0" borderId="100" xfId="0" applyNumberFormat="1" applyFont="1" applyBorder="1" applyAlignment="1">
      <alignment horizontal="center" vertical="top"/>
    </xf>
    <xf numFmtId="0" fontId="73" fillId="0" borderId="100" xfId="0" applyFont="1" applyBorder="1" applyAlignment="1">
      <alignment horizontal="center" vertical="top"/>
    </xf>
    <xf numFmtId="0" fontId="73" fillId="0" borderId="0" xfId="0" applyFont="1" applyAlignment="1">
      <alignment horizontal="center" vertical="top"/>
    </xf>
    <xf numFmtId="0" fontId="73" fillId="0" borderId="5" xfId="0" applyFont="1" applyBorder="1" applyAlignment="1">
      <alignment horizontal="center" vertical="top"/>
    </xf>
    <xf numFmtId="0" fontId="73" fillId="0" borderId="287" xfId="0" applyFont="1" applyBorder="1" applyAlignment="1">
      <alignment horizontal="center" vertical="top"/>
    </xf>
    <xf numFmtId="171" fontId="73" fillId="0" borderId="5" xfId="32" applyNumberFormat="1" applyFont="1" applyFill="1" applyBorder="1" applyAlignment="1">
      <alignment horizontal="center" vertical="top"/>
    </xf>
    <xf numFmtId="0" fontId="1" fillId="0" borderId="32" xfId="0" applyFont="1" applyBorder="1" applyAlignment="1">
      <alignment vertical="top" wrapText="1"/>
    </xf>
    <xf numFmtId="0" fontId="73" fillId="0" borderId="32" xfId="0" applyFont="1" applyBorder="1" applyAlignment="1">
      <alignment horizontal="center" vertical="top"/>
    </xf>
    <xf numFmtId="2" fontId="73" fillId="0" borderId="25" xfId="0" applyNumberFormat="1" applyFont="1" applyBorder="1" applyAlignment="1">
      <alignment horizontal="center" vertical="top"/>
    </xf>
    <xf numFmtId="167" fontId="73" fillId="0" borderId="25" xfId="0" applyNumberFormat="1" applyFont="1" applyBorder="1" applyAlignment="1">
      <alignment horizontal="center" vertical="top"/>
    </xf>
    <xf numFmtId="167" fontId="73" fillId="0" borderId="0" xfId="0" applyNumberFormat="1" applyFont="1" applyAlignment="1">
      <alignment horizontal="center" vertical="top"/>
    </xf>
    <xf numFmtId="2" fontId="73" fillId="0" borderId="5" xfId="0" applyNumberFormat="1" applyFont="1" applyBorder="1" applyAlignment="1">
      <alignment horizontal="center" vertical="top"/>
    </xf>
    <xf numFmtId="0" fontId="73" fillId="0" borderId="43" xfId="0" applyFont="1" applyBorder="1" applyAlignment="1">
      <alignment horizontal="center" vertical="top"/>
    </xf>
    <xf numFmtId="167" fontId="73" fillId="0" borderId="43" xfId="32" applyNumberFormat="1" applyFont="1" applyFill="1" applyBorder="1" applyAlignment="1">
      <alignment horizontal="center" vertical="top"/>
    </xf>
    <xf numFmtId="167" fontId="1" fillId="0" borderId="32" xfId="62" applyNumberFormat="1" applyFont="1" applyBorder="1" applyAlignment="1">
      <alignment horizontal="center" vertical="top"/>
    </xf>
    <xf numFmtId="0" fontId="73" fillId="0" borderId="32" xfId="0" applyFont="1" applyBorder="1" applyAlignment="1">
      <alignment vertical="top" wrapText="1"/>
    </xf>
    <xf numFmtId="0" fontId="72" fillId="0" borderId="41" xfId="0" applyFont="1" applyBorder="1" applyAlignment="1">
      <alignment vertical="top" wrapText="1"/>
    </xf>
    <xf numFmtId="0" fontId="73" fillId="0" borderId="41" xfId="0" applyFont="1" applyBorder="1" applyAlignment="1">
      <alignment horizontal="center" vertical="top"/>
    </xf>
    <xf numFmtId="167" fontId="73" fillId="0" borderId="12" xfId="0" applyNumberFormat="1" applyFont="1" applyBorder="1" applyAlignment="1">
      <alignment horizontal="center" vertical="top"/>
    </xf>
    <xf numFmtId="2" fontId="73" fillId="0" borderId="22" xfId="0" applyNumberFormat="1" applyFont="1" applyBorder="1" applyAlignment="1">
      <alignment horizontal="center" vertical="top"/>
    </xf>
    <xf numFmtId="167" fontId="73" fillId="0" borderId="22" xfId="0" applyNumberFormat="1" applyFont="1" applyBorder="1" applyAlignment="1">
      <alignment horizontal="center" vertical="top"/>
    </xf>
    <xf numFmtId="167" fontId="73" fillId="0" borderId="13" xfId="0" applyNumberFormat="1" applyFont="1" applyBorder="1" applyAlignment="1">
      <alignment horizontal="center" vertical="top"/>
    </xf>
    <xf numFmtId="2" fontId="1" fillId="0" borderId="12" xfId="62" applyNumberFormat="1" applyFont="1" applyBorder="1" applyAlignment="1">
      <alignment horizontal="center" vertical="top"/>
    </xf>
    <xf numFmtId="0" fontId="73" fillId="0" borderId="40" xfId="0" applyFont="1" applyBorder="1" applyAlignment="1">
      <alignment horizontal="center" vertical="top"/>
    </xf>
    <xf numFmtId="167" fontId="1" fillId="0" borderId="12" xfId="32" applyNumberFormat="1" applyFont="1" applyFill="1" applyBorder="1" applyAlignment="1">
      <alignment horizontal="center" vertical="top"/>
    </xf>
    <xf numFmtId="167" fontId="1" fillId="0" borderId="41" xfId="0" applyNumberFormat="1" applyFont="1" applyBorder="1" applyAlignment="1">
      <alignment horizontal="center" vertical="top"/>
    </xf>
    <xf numFmtId="0" fontId="1" fillId="0" borderId="32" xfId="0" quotePrefix="1" applyFont="1" applyBorder="1" applyAlignment="1">
      <alignment vertical="top" wrapText="1"/>
    </xf>
    <xf numFmtId="0" fontId="73" fillId="0" borderId="32" xfId="0" quotePrefix="1" applyFont="1" applyBorder="1" applyAlignment="1">
      <alignment horizontal="center" vertical="top"/>
    </xf>
    <xf numFmtId="0" fontId="73" fillId="0" borderId="31" xfId="0" quotePrefix="1" applyFont="1" applyBorder="1" applyAlignment="1">
      <alignment horizontal="center" vertical="top"/>
    </xf>
    <xf numFmtId="167" fontId="73" fillId="0" borderId="50" xfId="0" applyNumberFormat="1" applyFont="1" applyBorder="1" applyAlignment="1">
      <alignment horizontal="center" vertical="top"/>
    </xf>
    <xf numFmtId="2" fontId="1" fillId="0" borderId="5" xfId="62" applyNumberFormat="1" applyFont="1" applyBorder="1" applyAlignment="1">
      <alignment horizontal="center" vertical="top"/>
    </xf>
    <xf numFmtId="167" fontId="1" fillId="0" borderId="5" xfId="62" applyNumberFormat="1" applyFont="1" applyBorder="1" applyAlignment="1">
      <alignment horizontal="center" vertical="top"/>
    </xf>
    <xf numFmtId="0" fontId="84" fillId="0" borderId="32" xfId="0" quotePrefix="1" applyFont="1" applyBorder="1" applyAlignment="1">
      <alignment vertical="top" wrapText="1"/>
    </xf>
    <xf numFmtId="167" fontId="1" fillId="0" borderId="32" xfId="0" applyNumberFormat="1" applyFont="1" applyBorder="1" applyAlignment="1">
      <alignment horizontal="center" vertical="top"/>
    </xf>
    <xf numFmtId="0" fontId="84" fillId="0" borderId="32" xfId="0" applyFont="1" applyBorder="1" applyAlignment="1">
      <alignment vertical="top" wrapText="1"/>
    </xf>
    <xf numFmtId="0" fontId="72" fillId="0" borderId="41" xfId="0" quotePrefix="1" applyFont="1" applyBorder="1" applyAlignment="1">
      <alignment vertical="top" wrapText="1"/>
    </xf>
    <xf numFmtId="0" fontId="73" fillId="0" borderId="41" xfId="0" quotePrefix="1" applyFont="1" applyBorder="1" applyAlignment="1">
      <alignment horizontal="center" vertical="top"/>
    </xf>
    <xf numFmtId="0" fontId="73" fillId="0" borderId="35" xfId="0" quotePrefix="1" applyFont="1" applyBorder="1" applyAlignment="1">
      <alignment horizontal="center" vertical="top"/>
    </xf>
    <xf numFmtId="167" fontId="1" fillId="0" borderId="12" xfId="62" applyNumberFormat="1" applyFont="1" applyBorder="1" applyAlignment="1">
      <alignment horizontal="center" vertical="top"/>
    </xf>
    <xf numFmtId="167" fontId="73" fillId="0" borderId="40" xfId="0" applyNumberFormat="1" applyFont="1" applyBorder="1" applyAlignment="1">
      <alignment horizontal="center" vertical="top"/>
    </xf>
    <xf numFmtId="1" fontId="73" fillId="0" borderId="43" xfId="0" applyNumberFormat="1" applyFont="1" applyBorder="1" applyAlignment="1">
      <alignment horizontal="center" vertical="top"/>
    </xf>
    <xf numFmtId="0" fontId="73" fillId="0" borderId="25" xfId="0" applyFont="1" applyBorder="1" applyAlignment="1">
      <alignment horizontal="center" vertical="top"/>
    </xf>
    <xf numFmtId="0" fontId="73" fillId="0" borderId="50" xfId="0" applyFont="1" applyBorder="1" applyAlignment="1">
      <alignment horizontal="center" vertical="top"/>
    </xf>
    <xf numFmtId="167" fontId="1" fillId="0" borderId="5" xfId="32" applyNumberFormat="1" applyFont="1" applyFill="1" applyBorder="1" applyAlignment="1">
      <alignment horizontal="center" vertical="top"/>
    </xf>
    <xf numFmtId="0" fontId="1" fillId="0" borderId="0" xfId="0" applyFont="1" applyAlignment="1">
      <alignment horizontal="center" vertical="top"/>
    </xf>
    <xf numFmtId="0" fontId="39" fillId="0" borderId="0" xfId="62" applyFont="1" applyFill="1" applyAlignment="1" applyProtection="1">
      <alignment horizontal="center"/>
      <protection locked="0"/>
    </xf>
    <xf numFmtId="0" fontId="9" fillId="0" borderId="0" xfId="0" applyFont="1" applyFill="1" applyBorder="1" applyProtection="1">
      <protection locked="0"/>
    </xf>
    <xf numFmtId="167" fontId="9" fillId="0" borderId="0" xfId="62" applyNumberFormat="1" applyFont="1" applyFill="1" applyBorder="1" applyAlignment="1" applyProtection="1">
      <alignment horizontal="left" vertical="top"/>
      <protection locked="0"/>
    </xf>
    <xf numFmtId="0" fontId="1" fillId="49" borderId="0" xfId="0" applyFont="1" applyFill="1" applyBorder="1" applyProtection="1">
      <protection locked="0"/>
    </xf>
    <xf numFmtId="0" fontId="1" fillId="49" borderId="0" xfId="62" applyFont="1" applyFill="1" applyProtection="1">
      <protection locked="0"/>
    </xf>
    <xf numFmtId="0" fontId="73" fillId="49" borderId="0" xfId="0" applyFont="1" applyFill="1" applyBorder="1" applyAlignment="1">
      <alignment vertical="top" wrapText="1"/>
    </xf>
    <xf numFmtId="164" fontId="9" fillId="0" borderId="0" xfId="31" applyNumberFormat="1" applyFont="1" applyFill="1" applyBorder="1" applyAlignment="1" applyProtection="1">
      <alignment horizontal="center"/>
      <protection locked="0"/>
    </xf>
    <xf numFmtId="2" fontId="9" fillId="0" borderId="0" xfId="37" applyNumberFormat="1" applyFont="1" applyFill="1" applyBorder="1" applyAlignment="1" applyProtection="1">
      <alignment horizontal="center"/>
      <protection locked="0"/>
    </xf>
    <xf numFmtId="0" fontId="9" fillId="47" borderId="0" xfId="0" applyFont="1" applyFill="1" applyAlignment="1" applyProtection="1">
      <alignment horizontal="center"/>
      <protection locked="0"/>
    </xf>
    <xf numFmtId="0" fontId="9" fillId="47" borderId="0" xfId="62" applyFill="1" applyAlignment="1" applyProtection="1">
      <alignment horizontal="center"/>
      <protection locked="0"/>
    </xf>
    <xf numFmtId="0" fontId="1" fillId="5" borderId="0" xfId="0" applyFont="1" applyFill="1"/>
    <xf numFmtId="0" fontId="0" fillId="50" borderId="86" xfId="0" applyFill="1" applyBorder="1" applyAlignment="1" applyProtection="1">
      <alignment horizontal="center" vertical="center"/>
      <protection locked="0"/>
    </xf>
    <xf numFmtId="0" fontId="0" fillId="66" borderId="73" xfId="0" applyFill="1" applyBorder="1" applyAlignment="1" applyProtection="1">
      <alignment horizontal="center" vertical="center"/>
      <protection locked="0"/>
    </xf>
    <xf numFmtId="0" fontId="0" fillId="66" borderId="74" xfId="0" applyFill="1" applyBorder="1" applyAlignment="1" applyProtection="1">
      <alignment horizontal="center" vertical="center"/>
      <protection locked="0"/>
    </xf>
    <xf numFmtId="2" fontId="9" fillId="0" borderId="5" xfId="62" applyNumberFormat="1" applyFont="1" applyFill="1" applyBorder="1" applyAlignment="1" applyProtection="1">
      <alignment horizontal="center"/>
    </xf>
    <xf numFmtId="0" fontId="1" fillId="0" borderId="32" xfId="62" applyFont="1" applyFill="1" applyBorder="1" applyProtection="1">
      <protection locked="0"/>
    </xf>
    <xf numFmtId="1" fontId="1" fillId="0" borderId="32" xfId="62" applyNumberFormat="1" applyFont="1" applyFill="1" applyBorder="1" applyAlignment="1" applyProtection="1">
      <alignment horizontal="center"/>
      <protection locked="0"/>
    </xf>
    <xf numFmtId="167" fontId="1" fillId="0" borderId="32" xfId="62" applyNumberFormat="1" applyFont="1" applyFill="1" applyBorder="1" applyAlignment="1" applyProtection="1">
      <alignment horizontal="center"/>
      <protection locked="0"/>
    </xf>
    <xf numFmtId="0" fontId="1" fillId="0" borderId="32" xfId="62" applyFont="1" applyFill="1" applyBorder="1" applyAlignment="1" applyProtection="1">
      <alignment horizontal="center"/>
      <protection locked="0"/>
    </xf>
    <xf numFmtId="0" fontId="1" fillId="0" borderId="114" xfId="62" applyFont="1" applyFill="1" applyBorder="1" applyAlignment="1" applyProtection="1">
      <alignment horizontal="center"/>
      <protection locked="0"/>
    </xf>
    <xf numFmtId="2" fontId="1" fillId="0" borderId="56" xfId="62" applyNumberFormat="1" applyFont="1" applyFill="1" applyBorder="1" applyAlignment="1" applyProtection="1">
      <alignment horizontal="center"/>
      <protection locked="0"/>
    </xf>
    <xf numFmtId="2" fontId="1" fillId="0" borderId="1" xfId="62" applyNumberFormat="1" applyFont="1" applyFill="1" applyBorder="1" applyAlignment="1" applyProtection="1">
      <alignment horizontal="center"/>
      <protection locked="0"/>
    </xf>
    <xf numFmtId="1" fontId="1" fillId="0" borderId="114" xfId="62" applyNumberFormat="1" applyFont="1" applyFill="1" applyBorder="1" applyAlignment="1" applyProtection="1">
      <alignment horizontal="center"/>
      <protection locked="0"/>
    </xf>
    <xf numFmtId="167" fontId="1" fillId="0" borderId="114" xfId="62" applyNumberFormat="1" applyFont="1" applyFill="1" applyBorder="1" applyAlignment="1" applyProtection="1">
      <alignment horizontal="center"/>
      <protection locked="0"/>
    </xf>
    <xf numFmtId="0" fontId="1" fillId="0" borderId="114" xfId="62" applyFont="1" applyFill="1" applyBorder="1" applyProtection="1">
      <protection locked="0"/>
    </xf>
    <xf numFmtId="0" fontId="1" fillId="0" borderId="34" xfId="62" applyFont="1" applyFill="1" applyBorder="1" applyProtection="1">
      <protection locked="0"/>
    </xf>
    <xf numFmtId="0" fontId="1" fillId="0" borderId="34" xfId="62" applyFont="1" applyFill="1" applyBorder="1" applyAlignment="1" applyProtection="1">
      <alignment horizontal="center"/>
      <protection locked="0"/>
    </xf>
    <xf numFmtId="1" fontId="1" fillId="0" borderId="34" xfId="62" applyNumberFormat="1" applyFont="1" applyFill="1" applyBorder="1" applyAlignment="1" applyProtection="1">
      <alignment horizontal="center"/>
      <protection locked="0"/>
    </xf>
    <xf numFmtId="167" fontId="1" fillId="0" borderId="34" xfId="62" applyNumberFormat="1" applyFont="1" applyFill="1" applyBorder="1" applyAlignment="1" applyProtection="1">
      <alignment horizontal="center"/>
      <protection locked="0"/>
    </xf>
    <xf numFmtId="2" fontId="1" fillId="0" borderId="115" xfId="62" applyNumberFormat="1" applyFont="1" applyFill="1" applyBorder="1" applyAlignment="1" applyProtection="1">
      <alignment horizontal="center"/>
      <protection locked="0"/>
    </xf>
    <xf numFmtId="0" fontId="2" fillId="0" borderId="44" xfId="62" applyFont="1" applyBorder="1" applyAlignment="1" applyProtection="1">
      <alignment horizontal="center"/>
      <protection locked="0"/>
    </xf>
    <xf numFmtId="1" fontId="2" fillId="0" borderId="46" xfId="62" applyNumberFormat="1" applyFont="1" applyBorder="1" applyAlignment="1" applyProtection="1">
      <alignment horizontal="center"/>
      <protection locked="0"/>
    </xf>
    <xf numFmtId="0" fontId="1" fillId="0" borderId="0" xfId="62" applyFont="1" applyFill="1" applyBorder="1" applyProtection="1"/>
    <xf numFmtId="0" fontId="1" fillId="0" borderId="0" xfId="0" applyFont="1" applyFill="1" applyBorder="1" applyAlignment="1" applyProtection="1">
      <alignment vertical="top" wrapText="1"/>
    </xf>
    <xf numFmtId="167" fontId="1" fillId="0" borderId="0" xfId="0" applyNumberFormat="1" applyFont="1" applyFill="1" applyBorder="1" applyAlignment="1" applyProtection="1">
      <alignment horizontal="center" vertical="top"/>
    </xf>
    <xf numFmtId="0" fontId="1" fillId="0" borderId="0" xfId="0" applyFont="1" applyFill="1" applyBorder="1" applyAlignment="1" applyProtection="1">
      <alignment horizontal="center" vertical="top"/>
    </xf>
    <xf numFmtId="2" fontId="1" fillId="0" borderId="0" xfId="62" applyNumberFormat="1" applyFont="1" applyFill="1" applyBorder="1" applyAlignment="1" applyProtection="1">
      <alignment horizontal="center"/>
    </xf>
    <xf numFmtId="1" fontId="1" fillId="0" borderId="0" xfId="62" applyNumberFormat="1" applyFont="1" applyFill="1" applyBorder="1" applyAlignment="1" applyProtection="1">
      <alignment horizontal="center"/>
    </xf>
    <xf numFmtId="167" fontId="1" fillId="0" borderId="0" xfId="0" applyNumberFormat="1" applyFont="1" applyFill="1" applyBorder="1" applyAlignment="1">
      <alignment horizontal="center" vertical="top"/>
    </xf>
    <xf numFmtId="2" fontId="1" fillId="0" borderId="0" xfId="62" applyNumberFormat="1" applyFont="1" applyFill="1" applyBorder="1" applyAlignment="1" applyProtection="1">
      <alignment horizontal="center" vertical="top"/>
    </xf>
    <xf numFmtId="1" fontId="1" fillId="0" borderId="0" xfId="62" applyNumberFormat="1" applyFont="1" applyFill="1" applyBorder="1" applyAlignment="1" applyProtection="1">
      <alignment horizontal="center" vertical="top"/>
    </xf>
    <xf numFmtId="0" fontId="2" fillId="0" borderId="0" xfId="0" applyFont="1" applyFill="1" applyBorder="1" applyAlignment="1" applyProtection="1">
      <alignment vertical="top" wrapText="1"/>
    </xf>
    <xf numFmtId="0" fontId="2" fillId="0" borderId="0" xfId="62" applyFont="1" applyFill="1" applyBorder="1" applyAlignment="1" applyProtection="1">
      <alignment horizontal="center"/>
    </xf>
    <xf numFmtId="1" fontId="2" fillId="0" borderId="0" xfId="62" applyNumberFormat="1" applyFont="1" applyBorder="1" applyAlignment="1" applyProtection="1">
      <alignment horizontal="center"/>
    </xf>
    <xf numFmtId="1" fontId="2" fillId="0" borderId="0" xfId="49" applyNumberFormat="1" applyFont="1" applyBorder="1" applyAlignment="1" applyProtection="1">
      <alignment horizontal="center" vertical="center" wrapText="1"/>
    </xf>
    <xf numFmtId="0" fontId="2" fillId="0" borderId="0" xfId="62" applyFont="1" applyFill="1" applyBorder="1" applyAlignment="1" applyProtection="1">
      <alignment horizontal="center" vertical="center"/>
    </xf>
    <xf numFmtId="2" fontId="2" fillId="0" borderId="0" xfId="37" applyNumberFormat="1" applyFont="1" applyFill="1" applyBorder="1" applyAlignment="1" applyProtection="1">
      <alignment horizontal="center" vertical="center"/>
    </xf>
    <xf numFmtId="1" fontId="53" fillId="0" borderId="0" xfId="49" applyNumberFormat="1" applyFont="1" applyFill="1" applyBorder="1" applyAlignment="1" applyProtection="1">
      <alignment horizontal="center"/>
    </xf>
    <xf numFmtId="2" fontId="13" fillId="0" borderId="0" xfId="37" applyNumberFormat="1" applyFont="1" applyFill="1" applyBorder="1" applyAlignment="1" applyProtection="1">
      <alignment horizontal="center"/>
    </xf>
    <xf numFmtId="1" fontId="6" fillId="0" borderId="0" xfId="49" applyNumberFormat="1" applyFont="1" applyFill="1" applyBorder="1" applyAlignment="1" applyProtection="1">
      <alignment horizontal="center" vertical="center" wrapText="1"/>
    </xf>
    <xf numFmtId="0" fontId="2" fillId="0" borderId="0" xfId="62" applyFont="1" applyFill="1" applyBorder="1" applyAlignment="1" applyProtection="1"/>
    <xf numFmtId="0" fontId="0" fillId="66" borderId="144" xfId="0" applyFill="1" applyBorder="1" applyAlignment="1" applyProtection="1">
      <alignment horizontal="center" vertical="center"/>
      <protection locked="0"/>
    </xf>
    <xf numFmtId="0" fontId="9" fillId="0" borderId="32" xfId="62" applyBorder="1" applyAlignment="1" applyProtection="1">
      <alignment horizontal="left"/>
      <protection locked="0"/>
    </xf>
    <xf numFmtId="0" fontId="9" fillId="0" borderId="0" xfId="62" applyAlignment="1" applyProtection="1">
      <alignment horizontal="left"/>
      <protection locked="0"/>
    </xf>
    <xf numFmtId="0" fontId="74" fillId="0" borderId="0" xfId="62" applyFont="1" applyProtection="1">
      <protection locked="0"/>
    </xf>
    <xf numFmtId="0" fontId="9" fillId="47" borderId="32" xfId="62" applyFill="1" applyBorder="1" applyAlignment="1" applyProtection="1">
      <alignment horizontal="center"/>
      <protection locked="0"/>
    </xf>
    <xf numFmtId="167" fontId="79" fillId="0" borderId="32" xfId="62" applyNumberFormat="1" applyFont="1" applyBorder="1" applyAlignment="1" applyProtection="1">
      <alignment horizontal="center"/>
      <protection locked="0"/>
    </xf>
    <xf numFmtId="1" fontId="1" fillId="0" borderId="32" xfId="37" applyNumberFormat="1" applyFont="1" applyFill="1" applyBorder="1" applyAlignment="1" applyProtection="1">
      <alignment horizontal="center"/>
      <protection locked="0"/>
    </xf>
    <xf numFmtId="167" fontId="9" fillId="49" borderId="32" xfId="62" applyNumberFormat="1" applyFill="1" applyBorder="1" applyAlignment="1" applyProtection="1">
      <alignment horizontal="center"/>
      <protection locked="0"/>
    </xf>
    <xf numFmtId="167" fontId="9" fillId="49" borderId="31" xfId="62" applyNumberFormat="1" applyFill="1" applyBorder="1" applyAlignment="1" applyProtection="1">
      <alignment horizontal="center"/>
      <protection locked="0"/>
    </xf>
    <xf numFmtId="0" fontId="1" fillId="0" borderId="0" xfId="37" applyNumberFormat="1" applyFont="1" applyAlignment="1" applyProtection="1">
      <alignment horizontal="center"/>
      <protection locked="0"/>
    </xf>
    <xf numFmtId="167" fontId="9" fillId="49" borderId="5" xfId="62" applyNumberFormat="1" applyFill="1" applyBorder="1" applyAlignment="1" applyProtection="1">
      <alignment horizontal="center"/>
      <protection locked="0"/>
    </xf>
    <xf numFmtId="167" fontId="9" fillId="49" borderId="0" xfId="62" applyNumberFormat="1" applyFill="1" applyAlignment="1" applyProtection="1">
      <alignment horizontal="center"/>
      <protection locked="0"/>
    </xf>
    <xf numFmtId="167" fontId="79" fillId="0" borderId="32" xfId="49" applyNumberFormat="1" applyFont="1" applyBorder="1" applyAlignment="1" applyProtection="1">
      <alignment horizontal="center"/>
      <protection locked="0"/>
    </xf>
    <xf numFmtId="49" fontId="9" fillId="0" borderId="32" xfId="62" applyNumberFormat="1" applyBorder="1" applyAlignment="1" applyProtection="1">
      <alignment horizontal="left"/>
      <protection locked="0"/>
    </xf>
    <xf numFmtId="0" fontId="9" fillId="6" borderId="0" xfId="62" applyFill="1" applyAlignment="1" applyProtection="1">
      <alignment horizontal="center"/>
      <protection locked="0"/>
    </xf>
    <xf numFmtId="0" fontId="0" fillId="5" borderId="3" xfId="0" applyFill="1" applyBorder="1" applyAlignment="1" applyProtection="1">
      <alignment horizontal="center" vertical="center"/>
      <protection hidden="1"/>
    </xf>
    <xf numFmtId="0" fontId="0" fillId="5" borderId="4" xfId="0" applyFill="1" applyBorder="1" applyAlignment="1" applyProtection="1">
      <alignment horizontal="center" vertical="center"/>
      <protection hidden="1"/>
    </xf>
    <xf numFmtId="1" fontId="0" fillId="5" borderId="4" xfId="0" applyNumberFormat="1" applyFill="1" applyBorder="1" applyAlignment="1" applyProtection="1">
      <alignment horizontal="center"/>
      <protection hidden="1"/>
    </xf>
    <xf numFmtId="1" fontId="0" fillId="5" borderId="29" xfId="0" applyNumberFormat="1" applyFill="1" applyBorder="1" applyAlignment="1" applyProtection="1">
      <alignment horizontal="center"/>
      <protection hidden="1"/>
    </xf>
    <xf numFmtId="0" fontId="0" fillId="5" borderId="5" xfId="0" applyFill="1" applyBorder="1" applyAlignment="1" applyProtection="1">
      <alignment horizontal="center" vertical="center"/>
      <protection hidden="1"/>
    </xf>
    <xf numFmtId="0" fontId="0" fillId="5" borderId="0" xfId="0" applyFill="1" applyBorder="1" applyAlignment="1" applyProtection="1">
      <alignment horizontal="center" vertical="center"/>
      <protection hidden="1"/>
    </xf>
    <xf numFmtId="1" fontId="0" fillId="5" borderId="0" xfId="0" applyNumberFormat="1" applyFill="1" applyBorder="1" applyAlignment="1" applyProtection="1">
      <alignment horizontal="center"/>
      <protection hidden="1"/>
    </xf>
    <xf numFmtId="1" fontId="0" fillId="5" borderId="31" xfId="0" applyNumberFormat="1" applyFill="1" applyBorder="1" applyAlignment="1" applyProtection="1">
      <alignment horizontal="center"/>
      <protection hidden="1"/>
    </xf>
    <xf numFmtId="0" fontId="0" fillId="5" borderId="6" xfId="0" applyFill="1" applyBorder="1" applyAlignment="1" applyProtection="1">
      <alignment horizontal="center" vertical="center"/>
      <protection hidden="1"/>
    </xf>
    <xf numFmtId="0" fontId="0" fillId="5" borderId="7" xfId="0" applyFill="1" applyBorder="1" applyAlignment="1" applyProtection="1">
      <alignment horizontal="center" vertical="center"/>
      <protection hidden="1"/>
    </xf>
    <xf numFmtId="1" fontId="0" fillId="5" borderId="7" xfId="0" applyNumberFormat="1" applyFill="1" applyBorder="1" applyAlignment="1" applyProtection="1">
      <alignment horizontal="center"/>
      <protection hidden="1"/>
    </xf>
    <xf numFmtId="1" fontId="0" fillId="5" borderId="33" xfId="0" applyNumberFormat="1" applyFill="1" applyBorder="1" applyAlignment="1" applyProtection="1">
      <alignment horizontal="center"/>
      <protection hidden="1"/>
    </xf>
    <xf numFmtId="0" fontId="0" fillId="67" borderId="282" xfId="0" applyFill="1" applyBorder="1" applyAlignment="1" applyProtection="1">
      <alignment horizontal="center" vertical="center"/>
      <protection locked="0"/>
    </xf>
    <xf numFmtId="0" fontId="0" fillId="67" borderId="283" xfId="0" applyFill="1" applyBorder="1" applyAlignment="1" applyProtection="1">
      <alignment horizontal="center" vertical="center"/>
      <protection locked="0"/>
    </xf>
    <xf numFmtId="0" fontId="0" fillId="67" borderId="138" xfId="0" applyFill="1" applyBorder="1" applyAlignment="1" applyProtection="1">
      <alignment horizontal="center" vertical="center"/>
      <protection locked="0"/>
    </xf>
    <xf numFmtId="0" fontId="0" fillId="67" borderId="140" xfId="0" applyFill="1" applyBorder="1" applyAlignment="1" applyProtection="1">
      <alignment horizontal="center" vertical="center"/>
      <protection locked="0"/>
    </xf>
    <xf numFmtId="2" fontId="81" fillId="0" borderId="32" xfId="62" applyNumberFormat="1" applyFont="1" applyBorder="1" applyAlignment="1" applyProtection="1">
      <alignment horizontal="center"/>
      <protection locked="0"/>
    </xf>
    <xf numFmtId="2" fontId="1" fillId="0" borderId="41" xfId="37" applyNumberFormat="1" applyFont="1" applyFill="1" applyBorder="1" applyAlignment="1" applyProtection="1">
      <alignment horizontal="center"/>
      <protection locked="0"/>
    </xf>
    <xf numFmtId="2" fontId="1" fillId="0" borderId="32" xfId="37" applyNumberFormat="1" applyFont="1" applyFill="1" applyBorder="1" applyAlignment="1" applyProtection="1">
      <alignment horizontal="center"/>
      <protection locked="0"/>
    </xf>
    <xf numFmtId="2" fontId="1" fillId="0" borderId="114" xfId="37" applyNumberFormat="1" applyFont="1" applyFill="1" applyBorder="1" applyAlignment="1" applyProtection="1">
      <alignment horizontal="center"/>
      <protection locked="0"/>
    </xf>
    <xf numFmtId="2" fontId="1" fillId="0" borderId="32" xfId="32" applyNumberFormat="1" applyFont="1" applyFill="1" applyBorder="1" applyAlignment="1" applyProtection="1">
      <alignment horizontal="center"/>
      <protection locked="0"/>
    </xf>
    <xf numFmtId="2" fontId="1" fillId="0" borderId="0" xfId="32" applyNumberFormat="1" applyFont="1" applyFill="1" applyBorder="1" applyAlignment="1" applyProtection="1">
      <alignment horizontal="center"/>
      <protection locked="0"/>
    </xf>
    <xf numFmtId="2" fontId="9" fillId="49" borderId="0" xfId="62" applyNumberFormat="1" applyFont="1" applyFill="1" applyBorder="1" applyAlignment="1" applyProtection="1">
      <alignment horizontal="center"/>
      <protection locked="0"/>
    </xf>
    <xf numFmtId="2" fontId="73" fillId="0" borderId="5" xfId="32" applyNumberFormat="1" applyFont="1" applyFill="1" applyBorder="1" applyAlignment="1">
      <alignment horizontal="center" vertical="top"/>
    </xf>
    <xf numFmtId="2" fontId="73" fillId="0" borderId="43" xfId="32" applyNumberFormat="1" applyFont="1" applyFill="1" applyBorder="1" applyAlignment="1">
      <alignment horizontal="center" vertical="top"/>
    </xf>
    <xf numFmtId="167" fontId="73" fillId="0" borderId="0" xfId="32" applyNumberFormat="1" applyFont="1" applyFill="1" applyBorder="1" applyAlignment="1">
      <alignment horizontal="center" vertical="top"/>
    </xf>
    <xf numFmtId="167" fontId="1" fillId="0" borderId="0" xfId="32" applyNumberFormat="1" applyFont="1" applyFill="1" applyBorder="1" applyAlignment="1">
      <alignment horizontal="center" vertical="top"/>
    </xf>
    <xf numFmtId="2" fontId="9" fillId="0" borderId="13" xfId="62" applyNumberFormat="1" applyBorder="1" applyAlignment="1" applyProtection="1">
      <alignment horizontal="center"/>
      <protection locked="0"/>
    </xf>
    <xf numFmtId="2" fontId="9" fillId="0" borderId="97" xfId="62" applyNumberFormat="1" applyBorder="1" applyAlignment="1" applyProtection="1">
      <alignment horizontal="center"/>
      <protection locked="0"/>
    </xf>
    <xf numFmtId="2" fontId="9" fillId="0" borderId="0" xfId="62" applyNumberFormat="1" applyAlignment="1" applyProtection="1">
      <alignment horizontal="center"/>
      <protection locked="0"/>
    </xf>
    <xf numFmtId="2" fontId="81" fillId="0" borderId="0" xfId="62" applyNumberFormat="1" applyFont="1" applyAlignment="1" applyProtection="1">
      <alignment horizontal="center"/>
      <protection locked="0"/>
    </xf>
    <xf numFmtId="2" fontId="1" fillId="0" borderId="0" xfId="37" applyNumberFormat="1" applyFont="1" applyFill="1" applyBorder="1" applyAlignment="1" applyProtection="1">
      <alignment horizontal="center"/>
      <protection locked="0"/>
    </xf>
    <xf numFmtId="2" fontId="1" fillId="0" borderId="97" xfId="37" applyNumberFormat="1" applyFont="1" applyFill="1" applyBorder="1" applyAlignment="1" applyProtection="1">
      <alignment horizontal="center"/>
      <protection locked="0"/>
    </xf>
    <xf numFmtId="2" fontId="2" fillId="0" borderId="4" xfId="62" applyNumberFormat="1" applyFont="1" applyBorder="1" applyAlignment="1" applyProtection="1">
      <alignment horizontal="center"/>
      <protection locked="0"/>
    </xf>
    <xf numFmtId="2" fontId="1" fillId="0" borderId="30" xfId="0" applyNumberFormat="1" applyFont="1" applyBorder="1" applyAlignment="1">
      <alignment horizontal="center" vertical="top"/>
    </xf>
    <xf numFmtId="2" fontId="1" fillId="0" borderId="32" xfId="62" applyNumberFormat="1" applyFont="1" applyBorder="1" applyAlignment="1">
      <alignment horizontal="center" vertical="top"/>
    </xf>
    <xf numFmtId="2" fontId="1" fillId="0" borderId="41" xfId="0" applyNumberFormat="1" applyFont="1" applyBorder="1" applyAlignment="1">
      <alignment horizontal="center" vertical="top"/>
    </xf>
    <xf numFmtId="2" fontId="1" fillId="0" borderId="32" xfId="0" applyNumberFormat="1" applyFont="1" applyBorder="1" applyAlignment="1">
      <alignment horizontal="center" vertical="top"/>
    </xf>
    <xf numFmtId="1" fontId="81" fillId="0" borderId="0" xfId="63" applyNumberFormat="1" applyFont="1" applyBorder="1" applyAlignment="1" applyProtection="1">
      <alignment horizontal="center"/>
      <protection locked="0"/>
    </xf>
    <xf numFmtId="1" fontId="81" fillId="0" borderId="0" xfId="62" applyNumberFormat="1" applyFont="1" applyBorder="1" applyAlignment="1" applyProtection="1">
      <alignment horizontal="center"/>
      <protection locked="0"/>
    </xf>
    <xf numFmtId="1" fontId="2" fillId="0" borderId="0" xfId="62" applyNumberFormat="1" applyFont="1" applyBorder="1" applyAlignment="1" applyProtection="1">
      <alignment horizontal="center"/>
      <protection locked="0"/>
    </xf>
    <xf numFmtId="167" fontId="1" fillId="0" borderId="0" xfId="0" applyNumberFormat="1" applyFont="1" applyBorder="1" applyAlignment="1">
      <alignment horizontal="center" vertical="top"/>
    </xf>
    <xf numFmtId="167" fontId="1" fillId="0" borderId="0" xfId="62" applyNumberFormat="1" applyFont="1" applyBorder="1" applyAlignment="1">
      <alignment horizontal="center" vertical="top"/>
    </xf>
    <xf numFmtId="0" fontId="2" fillId="62" borderId="4" xfId="49" applyFont="1" applyFill="1" applyBorder="1" applyAlignment="1" applyProtection="1">
      <alignment horizontal="center" vertical="center" wrapText="1"/>
      <protection locked="0"/>
    </xf>
    <xf numFmtId="0" fontId="2" fillId="62" borderId="5" xfId="49" applyFont="1" applyFill="1" applyBorder="1" applyAlignment="1" applyProtection="1">
      <alignment horizontal="center" vertical="center" wrapText="1"/>
      <protection locked="0"/>
    </xf>
    <xf numFmtId="0" fontId="2" fillId="49" borderId="0" xfId="49" applyFont="1" applyFill="1" applyAlignment="1" applyProtection="1">
      <alignment horizontal="center" vertical="center" wrapText="1"/>
      <protection locked="0"/>
    </xf>
    <xf numFmtId="167" fontId="7" fillId="0" borderId="45" xfId="32" applyNumberFormat="1" applyFont="1" applyFill="1" applyBorder="1" applyAlignment="1">
      <alignment horizontal="center" vertical="top"/>
    </xf>
    <xf numFmtId="0" fontId="0" fillId="50" borderId="74" xfId="0" applyFill="1" applyBorder="1" applyAlignment="1" applyProtection="1">
      <alignment horizontal="center" vertical="center"/>
      <protection locked="0"/>
    </xf>
    <xf numFmtId="0" fontId="0" fillId="50" borderId="144" xfId="0" applyFill="1" applyBorder="1" applyAlignment="1" applyProtection="1">
      <alignment horizontal="center" vertical="center"/>
      <protection locked="0"/>
    </xf>
    <xf numFmtId="0" fontId="0" fillId="50" borderId="74" xfId="0" applyFill="1" applyBorder="1" applyAlignment="1" applyProtection="1">
      <alignment horizontal="center"/>
      <protection locked="0"/>
    </xf>
    <xf numFmtId="0" fontId="2" fillId="0" borderId="0" xfId="0" applyFont="1" applyAlignment="1" applyProtection="1">
      <alignment horizontal="center" vertical="center"/>
      <protection locked="0" hidden="1"/>
    </xf>
    <xf numFmtId="2" fontId="0" fillId="50" borderId="74" xfId="0" applyNumberFormat="1" applyFill="1" applyBorder="1" applyAlignment="1" applyProtection="1">
      <alignment horizontal="center"/>
      <protection locked="0"/>
    </xf>
    <xf numFmtId="0" fontId="4" fillId="46" borderId="200" xfId="0" applyFont="1" applyFill="1" applyBorder="1" applyAlignment="1" applyProtection="1">
      <alignment horizontal="center" vertical="center"/>
      <protection hidden="1"/>
    </xf>
    <xf numFmtId="0" fontId="2" fillId="0" borderId="0" xfId="0" applyFont="1" applyBorder="1" applyAlignment="1" applyProtection="1">
      <alignment horizontal="center" vertical="center"/>
      <protection hidden="1"/>
    </xf>
    <xf numFmtId="0" fontId="27" fillId="55" borderId="0" xfId="0" applyFont="1" applyFill="1" applyBorder="1" applyAlignment="1" applyProtection="1">
      <alignment horizontal="center" vertical="center"/>
      <protection hidden="1"/>
    </xf>
    <xf numFmtId="0" fontId="1" fillId="0" borderId="0" xfId="62" applyFont="1" applyFill="1" applyProtection="1"/>
    <xf numFmtId="0" fontId="1" fillId="0" borderId="5" xfId="62" applyNumberFormat="1" applyFont="1" applyFill="1" applyBorder="1" applyAlignment="1" applyProtection="1">
      <alignment horizontal="center"/>
      <protection locked="0"/>
    </xf>
    <xf numFmtId="0" fontId="1" fillId="0" borderId="25" xfId="62" applyNumberFormat="1" applyFont="1" applyFill="1" applyBorder="1" applyAlignment="1" applyProtection="1">
      <alignment horizontal="center"/>
      <protection locked="0"/>
    </xf>
    <xf numFmtId="0" fontId="1" fillId="0" borderId="31" xfId="62" applyNumberFormat="1" applyFont="1" applyFill="1" applyBorder="1" applyAlignment="1" applyProtection="1">
      <alignment horizontal="center"/>
      <protection locked="0"/>
    </xf>
    <xf numFmtId="0" fontId="1" fillId="0" borderId="56" xfId="62" applyNumberFormat="1" applyFont="1" applyFill="1" applyBorder="1" applyAlignment="1" applyProtection="1">
      <alignment horizontal="center"/>
      <protection locked="0"/>
    </xf>
    <xf numFmtId="0" fontId="1" fillId="0" borderId="1" xfId="62" applyNumberFormat="1" applyFont="1" applyFill="1" applyBorder="1" applyAlignment="1" applyProtection="1">
      <alignment horizontal="center"/>
      <protection locked="0"/>
    </xf>
    <xf numFmtId="0" fontId="1" fillId="0" borderId="115" xfId="62" applyNumberFormat="1" applyFont="1" applyFill="1" applyBorder="1" applyAlignment="1" applyProtection="1">
      <alignment horizontal="center"/>
      <protection locked="0"/>
    </xf>
    <xf numFmtId="0" fontId="1" fillId="0" borderId="6" xfId="62" applyNumberFormat="1" applyFont="1" applyFill="1" applyBorder="1" applyAlignment="1" applyProtection="1">
      <alignment horizontal="center"/>
      <protection locked="0"/>
    </xf>
    <xf numFmtId="0" fontId="1" fillId="0" borderId="36" xfId="62" applyNumberFormat="1" applyFont="1" applyFill="1" applyBorder="1" applyAlignment="1" applyProtection="1">
      <alignment horizontal="center"/>
      <protection locked="0"/>
    </xf>
    <xf numFmtId="0" fontId="1" fillId="0" borderId="33" xfId="62" applyNumberFormat="1" applyFont="1" applyFill="1" applyBorder="1" applyAlignment="1" applyProtection="1">
      <alignment horizontal="center"/>
      <protection locked="0"/>
    </xf>
    <xf numFmtId="167" fontId="27" fillId="0" borderId="0" xfId="0" applyNumberFormat="1" applyFont="1" applyAlignment="1" applyProtection="1">
      <alignment vertical="center"/>
      <protection locked="0" hidden="1"/>
    </xf>
    <xf numFmtId="1" fontId="9" fillId="0" borderId="32" xfId="49" applyNumberFormat="1" applyFont="1" applyFill="1" applyBorder="1" applyAlignment="1" applyProtection="1">
      <alignment horizontal="center"/>
    </xf>
    <xf numFmtId="0" fontId="2" fillId="0" borderId="38" xfId="62" applyFont="1" applyBorder="1" applyProtection="1">
      <protection locked="0"/>
    </xf>
    <xf numFmtId="0" fontId="2" fillId="0" borderId="38" xfId="62" applyFont="1" applyBorder="1" applyAlignment="1" applyProtection="1">
      <alignment horizontal="center"/>
      <protection locked="0"/>
    </xf>
    <xf numFmtId="0" fontId="2" fillId="0" borderId="10" xfId="62" applyFont="1" applyBorder="1" applyAlignment="1" applyProtection="1">
      <alignment horizontal="center"/>
      <protection locked="0"/>
    </xf>
    <xf numFmtId="0" fontId="2" fillId="0" borderId="17" xfId="62" applyFont="1" applyBorder="1" applyAlignment="1" applyProtection="1">
      <alignment horizontal="center"/>
      <protection locked="0"/>
    </xf>
    <xf numFmtId="0" fontId="2" fillId="0" borderId="59" xfId="62" applyFont="1" applyBorder="1" applyAlignment="1" applyProtection="1">
      <alignment horizontal="center"/>
      <protection locked="0"/>
    </xf>
    <xf numFmtId="1" fontId="2" fillId="0" borderId="38" xfId="62" applyNumberFormat="1" applyFont="1" applyBorder="1" applyAlignment="1" applyProtection="1">
      <alignment horizontal="center"/>
      <protection locked="0"/>
    </xf>
    <xf numFmtId="0" fontId="2" fillId="0" borderId="45" xfId="62" applyFont="1" applyBorder="1" applyAlignment="1" applyProtection="1">
      <alignment vertical="center"/>
      <protection locked="0"/>
    </xf>
    <xf numFmtId="0" fontId="9" fillId="0" borderId="46" xfId="62" applyFont="1" applyFill="1" applyBorder="1" applyAlignment="1" applyProtection="1">
      <alignment horizontal="center"/>
    </xf>
    <xf numFmtId="0" fontId="2" fillId="0" borderId="45" xfId="62" applyFont="1" applyFill="1" applyBorder="1" applyAlignment="1" applyProtection="1">
      <alignment horizontal="center"/>
    </xf>
    <xf numFmtId="0" fontId="2" fillId="0" borderId="44" xfId="62" applyFont="1" applyFill="1" applyBorder="1" applyAlignment="1" applyProtection="1"/>
    <xf numFmtId="0" fontId="2" fillId="0" borderId="48" xfId="62" applyFont="1" applyFill="1" applyBorder="1" applyAlignment="1" applyProtection="1"/>
    <xf numFmtId="0" fontId="2" fillId="0" borderId="54" xfId="62" applyFont="1" applyFill="1" applyBorder="1" applyAlignment="1" applyProtection="1"/>
    <xf numFmtId="2" fontId="9" fillId="0" borderId="45" xfId="62" applyNumberFormat="1" applyFont="1" applyBorder="1" applyAlignment="1" applyProtection="1">
      <alignment horizontal="center"/>
    </xf>
    <xf numFmtId="1" fontId="2" fillId="0" borderId="46" xfId="62" applyNumberFormat="1" applyFont="1" applyBorder="1" applyAlignment="1" applyProtection="1">
      <alignment horizontal="center"/>
    </xf>
    <xf numFmtId="1" fontId="2" fillId="0" borderId="54" xfId="49" applyNumberFormat="1" applyFont="1" applyBorder="1" applyAlignment="1" applyProtection="1">
      <alignment horizontal="center" vertical="center" wrapText="1"/>
    </xf>
    <xf numFmtId="0" fontId="1" fillId="0" borderId="0" xfId="0" applyFont="1" applyProtection="1">
      <protection hidden="1"/>
    </xf>
    <xf numFmtId="0" fontId="1" fillId="0" borderId="0" xfId="0" applyNumberFormat="1" applyFont="1" applyProtection="1">
      <protection hidden="1"/>
    </xf>
    <xf numFmtId="0" fontId="0" fillId="0" borderId="0" xfId="0" applyAlignment="1" applyProtection="1">
      <alignment horizontal="left"/>
      <protection hidden="1"/>
    </xf>
    <xf numFmtId="0" fontId="1" fillId="48" borderId="50" xfId="0" applyFont="1" applyFill="1" applyBorder="1" applyAlignment="1" applyProtection="1">
      <alignment horizontal="center"/>
      <protection hidden="1"/>
    </xf>
    <xf numFmtId="0" fontId="0" fillId="48" borderId="9" xfId="0" applyFill="1" applyBorder="1" applyAlignment="1" applyProtection="1">
      <alignment horizontal="center" vertical="center"/>
      <protection hidden="1"/>
    </xf>
    <xf numFmtId="0" fontId="1" fillId="48" borderId="9" xfId="0" applyFont="1" applyFill="1" applyBorder="1" applyAlignment="1" applyProtection="1">
      <alignment horizontal="center" vertical="center"/>
      <protection hidden="1"/>
    </xf>
    <xf numFmtId="0" fontId="1" fillId="48" borderId="36" xfId="0" applyFont="1" applyFill="1" applyBorder="1" applyAlignment="1" applyProtection="1">
      <alignment horizontal="center" vertical="center"/>
      <protection hidden="1"/>
    </xf>
    <xf numFmtId="0" fontId="0" fillId="0" borderId="282" xfId="0" applyFill="1" applyBorder="1" applyAlignment="1" applyProtection="1">
      <alignment horizontal="center" vertical="center"/>
      <protection hidden="1"/>
    </xf>
    <xf numFmtId="167" fontId="0" fillId="0" borderId="137" xfId="0" applyNumberFormat="1" applyFill="1" applyBorder="1" applyAlignment="1" applyProtection="1">
      <alignment horizontal="center" vertical="center"/>
      <protection hidden="1"/>
    </xf>
    <xf numFmtId="0" fontId="0" fillId="0" borderId="283" xfId="0" applyFill="1" applyBorder="1" applyAlignment="1" applyProtection="1">
      <alignment horizontal="center" vertical="center"/>
      <protection hidden="1"/>
    </xf>
    <xf numFmtId="167" fontId="0" fillId="0" borderId="139" xfId="0" applyNumberFormat="1" applyFill="1" applyBorder="1" applyAlignment="1" applyProtection="1">
      <alignment horizontal="center" vertical="center"/>
      <protection hidden="1"/>
    </xf>
    <xf numFmtId="0" fontId="0" fillId="0" borderId="291" xfId="0" applyFill="1" applyBorder="1" applyAlignment="1" applyProtection="1">
      <alignment horizontal="center" vertical="center"/>
      <protection hidden="1"/>
    </xf>
    <xf numFmtId="167" fontId="0" fillId="0" borderId="146" xfId="0" applyNumberFormat="1" applyFill="1" applyBorder="1" applyAlignment="1" applyProtection="1">
      <alignment horizontal="center" vertical="center"/>
      <protection hidden="1"/>
    </xf>
    <xf numFmtId="0" fontId="0" fillId="0" borderId="288" xfId="0" applyFill="1" applyBorder="1" applyAlignment="1" applyProtection="1">
      <alignment horizontal="center" vertical="center"/>
      <protection hidden="1"/>
    </xf>
    <xf numFmtId="167" fontId="0" fillId="0" borderId="142" xfId="0" applyNumberFormat="1" applyFill="1" applyBorder="1" applyAlignment="1" applyProtection="1">
      <alignment horizontal="center" vertical="center"/>
      <protection hidden="1"/>
    </xf>
    <xf numFmtId="0" fontId="0" fillId="0" borderId="284" xfId="0" applyFill="1" applyBorder="1" applyAlignment="1" applyProtection="1">
      <alignment horizontal="center" vertical="center"/>
      <protection hidden="1"/>
    </xf>
    <xf numFmtId="0" fontId="0" fillId="0" borderId="136" xfId="0" applyFill="1" applyBorder="1" applyAlignment="1" applyProtection="1">
      <alignment horizontal="center" vertical="center"/>
      <protection hidden="1"/>
    </xf>
    <xf numFmtId="0" fontId="1" fillId="48" borderId="56" xfId="0" applyFont="1" applyFill="1" applyBorder="1" applyProtection="1">
      <protection hidden="1"/>
    </xf>
    <xf numFmtId="0" fontId="0" fillId="48" borderId="97" xfId="0" applyFill="1" applyBorder="1" applyProtection="1">
      <protection hidden="1"/>
    </xf>
    <xf numFmtId="0" fontId="0" fillId="48" borderId="145" xfId="0" applyFill="1" applyBorder="1" applyAlignment="1" applyProtection="1">
      <alignment horizontal="center"/>
      <protection hidden="1"/>
    </xf>
    <xf numFmtId="0" fontId="0" fillId="48" borderId="90" xfId="0" applyFill="1" applyBorder="1" applyAlignment="1" applyProtection="1">
      <alignment vertical="center"/>
      <protection hidden="1"/>
    </xf>
    <xf numFmtId="0" fontId="0" fillId="48" borderId="90" xfId="0" applyFill="1" applyBorder="1" applyAlignment="1" applyProtection="1">
      <alignment horizontal="center"/>
      <protection hidden="1"/>
    </xf>
    <xf numFmtId="0" fontId="2" fillId="48" borderId="64" xfId="0" applyFont="1" applyFill="1" applyBorder="1" applyAlignment="1" applyProtection="1">
      <alignment vertical="center"/>
      <protection hidden="1"/>
    </xf>
    <xf numFmtId="0" fontId="2" fillId="48" borderId="63" xfId="0" applyFont="1" applyFill="1" applyBorder="1" applyAlignment="1" applyProtection="1">
      <alignment vertical="center"/>
      <protection hidden="1"/>
    </xf>
    <xf numFmtId="0" fontId="76" fillId="0" borderId="0" xfId="0" applyFont="1" applyProtection="1">
      <protection hidden="1"/>
    </xf>
    <xf numFmtId="0" fontId="76" fillId="0" borderId="0" xfId="0" applyFont="1" applyAlignment="1" applyProtection="1">
      <protection hidden="1"/>
    </xf>
    <xf numFmtId="1" fontId="0" fillId="0" borderId="0" xfId="0" applyNumberFormat="1" applyAlignment="1" applyProtection="1">
      <alignment horizontal="center" vertical="center"/>
      <protection hidden="1"/>
    </xf>
    <xf numFmtId="1" fontId="1" fillId="0" borderId="0" xfId="0" applyNumberFormat="1" applyFont="1" applyAlignment="1" applyProtection="1">
      <alignment horizontal="center" vertical="center"/>
      <protection hidden="1"/>
    </xf>
    <xf numFmtId="1" fontId="0" fillId="0" borderId="0" xfId="0" applyNumberFormat="1" applyProtection="1">
      <protection hidden="1"/>
    </xf>
    <xf numFmtId="0" fontId="0" fillId="0" borderId="0" xfId="0" applyAlignment="1" applyProtection="1">
      <alignment horizontal="center" vertical="center"/>
      <protection hidden="1"/>
    </xf>
    <xf numFmtId="0" fontId="0" fillId="0" borderId="0" xfId="0" applyFill="1" applyProtection="1">
      <protection hidden="1"/>
    </xf>
    <xf numFmtId="0" fontId="0" fillId="0" borderId="0" xfId="0" applyFill="1" applyBorder="1" applyProtection="1">
      <protection hidden="1"/>
    </xf>
    <xf numFmtId="1" fontId="0" fillId="0" borderId="0" xfId="0" applyNumberFormat="1" applyFill="1" applyBorder="1" applyAlignment="1" applyProtection="1">
      <alignment horizontal="center"/>
      <protection hidden="1"/>
    </xf>
    <xf numFmtId="0" fontId="1" fillId="0" borderId="86" xfId="0" applyFont="1" applyFill="1" applyBorder="1" applyAlignment="1" applyProtection="1">
      <alignment horizontal="left" vertical="center"/>
      <protection hidden="1"/>
    </xf>
    <xf numFmtId="0" fontId="1" fillId="0" borderId="85" xfId="0" applyFont="1" applyFill="1" applyBorder="1" applyAlignment="1" applyProtection="1">
      <alignment horizontal="left" vertical="center"/>
      <protection hidden="1"/>
    </xf>
    <xf numFmtId="0" fontId="0" fillId="0" borderId="91" xfId="0" applyFill="1" applyBorder="1" applyAlignment="1" applyProtection="1">
      <alignment horizontal="left" vertical="center"/>
      <protection hidden="1"/>
    </xf>
    <xf numFmtId="0" fontId="0" fillId="0" borderId="90" xfId="0" applyFill="1" applyBorder="1" applyAlignment="1" applyProtection="1">
      <alignment horizontal="left" vertical="center"/>
      <protection hidden="1"/>
    </xf>
    <xf numFmtId="0" fontId="0" fillId="0" borderId="0" xfId="0" applyProtection="1">
      <protection locked="0"/>
    </xf>
    <xf numFmtId="0" fontId="0" fillId="0" borderId="50" xfId="0" applyBorder="1" applyProtection="1">
      <protection locked="0"/>
    </xf>
    <xf numFmtId="0" fontId="0" fillId="5" borderId="0" xfId="0" applyFill="1" applyProtection="1">
      <protection locked="0"/>
    </xf>
    <xf numFmtId="0" fontId="1" fillId="0" borderId="0" xfId="0" applyFont="1" applyProtection="1">
      <protection locked="0"/>
    </xf>
    <xf numFmtId="9" fontId="0" fillId="0" borderId="0" xfId="35" applyFont="1" applyProtection="1">
      <protection locked="0"/>
    </xf>
    <xf numFmtId="0" fontId="1" fillId="0" borderId="0" xfId="0" applyFont="1" applyAlignment="1" applyProtection="1">
      <protection locked="0"/>
    </xf>
    <xf numFmtId="0" fontId="0" fillId="0" borderId="0" xfId="0" applyAlignment="1" applyProtection="1">
      <protection locked="0"/>
    </xf>
    <xf numFmtId="0" fontId="0" fillId="0" borderId="24" xfId="0" applyBorder="1" applyAlignment="1" applyProtection="1">
      <protection locked="0"/>
    </xf>
    <xf numFmtId="0" fontId="1" fillId="0" borderId="0" xfId="0" applyFont="1" applyBorder="1" applyAlignment="1" applyProtection="1">
      <alignment horizontal="center"/>
      <protection locked="0"/>
    </xf>
    <xf numFmtId="0" fontId="2" fillId="0" borderId="0" xfId="0" applyFont="1" applyAlignment="1" applyProtection="1">
      <protection locked="0"/>
    </xf>
    <xf numFmtId="49" fontId="1" fillId="0" borderId="0" xfId="0" applyNumberFormat="1" applyFont="1" applyProtection="1">
      <protection locked="0"/>
    </xf>
    <xf numFmtId="1" fontId="0" fillId="0" borderId="0" xfId="0" applyNumberFormat="1" applyProtection="1">
      <protection locked="0"/>
    </xf>
    <xf numFmtId="9" fontId="1" fillId="0" borderId="0" xfId="35" applyFont="1" applyProtection="1">
      <protection locked="0"/>
    </xf>
    <xf numFmtId="2" fontId="0" fillId="0" borderId="0" xfId="35" applyNumberFormat="1" applyFont="1" applyProtection="1">
      <protection locked="0"/>
    </xf>
    <xf numFmtId="0" fontId="0" fillId="0" borderId="0" xfId="0" applyAlignment="1" applyProtection="1">
      <alignment horizontal="center"/>
      <protection locked="0"/>
    </xf>
    <xf numFmtId="0" fontId="1" fillId="63" borderId="0" xfId="0" applyFont="1" applyFill="1" applyProtection="1">
      <protection locked="0"/>
    </xf>
    <xf numFmtId="0" fontId="0" fillId="63" borderId="0" xfId="0" applyFill="1" applyProtection="1">
      <protection locked="0"/>
    </xf>
    <xf numFmtId="0" fontId="0" fillId="0" borderId="0" xfId="0" applyFill="1" applyProtection="1">
      <protection locked="0"/>
    </xf>
    <xf numFmtId="0" fontId="0" fillId="0" borderId="50" xfId="0" applyFill="1" applyBorder="1" applyProtection="1">
      <protection locked="0"/>
    </xf>
    <xf numFmtId="0" fontId="1" fillId="5" borderId="0" xfId="0" applyFont="1" applyFill="1" applyProtection="1">
      <protection locked="0"/>
    </xf>
    <xf numFmtId="0" fontId="0" fillId="0" borderId="2" xfId="0" applyBorder="1" applyProtection="1">
      <protection locked="0"/>
    </xf>
    <xf numFmtId="0" fontId="0" fillId="5" borderId="2" xfId="0" applyFill="1" applyBorder="1" applyProtection="1">
      <protection locked="0"/>
    </xf>
    <xf numFmtId="1" fontId="0" fillId="0" borderId="2" xfId="0" applyNumberFormat="1" applyBorder="1" applyProtection="1">
      <protection locked="0"/>
    </xf>
    <xf numFmtId="0" fontId="19" fillId="0" borderId="0" xfId="0" applyFont="1" applyProtection="1">
      <protection locked="0"/>
    </xf>
    <xf numFmtId="9" fontId="0" fillId="45" borderId="0" xfId="35" applyFont="1" applyFill="1" applyProtection="1">
      <protection locked="0"/>
    </xf>
    <xf numFmtId="2" fontId="0" fillId="0" borderId="2" xfId="35" applyNumberFormat="1" applyFont="1" applyBorder="1" applyProtection="1">
      <protection locked="0"/>
    </xf>
    <xf numFmtId="9" fontId="0" fillId="0" borderId="0" xfId="0" applyNumberFormat="1" applyProtection="1">
      <protection locked="0"/>
    </xf>
    <xf numFmtId="0" fontId="73" fillId="0" borderId="0" xfId="0" applyFont="1" applyFill="1" applyBorder="1" applyAlignment="1" applyProtection="1">
      <alignment vertical="top"/>
      <protection locked="0"/>
    </xf>
    <xf numFmtId="0" fontId="1" fillId="0" borderId="0" xfId="0" applyFont="1" applyFill="1" applyProtection="1">
      <protection locked="0"/>
    </xf>
    <xf numFmtId="0" fontId="1" fillId="0" borderId="0" xfId="0" applyFont="1" applyFill="1" applyBorder="1" applyProtection="1">
      <protection locked="0"/>
    </xf>
    <xf numFmtId="0" fontId="13" fillId="47" borderId="64" xfId="0" applyFont="1" applyFill="1" applyBorder="1" applyAlignment="1" applyProtection="1">
      <alignment vertical="center"/>
      <protection hidden="1"/>
    </xf>
    <xf numFmtId="0" fontId="25" fillId="47" borderId="63" xfId="0" applyFont="1" applyFill="1" applyBorder="1" applyAlignment="1" applyProtection="1">
      <alignment vertical="center"/>
      <protection hidden="1"/>
    </xf>
    <xf numFmtId="0" fontId="25" fillId="47" borderId="118" xfId="0" applyFont="1" applyFill="1" applyBorder="1" applyAlignment="1" applyProtection="1">
      <alignment horizontal="center" vertical="center"/>
      <protection hidden="1"/>
    </xf>
    <xf numFmtId="0" fontId="0" fillId="52" borderId="0" xfId="0" applyFill="1" applyAlignment="1" applyProtection="1">
      <alignment vertical="center"/>
      <protection hidden="1"/>
    </xf>
    <xf numFmtId="1" fontId="2" fillId="52" borderId="0" xfId="0" applyNumberFormat="1" applyFont="1" applyFill="1" applyAlignment="1" applyProtection="1">
      <alignment horizontal="center" vertical="center"/>
      <protection hidden="1"/>
    </xf>
    <xf numFmtId="0" fontId="2" fillId="52" borderId="0" xfId="0" applyFont="1" applyFill="1" applyAlignment="1" applyProtection="1">
      <alignment vertical="center"/>
      <protection hidden="1"/>
    </xf>
    <xf numFmtId="167" fontId="2" fillId="52" borderId="0" xfId="0" applyNumberFormat="1" applyFont="1" applyFill="1" applyAlignment="1" applyProtection="1">
      <alignment horizontal="center" vertical="center"/>
      <protection hidden="1"/>
    </xf>
    <xf numFmtId="0" fontId="4" fillId="55" borderId="195" xfId="0" applyFont="1" applyFill="1" applyBorder="1" applyAlignment="1" applyProtection="1">
      <alignment vertical="center"/>
      <protection hidden="1"/>
    </xf>
    <xf numFmtId="0" fontId="4" fillId="55" borderId="196" xfId="0" applyFont="1" applyFill="1" applyBorder="1" applyAlignment="1" applyProtection="1">
      <alignment vertical="center"/>
      <protection hidden="1"/>
    </xf>
    <xf numFmtId="0" fontId="4" fillId="55" borderId="221" xfId="0" applyFont="1" applyFill="1" applyBorder="1" applyAlignment="1" applyProtection="1">
      <alignment vertical="center"/>
      <protection hidden="1"/>
    </xf>
    <xf numFmtId="0" fontId="13" fillId="55" borderId="187" xfId="0" applyFont="1" applyFill="1" applyBorder="1" applyAlignment="1" applyProtection="1">
      <alignment vertical="center"/>
      <protection hidden="1"/>
    </xf>
    <xf numFmtId="0" fontId="13" fillId="55" borderId="197" xfId="0" applyFont="1" applyFill="1" applyBorder="1" applyAlignment="1" applyProtection="1">
      <alignment vertical="center"/>
      <protection hidden="1"/>
    </xf>
    <xf numFmtId="0" fontId="27" fillId="55" borderId="0" xfId="0" applyFont="1" applyFill="1" applyBorder="1" applyAlignment="1" applyProtection="1">
      <alignment vertical="center"/>
      <protection hidden="1"/>
    </xf>
    <xf numFmtId="0" fontId="27" fillId="55" borderId="201" xfId="0" applyFont="1" applyFill="1" applyBorder="1" applyAlignment="1" applyProtection="1">
      <alignment vertical="center"/>
      <protection hidden="1"/>
    </xf>
    <xf numFmtId="0" fontId="27" fillId="55" borderId="188" xfId="0" applyFont="1" applyFill="1" applyBorder="1" applyAlignment="1" applyProtection="1">
      <alignment horizontal="center" vertical="center"/>
      <protection hidden="1"/>
    </xf>
    <xf numFmtId="0" fontId="27" fillId="55" borderId="197" xfId="0" applyFont="1" applyFill="1" applyBorder="1" applyAlignment="1" applyProtection="1">
      <alignment horizontal="center" vertical="center"/>
      <protection hidden="1"/>
    </xf>
    <xf numFmtId="0" fontId="27" fillId="55" borderId="203" xfId="0" applyFont="1" applyFill="1" applyBorder="1" applyAlignment="1" applyProtection="1">
      <alignment horizontal="center" vertical="center"/>
      <protection hidden="1"/>
    </xf>
    <xf numFmtId="0" fontId="27" fillId="55" borderId="210" xfId="0" applyFont="1" applyFill="1" applyBorder="1" applyAlignment="1" applyProtection="1">
      <alignment vertical="center"/>
      <protection hidden="1"/>
    </xf>
    <xf numFmtId="0" fontId="27" fillId="55" borderId="200" xfId="0" applyFont="1" applyFill="1" applyBorder="1" applyAlignment="1" applyProtection="1">
      <alignment vertical="center"/>
      <protection hidden="1"/>
    </xf>
    <xf numFmtId="0" fontId="27" fillId="55" borderId="222" xfId="0" applyFont="1" applyFill="1" applyBorder="1" applyAlignment="1" applyProtection="1">
      <alignment vertical="center"/>
      <protection hidden="1"/>
    </xf>
    <xf numFmtId="0" fontId="27" fillId="0" borderId="196" xfId="0" applyFont="1" applyBorder="1" applyAlignment="1" applyProtection="1">
      <alignment vertical="center"/>
      <protection hidden="1"/>
    </xf>
    <xf numFmtId="1" fontId="27" fillId="0" borderId="187" xfId="0" applyNumberFormat="1" applyFont="1" applyFill="1" applyBorder="1" applyAlignment="1" applyProtection="1">
      <alignment horizontal="center" vertical="center"/>
      <protection hidden="1"/>
    </xf>
    <xf numFmtId="167" fontId="27" fillId="0" borderId="196" xfId="0" applyNumberFormat="1" applyFont="1" applyFill="1" applyBorder="1" applyAlignment="1" applyProtection="1">
      <alignment horizontal="center" vertical="center"/>
      <protection hidden="1"/>
    </xf>
    <xf numFmtId="167" fontId="27" fillId="0" borderId="202" xfId="0" applyNumberFormat="1" applyFont="1" applyFill="1" applyBorder="1" applyAlignment="1" applyProtection="1">
      <alignment horizontal="center" vertical="center"/>
      <protection hidden="1"/>
    </xf>
    <xf numFmtId="1" fontId="12" fillId="0" borderId="188" xfId="0" applyNumberFormat="1" applyFont="1" applyFill="1" applyBorder="1" applyAlignment="1" applyProtection="1">
      <alignment horizontal="center" vertical="center"/>
      <protection hidden="1"/>
    </xf>
    <xf numFmtId="167" fontId="12" fillId="0" borderId="0" xfId="0" applyNumberFormat="1" applyFont="1" applyFill="1" applyBorder="1" applyAlignment="1" applyProtection="1">
      <alignment horizontal="center" vertical="center"/>
      <protection hidden="1"/>
    </xf>
    <xf numFmtId="167" fontId="12" fillId="0" borderId="203" xfId="0" applyNumberFormat="1" applyFont="1" applyFill="1" applyBorder="1" applyAlignment="1" applyProtection="1">
      <alignment horizontal="center" vertical="center"/>
      <protection hidden="1"/>
    </xf>
    <xf numFmtId="0" fontId="12" fillId="0" borderId="197"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2" fillId="0" borderId="197" xfId="0" applyFont="1" applyBorder="1" applyAlignment="1" applyProtection="1">
      <alignment vertical="center"/>
      <protection hidden="1"/>
    </xf>
    <xf numFmtId="0" fontId="12" fillId="0" borderId="0" xfId="0" applyFont="1" applyBorder="1" applyAlignment="1" applyProtection="1">
      <alignment vertical="center"/>
      <protection hidden="1"/>
    </xf>
    <xf numFmtId="167" fontId="12" fillId="53" borderId="0" xfId="0" applyNumberFormat="1" applyFont="1" applyFill="1" applyBorder="1" applyAlignment="1" applyProtection="1">
      <alignment horizontal="center" vertical="center"/>
      <protection hidden="1"/>
    </xf>
    <xf numFmtId="167" fontId="12" fillId="53" borderId="203" xfId="0" applyNumberFormat="1" applyFont="1" applyFill="1" applyBorder="1" applyAlignment="1" applyProtection="1">
      <alignment horizontal="center" vertical="center"/>
      <protection hidden="1"/>
    </xf>
    <xf numFmtId="0" fontId="13" fillId="0" borderId="198" xfId="0" applyFont="1" applyBorder="1" applyAlignment="1" applyProtection="1">
      <alignment vertical="center"/>
      <protection hidden="1"/>
    </xf>
    <xf numFmtId="0" fontId="27" fillId="0" borderId="193" xfId="0" applyFont="1" applyBorder="1" applyAlignment="1" applyProtection="1">
      <alignment vertical="center"/>
      <protection hidden="1"/>
    </xf>
    <xf numFmtId="1" fontId="27" fillId="0" borderId="194" xfId="0" applyNumberFormat="1" applyFont="1" applyFill="1" applyBorder="1" applyAlignment="1" applyProtection="1">
      <alignment horizontal="center" vertical="center"/>
      <protection hidden="1"/>
    </xf>
    <xf numFmtId="167" fontId="27" fillId="53" borderId="193" xfId="0" applyNumberFormat="1" applyFont="1" applyFill="1" applyBorder="1" applyAlignment="1" applyProtection="1">
      <alignment horizontal="center" vertical="center"/>
      <protection hidden="1"/>
    </xf>
    <xf numFmtId="167" fontId="27" fillId="53" borderId="204" xfId="0" applyNumberFormat="1" applyFont="1" applyFill="1" applyBorder="1" applyAlignment="1" applyProtection="1">
      <alignment horizontal="center" vertical="center"/>
      <protection hidden="1"/>
    </xf>
    <xf numFmtId="1" fontId="27" fillId="53" borderId="188" xfId="0" applyNumberFormat="1" applyFont="1" applyFill="1" applyBorder="1" applyAlignment="1" applyProtection="1">
      <alignment horizontal="center" vertical="center"/>
      <protection hidden="1"/>
    </xf>
    <xf numFmtId="167" fontId="27" fillId="0" borderId="0" xfId="0" applyNumberFormat="1" applyFont="1" applyFill="1" applyBorder="1" applyAlignment="1" applyProtection="1">
      <alignment horizontal="center" vertical="center"/>
      <protection hidden="1"/>
    </xf>
    <xf numFmtId="167" fontId="27" fillId="53" borderId="203" xfId="0" applyNumberFormat="1" applyFont="1" applyFill="1" applyBorder="1" applyAlignment="1" applyProtection="1">
      <alignment horizontal="center" vertical="center"/>
      <protection hidden="1"/>
    </xf>
    <xf numFmtId="0" fontId="13" fillId="0" borderId="199" xfId="0" applyFont="1" applyBorder="1" applyAlignment="1" applyProtection="1">
      <alignment vertical="center"/>
      <protection hidden="1"/>
    </xf>
    <xf numFmtId="0" fontId="27" fillId="0" borderId="190" xfId="0" applyFont="1" applyBorder="1" applyAlignment="1" applyProtection="1">
      <alignment vertical="center"/>
      <protection hidden="1"/>
    </xf>
    <xf numFmtId="1" fontId="27" fillId="0" borderId="191" xfId="0" applyNumberFormat="1" applyFont="1" applyFill="1" applyBorder="1" applyAlignment="1" applyProtection="1">
      <alignment horizontal="center" vertical="center"/>
      <protection hidden="1"/>
    </xf>
    <xf numFmtId="167" fontId="27" fillId="0" borderId="190" xfId="0" applyNumberFormat="1" applyFont="1" applyFill="1" applyBorder="1" applyAlignment="1" applyProtection="1">
      <alignment horizontal="center" vertical="center"/>
      <protection hidden="1"/>
    </xf>
    <xf numFmtId="167" fontId="27" fillId="0" borderId="205" xfId="0" applyNumberFormat="1" applyFont="1" applyFill="1" applyBorder="1" applyAlignment="1" applyProtection="1">
      <alignment horizontal="center" vertical="center"/>
      <protection hidden="1"/>
    </xf>
    <xf numFmtId="1" fontId="12" fillId="0" borderId="192" xfId="0" applyNumberFormat="1" applyFont="1" applyFill="1" applyBorder="1" applyAlignment="1" applyProtection="1">
      <alignment horizontal="center" vertical="center"/>
      <protection hidden="1"/>
    </xf>
    <xf numFmtId="167" fontId="12" fillId="0" borderId="208" xfId="0" applyNumberFormat="1" applyFont="1" applyFill="1" applyBorder="1" applyAlignment="1" applyProtection="1">
      <alignment horizontal="center" vertical="center"/>
      <protection hidden="1"/>
    </xf>
    <xf numFmtId="167" fontId="12" fillId="0" borderId="206" xfId="0" applyNumberFormat="1" applyFont="1" applyFill="1" applyBorder="1" applyAlignment="1" applyProtection="1">
      <alignment horizontal="center" vertical="center"/>
      <protection hidden="1"/>
    </xf>
    <xf numFmtId="1" fontId="12" fillId="53" borderId="188" xfId="0" applyNumberFormat="1" applyFont="1" applyFill="1" applyBorder="1" applyAlignment="1" applyProtection="1">
      <alignment horizontal="center" vertical="center"/>
      <protection hidden="1"/>
    </xf>
    <xf numFmtId="1" fontId="12" fillId="53" borderId="223" xfId="0" applyNumberFormat="1" applyFont="1" applyFill="1" applyBorder="1" applyAlignment="1" applyProtection="1">
      <alignment horizontal="center" vertical="center"/>
      <protection hidden="1"/>
    </xf>
    <xf numFmtId="1" fontId="12" fillId="53" borderId="243" xfId="0" applyNumberFormat="1" applyFont="1" applyFill="1" applyBorder="1" applyAlignment="1" applyProtection="1">
      <alignment horizontal="center" vertical="center"/>
      <protection hidden="1"/>
    </xf>
    <xf numFmtId="1" fontId="12" fillId="53" borderId="0" xfId="0" applyNumberFormat="1" applyFont="1" applyFill="1" applyBorder="1" applyAlignment="1" applyProtection="1">
      <alignment horizontal="center" vertical="center"/>
      <protection hidden="1"/>
    </xf>
    <xf numFmtId="1" fontId="12" fillId="53" borderId="201" xfId="0" applyNumberFormat="1" applyFont="1" applyFill="1" applyBorder="1" applyAlignment="1" applyProtection="1">
      <alignment horizontal="center" vertical="center"/>
      <protection hidden="1"/>
    </xf>
    <xf numFmtId="167" fontId="27" fillId="0" borderId="193" xfId="0" applyNumberFormat="1" applyFont="1" applyFill="1" applyBorder="1" applyAlignment="1" applyProtection="1">
      <alignment horizontal="center" vertical="center"/>
      <protection hidden="1"/>
    </xf>
    <xf numFmtId="167" fontId="27" fillId="0" borderId="204" xfId="0" applyNumberFormat="1" applyFont="1" applyFill="1" applyBorder="1" applyAlignment="1" applyProtection="1">
      <alignment horizontal="center" vertical="center"/>
      <protection hidden="1"/>
    </xf>
    <xf numFmtId="0" fontId="13" fillId="0" borderId="193" xfId="0" applyFont="1" applyBorder="1" applyAlignment="1" applyProtection="1">
      <alignment vertical="center"/>
      <protection hidden="1"/>
    </xf>
    <xf numFmtId="0" fontId="82" fillId="0" borderId="193" xfId="0" applyFont="1" applyBorder="1" applyAlignment="1" applyProtection="1">
      <alignment horizontal="right" vertical="center"/>
      <protection hidden="1"/>
    </xf>
    <xf numFmtId="1" fontId="12" fillId="0" borderId="194" xfId="0" applyNumberFormat="1" applyFont="1" applyFill="1" applyBorder="1" applyAlignment="1" applyProtection="1">
      <alignment horizontal="center" vertical="center"/>
      <protection hidden="1"/>
    </xf>
    <xf numFmtId="1" fontId="12" fillId="0" borderId="207"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vertical="center"/>
      <protection hidden="1"/>
    </xf>
    <xf numFmtId="0" fontId="27" fillId="0" borderId="0" xfId="0" applyFont="1" applyFill="1" applyBorder="1" applyAlignment="1" applyProtection="1">
      <alignment horizontal="center" vertical="center"/>
      <protection hidden="1"/>
    </xf>
    <xf numFmtId="0" fontId="9" fillId="0" borderId="197" xfId="0" applyFont="1" applyBorder="1" applyAlignment="1" applyProtection="1">
      <alignment vertical="center"/>
      <protection hidden="1"/>
    </xf>
    <xf numFmtId="0" fontId="2" fillId="0" borderId="197" xfId="0" applyFont="1" applyBorder="1" applyAlignment="1" applyProtection="1">
      <alignment vertical="center"/>
      <protection hidden="1"/>
    </xf>
    <xf numFmtId="0" fontId="2" fillId="0" borderId="211" xfId="0" applyFont="1" applyBorder="1" applyAlignment="1" applyProtection="1">
      <alignment vertical="center"/>
      <protection hidden="1"/>
    </xf>
    <xf numFmtId="0" fontId="2" fillId="0" borderId="209" xfId="0" applyFont="1" applyBorder="1" applyAlignment="1" applyProtection="1">
      <alignment vertical="center"/>
      <protection hidden="1"/>
    </xf>
    <xf numFmtId="0" fontId="2" fillId="0" borderId="209" xfId="0" applyFont="1" applyBorder="1" applyAlignment="1" applyProtection="1">
      <alignment horizontal="center" vertical="center"/>
      <protection hidden="1"/>
    </xf>
    <xf numFmtId="0" fontId="4" fillId="46" borderId="210" xfId="0" applyFont="1" applyFill="1" applyBorder="1" applyAlignment="1" applyProtection="1">
      <alignment vertical="center"/>
      <protection hidden="1"/>
    </xf>
    <xf numFmtId="0" fontId="4" fillId="46" borderId="200" xfId="0" applyFont="1" applyFill="1" applyBorder="1" applyAlignment="1" applyProtection="1">
      <alignment vertical="center"/>
      <protection hidden="1"/>
    </xf>
    <xf numFmtId="0" fontId="10" fillId="0" borderId="0" xfId="0" applyFont="1" applyAlignment="1" applyProtection="1">
      <alignment vertical="center"/>
      <protection hidden="1"/>
    </xf>
    <xf numFmtId="0" fontId="13" fillId="47" borderId="63" xfId="0" applyFont="1" applyFill="1" applyBorder="1" applyAlignment="1" applyProtection="1">
      <alignment vertical="center"/>
      <protection hidden="1"/>
    </xf>
    <xf numFmtId="0" fontId="13" fillId="47" borderId="118" xfId="0" applyFont="1" applyFill="1" applyBorder="1" applyAlignment="1" applyProtection="1">
      <alignment vertical="center"/>
      <protection hidden="1"/>
    </xf>
    <xf numFmtId="0" fontId="2" fillId="48" borderId="29" xfId="0" applyFont="1" applyFill="1" applyBorder="1" applyAlignment="1" applyProtection="1">
      <alignment horizontal="center" vertical="center"/>
      <protection hidden="1"/>
    </xf>
    <xf numFmtId="0" fontId="2" fillId="48" borderId="25" xfId="0" applyFont="1" applyFill="1" applyBorder="1" applyAlignment="1" applyProtection="1">
      <alignment horizontal="center" vertical="center"/>
      <protection hidden="1"/>
    </xf>
    <xf numFmtId="0" fontId="9" fillId="48" borderId="5" xfId="0" applyFont="1" applyFill="1" applyBorder="1" applyAlignment="1" applyProtection="1">
      <alignment horizontal="center" vertical="center"/>
      <protection hidden="1"/>
    </xf>
    <xf numFmtId="0" fontId="9" fillId="48" borderId="31" xfId="0" applyFont="1" applyFill="1" applyBorder="1" applyAlignment="1" applyProtection="1">
      <alignment horizontal="center" vertical="center"/>
      <protection hidden="1"/>
    </xf>
    <xf numFmtId="0" fontId="0" fillId="48" borderId="25" xfId="0" applyFill="1" applyBorder="1" applyAlignment="1" applyProtection="1">
      <alignment horizontal="center" vertical="center"/>
      <protection hidden="1"/>
    </xf>
    <xf numFmtId="0" fontId="9" fillId="48" borderId="61" xfId="0" applyFont="1" applyFill="1" applyBorder="1" applyAlignment="1" applyProtection="1">
      <alignment horizontal="center" vertical="center"/>
      <protection hidden="1"/>
    </xf>
    <xf numFmtId="0" fontId="5" fillId="48" borderId="24" xfId="0" applyFont="1" applyFill="1" applyBorder="1" applyAlignment="1" applyProtection="1">
      <alignment horizontal="center" vertical="center"/>
      <protection hidden="1"/>
    </xf>
    <xf numFmtId="0" fontId="5" fillId="48" borderId="23" xfId="0" applyFont="1" applyFill="1" applyBorder="1" applyAlignment="1" applyProtection="1">
      <alignment horizontal="center" vertical="center"/>
      <protection hidden="1"/>
    </xf>
    <xf numFmtId="0" fontId="5" fillId="48" borderId="0" xfId="0" applyFont="1" applyFill="1" applyBorder="1" applyAlignment="1" applyProtection="1">
      <alignment horizontal="center" vertical="center"/>
      <protection hidden="1"/>
    </xf>
    <xf numFmtId="0" fontId="0" fillId="48" borderId="36" xfId="0" applyFill="1" applyBorder="1" applyAlignment="1" applyProtection="1">
      <alignment horizontal="center" vertical="center"/>
      <protection hidden="1"/>
    </xf>
    <xf numFmtId="0" fontId="0" fillId="48" borderId="62" xfId="0" applyFill="1" applyBorder="1" applyAlignment="1" applyProtection="1">
      <alignment horizontal="center" vertical="center"/>
      <protection hidden="1"/>
    </xf>
    <xf numFmtId="0" fontId="5" fillId="48" borderId="55" xfId="0" applyFont="1" applyFill="1" applyBorder="1" applyAlignment="1" applyProtection="1">
      <alignment horizontal="center" vertical="center"/>
      <protection hidden="1"/>
    </xf>
    <xf numFmtId="0" fontId="9" fillId="48" borderId="98" xfId="0" applyFont="1" applyFill="1" applyBorder="1" applyAlignment="1" applyProtection="1">
      <alignment horizontal="center" vertical="center"/>
      <protection hidden="1"/>
    </xf>
    <xf numFmtId="0" fontId="9" fillId="48" borderId="7" xfId="0" applyFont="1" applyFill="1" applyBorder="1" applyAlignment="1" applyProtection="1">
      <alignment horizontal="center" vertical="center"/>
      <protection hidden="1"/>
    </xf>
    <xf numFmtId="0" fontId="9" fillId="48" borderId="6" xfId="0" applyFont="1" applyFill="1" applyBorder="1" applyAlignment="1" applyProtection="1">
      <alignment horizontal="center" vertical="center"/>
      <protection hidden="1"/>
    </xf>
    <xf numFmtId="0" fontId="9" fillId="48" borderId="33" xfId="0" applyFont="1" applyFill="1" applyBorder="1" applyAlignment="1" applyProtection="1">
      <alignment horizontal="center" vertical="center"/>
      <protection hidden="1"/>
    </xf>
    <xf numFmtId="0" fontId="4" fillId="0" borderId="0" xfId="0" applyFont="1" applyAlignment="1">
      <alignment vertical="center"/>
    </xf>
    <xf numFmtId="0" fontId="9" fillId="0" borderId="2" xfId="0" applyFont="1" applyFill="1" applyBorder="1" applyAlignment="1" applyProtection="1">
      <alignment horizontal="left"/>
    </xf>
    <xf numFmtId="0" fontId="0" fillId="0" borderId="2" xfId="0" applyFill="1" applyBorder="1" applyAlignment="1" applyProtection="1">
      <alignment horizontal="center"/>
    </xf>
    <xf numFmtId="0" fontId="0" fillId="0" borderId="59" xfId="0" applyFill="1" applyBorder="1" applyAlignment="1" applyProtection="1">
      <alignment horizontal="center"/>
    </xf>
    <xf numFmtId="0" fontId="13" fillId="0" borderId="56" xfId="0" applyFont="1" applyFill="1" applyBorder="1" applyAlignment="1" applyProtection="1">
      <alignment horizontal="left"/>
    </xf>
    <xf numFmtId="0" fontId="13" fillId="0" borderId="97" xfId="0" applyFont="1" applyFill="1" applyBorder="1" applyAlignment="1" applyProtection="1">
      <alignment horizontal="left"/>
    </xf>
    <xf numFmtId="0" fontId="2" fillId="0" borderId="97" xfId="0" applyFont="1" applyFill="1" applyBorder="1" applyAlignment="1" applyProtection="1">
      <alignment vertical="center"/>
      <protection hidden="1"/>
    </xf>
    <xf numFmtId="1" fontId="2" fillId="64" borderId="0" xfId="0" applyNumberFormat="1" applyFont="1" applyFill="1" applyBorder="1" applyAlignment="1" applyProtection="1">
      <alignment horizontal="left" vertical="center"/>
      <protection locked="0" hidden="1"/>
    </xf>
    <xf numFmtId="49" fontId="1" fillId="0" borderId="0" xfId="62" applyNumberFormat="1" applyFont="1"/>
    <xf numFmtId="49" fontId="1" fillId="62" borderId="0" xfId="62" applyNumberFormat="1" applyFont="1" applyFill="1"/>
    <xf numFmtId="0" fontId="1" fillId="0" borderId="0" xfId="62" applyFont="1"/>
    <xf numFmtId="49" fontId="1" fillId="47" borderId="0" xfId="62" applyNumberFormat="1" applyFont="1" applyFill="1"/>
    <xf numFmtId="0" fontId="76" fillId="0" borderId="0" xfId="0" applyFont="1" applyFill="1" applyAlignment="1" applyProtection="1">
      <alignment vertical="center"/>
      <protection hidden="1"/>
    </xf>
    <xf numFmtId="0" fontId="2" fillId="0" borderId="0" xfId="0" applyFont="1" applyFill="1" applyBorder="1" applyAlignment="1" applyProtection="1">
      <alignment horizontal="center" vertical="center"/>
      <protection locked="0" hidden="1"/>
    </xf>
    <xf numFmtId="0" fontId="5" fillId="49" borderId="0" xfId="62" applyFont="1" applyFill="1" applyAlignment="1" applyProtection="1">
      <alignment horizontal="left"/>
      <protection locked="0"/>
    </xf>
    <xf numFmtId="0" fontId="0" fillId="48" borderId="286" xfId="0" applyFill="1" applyBorder="1" applyAlignment="1" applyProtection="1">
      <alignment horizontal="center"/>
      <protection hidden="1"/>
    </xf>
    <xf numFmtId="0" fontId="0" fillId="48" borderId="118" xfId="0" applyFill="1" applyBorder="1" applyProtection="1">
      <protection hidden="1"/>
    </xf>
    <xf numFmtId="9" fontId="0" fillId="0" borderId="0" xfId="35" applyFont="1"/>
    <xf numFmtId="0" fontId="76" fillId="0" borderId="0" xfId="0" applyFont="1"/>
    <xf numFmtId="1" fontId="5" fillId="68" borderId="0" xfId="62" applyNumberFormat="1" applyFont="1" applyFill="1" applyAlignment="1">
      <alignment horizontal="left"/>
    </xf>
    <xf numFmtId="1" fontId="2" fillId="68" borderId="4" xfId="62" applyNumberFormat="1" applyFont="1" applyFill="1" applyBorder="1" applyAlignment="1">
      <alignment horizontal="center"/>
    </xf>
    <xf numFmtId="1" fontId="2" fillId="68" borderId="0" xfId="62" applyNumberFormat="1" applyFont="1" applyFill="1" applyAlignment="1">
      <alignment horizontal="center"/>
    </xf>
    <xf numFmtId="1" fontId="2" fillId="68" borderId="36" xfId="62" applyNumberFormat="1" applyFont="1" applyFill="1" applyBorder="1" applyAlignment="1">
      <alignment horizontal="center"/>
    </xf>
    <xf numFmtId="1" fontId="1" fillId="68" borderId="25" xfId="62" applyNumberFormat="1" applyFont="1" applyFill="1" applyBorder="1" applyAlignment="1">
      <alignment horizontal="center"/>
    </xf>
    <xf numFmtId="1" fontId="1" fillId="68" borderId="22" xfId="62" applyNumberFormat="1" applyFont="1" applyFill="1" applyBorder="1" applyAlignment="1">
      <alignment horizontal="center"/>
    </xf>
    <xf numFmtId="1" fontId="2" fillId="0" borderId="93" xfId="0" applyNumberFormat="1" applyFont="1" applyFill="1" applyBorder="1" applyAlignment="1" applyProtection="1">
      <alignment horizontal="center" vertical="center"/>
      <protection hidden="1"/>
    </xf>
    <xf numFmtId="0" fontId="9" fillId="0" borderId="0" xfId="0" applyFont="1" applyFill="1" applyBorder="1" applyProtection="1"/>
    <xf numFmtId="0" fontId="0" fillId="0" borderId="0" xfId="0" applyFill="1" applyBorder="1" applyProtection="1"/>
    <xf numFmtId="0" fontId="9" fillId="0" borderId="0" xfId="0" applyFont="1" applyFill="1" applyBorder="1" applyAlignment="1" applyProtection="1">
      <alignment horizontal="center" vertical="center"/>
    </xf>
    <xf numFmtId="0" fontId="12" fillId="0" borderId="0" xfId="0" applyFont="1" applyFill="1" applyBorder="1" applyAlignment="1" applyProtection="1">
      <alignment vertical="center" wrapText="1"/>
    </xf>
    <xf numFmtId="1" fontId="2" fillId="0" borderId="35" xfId="0" applyNumberFormat="1" applyFont="1" applyFill="1" applyBorder="1" applyAlignment="1" applyProtection="1">
      <alignment horizontal="center" vertical="center"/>
      <protection hidden="1"/>
    </xf>
    <xf numFmtId="1" fontId="2" fillId="0" borderId="294" xfId="0" applyNumberFormat="1" applyFont="1" applyFill="1" applyBorder="1" applyAlignment="1" applyProtection="1">
      <alignment horizontal="center" vertical="center"/>
      <protection hidden="1"/>
    </xf>
    <xf numFmtId="1" fontId="0" fillId="48" borderId="114" xfId="0" applyNumberFormat="1" applyFill="1" applyBorder="1" applyAlignment="1" applyProtection="1">
      <alignment horizontal="center" vertical="center"/>
      <protection hidden="1"/>
    </xf>
    <xf numFmtId="0" fontId="81" fillId="0" borderId="0" xfId="0" applyFont="1"/>
    <xf numFmtId="0" fontId="0" fillId="0" borderId="91" xfId="0" applyFill="1" applyBorder="1" applyAlignment="1" applyProtection="1">
      <alignment horizontal="center" vertical="center"/>
      <protection hidden="1"/>
    </xf>
    <xf numFmtId="0" fontId="1" fillId="0" borderId="0" xfId="0" applyFont="1" applyAlignment="1" applyProtection="1">
      <alignment horizontal="left" vertical="center"/>
      <protection hidden="1"/>
    </xf>
    <xf numFmtId="0" fontId="0" fillId="50" borderId="91" xfId="0" applyFill="1" applyBorder="1" applyAlignment="1" applyProtection="1">
      <alignment horizontal="center" vertical="center"/>
      <protection locked="0"/>
    </xf>
    <xf numFmtId="0" fontId="0" fillId="48" borderId="63" xfId="0" applyFill="1" applyBorder="1" applyProtection="1">
      <protection hidden="1"/>
    </xf>
    <xf numFmtId="0" fontId="1" fillId="48" borderId="36" xfId="0" applyFont="1" applyFill="1" applyBorder="1" applyAlignment="1" applyProtection="1">
      <alignment horizontal="center" vertical="center" wrapText="1"/>
      <protection hidden="1"/>
    </xf>
    <xf numFmtId="0" fontId="0" fillId="0" borderId="0" xfId="0" applyAlignment="1" applyProtection="1">
      <alignment horizontal="center"/>
      <protection locked="0"/>
    </xf>
    <xf numFmtId="0" fontId="1" fillId="0" borderId="0" xfId="0" applyFont="1" applyAlignment="1" applyProtection="1">
      <alignment horizontal="center"/>
      <protection locked="0"/>
    </xf>
    <xf numFmtId="0" fontId="12" fillId="48" borderId="37" xfId="0" applyFont="1" applyFill="1" applyBorder="1" applyAlignment="1" applyProtection="1">
      <alignment horizontal="center" vertical="center" wrapText="1"/>
      <protection hidden="1"/>
    </xf>
    <xf numFmtId="0" fontId="0" fillId="50" borderId="136" xfId="0" applyFill="1" applyBorder="1" applyAlignment="1" applyProtection="1">
      <alignment horizontal="center" vertical="center"/>
      <protection locked="0"/>
    </xf>
    <xf numFmtId="0" fontId="1" fillId="48" borderId="60" xfId="0"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locked="0" hidden="1"/>
    </xf>
    <xf numFmtId="0" fontId="1" fillId="0" borderId="0" xfId="0" applyFont="1" applyAlignment="1" applyProtection="1">
      <alignment horizontal="center"/>
      <protection locked="0"/>
    </xf>
    <xf numFmtId="0" fontId="0" fillId="0" borderId="0" xfId="0" applyAlignment="1" applyProtection="1">
      <alignment horizontal="center"/>
      <protection locked="0"/>
    </xf>
    <xf numFmtId="0" fontId="2" fillId="0" borderId="0" xfId="62" applyFont="1" applyFill="1" applyBorder="1" applyAlignment="1" applyProtection="1">
      <alignment horizontal="center" wrapText="1"/>
      <protection locked="0"/>
    </xf>
    <xf numFmtId="0" fontId="2" fillId="0" borderId="0" xfId="62" applyFont="1" applyFill="1" applyBorder="1" applyAlignment="1" applyProtection="1">
      <alignment horizontal="center"/>
      <protection locked="0"/>
    </xf>
    <xf numFmtId="0" fontId="9" fillId="0" borderId="0" xfId="0" applyFont="1" applyFill="1" applyAlignment="1" applyProtection="1">
      <alignment horizontal="center"/>
      <protection locked="0"/>
    </xf>
    <xf numFmtId="0" fontId="0" fillId="67" borderId="280" xfId="0" applyNumberFormat="1" applyFill="1" applyBorder="1" applyAlignment="1" applyProtection="1">
      <alignment horizontal="center" vertical="center"/>
      <protection locked="0"/>
    </xf>
    <xf numFmtId="0" fontId="0" fillId="67" borderId="281" xfId="0" applyNumberFormat="1" applyFill="1" applyBorder="1" applyAlignment="1" applyProtection="1">
      <alignment horizontal="center" vertical="center"/>
      <protection locked="0"/>
    </xf>
    <xf numFmtId="0" fontId="0" fillId="67" borderId="292" xfId="0" applyNumberFormat="1" applyFill="1" applyBorder="1" applyAlignment="1" applyProtection="1">
      <alignment horizontal="center" vertical="center"/>
      <protection locked="0"/>
    </xf>
    <xf numFmtId="0" fontId="0" fillId="67" borderId="289" xfId="0" applyNumberFormat="1" applyFill="1" applyBorder="1" applyAlignment="1" applyProtection="1">
      <alignment horizontal="center" vertical="center"/>
      <protection locked="0"/>
    </xf>
    <xf numFmtId="0" fontId="1" fillId="52" borderId="0" xfId="0" applyFont="1" applyFill="1" applyProtection="1">
      <protection locked="0"/>
    </xf>
    <xf numFmtId="0" fontId="1" fillId="70" borderId="0" xfId="0" applyFont="1" applyFill="1" applyProtection="1">
      <protection locked="0"/>
    </xf>
    <xf numFmtId="0" fontId="0" fillId="0" borderId="0" xfId="0" applyBorder="1" applyProtection="1">
      <protection locked="0"/>
    </xf>
    <xf numFmtId="0" fontId="1" fillId="0" borderId="5" xfId="0" applyFont="1" applyBorder="1" applyAlignment="1" applyProtection="1">
      <alignment textRotation="90" wrapText="1"/>
      <protection hidden="1"/>
    </xf>
    <xf numFmtId="0" fontId="0" fillId="0" borderId="5" xfId="0" applyBorder="1" applyAlignment="1" applyProtection="1">
      <alignment textRotation="90" wrapText="1"/>
      <protection hidden="1"/>
    </xf>
    <xf numFmtId="0" fontId="1" fillId="0" borderId="0" xfId="0" applyFont="1" applyBorder="1" applyAlignment="1" applyProtection="1">
      <alignment textRotation="90" wrapText="1"/>
      <protection hidden="1"/>
    </xf>
    <xf numFmtId="0" fontId="0" fillId="0" borderId="0" xfId="0" applyBorder="1" applyAlignment="1" applyProtection="1">
      <alignment textRotation="90" wrapText="1"/>
      <protection hidden="1"/>
    </xf>
    <xf numFmtId="0" fontId="0" fillId="67" borderId="280" xfId="0" applyFill="1" applyBorder="1" applyAlignment="1" applyProtection="1">
      <alignment horizontal="center" vertical="center"/>
      <protection locked="0"/>
    </xf>
    <xf numFmtId="0" fontId="0" fillId="67" borderId="281" xfId="0" applyFill="1" applyBorder="1" applyAlignment="1" applyProtection="1">
      <alignment horizontal="center" vertical="center"/>
      <protection locked="0"/>
    </xf>
    <xf numFmtId="0" fontId="0" fillId="67" borderId="289" xfId="0" applyFill="1" applyBorder="1" applyAlignment="1" applyProtection="1">
      <alignment horizontal="center" vertical="center"/>
      <protection locked="0"/>
    </xf>
    <xf numFmtId="0" fontId="114" fillId="0" borderId="0" xfId="62" applyFont="1" applyAlignment="1" applyProtection="1">
      <alignment horizontal="center"/>
      <protection locked="0"/>
    </xf>
    <xf numFmtId="0" fontId="9" fillId="59" borderId="114" xfId="62" applyFill="1" applyBorder="1" applyAlignment="1" applyProtection="1">
      <alignment horizontal="center"/>
      <protection locked="0"/>
    </xf>
    <xf numFmtId="1" fontId="79" fillId="0" borderId="41" xfId="62" applyNumberFormat="1" applyFont="1" applyBorder="1" applyAlignment="1" applyProtection="1">
      <alignment horizontal="centerContinuous"/>
      <protection locked="0"/>
    </xf>
    <xf numFmtId="2" fontId="79" fillId="0" borderId="43" xfId="62" applyNumberFormat="1" applyFont="1" applyBorder="1" applyAlignment="1" applyProtection="1">
      <alignment horizontal="center"/>
      <protection locked="0"/>
    </xf>
    <xf numFmtId="0" fontId="79" fillId="0" borderId="32" xfId="62" applyFont="1" applyBorder="1" applyAlignment="1" applyProtection="1">
      <alignment horizontal="centerContinuous"/>
      <protection locked="0"/>
    </xf>
    <xf numFmtId="0" fontId="2" fillId="0" borderId="97" xfId="62" applyFont="1" applyBorder="1" applyProtection="1">
      <protection locked="0"/>
    </xf>
    <xf numFmtId="0" fontId="2" fillId="47" borderId="114" xfId="62" applyFont="1" applyFill="1" applyBorder="1" applyProtection="1">
      <protection locked="0"/>
    </xf>
    <xf numFmtId="0" fontId="2" fillId="0" borderId="114" xfId="62" applyFont="1" applyBorder="1" applyAlignment="1" applyProtection="1">
      <alignment horizontal="center"/>
      <protection locked="0"/>
    </xf>
    <xf numFmtId="2" fontId="2" fillId="0" borderId="19" xfId="62" applyNumberFormat="1" applyFont="1" applyBorder="1" applyAlignment="1" applyProtection="1">
      <alignment horizontal="center"/>
      <protection locked="0"/>
    </xf>
    <xf numFmtId="2" fontId="2" fillId="0" borderId="1" xfId="62" applyNumberFormat="1" applyFont="1" applyBorder="1" applyAlignment="1" applyProtection="1">
      <alignment horizontal="center"/>
      <protection locked="0"/>
    </xf>
    <xf numFmtId="0" fontId="2" fillId="0" borderId="114" xfId="62" applyFont="1" applyBorder="1" applyAlignment="1" applyProtection="1">
      <alignment horizontal="centerContinuous"/>
      <protection locked="0"/>
    </xf>
    <xf numFmtId="0" fontId="2" fillId="59" borderId="114" xfId="62" applyFont="1" applyFill="1" applyBorder="1" applyAlignment="1" applyProtection="1">
      <alignment horizontal="center"/>
      <protection locked="0"/>
    </xf>
    <xf numFmtId="2" fontId="2" fillId="0" borderId="114" xfId="62" applyNumberFormat="1" applyFont="1" applyBorder="1" applyAlignment="1" applyProtection="1">
      <alignment horizontal="center"/>
      <protection locked="0"/>
    </xf>
    <xf numFmtId="1" fontId="2" fillId="0" borderId="114" xfId="62" applyNumberFormat="1" applyFont="1" applyBorder="1" applyAlignment="1" applyProtection="1">
      <alignment horizontal="center"/>
      <protection locked="0"/>
    </xf>
    <xf numFmtId="167" fontId="2" fillId="0" borderId="114" xfId="62" applyNumberFormat="1" applyFont="1" applyBorder="1" applyAlignment="1" applyProtection="1">
      <alignment horizontal="center"/>
      <protection locked="0"/>
    </xf>
    <xf numFmtId="0" fontId="1" fillId="0" borderId="41" xfId="62" applyFont="1" applyBorder="1" applyProtection="1">
      <protection locked="0"/>
    </xf>
    <xf numFmtId="0" fontId="1" fillId="49" borderId="32" xfId="0" applyFont="1" applyFill="1" applyBorder="1" applyAlignment="1">
      <alignment vertical="top" wrapText="1"/>
    </xf>
    <xf numFmtId="0" fontId="73" fillId="49" borderId="32" xfId="0" applyFont="1" applyFill="1" applyBorder="1" applyAlignment="1">
      <alignment vertical="top" wrapText="1"/>
    </xf>
    <xf numFmtId="0" fontId="9" fillId="49" borderId="0" xfId="62" applyFont="1" applyFill="1" applyProtection="1">
      <protection locked="0"/>
    </xf>
    <xf numFmtId="0" fontId="0" fillId="69" borderId="0" xfId="0" applyFill="1" applyAlignment="1">
      <alignment horizontal="center" vertical="center"/>
    </xf>
    <xf numFmtId="0" fontId="2" fillId="0" borderId="32" xfId="62" applyFont="1" applyBorder="1" applyAlignment="1" applyProtection="1">
      <protection locked="0"/>
    </xf>
    <xf numFmtId="0" fontId="72" fillId="0" borderId="32" xfId="0" applyFont="1" applyBorder="1" applyAlignment="1">
      <alignment vertical="top"/>
    </xf>
    <xf numFmtId="0" fontId="72" fillId="0" borderId="32" xfId="0" applyFont="1" applyBorder="1" applyAlignment="1">
      <alignment vertical="top" wrapText="1"/>
    </xf>
    <xf numFmtId="0" fontId="72" fillId="0" borderId="32" xfId="0" quotePrefix="1" applyFont="1" applyBorder="1" applyAlignment="1">
      <alignment vertical="top" wrapText="1"/>
    </xf>
    <xf numFmtId="0" fontId="72" fillId="0" borderId="0" xfId="0" applyFont="1" applyBorder="1" applyAlignment="1">
      <alignment vertical="top" wrapText="1"/>
    </xf>
    <xf numFmtId="0" fontId="1" fillId="0" borderId="0" xfId="0" applyFont="1" applyBorder="1" applyAlignment="1">
      <alignment vertical="top" wrapText="1"/>
    </xf>
    <xf numFmtId="0" fontId="1" fillId="0" borderId="0" xfId="0" applyFont="1" applyFill="1" applyBorder="1" applyAlignment="1" applyProtection="1">
      <alignment horizontal="center" vertical="center"/>
      <protection locked="0" hidden="1"/>
    </xf>
    <xf numFmtId="0" fontId="1" fillId="46" borderId="0" xfId="0" applyFont="1" applyFill="1" applyBorder="1" applyAlignment="1" applyProtection="1">
      <alignment horizontal="center" vertical="center"/>
      <protection locked="0" hidden="1"/>
    </xf>
    <xf numFmtId="1" fontId="2" fillId="46" borderId="0" xfId="0" applyNumberFormat="1" applyFont="1" applyFill="1" applyBorder="1" applyAlignment="1" applyProtection="1">
      <alignment horizontal="center" vertical="center"/>
      <protection locked="0" hidden="1"/>
    </xf>
    <xf numFmtId="0" fontId="1" fillId="0" borderId="0" xfId="0" applyFont="1" applyBorder="1" applyProtection="1">
      <protection locked="0"/>
    </xf>
    <xf numFmtId="2" fontId="0" fillId="0" borderId="0" xfId="35" applyNumberFormat="1" applyFont="1" applyBorder="1" applyProtection="1">
      <protection locked="0"/>
    </xf>
    <xf numFmtId="167" fontId="0" fillId="0" borderId="73" xfId="0" applyNumberFormat="1" applyFill="1" applyBorder="1" applyAlignment="1" applyProtection="1">
      <alignment horizontal="center" vertical="center"/>
      <protection hidden="1"/>
    </xf>
    <xf numFmtId="167" fontId="0" fillId="0" borderId="74" xfId="0" applyNumberFormat="1" applyFill="1" applyBorder="1" applyAlignment="1" applyProtection="1">
      <alignment horizontal="center" vertical="center"/>
      <protection hidden="1"/>
    </xf>
    <xf numFmtId="167" fontId="0" fillId="0" borderId="293" xfId="0" applyNumberFormat="1" applyFill="1" applyBorder="1" applyAlignment="1" applyProtection="1">
      <alignment horizontal="center" vertical="center"/>
      <protection hidden="1"/>
    </xf>
    <xf numFmtId="0" fontId="1" fillId="53" borderId="36" xfId="0" applyFont="1" applyFill="1" applyBorder="1" applyAlignment="1" applyProtection="1">
      <alignment horizontal="center" vertical="center"/>
      <protection hidden="1"/>
    </xf>
    <xf numFmtId="0" fontId="1" fillId="53" borderId="60" xfId="0" applyFont="1" applyFill="1" applyBorder="1" applyAlignment="1" applyProtection="1">
      <alignment horizontal="center" vertical="center"/>
      <protection hidden="1"/>
    </xf>
    <xf numFmtId="0" fontId="78" fillId="0" borderId="295" xfId="62" applyFont="1" applyFill="1" applyBorder="1" applyAlignment="1" applyProtection="1">
      <alignment horizontal="left" vertical="top"/>
      <protection locked="0"/>
    </xf>
    <xf numFmtId="0" fontId="0" fillId="0" borderId="295" xfId="0" applyBorder="1" applyProtection="1">
      <protection locked="0"/>
    </xf>
    <xf numFmtId="0" fontId="1" fillId="0" borderId="295" xfId="0" applyFont="1" applyBorder="1" applyProtection="1">
      <protection locked="0"/>
    </xf>
    <xf numFmtId="2" fontId="0" fillId="0" borderId="295" xfId="35" applyNumberFormat="1" applyFont="1" applyBorder="1" applyProtection="1">
      <protection locked="0"/>
    </xf>
    <xf numFmtId="9" fontId="1" fillId="0" borderId="2" xfId="35" applyFont="1" applyBorder="1" applyProtection="1">
      <protection locked="0"/>
    </xf>
    <xf numFmtId="9" fontId="0" fillId="0" borderId="2" xfId="35" applyFont="1" applyBorder="1" applyProtection="1">
      <protection locked="0"/>
    </xf>
    <xf numFmtId="0" fontId="0" fillId="0" borderId="2" xfId="0" applyBorder="1"/>
    <xf numFmtId="0" fontId="1" fillId="46" borderId="0" xfId="0" applyFont="1" applyFill="1" applyProtection="1">
      <protection locked="0"/>
    </xf>
    <xf numFmtId="0" fontId="0" fillId="46" borderId="0" xfId="0" applyFill="1" applyProtection="1">
      <protection locked="0"/>
    </xf>
    <xf numFmtId="0" fontId="0" fillId="52" borderId="0" xfId="0" applyFill="1" applyProtection="1">
      <protection locked="0"/>
    </xf>
    <xf numFmtId="0" fontId="0" fillId="48" borderId="60" xfId="0" applyFill="1" applyBorder="1" applyAlignment="1" applyProtection="1">
      <alignment horizontal="center"/>
    </xf>
    <xf numFmtId="49" fontId="1" fillId="2" borderId="2" xfId="0" applyNumberFormat="1" applyFont="1" applyFill="1" applyBorder="1" applyAlignment="1" applyProtection="1">
      <alignment horizontal="left" vertical="center"/>
      <protection locked="0"/>
    </xf>
    <xf numFmtId="0" fontId="0" fillId="48" borderId="112" xfId="0" applyFill="1" applyBorder="1" applyAlignment="1" applyProtection="1">
      <alignment horizontal="center"/>
    </xf>
    <xf numFmtId="0" fontId="0" fillId="48" borderId="50" xfId="0" applyFill="1" applyBorder="1" applyAlignment="1" applyProtection="1">
      <alignment horizontal="center"/>
    </xf>
    <xf numFmtId="0" fontId="0" fillId="0" borderId="91" xfId="0" applyFill="1" applyBorder="1" applyAlignment="1" applyProtection="1">
      <alignment horizontal="center" vertical="center"/>
      <protection hidden="1"/>
    </xf>
    <xf numFmtId="0" fontId="1" fillId="0" borderId="136" xfId="0" applyFont="1" applyFill="1" applyBorder="1" applyAlignment="1" applyProtection="1">
      <alignment horizontal="center" vertical="center" wrapText="1"/>
      <protection hidden="1"/>
    </xf>
    <xf numFmtId="167" fontId="0" fillId="0" borderId="0" xfId="0" applyNumberFormat="1" applyProtection="1">
      <protection locked="0"/>
    </xf>
    <xf numFmtId="0" fontId="99" fillId="0" borderId="0" xfId="0" applyFont="1" applyFill="1" applyBorder="1" applyProtection="1">
      <protection locked="0"/>
    </xf>
    <xf numFmtId="0" fontId="99" fillId="0" borderId="0" xfId="0" applyFont="1" applyFill="1" applyBorder="1"/>
    <xf numFmtId="0" fontId="0" fillId="0" borderId="281" xfId="0" applyFill="1" applyBorder="1" applyAlignment="1" applyProtection="1">
      <alignment horizontal="center" vertical="center"/>
      <protection hidden="1"/>
    </xf>
    <xf numFmtId="0" fontId="1" fillId="0" borderId="289" xfId="0" applyFont="1" applyFill="1" applyBorder="1" applyAlignment="1" applyProtection="1">
      <alignment horizontal="center" vertical="center" wrapText="1"/>
      <protection hidden="1"/>
    </xf>
    <xf numFmtId="0" fontId="1" fillId="48" borderId="37" xfId="0" applyFont="1" applyFill="1" applyBorder="1" applyAlignment="1" applyProtection="1">
      <alignment horizontal="center" vertical="center"/>
      <protection hidden="1"/>
    </xf>
    <xf numFmtId="1" fontId="1" fillId="0" borderId="0" xfId="35" applyNumberFormat="1" applyFont="1" applyProtection="1">
      <protection locked="0"/>
    </xf>
    <xf numFmtId="9" fontId="1" fillId="0" borderId="295" xfId="35" applyFont="1" applyBorder="1" applyProtection="1">
      <protection locked="0"/>
    </xf>
    <xf numFmtId="9" fontId="0" fillId="0" borderId="295" xfId="35" applyFont="1" applyBorder="1" applyProtection="1">
      <protection locked="0"/>
    </xf>
    <xf numFmtId="1" fontId="1" fillId="0" borderId="295" xfId="35" applyNumberFormat="1" applyFont="1" applyBorder="1" applyProtection="1">
      <protection locked="0"/>
    </xf>
    <xf numFmtId="1" fontId="1" fillId="71" borderId="0" xfId="35" applyNumberFormat="1" applyFont="1" applyFill="1" applyProtection="1">
      <protection locked="0"/>
    </xf>
    <xf numFmtId="1" fontId="1" fillId="0" borderId="0" xfId="35" applyNumberFormat="1" applyFont="1" applyBorder="1" applyProtection="1">
      <protection locked="0"/>
    </xf>
    <xf numFmtId="167" fontId="1" fillId="0" borderId="0" xfId="0" applyNumberFormat="1" applyFont="1" applyProtection="1">
      <protection locked="0"/>
    </xf>
    <xf numFmtId="167" fontId="9" fillId="0" borderId="0" xfId="0" applyNumberFormat="1" applyFont="1" applyFill="1"/>
    <xf numFmtId="167" fontId="9" fillId="70" borderId="0" xfId="0" applyNumberFormat="1" applyFont="1" applyFill="1"/>
    <xf numFmtId="9" fontId="9" fillId="0" borderId="0" xfId="35" applyFont="1" applyFill="1" applyAlignment="1">
      <alignment horizontal="center"/>
    </xf>
    <xf numFmtId="0" fontId="0" fillId="46" borderId="0" xfId="0" applyFont="1" applyFill="1"/>
    <xf numFmtId="167" fontId="0" fillId="67" borderId="281" xfId="0" applyNumberFormat="1" applyFill="1" applyBorder="1" applyAlignment="1" applyProtection="1">
      <alignment horizontal="center" vertical="center"/>
      <protection locked="0"/>
    </xf>
    <xf numFmtId="167" fontId="0" fillId="67" borderId="280" xfId="0" applyNumberFormat="1" applyFill="1" applyBorder="1" applyAlignment="1" applyProtection="1">
      <alignment horizontal="center" vertical="center"/>
      <protection locked="0"/>
    </xf>
    <xf numFmtId="167" fontId="0" fillId="67" borderId="285" xfId="0" applyNumberFormat="1" applyFill="1" applyBorder="1" applyAlignment="1" applyProtection="1">
      <alignment horizontal="center" vertical="center"/>
      <protection locked="0"/>
    </xf>
    <xf numFmtId="167" fontId="0" fillId="67" borderId="292" xfId="0" applyNumberFormat="1" applyFill="1" applyBorder="1" applyAlignment="1" applyProtection="1">
      <alignment horizontal="center" vertical="center"/>
      <protection locked="0"/>
    </xf>
    <xf numFmtId="167" fontId="0" fillId="67" borderId="37" xfId="0" applyNumberFormat="1" applyFill="1" applyBorder="1" applyAlignment="1" applyProtection="1">
      <alignment horizontal="center" vertical="center"/>
      <protection locked="0"/>
    </xf>
    <xf numFmtId="167" fontId="0" fillId="0" borderId="280" xfId="0" applyNumberFormat="1" applyFill="1" applyBorder="1" applyAlignment="1" applyProtection="1">
      <alignment horizontal="center" vertical="center"/>
      <protection hidden="1"/>
    </xf>
    <xf numFmtId="167" fontId="0" fillId="0" borderId="281" xfId="0" applyNumberFormat="1" applyFill="1" applyBorder="1" applyAlignment="1" applyProtection="1">
      <alignment horizontal="center" vertical="center"/>
      <protection hidden="1"/>
    </xf>
    <xf numFmtId="167" fontId="0" fillId="0" borderId="292" xfId="0" applyNumberFormat="1" applyFill="1" applyBorder="1" applyAlignment="1" applyProtection="1">
      <alignment horizontal="center" vertical="center"/>
      <protection hidden="1"/>
    </xf>
    <xf numFmtId="167" fontId="0" fillId="0" borderId="289" xfId="0" applyNumberFormat="1" applyFill="1" applyBorder="1" applyAlignment="1" applyProtection="1">
      <alignment horizontal="center" vertical="center"/>
      <protection hidden="1"/>
    </xf>
    <xf numFmtId="167" fontId="0" fillId="0" borderId="282" xfId="0" applyNumberFormat="1" applyFill="1" applyBorder="1" applyAlignment="1" applyProtection="1">
      <alignment horizontal="center" vertical="center"/>
      <protection hidden="1"/>
    </xf>
    <xf numFmtId="167" fontId="0" fillId="0" borderId="283" xfId="0" applyNumberFormat="1" applyFill="1" applyBorder="1" applyAlignment="1" applyProtection="1">
      <alignment horizontal="center" vertical="center"/>
      <protection hidden="1"/>
    </xf>
    <xf numFmtId="167" fontId="0" fillId="0" borderId="147" xfId="0" applyNumberFormat="1" applyFill="1" applyBorder="1" applyAlignment="1" applyProtection="1">
      <alignment horizontal="center" vertical="center"/>
      <protection hidden="1"/>
    </xf>
    <xf numFmtId="0" fontId="1" fillId="0" borderId="0" xfId="0" applyFont="1" applyBorder="1" applyAlignment="1" applyProtection="1">
      <alignment horizontal="center"/>
    </xf>
    <xf numFmtId="0" fontId="1" fillId="0" borderId="0" xfId="0" applyFont="1" applyProtection="1"/>
    <xf numFmtId="1" fontId="0" fillId="0" borderId="0" xfId="0" applyNumberFormat="1" applyProtection="1"/>
    <xf numFmtId="0" fontId="1" fillId="0" borderId="0" xfId="0" applyFont="1" applyAlignment="1" applyProtection="1">
      <alignment horizontal="center"/>
      <protection locked="0"/>
    </xf>
    <xf numFmtId="0" fontId="9" fillId="49" borderId="0" xfId="62" applyFill="1" applyAlignment="1" applyProtection="1">
      <alignment horizontal="center"/>
      <protection locked="0"/>
    </xf>
    <xf numFmtId="167" fontId="0" fillId="0" borderId="74" xfId="0" applyNumberFormat="1" applyFill="1" applyBorder="1" applyAlignment="1" applyProtection="1">
      <alignment horizontal="center" vertical="center"/>
      <protection hidden="1"/>
    </xf>
    <xf numFmtId="0" fontId="1" fillId="48" borderId="6" xfId="0" applyFont="1" applyFill="1" applyBorder="1" applyAlignment="1" applyProtection="1">
      <alignment horizontal="center" vertical="center"/>
      <protection hidden="1"/>
    </xf>
    <xf numFmtId="0" fontId="0" fillId="0" borderId="54" xfId="0" applyBorder="1" applyAlignment="1" applyProtection="1">
      <alignment horizontal="center"/>
      <protection hidden="1"/>
    </xf>
    <xf numFmtId="167" fontId="0" fillId="50" borderId="73" xfId="0" applyNumberFormat="1" applyFill="1" applyBorder="1" applyAlignment="1" applyProtection="1">
      <alignment horizontal="center" vertical="center"/>
      <protection locked="0"/>
    </xf>
    <xf numFmtId="167" fontId="0" fillId="50" borderId="74" xfId="0" applyNumberFormat="1" applyFill="1" applyBorder="1" applyAlignment="1" applyProtection="1">
      <alignment horizontal="center" vertical="center"/>
      <protection locked="0"/>
    </xf>
    <xf numFmtId="167" fontId="0" fillId="50" borderId="144" xfId="0" applyNumberFormat="1" applyFill="1" applyBorder="1" applyAlignment="1" applyProtection="1">
      <alignment horizontal="center" vertical="center"/>
      <protection locked="0"/>
    </xf>
    <xf numFmtId="0" fontId="115" fillId="0" borderId="0" xfId="0" applyFont="1" applyProtection="1">
      <protection hidden="1"/>
    </xf>
    <xf numFmtId="167" fontId="0" fillId="0" borderId="144" xfId="0" applyNumberFormat="1" applyFill="1" applyBorder="1" applyAlignment="1" applyProtection="1">
      <alignment horizontal="center" vertical="center"/>
      <protection hidden="1"/>
    </xf>
    <xf numFmtId="1" fontId="2" fillId="0" borderId="118" xfId="0" applyNumberFormat="1" applyFont="1" applyBorder="1" applyAlignment="1" applyProtection="1">
      <alignment horizontal="center" vertical="center"/>
    </xf>
    <xf numFmtId="1" fontId="0" fillId="0" borderId="73" xfId="0" applyNumberFormat="1" applyFill="1" applyBorder="1" applyAlignment="1" applyProtection="1">
      <alignment horizontal="center"/>
    </xf>
    <xf numFmtId="1" fontId="0" fillId="0" borderId="74" xfId="0" applyNumberFormat="1" applyFill="1" applyBorder="1" applyAlignment="1" applyProtection="1">
      <alignment horizontal="center"/>
    </xf>
    <xf numFmtId="1" fontId="0" fillId="0" borderId="144" xfId="0" applyNumberFormat="1" applyFill="1" applyBorder="1" applyAlignment="1" applyProtection="1">
      <alignment horizontal="center"/>
    </xf>
    <xf numFmtId="0" fontId="1" fillId="2" borderId="280" xfId="0" applyFont="1" applyFill="1" applyBorder="1" applyAlignment="1" applyProtection="1">
      <alignment horizontal="center" vertical="center"/>
      <protection locked="0"/>
    </xf>
    <xf numFmtId="0" fontId="9" fillId="2" borderId="281" xfId="0" applyFont="1" applyFill="1" applyBorder="1" applyAlignment="1" applyProtection="1">
      <alignment horizontal="center" vertical="center"/>
      <protection locked="0"/>
    </xf>
    <xf numFmtId="0" fontId="9" fillId="2" borderId="289" xfId="0" applyFont="1" applyFill="1" applyBorder="1" applyAlignment="1" applyProtection="1">
      <alignment horizontal="center" vertical="center"/>
      <protection locked="0"/>
    </xf>
    <xf numFmtId="167" fontId="9" fillId="2" borderId="296" xfId="0" applyNumberFormat="1" applyFont="1" applyFill="1" applyBorder="1" applyAlignment="1" applyProtection="1">
      <alignment horizontal="center" vertical="center"/>
      <protection locked="0"/>
    </xf>
    <xf numFmtId="167" fontId="9" fillId="50" borderId="68" xfId="0" applyNumberFormat="1" applyFont="1" applyFill="1" applyBorder="1" applyAlignment="1" applyProtection="1">
      <alignment horizontal="center" vertical="center"/>
      <protection locked="0"/>
    </xf>
    <xf numFmtId="167" fontId="9" fillId="50" borderId="87" xfId="0" applyNumberFormat="1" applyFont="1" applyFill="1" applyBorder="1" applyAlignment="1" applyProtection="1">
      <alignment horizontal="center" vertical="center"/>
      <protection locked="0"/>
    </xf>
    <xf numFmtId="167" fontId="9" fillId="50" borderId="69" xfId="0" applyNumberFormat="1" applyFont="1" applyFill="1" applyBorder="1" applyAlignment="1" applyProtection="1">
      <alignment horizontal="center" vertical="center"/>
      <protection locked="0"/>
    </xf>
    <xf numFmtId="167" fontId="9" fillId="50" borderId="92" xfId="0" applyNumberFormat="1" applyFont="1" applyFill="1" applyBorder="1" applyAlignment="1" applyProtection="1">
      <alignment horizontal="center" vertical="center"/>
      <protection locked="0"/>
    </xf>
    <xf numFmtId="167" fontId="9" fillId="50" borderId="70" xfId="0" applyNumberFormat="1" applyFont="1" applyFill="1" applyBorder="1" applyAlignment="1" applyProtection="1">
      <alignment horizontal="center" vertical="center"/>
      <protection locked="0"/>
    </xf>
    <xf numFmtId="167" fontId="9" fillId="2" borderId="67" xfId="0" applyNumberFormat="1" applyFont="1" applyFill="1" applyBorder="1" applyAlignment="1" applyProtection="1">
      <alignment horizontal="center" vertical="center"/>
      <protection locked="0"/>
    </xf>
    <xf numFmtId="167" fontId="9" fillId="50" borderId="124" xfId="0" applyNumberFormat="1" applyFont="1" applyFill="1" applyBorder="1" applyAlignment="1" applyProtection="1">
      <alignment horizontal="center" vertical="center"/>
      <protection locked="0"/>
    </xf>
    <xf numFmtId="167" fontId="0" fillId="2" borderId="68" xfId="0" applyNumberFormat="1" applyFill="1" applyBorder="1" applyAlignment="1" applyProtection="1">
      <alignment horizontal="center" vertical="center"/>
      <protection locked="0"/>
    </xf>
    <xf numFmtId="167" fontId="0" fillId="2" borderId="69" xfId="0" applyNumberFormat="1" applyFill="1" applyBorder="1" applyAlignment="1" applyProtection="1">
      <alignment horizontal="center" vertical="center"/>
      <protection locked="0"/>
    </xf>
    <xf numFmtId="167" fontId="0" fillId="2" borderId="92" xfId="0" applyNumberFormat="1" applyFill="1" applyBorder="1" applyAlignment="1" applyProtection="1">
      <alignment horizontal="center" vertical="center"/>
      <protection locked="0"/>
    </xf>
    <xf numFmtId="167" fontId="0" fillId="2" borderId="70" xfId="0" applyNumberFormat="1" applyFill="1" applyBorder="1" applyAlignment="1" applyProtection="1">
      <alignment horizontal="center" vertical="center"/>
      <protection locked="0"/>
    </xf>
    <xf numFmtId="167" fontId="0" fillId="2" borderId="124" xfId="0" applyNumberFormat="1" applyFill="1" applyBorder="1" applyAlignment="1" applyProtection="1">
      <alignment horizontal="center" vertical="center"/>
      <protection locked="0"/>
    </xf>
    <xf numFmtId="167" fontId="0" fillId="2" borderId="67" xfId="0" applyNumberFormat="1" applyFill="1" applyBorder="1" applyAlignment="1" applyProtection="1">
      <alignment horizontal="center" vertical="center"/>
      <protection locked="0"/>
    </xf>
    <xf numFmtId="167" fontId="0" fillId="2" borderId="296" xfId="0" applyNumberFormat="1" applyFill="1" applyBorder="1" applyAlignment="1" applyProtection="1">
      <alignment horizontal="center" vertical="center"/>
      <protection locked="0"/>
    </xf>
    <xf numFmtId="167" fontId="0" fillId="50" borderId="68" xfId="0" applyNumberFormat="1" applyFill="1" applyBorder="1" applyAlignment="1" applyProtection="1">
      <alignment horizontal="center" vertical="center"/>
      <protection locked="0"/>
    </xf>
    <xf numFmtId="167" fontId="0" fillId="50" borderId="65" xfId="0" applyNumberFormat="1" applyFill="1" applyBorder="1" applyAlignment="1" applyProtection="1">
      <alignment horizontal="center" vertical="center"/>
      <protection locked="0"/>
    </xf>
    <xf numFmtId="167" fontId="0" fillId="50" borderId="87" xfId="0" applyNumberFormat="1" applyFill="1" applyBorder="1" applyAlignment="1" applyProtection="1">
      <alignment horizontal="center" vertical="center"/>
      <protection locked="0"/>
    </xf>
    <xf numFmtId="167" fontId="0" fillId="50" borderId="69" xfId="0" applyNumberFormat="1" applyFill="1" applyBorder="1" applyAlignment="1" applyProtection="1">
      <alignment horizontal="center" vertical="center"/>
      <protection locked="0"/>
    </xf>
    <xf numFmtId="167" fontId="0" fillId="50" borderId="66" xfId="0" applyNumberFormat="1" applyFill="1" applyBorder="1" applyAlignment="1" applyProtection="1">
      <alignment horizontal="center" vertical="center"/>
      <protection locked="0"/>
    </xf>
    <xf numFmtId="167" fontId="0" fillId="50" borderId="92" xfId="0" applyNumberFormat="1" applyFill="1" applyBorder="1" applyAlignment="1" applyProtection="1">
      <alignment horizontal="center" vertical="center"/>
      <protection locked="0"/>
    </xf>
    <xf numFmtId="167" fontId="0" fillId="50" borderId="70" xfId="0" applyNumberFormat="1" applyFill="1" applyBorder="1" applyAlignment="1" applyProtection="1">
      <alignment horizontal="center" vertical="center"/>
      <protection locked="0"/>
    </xf>
    <xf numFmtId="167" fontId="0" fillId="50" borderId="67" xfId="0" applyNumberFormat="1" applyFill="1" applyBorder="1" applyAlignment="1" applyProtection="1">
      <alignment horizontal="center" vertical="center"/>
      <protection locked="0"/>
    </xf>
    <xf numFmtId="167" fontId="0" fillId="50" borderId="124" xfId="0" applyNumberFormat="1" applyFill="1" applyBorder="1" applyAlignment="1" applyProtection="1">
      <alignment horizontal="center" vertical="center"/>
      <protection locked="0"/>
    </xf>
    <xf numFmtId="0" fontId="1" fillId="48" borderId="44" xfId="0" applyFont="1" applyFill="1" applyBorder="1" applyProtection="1">
      <protection hidden="1"/>
    </xf>
    <xf numFmtId="0" fontId="0" fillId="48" borderId="45" xfId="0" applyFill="1" applyBorder="1" applyProtection="1">
      <protection hidden="1"/>
    </xf>
    <xf numFmtId="0" fontId="0" fillId="0" borderId="115" xfId="0" applyBorder="1" applyAlignment="1" applyProtection="1">
      <alignment horizontal="center"/>
      <protection hidden="1"/>
    </xf>
    <xf numFmtId="0" fontId="1" fillId="48" borderId="167" xfId="0" applyFont="1" applyFill="1" applyBorder="1" applyProtection="1">
      <protection hidden="1"/>
    </xf>
    <xf numFmtId="0" fontId="0" fillId="48" borderId="290" xfId="0" applyFill="1" applyBorder="1" applyProtection="1">
      <protection hidden="1"/>
    </xf>
    <xf numFmtId="0" fontId="0" fillId="0" borderId="279" xfId="0" applyBorder="1" applyAlignment="1" applyProtection="1">
      <alignment horizontal="center"/>
      <protection hidden="1"/>
    </xf>
    <xf numFmtId="0" fontId="1" fillId="0" borderId="109" xfId="0" applyFont="1" applyFill="1" applyBorder="1" applyAlignment="1" applyProtection="1">
      <alignment horizontal="center" vertical="center"/>
      <protection hidden="1"/>
    </xf>
    <xf numFmtId="0" fontId="1" fillId="0" borderId="292" xfId="0" applyFont="1" applyFill="1" applyBorder="1" applyAlignment="1" applyProtection="1">
      <alignment horizontal="center" vertical="center"/>
      <protection hidden="1"/>
    </xf>
    <xf numFmtId="1" fontId="93" fillId="0" borderId="0" xfId="0" applyNumberFormat="1" applyFont="1" applyAlignment="1" applyProtection="1">
      <alignment horizontal="center" vertical="center"/>
      <protection hidden="1"/>
    </xf>
    <xf numFmtId="0" fontId="1" fillId="67" borderId="2" xfId="0" applyFont="1" applyFill="1" applyBorder="1" applyAlignment="1" applyProtection="1">
      <alignment vertical="center"/>
      <protection hidden="1"/>
    </xf>
    <xf numFmtId="0" fontId="1" fillId="0" borderId="58" xfId="0" applyFont="1" applyFill="1" applyBorder="1" applyAlignment="1" applyProtection="1">
      <alignment vertical="center"/>
      <protection hidden="1"/>
    </xf>
    <xf numFmtId="0" fontId="1" fillId="0" borderId="2" xfId="0" applyFont="1" applyFill="1" applyBorder="1" applyAlignment="1" applyProtection="1">
      <alignment vertical="center"/>
      <protection hidden="1"/>
    </xf>
    <xf numFmtId="0" fontId="1" fillId="0" borderId="16" xfId="0" applyFont="1" applyFill="1" applyBorder="1" applyAlignment="1" applyProtection="1">
      <alignment vertical="center"/>
      <protection hidden="1"/>
    </xf>
    <xf numFmtId="0" fontId="116" fillId="0" borderId="0" xfId="0" applyFont="1" applyAlignment="1" applyProtection="1">
      <alignment vertical="center"/>
      <protection hidden="1"/>
    </xf>
    <xf numFmtId="0" fontId="5" fillId="0" borderId="0" xfId="62" applyFont="1" applyFill="1" applyBorder="1" applyAlignment="1" applyProtection="1">
      <alignment horizontal="left"/>
      <protection locked="0"/>
    </xf>
    <xf numFmtId="0" fontId="9" fillId="0" borderId="3" xfId="62" applyFont="1" applyFill="1" applyBorder="1" applyAlignment="1" applyProtection="1">
      <alignment horizontal="center"/>
      <protection locked="0"/>
    </xf>
    <xf numFmtId="0" fontId="2" fillId="0" borderId="30" xfId="42" applyFont="1" applyFill="1" applyBorder="1" applyAlignment="1" applyProtection="1">
      <alignment horizontal="center" vertical="center" wrapText="1"/>
      <protection locked="0"/>
    </xf>
    <xf numFmtId="1" fontId="13" fillId="0" borderId="5" xfId="37" applyNumberFormat="1" applyFont="1" applyFill="1" applyBorder="1" applyAlignment="1" applyProtection="1">
      <alignment horizontal="center" vertical="center"/>
      <protection locked="0"/>
    </xf>
    <xf numFmtId="1" fontId="53" fillId="0" borderId="5" xfId="49" applyNumberFormat="1" applyFont="1" applyFill="1" applyBorder="1" applyAlignment="1" applyProtection="1">
      <alignment horizontal="center"/>
      <protection locked="0"/>
    </xf>
    <xf numFmtId="0" fontId="2" fillId="0" borderId="32" xfId="42" applyFont="1" applyFill="1" applyBorder="1" applyAlignment="1" applyProtection="1">
      <alignment horizontal="center" vertical="center" wrapText="1"/>
      <protection locked="0"/>
    </xf>
    <xf numFmtId="1" fontId="13" fillId="0" borderId="6" xfId="37" applyNumberFormat="1" applyFont="1" applyFill="1" applyBorder="1" applyAlignment="1" applyProtection="1">
      <alignment horizontal="center"/>
      <protection locked="0"/>
    </xf>
    <xf numFmtId="0" fontId="6" fillId="0" borderId="6" xfId="42" applyFont="1" applyFill="1" applyBorder="1" applyAlignment="1" applyProtection="1">
      <alignment horizontal="center" vertical="center" wrapText="1"/>
      <protection locked="0"/>
    </xf>
    <xf numFmtId="0" fontId="2" fillId="0" borderId="34" xfId="42" applyFont="1" applyFill="1" applyBorder="1" applyAlignment="1" applyProtection="1">
      <alignment horizontal="center" vertical="center" wrapText="1"/>
      <protection locked="0"/>
    </xf>
    <xf numFmtId="0" fontId="78" fillId="0" borderId="0" xfId="62" applyFont="1" applyFill="1" applyBorder="1" applyAlignment="1" applyProtection="1">
      <alignment horizontal="left" vertical="top"/>
      <protection locked="0"/>
    </xf>
    <xf numFmtId="0" fontId="0" fillId="48" borderId="86" xfId="0" applyFill="1" applyBorder="1" applyAlignment="1" applyProtection="1">
      <alignment horizontal="left" vertical="center"/>
      <protection hidden="1"/>
    </xf>
    <xf numFmtId="0" fontId="0" fillId="48" borderId="91" xfId="0" applyFill="1" applyBorder="1" applyAlignment="1" applyProtection="1">
      <alignment horizontal="left" vertical="center"/>
      <protection hidden="1"/>
    </xf>
    <xf numFmtId="0" fontId="0" fillId="48" borderId="136" xfId="0" applyFill="1" applyBorder="1" applyAlignment="1" applyProtection="1">
      <alignment horizontal="left" vertical="center"/>
      <protection hidden="1"/>
    </xf>
    <xf numFmtId="2" fontId="9" fillId="0" borderId="125" xfId="0" applyNumberFormat="1" applyFont="1" applyFill="1" applyBorder="1" applyAlignment="1" applyProtection="1">
      <alignment horizontal="center" vertical="center"/>
      <protection hidden="1"/>
    </xf>
    <xf numFmtId="2" fontId="9" fillId="0" borderId="115" xfId="0" applyNumberFormat="1" applyFont="1" applyFill="1" applyBorder="1" applyAlignment="1" applyProtection="1">
      <alignment horizontal="center" vertical="center"/>
      <protection hidden="1"/>
    </xf>
    <xf numFmtId="2" fontId="9" fillId="0" borderId="168" xfId="0" applyNumberFormat="1" applyFont="1" applyFill="1" applyBorder="1" applyAlignment="1" applyProtection="1">
      <alignment horizontal="center" vertical="center"/>
    </xf>
    <xf numFmtId="2" fontId="9" fillId="0" borderId="279" xfId="0" applyNumberFormat="1" applyFont="1" applyFill="1" applyBorder="1" applyAlignment="1" applyProtection="1">
      <alignment horizontal="center" vertical="center"/>
    </xf>
    <xf numFmtId="1" fontId="1" fillId="0" borderId="125" xfId="0" applyNumberFormat="1" applyFont="1" applyFill="1" applyBorder="1" applyAlignment="1" applyProtection="1">
      <alignment horizontal="center" vertical="center"/>
      <protection hidden="1"/>
    </xf>
    <xf numFmtId="1" fontId="1" fillId="0" borderId="97" xfId="0" applyNumberFormat="1" applyFont="1" applyFill="1" applyBorder="1" applyAlignment="1" applyProtection="1">
      <alignment horizontal="center" vertical="center"/>
      <protection hidden="1"/>
    </xf>
    <xf numFmtId="1" fontId="1" fillId="0" borderId="115" xfId="0" applyNumberFormat="1" applyFont="1" applyFill="1" applyBorder="1" applyAlignment="1" applyProtection="1">
      <alignment horizontal="center" vertical="center"/>
      <protection hidden="1"/>
    </xf>
    <xf numFmtId="1" fontId="93" fillId="0" borderId="125" xfId="0" applyNumberFormat="1" applyFont="1" applyBorder="1" applyAlignment="1" applyProtection="1">
      <alignment horizontal="center" vertical="center"/>
      <protection hidden="1"/>
    </xf>
    <xf numFmtId="1" fontId="93" fillId="0" borderId="97" xfId="0" applyNumberFormat="1" applyFont="1" applyBorder="1" applyAlignment="1" applyProtection="1">
      <alignment horizontal="center" vertical="center"/>
      <protection hidden="1"/>
    </xf>
    <xf numFmtId="1" fontId="93" fillId="0" borderId="115" xfId="0" applyNumberFormat="1" applyFont="1" applyBorder="1" applyAlignment="1" applyProtection="1">
      <alignment horizontal="center" vertical="center"/>
      <protection hidden="1"/>
    </xf>
    <xf numFmtId="0" fontId="13" fillId="48" borderId="5" xfId="42" applyFont="1" applyFill="1" applyBorder="1" applyAlignment="1">
      <alignment horizontal="center"/>
    </xf>
    <xf numFmtId="0" fontId="13" fillId="48" borderId="0" xfId="42" applyFont="1" applyFill="1" applyBorder="1" applyAlignment="1">
      <alignment horizontal="center"/>
    </xf>
    <xf numFmtId="0" fontId="9" fillId="0" borderId="116" xfId="0" applyFont="1" applyFill="1" applyBorder="1" applyAlignment="1" applyProtection="1">
      <alignment horizontal="center" vertical="center"/>
      <protection hidden="1"/>
    </xf>
    <xf numFmtId="0" fontId="9" fillId="0" borderId="1" xfId="0" applyFont="1" applyFill="1" applyBorder="1" applyAlignment="1" applyProtection="1">
      <alignment horizontal="center" vertical="center"/>
      <protection hidden="1"/>
    </xf>
    <xf numFmtId="0" fontId="9" fillId="0" borderId="116"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60" xfId="0" applyFont="1" applyFill="1" applyBorder="1" applyAlignment="1">
      <alignment horizontal="center" vertical="center"/>
    </xf>
    <xf numFmtId="0" fontId="9" fillId="0" borderId="159" xfId="0" applyFont="1" applyFill="1" applyBorder="1" applyAlignment="1">
      <alignment horizontal="center" vertical="center"/>
    </xf>
    <xf numFmtId="0" fontId="93" fillId="0" borderId="116" xfId="0" applyFont="1" applyFill="1" applyBorder="1" applyAlignment="1" applyProtection="1">
      <alignment horizontal="center" vertical="center"/>
      <protection hidden="1"/>
    </xf>
    <xf numFmtId="0" fontId="93" fillId="0" borderId="1" xfId="0" applyFont="1" applyFill="1" applyBorder="1" applyAlignment="1" applyProtection="1">
      <alignment horizontal="center" vertical="center"/>
      <protection hidden="1"/>
    </xf>
    <xf numFmtId="0" fontId="9" fillId="0" borderId="52" xfId="0" applyFont="1" applyFill="1" applyBorder="1" applyAlignment="1" applyProtection="1">
      <alignment horizontal="center" vertical="center" wrapText="1"/>
      <protection hidden="1"/>
    </xf>
    <xf numFmtId="0" fontId="9" fillId="0" borderId="53" xfId="0" applyFont="1" applyFill="1" applyBorder="1" applyAlignment="1" applyProtection="1">
      <alignment horizontal="center" vertical="center" wrapText="1"/>
      <protection hidden="1"/>
    </xf>
    <xf numFmtId="1" fontId="9" fillId="0" borderId="125" xfId="0" applyNumberFormat="1" applyFont="1" applyFill="1" applyBorder="1" applyAlignment="1" applyProtection="1">
      <alignment horizontal="center" vertical="center"/>
      <protection hidden="1"/>
    </xf>
    <xf numFmtId="1" fontId="9" fillId="0" borderId="19" xfId="0" applyNumberFormat="1" applyFont="1" applyFill="1" applyBorder="1" applyAlignment="1" applyProtection="1">
      <alignment horizontal="center" vertical="center"/>
      <protection hidden="1"/>
    </xf>
    <xf numFmtId="1" fontId="93" fillId="0" borderId="125" xfId="0" applyNumberFormat="1" applyFont="1" applyFill="1" applyBorder="1" applyAlignment="1" applyProtection="1">
      <alignment horizontal="center" vertical="center"/>
      <protection hidden="1"/>
    </xf>
    <xf numFmtId="1" fontId="93" fillId="0" borderId="19" xfId="0" applyNumberFormat="1" applyFont="1" applyFill="1" applyBorder="1" applyAlignment="1" applyProtection="1">
      <alignment horizontal="center" vertical="center"/>
      <protection hidden="1"/>
    </xf>
    <xf numFmtId="2" fontId="9" fillId="0" borderId="19" xfId="0" applyNumberFormat="1" applyFont="1" applyFill="1" applyBorder="1" applyAlignment="1" applyProtection="1">
      <alignment horizontal="center" vertical="center"/>
      <protection hidden="1"/>
    </xf>
    <xf numFmtId="2" fontId="9" fillId="0" borderId="168" xfId="0" applyNumberFormat="1" applyFont="1" applyFill="1" applyBorder="1" applyAlignment="1" applyProtection="1">
      <alignment horizontal="center" vertical="center"/>
      <protection hidden="1"/>
    </xf>
    <xf numFmtId="2" fontId="9" fillId="0" borderId="135" xfId="0" applyNumberFormat="1" applyFont="1" applyFill="1" applyBorder="1" applyAlignment="1" applyProtection="1">
      <alignment horizontal="center" vertical="center"/>
      <protection hidden="1"/>
    </xf>
    <xf numFmtId="2" fontId="9" fillId="0" borderId="1" xfId="0" applyNumberFormat="1" applyFont="1" applyBorder="1" applyAlignment="1" applyProtection="1">
      <alignment horizontal="center" vertical="center"/>
      <protection hidden="1"/>
    </xf>
    <xf numFmtId="2" fontId="9" fillId="0" borderId="117" xfId="0" applyNumberFormat="1" applyFont="1" applyBorder="1" applyAlignment="1" applyProtection="1">
      <alignment horizontal="center" vertical="center"/>
      <protection hidden="1"/>
    </xf>
    <xf numFmtId="2" fontId="9" fillId="0" borderId="159" xfId="0" applyNumberFormat="1" applyFont="1" applyBorder="1" applyAlignment="1" applyProtection="1">
      <alignment horizontal="center" vertical="center"/>
      <protection hidden="1"/>
    </xf>
    <xf numFmtId="2" fontId="9" fillId="0" borderId="94" xfId="0" applyNumberFormat="1" applyFont="1" applyBorder="1" applyAlignment="1" applyProtection="1">
      <alignment horizontal="center" vertical="center"/>
      <protection hidden="1"/>
    </xf>
    <xf numFmtId="0" fontId="1" fillId="0" borderId="116" xfId="0" applyFont="1" applyFill="1" applyBorder="1" applyAlignment="1" applyProtection="1">
      <alignment horizontal="center" vertical="center"/>
    </xf>
    <xf numFmtId="0" fontId="1" fillId="0" borderId="160" xfId="0" applyFont="1" applyFill="1" applyBorder="1" applyAlignment="1" applyProtection="1">
      <alignment horizontal="center" vertical="center"/>
    </xf>
    <xf numFmtId="0" fontId="0" fillId="0" borderId="1" xfId="0" applyFill="1" applyBorder="1" applyAlignment="1" applyProtection="1">
      <alignment horizontal="center" vertical="center" wrapText="1"/>
    </xf>
    <xf numFmtId="0" fontId="0" fillId="0" borderId="159" xfId="0" applyFill="1" applyBorder="1" applyAlignment="1" applyProtection="1">
      <alignment horizontal="center" vertical="center" wrapText="1"/>
    </xf>
    <xf numFmtId="0" fontId="2" fillId="55" borderId="270" xfId="42" applyFont="1" applyFill="1" applyBorder="1" applyAlignment="1" applyProtection="1">
      <alignment horizontal="center" vertical="center"/>
    </xf>
    <xf numFmtId="0" fontId="2" fillId="55" borderId="25" xfId="42" applyFont="1" applyFill="1" applyBorder="1" applyAlignment="1" applyProtection="1">
      <alignment horizontal="center" vertical="center"/>
    </xf>
    <xf numFmtId="0" fontId="2" fillId="55" borderId="271" xfId="42" applyFont="1" applyFill="1" applyBorder="1" applyAlignment="1" applyProtection="1">
      <alignment horizontal="center" vertical="center"/>
    </xf>
    <xf numFmtId="0" fontId="86" fillId="0" borderId="210" xfId="0" applyFont="1" applyFill="1" applyBorder="1" applyAlignment="1" applyProtection="1">
      <alignment horizontal="left" vertical="center"/>
    </xf>
    <xf numFmtId="0" fontId="86" fillId="0" borderId="200" xfId="0" applyFont="1" applyFill="1" applyBorder="1" applyAlignment="1" applyProtection="1">
      <alignment horizontal="left" vertical="center"/>
    </xf>
    <xf numFmtId="0" fontId="86" fillId="0" borderId="197" xfId="0" applyFont="1" applyFill="1" applyBorder="1" applyAlignment="1" applyProtection="1">
      <alignment horizontal="left" vertical="center"/>
    </xf>
    <xf numFmtId="0" fontId="86" fillId="0" borderId="0" xfId="0" applyFont="1" applyFill="1" applyBorder="1" applyAlignment="1" applyProtection="1">
      <alignment horizontal="left" vertical="center"/>
    </xf>
    <xf numFmtId="0" fontId="86" fillId="0" borderId="195" xfId="0" applyFont="1" applyFill="1" applyBorder="1" applyAlignment="1" applyProtection="1">
      <alignment horizontal="left" vertical="center"/>
    </xf>
    <xf numFmtId="0" fontId="86" fillId="0" borderId="196" xfId="0" applyFont="1" applyFill="1" applyBorder="1" applyAlignment="1" applyProtection="1">
      <alignment horizontal="left" vertical="center"/>
    </xf>
    <xf numFmtId="0" fontId="86" fillId="0" borderId="215" xfId="0" applyFont="1" applyFill="1" applyBorder="1" applyAlignment="1" applyProtection="1">
      <alignment horizontal="left" vertical="center"/>
    </xf>
    <xf numFmtId="0" fontId="86" fillId="0" borderId="216" xfId="0" applyFont="1" applyFill="1" applyBorder="1" applyAlignment="1" applyProtection="1">
      <alignment horizontal="left" vertical="center"/>
    </xf>
    <xf numFmtId="1" fontId="9" fillId="0" borderId="231" xfId="42" applyNumberFormat="1" applyFont="1" applyFill="1" applyBorder="1" applyAlignment="1" applyProtection="1">
      <alignment horizontal="center" vertical="center"/>
      <protection hidden="1"/>
    </xf>
    <xf numFmtId="0" fontId="9" fillId="0" borderId="44" xfId="42" applyFont="1" applyFill="1" applyBorder="1" applyAlignment="1" applyProtection="1">
      <alignment horizontal="center" vertical="center"/>
    </xf>
    <xf numFmtId="0" fontId="9" fillId="0" borderId="53" xfId="42" applyFont="1" applyFill="1" applyBorder="1" applyAlignment="1" applyProtection="1">
      <alignment horizontal="center" vertical="center"/>
    </xf>
    <xf numFmtId="2" fontId="0" fillId="0" borderId="1" xfId="0" applyNumberFormat="1" applyBorder="1" applyAlignment="1" applyProtection="1">
      <alignment horizontal="center" vertical="center"/>
      <protection hidden="1"/>
    </xf>
    <xf numFmtId="0" fontId="9" fillId="0" borderId="48" xfId="0" applyFont="1" applyFill="1" applyBorder="1" applyAlignment="1" applyProtection="1">
      <alignment horizontal="center" vertical="center" wrapText="1"/>
      <protection hidden="1"/>
    </xf>
    <xf numFmtId="1" fontId="1" fillId="0" borderId="1" xfId="0" applyNumberFormat="1" applyFont="1" applyFill="1" applyBorder="1" applyAlignment="1" applyProtection="1">
      <alignment horizontal="center" vertical="center"/>
      <protection hidden="1"/>
    </xf>
    <xf numFmtId="0" fontId="1" fillId="0" borderId="1" xfId="0" applyFont="1" applyFill="1" applyBorder="1" applyAlignment="1" applyProtection="1">
      <alignment horizontal="center" vertical="center"/>
      <protection hidden="1"/>
    </xf>
    <xf numFmtId="0" fontId="1" fillId="0" borderId="117" xfId="0" applyFont="1" applyFill="1" applyBorder="1" applyAlignment="1" applyProtection="1">
      <alignment horizontal="center" vertical="center"/>
      <protection hidden="1"/>
    </xf>
    <xf numFmtId="0" fontId="9" fillId="0" borderId="116" xfId="42" applyFont="1" applyBorder="1" applyAlignment="1">
      <alignment horizontal="center" vertical="center"/>
    </xf>
    <xf numFmtId="2" fontId="1" fillId="0" borderId="1" xfId="0" applyNumberFormat="1" applyFont="1" applyBorder="1" applyAlignment="1" applyProtection="1">
      <alignment horizontal="center" vertical="center"/>
      <protection hidden="1"/>
    </xf>
    <xf numFmtId="2" fontId="1" fillId="0" borderId="117" xfId="0" applyNumberFormat="1" applyFont="1" applyBorder="1" applyAlignment="1" applyProtection="1">
      <alignment horizontal="center" vertical="center"/>
      <protection hidden="1"/>
    </xf>
    <xf numFmtId="0" fontId="9" fillId="0" borderId="167" xfId="0" applyFont="1" applyBorder="1" applyAlignment="1">
      <alignment horizontal="center" vertical="center"/>
    </xf>
    <xf numFmtId="0" fontId="9" fillId="0" borderId="135" xfId="0" applyFont="1" applyBorder="1" applyAlignment="1">
      <alignment horizontal="center" vertical="center"/>
    </xf>
    <xf numFmtId="0" fontId="9" fillId="0" borderId="56" xfId="0" applyFont="1" applyBorder="1" applyAlignment="1" applyProtection="1">
      <alignment horizontal="center" vertical="center"/>
      <protection hidden="1"/>
    </xf>
    <xf numFmtId="0" fontId="9" fillId="0" borderId="19" xfId="0" applyFont="1" applyBorder="1" applyAlignment="1" applyProtection="1">
      <alignment horizontal="center" vertical="center"/>
      <protection hidden="1"/>
    </xf>
    <xf numFmtId="0" fontId="9" fillId="0" borderId="56" xfId="0" applyFont="1" applyBorder="1" applyAlignment="1">
      <alignment horizontal="center" vertical="center"/>
    </xf>
    <xf numFmtId="0" fontId="9" fillId="0" borderId="19" xfId="0" applyFont="1" applyBorder="1" applyAlignment="1">
      <alignment horizontal="center" vertical="center"/>
    </xf>
    <xf numFmtId="0" fontId="12" fillId="0" borderId="0" xfId="0" applyFont="1" applyAlignment="1" applyProtection="1">
      <alignment horizontal="center" vertical="center" wrapText="1"/>
      <protection hidden="1"/>
    </xf>
    <xf numFmtId="1" fontId="2" fillId="43" borderId="165" xfId="0" applyNumberFormat="1" applyFont="1" applyFill="1" applyBorder="1" applyAlignment="1" applyProtection="1">
      <alignment horizontal="center" vertical="center"/>
      <protection hidden="1"/>
    </xf>
    <xf numFmtId="1" fontId="2" fillId="43" borderId="166" xfId="0" applyNumberFormat="1" applyFont="1" applyFill="1" applyBorder="1" applyAlignment="1" applyProtection="1">
      <alignment horizontal="center" vertical="center"/>
      <protection hidden="1"/>
    </xf>
    <xf numFmtId="1" fontId="0" fillId="0" borderId="195" xfId="0" applyNumberFormat="1" applyFill="1" applyBorder="1" applyAlignment="1" applyProtection="1">
      <alignment horizontal="center" vertical="center"/>
    </xf>
    <xf numFmtId="1" fontId="0" fillId="0" borderId="196" xfId="0" applyNumberFormat="1" applyFill="1" applyBorder="1" applyAlignment="1" applyProtection="1">
      <alignment horizontal="center" vertical="center"/>
    </xf>
    <xf numFmtId="1" fontId="0" fillId="0" borderId="221" xfId="0" applyNumberFormat="1" applyFill="1" applyBorder="1" applyAlignment="1" applyProtection="1">
      <alignment horizontal="center" vertical="center"/>
    </xf>
    <xf numFmtId="1" fontId="0" fillId="0" borderId="215" xfId="0" applyNumberFormat="1" applyFill="1" applyBorder="1" applyAlignment="1" applyProtection="1">
      <alignment horizontal="center" vertical="center"/>
    </xf>
    <xf numFmtId="1" fontId="0" fillId="0" borderId="216" xfId="0" applyNumberFormat="1" applyFill="1" applyBorder="1" applyAlignment="1" applyProtection="1">
      <alignment horizontal="center" vertical="center"/>
    </xf>
    <xf numFmtId="1" fontId="0" fillId="0" borderId="217" xfId="0" applyNumberFormat="1" applyFill="1" applyBorder="1" applyAlignment="1" applyProtection="1">
      <alignment horizontal="center" vertical="center"/>
    </xf>
    <xf numFmtId="0" fontId="9" fillId="0" borderId="6" xfId="0" applyFont="1" applyFill="1" applyBorder="1" applyAlignment="1" applyProtection="1">
      <alignment horizontal="center" vertical="center"/>
    </xf>
    <xf numFmtId="0" fontId="9" fillId="0" borderId="33" xfId="0" applyFont="1" applyFill="1" applyBorder="1" applyAlignment="1" applyProtection="1">
      <alignment horizontal="center" vertical="center"/>
    </xf>
    <xf numFmtId="0" fontId="0" fillId="50" borderId="125" xfId="0" applyFill="1" applyBorder="1" applyAlignment="1" applyProtection="1">
      <alignment horizontal="center"/>
      <protection locked="0"/>
    </xf>
    <xf numFmtId="0" fontId="0" fillId="50" borderId="97" xfId="0" applyFill="1" applyBorder="1" applyAlignment="1" applyProtection="1">
      <alignment horizontal="center"/>
      <protection locked="0"/>
    </xf>
    <xf numFmtId="0" fontId="0" fillId="50" borderId="19" xfId="0" applyFill="1" applyBorder="1" applyAlignment="1" applyProtection="1">
      <alignment horizontal="center"/>
      <protection locked="0"/>
    </xf>
    <xf numFmtId="167" fontId="9" fillId="43" borderId="171" xfId="0" applyNumberFormat="1" applyFont="1" applyFill="1" applyBorder="1" applyAlignment="1" applyProtection="1">
      <alignment horizontal="center" vertical="center"/>
    </xf>
    <xf numFmtId="167" fontId="9" fillId="43" borderId="155" xfId="0" applyNumberFormat="1" applyFont="1" applyFill="1" applyBorder="1" applyAlignment="1" applyProtection="1">
      <alignment horizontal="center" vertical="center"/>
    </xf>
    <xf numFmtId="167" fontId="9" fillId="43" borderId="27" xfId="0" applyNumberFormat="1" applyFont="1" applyFill="1" applyBorder="1" applyAlignment="1" applyProtection="1">
      <alignment horizontal="center" vertical="center"/>
    </xf>
    <xf numFmtId="0" fontId="0" fillId="50" borderId="50" xfId="0" applyFill="1" applyBorder="1" applyAlignment="1" applyProtection="1">
      <alignment horizontal="center"/>
      <protection locked="0"/>
    </xf>
    <xf numFmtId="0" fontId="0" fillId="50" borderId="0" xfId="0" applyFill="1" applyBorder="1" applyAlignment="1" applyProtection="1">
      <alignment horizontal="center"/>
      <protection locked="0"/>
    </xf>
    <xf numFmtId="0" fontId="0" fillId="50" borderId="24" xfId="0" applyFill="1" applyBorder="1" applyAlignment="1" applyProtection="1">
      <alignment horizontal="center"/>
      <protection locked="0"/>
    </xf>
    <xf numFmtId="1" fontId="0" fillId="50" borderId="58" xfId="0" applyNumberFormat="1" applyFill="1" applyBorder="1" applyAlignment="1" applyProtection="1">
      <alignment horizontal="center"/>
      <protection locked="0"/>
    </xf>
    <xf numFmtId="1" fontId="0" fillId="50" borderId="2" xfId="0" applyNumberFormat="1" applyFill="1" applyBorder="1" applyAlignment="1" applyProtection="1">
      <alignment horizontal="center"/>
      <protection locked="0"/>
    </xf>
    <xf numFmtId="1" fontId="0" fillId="50" borderId="16" xfId="0" applyNumberFormat="1" applyFill="1" applyBorder="1" applyAlignment="1" applyProtection="1">
      <alignment horizontal="center"/>
      <protection locked="0"/>
    </xf>
    <xf numFmtId="1" fontId="2" fillId="43" borderId="6" xfId="0" applyNumberFormat="1" applyFont="1" applyFill="1" applyBorder="1" applyAlignment="1" applyProtection="1">
      <alignment horizontal="center" vertical="center"/>
      <protection hidden="1"/>
    </xf>
    <xf numFmtId="1" fontId="2" fillId="43" borderId="33" xfId="0" applyNumberFormat="1" applyFont="1" applyFill="1" applyBorder="1" applyAlignment="1" applyProtection="1">
      <alignment horizontal="center" vertical="center"/>
      <protection hidden="1"/>
    </xf>
    <xf numFmtId="1" fontId="2" fillId="43" borderId="132" xfId="0" applyNumberFormat="1" applyFont="1" applyFill="1" applyBorder="1" applyAlignment="1" applyProtection="1">
      <alignment horizontal="center" vertical="center"/>
      <protection hidden="1"/>
    </xf>
    <xf numFmtId="1" fontId="2" fillId="43" borderId="134" xfId="0" applyNumberFormat="1" applyFont="1" applyFill="1" applyBorder="1" applyAlignment="1" applyProtection="1">
      <alignment horizontal="center" vertical="center"/>
      <protection hidden="1"/>
    </xf>
    <xf numFmtId="1" fontId="2" fillId="0" borderId="132" xfId="0" applyNumberFormat="1" applyFont="1" applyBorder="1" applyAlignment="1" applyProtection="1">
      <alignment horizontal="center" vertical="center"/>
      <protection hidden="1"/>
    </xf>
    <xf numFmtId="1" fontId="2" fillId="0" borderId="134" xfId="0" applyNumberFormat="1" applyFont="1" applyBorder="1" applyAlignment="1" applyProtection="1">
      <alignment horizontal="center" vertical="center"/>
      <protection hidden="1"/>
    </xf>
    <xf numFmtId="2" fontId="0" fillId="50" borderId="74" xfId="0" applyNumberFormat="1" applyFill="1" applyBorder="1" applyAlignment="1" applyProtection="1">
      <alignment horizontal="center"/>
      <protection locked="0"/>
    </xf>
    <xf numFmtId="2" fontId="0" fillId="50" borderId="140" xfId="0" applyNumberFormat="1" applyFill="1" applyBorder="1" applyAlignment="1" applyProtection="1">
      <alignment horizontal="center"/>
      <protection locked="0"/>
    </xf>
    <xf numFmtId="167" fontId="0" fillId="0" borderId="216" xfId="0" applyNumberFormat="1" applyFill="1" applyBorder="1" applyAlignment="1" applyProtection="1">
      <alignment horizontal="center" vertical="center"/>
      <protection hidden="1"/>
    </xf>
    <xf numFmtId="1" fontId="5" fillId="5" borderId="247" xfId="0" applyNumberFormat="1" applyFont="1" applyFill="1" applyBorder="1" applyAlignment="1" applyProtection="1">
      <alignment horizontal="center" vertical="center"/>
      <protection hidden="1"/>
    </xf>
    <xf numFmtId="1" fontId="5" fillId="5" borderId="217" xfId="0" applyNumberFormat="1" applyFont="1" applyFill="1" applyBorder="1" applyAlignment="1" applyProtection="1">
      <alignment horizontal="center" vertical="center"/>
      <protection hidden="1"/>
    </xf>
    <xf numFmtId="1" fontId="5" fillId="0" borderId="247" xfId="0" applyNumberFormat="1" applyFont="1" applyFill="1" applyBorder="1" applyAlignment="1" applyProtection="1">
      <alignment horizontal="center" vertical="center"/>
      <protection hidden="1"/>
    </xf>
    <xf numFmtId="1" fontId="5" fillId="0" borderId="217" xfId="0" applyNumberFormat="1" applyFont="1" applyFill="1" applyBorder="1" applyAlignment="1" applyProtection="1">
      <alignment horizontal="center" vertical="center"/>
      <protection hidden="1"/>
    </xf>
    <xf numFmtId="2" fontId="0" fillId="50" borderId="73" xfId="0" applyNumberFormat="1" applyFill="1" applyBorder="1" applyAlignment="1" applyProtection="1">
      <alignment horizontal="center"/>
      <protection locked="0"/>
    </xf>
    <xf numFmtId="2" fontId="0" fillId="50" borderId="138" xfId="0" applyNumberFormat="1" applyFill="1" applyBorder="1" applyAlignment="1" applyProtection="1">
      <alignment horizontal="center"/>
      <protection locked="0"/>
    </xf>
    <xf numFmtId="167" fontId="0" fillId="0" borderId="90" xfId="0" applyNumberFormat="1" applyFill="1" applyBorder="1" applyAlignment="1" applyProtection="1">
      <alignment horizontal="center"/>
    </xf>
    <xf numFmtId="0" fontId="0" fillId="0" borderId="0" xfId="0" applyAlignment="1" applyProtection="1">
      <alignment horizontal="center" vertical="center"/>
      <protection locked="0" hidden="1"/>
    </xf>
    <xf numFmtId="0" fontId="0" fillId="50" borderId="74" xfId="0" applyFill="1" applyBorder="1" applyAlignment="1" applyProtection="1">
      <alignment horizontal="center"/>
      <protection locked="0"/>
    </xf>
    <xf numFmtId="0" fontId="0" fillId="50" borderId="140" xfId="0" applyFill="1" applyBorder="1" applyAlignment="1" applyProtection="1">
      <alignment horizontal="center"/>
      <protection locked="0"/>
    </xf>
    <xf numFmtId="1" fontId="13" fillId="46" borderId="256" xfId="0" applyNumberFormat="1" applyFont="1" applyFill="1" applyBorder="1" applyAlignment="1" applyProtection="1">
      <alignment horizontal="center" vertical="center"/>
    </xf>
    <xf numFmtId="1" fontId="13" fillId="46" borderId="257" xfId="0" applyNumberFormat="1" applyFont="1" applyFill="1" applyBorder="1" applyAlignment="1" applyProtection="1">
      <alignment horizontal="center" vertical="center"/>
    </xf>
    <xf numFmtId="1" fontId="13" fillId="46" borderId="258" xfId="0" applyNumberFormat="1" applyFont="1" applyFill="1" applyBorder="1" applyAlignment="1" applyProtection="1">
      <alignment horizontal="center" vertical="center"/>
    </xf>
    <xf numFmtId="1" fontId="2" fillId="2" borderId="91" xfId="0" applyNumberFormat="1" applyFont="1" applyFill="1" applyBorder="1" applyAlignment="1" applyProtection="1">
      <alignment horizontal="center" vertical="center"/>
      <protection locked="0"/>
    </xf>
    <xf numFmtId="1" fontId="2" fillId="2" borderId="93" xfId="0" applyNumberFormat="1" applyFont="1" applyFill="1" applyBorder="1" applyAlignment="1" applyProtection="1">
      <alignment horizontal="center" vertical="center"/>
      <protection locked="0"/>
    </xf>
    <xf numFmtId="1" fontId="2" fillId="2" borderId="136" xfId="0" applyNumberFormat="1" applyFont="1" applyFill="1" applyBorder="1" applyAlignment="1" applyProtection="1">
      <alignment horizontal="center" vertical="center"/>
      <protection locked="0"/>
    </xf>
    <xf numFmtId="1" fontId="2" fillId="2" borderId="123" xfId="0" applyNumberFormat="1" applyFont="1" applyFill="1" applyBorder="1" applyAlignment="1" applyProtection="1">
      <alignment horizontal="center" vertical="center"/>
      <protection locked="0"/>
    </xf>
    <xf numFmtId="0" fontId="2" fillId="50" borderId="86" xfId="0" applyFont="1" applyFill="1" applyBorder="1" applyAlignment="1" applyProtection="1">
      <alignment horizontal="center" vertical="center"/>
      <protection locked="0"/>
    </xf>
    <xf numFmtId="0" fontId="2" fillId="50" borderId="85" xfId="0" applyFont="1" applyFill="1" applyBorder="1" applyAlignment="1" applyProtection="1">
      <alignment horizontal="center" vertical="center"/>
      <protection locked="0"/>
    </xf>
    <xf numFmtId="0" fontId="2" fillId="50" borderId="88" xfId="0" applyFont="1" applyFill="1" applyBorder="1" applyAlignment="1" applyProtection="1">
      <alignment horizontal="center" vertical="center"/>
      <protection locked="0"/>
    </xf>
    <xf numFmtId="167" fontId="0" fillId="50" borderId="74" xfId="0" applyNumberFormat="1" applyFill="1" applyBorder="1" applyAlignment="1" applyProtection="1">
      <alignment horizontal="center"/>
      <protection locked="0"/>
    </xf>
    <xf numFmtId="167" fontId="0" fillId="50" borderId="140" xfId="0" applyNumberFormat="1" applyFill="1" applyBorder="1" applyAlignment="1" applyProtection="1">
      <alignment horizontal="center"/>
      <protection locked="0"/>
    </xf>
    <xf numFmtId="0" fontId="2" fillId="0" borderId="195" xfId="0" applyFont="1" applyBorder="1" applyAlignment="1" applyProtection="1">
      <alignment horizontal="center" vertical="center"/>
      <protection hidden="1"/>
    </xf>
    <xf numFmtId="0" fontId="2" fillId="0" borderId="221" xfId="0" applyFont="1" applyBorder="1" applyAlignment="1" applyProtection="1">
      <alignment horizontal="center" vertical="center"/>
      <protection hidden="1"/>
    </xf>
    <xf numFmtId="0" fontId="2" fillId="55" borderId="265" xfId="0" applyFont="1" applyFill="1" applyBorder="1" applyAlignment="1" applyProtection="1">
      <alignment horizontal="center" vertical="center"/>
    </xf>
    <xf numFmtId="0" fontId="2" fillId="55" borderId="266" xfId="0" applyFont="1" applyFill="1" applyBorder="1" applyAlignment="1" applyProtection="1">
      <alignment horizontal="center" vertical="center"/>
    </xf>
    <xf numFmtId="0" fontId="2" fillId="48" borderId="112" xfId="0" applyFont="1" applyFill="1" applyBorder="1" applyAlignment="1" applyProtection="1">
      <alignment horizontal="center"/>
    </xf>
    <xf numFmtId="0" fontId="2" fillId="48" borderId="111" xfId="0" applyFont="1" applyFill="1" applyBorder="1" applyAlignment="1" applyProtection="1">
      <alignment horizontal="center"/>
    </xf>
    <xf numFmtId="0" fontId="27" fillId="50" borderId="91" xfId="0" applyFont="1" applyFill="1" applyBorder="1" applyAlignment="1" applyProtection="1">
      <alignment horizontal="center"/>
      <protection locked="0"/>
    </xf>
    <xf numFmtId="0" fontId="27" fillId="50" borderId="90" xfId="0" applyFont="1" applyFill="1" applyBorder="1" applyAlignment="1" applyProtection="1">
      <alignment horizontal="center"/>
      <protection locked="0"/>
    </xf>
    <xf numFmtId="0" fontId="2" fillId="48" borderId="4" xfId="0" applyFont="1" applyFill="1" applyBorder="1" applyAlignment="1" applyProtection="1">
      <alignment horizontal="center" vertical="center"/>
    </xf>
    <xf numFmtId="1" fontId="4" fillId="48" borderId="64" xfId="0" applyNumberFormat="1" applyFont="1" applyFill="1" applyBorder="1" applyAlignment="1" applyProtection="1">
      <alignment horizontal="center" vertical="center"/>
      <protection hidden="1"/>
    </xf>
    <xf numFmtId="1" fontId="4" fillId="48" borderId="118" xfId="0" applyNumberFormat="1" applyFont="1" applyFill="1" applyBorder="1" applyAlignment="1" applyProtection="1">
      <alignment horizontal="center" vertical="center"/>
      <protection hidden="1"/>
    </xf>
    <xf numFmtId="0" fontId="2" fillId="48" borderId="3" xfId="0" applyFont="1" applyFill="1" applyBorder="1" applyAlignment="1" applyProtection="1">
      <alignment horizontal="center" vertical="center"/>
    </xf>
    <xf numFmtId="0" fontId="2" fillId="48" borderId="29" xfId="0" applyFont="1" applyFill="1" applyBorder="1" applyAlignment="1" applyProtection="1">
      <alignment horizontal="center" vertical="center"/>
    </xf>
    <xf numFmtId="0" fontId="2" fillId="50" borderId="67" xfId="0" applyFont="1" applyFill="1" applyBorder="1" applyAlignment="1" applyProtection="1">
      <alignment horizontal="center" vertical="center"/>
      <protection locked="0"/>
    </xf>
    <xf numFmtId="0" fontId="2" fillId="50" borderId="124" xfId="0" applyFont="1" applyFill="1" applyBorder="1" applyAlignment="1" applyProtection="1">
      <alignment horizontal="center" vertical="center"/>
      <protection locked="0"/>
    </xf>
    <xf numFmtId="0" fontId="9" fillId="50" borderId="136" xfId="0" applyFont="1" applyFill="1" applyBorder="1" applyAlignment="1" applyProtection="1">
      <alignment horizontal="center" vertical="center"/>
      <protection locked="0"/>
    </xf>
    <xf numFmtId="0" fontId="9" fillId="50" borderId="141" xfId="0" applyFont="1" applyFill="1" applyBorder="1" applyAlignment="1" applyProtection="1">
      <alignment horizontal="center" vertical="center"/>
      <protection locked="0"/>
    </xf>
    <xf numFmtId="0" fontId="9" fillId="50" borderId="123" xfId="0" applyFont="1" applyFill="1" applyBorder="1" applyAlignment="1" applyProtection="1">
      <alignment horizontal="center" vertical="center"/>
      <protection locked="0"/>
    </xf>
    <xf numFmtId="0" fontId="2" fillId="50" borderId="65" xfId="0" applyFont="1" applyFill="1" applyBorder="1" applyAlignment="1" applyProtection="1">
      <alignment horizontal="center" vertical="center"/>
      <protection locked="0"/>
    </xf>
    <xf numFmtId="0" fontId="2" fillId="50" borderId="87" xfId="0" applyFont="1" applyFill="1" applyBorder="1" applyAlignment="1" applyProtection="1">
      <alignment horizontal="center" vertical="center"/>
      <protection locked="0"/>
    </xf>
    <xf numFmtId="1" fontId="4" fillId="46" borderId="210" xfId="0" applyNumberFormat="1" applyFont="1" applyFill="1" applyBorder="1" applyAlignment="1" applyProtection="1">
      <alignment horizontal="center" vertical="center"/>
    </xf>
    <xf numFmtId="1" fontId="4" fillId="46" borderId="200" xfId="0" applyNumberFormat="1" applyFont="1" applyFill="1" applyBorder="1" applyAlignment="1" applyProtection="1">
      <alignment horizontal="center" vertical="center"/>
    </xf>
    <xf numFmtId="1" fontId="4" fillId="46" borderId="222" xfId="0" applyNumberFormat="1" applyFont="1" applyFill="1" applyBorder="1" applyAlignment="1" applyProtection="1">
      <alignment horizontal="center" vertical="center"/>
    </xf>
    <xf numFmtId="0" fontId="2" fillId="0" borderId="47" xfId="0" applyFont="1" applyFill="1" applyBorder="1" applyAlignment="1" applyProtection="1">
      <alignment horizontal="center" vertical="center" wrapText="1"/>
      <protection hidden="1"/>
    </xf>
    <xf numFmtId="0" fontId="2" fillId="0" borderId="48" xfId="0" applyFont="1" applyFill="1" applyBorder="1" applyAlignment="1" applyProtection="1">
      <alignment horizontal="center" vertical="center" wrapText="1"/>
      <protection hidden="1"/>
    </xf>
    <xf numFmtId="0" fontId="2" fillId="0" borderId="0" xfId="0" applyFont="1" applyAlignment="1" applyProtection="1">
      <alignment horizontal="center" vertical="center"/>
      <protection locked="0" hidden="1"/>
    </xf>
    <xf numFmtId="0" fontId="2" fillId="0" borderId="0" xfId="0" applyFont="1" applyAlignment="1" applyProtection="1">
      <alignment horizontal="center" vertical="center"/>
      <protection hidden="1"/>
    </xf>
    <xf numFmtId="0" fontId="2" fillId="0" borderId="31" xfId="0"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center"/>
      <protection hidden="1"/>
    </xf>
    <xf numFmtId="1" fontId="9" fillId="0" borderId="239" xfId="0" applyNumberFormat="1" applyFont="1" applyFill="1" applyBorder="1" applyAlignment="1" applyProtection="1">
      <alignment horizontal="center" vertical="center"/>
      <protection hidden="1"/>
    </xf>
    <xf numFmtId="1" fontId="2" fillId="50" borderId="86" xfId="0" applyNumberFormat="1" applyFont="1" applyFill="1" applyBorder="1" applyAlignment="1" applyProtection="1">
      <alignment horizontal="center" vertical="center"/>
      <protection locked="0"/>
    </xf>
    <xf numFmtId="1" fontId="2" fillId="50" borderId="88"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hidden="1"/>
    </xf>
    <xf numFmtId="1" fontId="2" fillId="0" borderId="91" xfId="0" applyNumberFormat="1" applyFont="1" applyFill="1" applyBorder="1" applyAlignment="1" applyProtection="1">
      <alignment horizontal="center" vertical="center"/>
      <protection hidden="1"/>
    </xf>
    <xf numFmtId="1" fontId="2" fillId="0" borderId="93" xfId="0" applyNumberFormat="1" applyFont="1" applyFill="1" applyBorder="1" applyAlignment="1" applyProtection="1">
      <alignment horizontal="center" vertical="center"/>
      <protection hidden="1"/>
    </xf>
    <xf numFmtId="0" fontId="2" fillId="48" borderId="5" xfId="0" applyFont="1" applyFill="1" applyBorder="1" applyAlignment="1" applyProtection="1">
      <alignment horizontal="center" vertical="center"/>
    </xf>
    <xf numFmtId="0" fontId="2" fillId="48" borderId="31" xfId="0" applyFont="1" applyFill="1" applyBorder="1" applyAlignment="1" applyProtection="1">
      <alignment horizontal="center" vertical="center"/>
    </xf>
    <xf numFmtId="1" fontId="9" fillId="0" borderId="197" xfId="0" applyNumberFormat="1" applyFont="1" applyBorder="1" applyAlignment="1" applyProtection="1">
      <alignment horizontal="center" vertical="center"/>
      <protection hidden="1"/>
    </xf>
    <xf numFmtId="0" fontId="9" fillId="0" borderId="201" xfId="0" applyFont="1" applyBorder="1" applyAlignment="1" applyProtection="1">
      <alignment horizontal="center" vertical="center"/>
      <protection hidden="1"/>
    </xf>
    <xf numFmtId="1" fontId="2" fillId="0" borderId="86" xfId="0" applyNumberFormat="1" applyFont="1" applyFill="1" applyBorder="1" applyAlignment="1" applyProtection="1">
      <alignment horizontal="center" vertical="center"/>
      <protection hidden="1"/>
    </xf>
    <xf numFmtId="1" fontId="2" fillId="0" borderId="88" xfId="0" applyNumberFormat="1" applyFont="1" applyFill="1" applyBorder="1" applyAlignment="1" applyProtection="1">
      <alignment horizontal="center" vertical="center"/>
      <protection hidden="1"/>
    </xf>
    <xf numFmtId="1" fontId="2" fillId="0" borderId="136" xfId="0" applyNumberFormat="1" applyFont="1" applyFill="1" applyBorder="1" applyAlignment="1" applyProtection="1">
      <alignment horizontal="center" vertical="center"/>
      <protection hidden="1"/>
    </xf>
    <xf numFmtId="1" fontId="2" fillId="0" borderId="123" xfId="0" applyNumberFormat="1" applyFont="1" applyFill="1" applyBorder="1" applyAlignment="1" applyProtection="1">
      <alignment horizontal="center" vertical="center"/>
      <protection hidden="1"/>
    </xf>
    <xf numFmtId="167" fontId="0" fillId="50" borderId="73" xfId="0" applyNumberFormat="1" applyFill="1" applyBorder="1" applyAlignment="1" applyProtection="1">
      <alignment horizontal="center"/>
      <protection locked="0"/>
    </xf>
    <xf numFmtId="167" fontId="0" fillId="50" borderId="138" xfId="0" applyNumberFormat="1" applyFill="1" applyBorder="1" applyAlignment="1" applyProtection="1">
      <alignment horizontal="center"/>
      <protection locked="0"/>
    </xf>
    <xf numFmtId="1" fontId="9" fillId="0" borderId="48" xfId="42" applyNumberFormat="1" applyFont="1" applyFill="1" applyBorder="1" applyAlignment="1" applyProtection="1">
      <alignment horizontal="center" vertical="center"/>
      <protection hidden="1"/>
    </xf>
    <xf numFmtId="1" fontId="9" fillId="0" borderId="49" xfId="42" applyNumberFormat="1" applyFont="1" applyFill="1" applyBorder="1" applyAlignment="1" applyProtection="1">
      <alignment horizontal="center" vertical="center"/>
      <protection hidden="1"/>
    </xf>
    <xf numFmtId="0" fontId="2" fillId="50" borderId="1" xfId="0" applyFont="1" applyFill="1" applyBorder="1" applyAlignment="1" applyProtection="1">
      <alignment horizontal="center" vertical="center"/>
      <protection locked="0"/>
    </xf>
    <xf numFmtId="0" fontId="2" fillId="50" borderId="117" xfId="0" applyFont="1" applyFill="1" applyBorder="1" applyAlignment="1" applyProtection="1">
      <alignment horizontal="center" vertical="center"/>
      <protection locked="0"/>
    </xf>
    <xf numFmtId="0" fontId="1" fillId="0" borderId="52" xfId="0" applyFont="1" applyFill="1" applyBorder="1" applyAlignment="1" applyProtection="1">
      <alignment horizontal="center" vertical="center" wrapText="1"/>
      <protection hidden="1"/>
    </xf>
    <xf numFmtId="0" fontId="9" fillId="0" borderId="54" xfId="0" applyFont="1" applyFill="1" applyBorder="1" applyAlignment="1" applyProtection="1">
      <alignment horizontal="center" vertical="center" wrapText="1"/>
      <protection hidden="1"/>
    </xf>
    <xf numFmtId="0" fontId="88" fillId="0" borderId="0" xfId="0" applyFont="1" applyAlignment="1" applyProtection="1">
      <alignment horizontal="center" vertical="center"/>
    </xf>
    <xf numFmtId="0" fontId="13" fillId="47" borderId="64" xfId="0" applyFont="1" applyFill="1" applyBorder="1" applyAlignment="1" applyProtection="1">
      <alignment horizontal="left" vertical="center"/>
    </xf>
    <xf numFmtId="0" fontId="13" fillId="47" borderId="63" xfId="0" applyFont="1" applyFill="1" applyBorder="1" applyAlignment="1" applyProtection="1">
      <alignment horizontal="left" vertical="center"/>
    </xf>
    <xf numFmtId="0" fontId="13" fillId="47" borderId="118" xfId="0" applyFont="1" applyFill="1" applyBorder="1" applyAlignment="1" applyProtection="1">
      <alignment horizontal="left" vertical="center"/>
    </xf>
    <xf numFmtId="1" fontId="0" fillId="50" borderId="125" xfId="0" applyNumberFormat="1" applyFill="1" applyBorder="1" applyAlignment="1" applyProtection="1">
      <alignment horizontal="center"/>
      <protection locked="0"/>
    </xf>
    <xf numFmtId="1" fontId="0" fillId="50" borderId="97" xfId="0" applyNumberFormat="1" applyFill="1" applyBorder="1" applyAlignment="1" applyProtection="1">
      <alignment horizontal="center"/>
      <protection locked="0"/>
    </xf>
    <xf numFmtId="1" fontId="0" fillId="50" borderId="19" xfId="0" applyNumberFormat="1" applyFill="1" applyBorder="1" applyAlignment="1" applyProtection="1">
      <alignment horizontal="center"/>
      <protection locked="0"/>
    </xf>
    <xf numFmtId="0" fontId="9" fillId="0" borderId="116" xfId="0" applyFont="1" applyBorder="1" applyAlignment="1" applyProtection="1">
      <alignment horizontal="center" vertical="center"/>
      <protection hidden="1"/>
    </xf>
    <xf numFmtId="0" fontId="9" fillId="0" borderId="1" xfId="0" applyFont="1" applyBorder="1" applyAlignment="1" applyProtection="1">
      <alignment horizontal="center" vertical="center"/>
      <protection hidden="1"/>
    </xf>
    <xf numFmtId="0" fontId="9" fillId="0" borderId="116" xfId="0" applyFont="1" applyBorder="1" applyAlignment="1">
      <alignment horizontal="center" vertical="center"/>
    </xf>
    <xf numFmtId="0" fontId="9" fillId="0" borderId="1" xfId="0" applyFont="1" applyBorder="1" applyAlignment="1">
      <alignment horizontal="center" vertical="center"/>
    </xf>
    <xf numFmtId="0" fontId="9" fillId="0" borderId="160" xfId="0" applyFont="1" applyBorder="1" applyAlignment="1">
      <alignment horizontal="center" vertical="center"/>
    </xf>
    <xf numFmtId="0" fontId="9" fillId="0" borderId="159" xfId="0" applyFont="1" applyBorder="1" applyAlignment="1">
      <alignment horizontal="center" vertical="center"/>
    </xf>
    <xf numFmtId="0" fontId="9" fillId="0" borderId="47" xfId="42" applyFont="1" applyFill="1" applyBorder="1" applyAlignment="1" applyProtection="1">
      <alignment horizontal="center" vertical="center"/>
    </xf>
    <xf numFmtId="0" fontId="9" fillId="0" borderId="48" xfId="42" applyFont="1" applyFill="1" applyBorder="1" applyAlignment="1" applyProtection="1">
      <alignment horizontal="center" vertical="center"/>
    </xf>
    <xf numFmtId="0" fontId="9" fillId="0" borderId="116" xfId="42" applyFont="1" applyFill="1" applyBorder="1" applyAlignment="1" applyProtection="1">
      <alignment horizontal="center" vertical="center"/>
    </xf>
    <xf numFmtId="0" fontId="9" fillId="0" borderId="1" xfId="42" applyFont="1" applyFill="1" applyBorder="1" applyAlignment="1" applyProtection="1">
      <alignment horizontal="center" vertical="center"/>
    </xf>
    <xf numFmtId="0" fontId="2" fillId="0" borderId="161" xfId="0" applyFont="1" applyFill="1" applyBorder="1" applyAlignment="1" applyProtection="1">
      <alignment horizontal="center" vertical="center"/>
    </xf>
    <xf numFmtId="0" fontId="2" fillId="0" borderId="162" xfId="0" applyFont="1" applyFill="1" applyBorder="1" applyAlignment="1" applyProtection="1">
      <alignment horizontal="center" vertical="center"/>
    </xf>
    <xf numFmtId="0" fontId="9" fillId="0" borderId="161" xfId="0" applyFont="1" applyBorder="1" applyAlignment="1" applyProtection="1">
      <alignment horizontal="left" vertical="center"/>
    </xf>
    <xf numFmtId="0" fontId="9" fillId="0" borderId="163" xfId="0" applyFont="1" applyBorder="1" applyAlignment="1" applyProtection="1">
      <alignment horizontal="left" vertical="center"/>
    </xf>
    <xf numFmtId="0" fontId="9" fillId="0" borderId="164" xfId="0" applyFont="1" applyBorder="1" applyAlignment="1" applyProtection="1">
      <alignment horizontal="left" vertical="center"/>
    </xf>
    <xf numFmtId="1" fontId="0" fillId="0" borderId="197" xfId="0" applyNumberFormat="1" applyFill="1" applyBorder="1" applyAlignment="1" applyProtection="1">
      <alignment horizontal="center" vertical="center"/>
    </xf>
    <xf numFmtId="1" fontId="0" fillId="0" borderId="0" xfId="0" applyNumberFormat="1" applyFill="1" applyBorder="1" applyAlignment="1" applyProtection="1">
      <alignment horizontal="center" vertical="center"/>
    </xf>
    <xf numFmtId="1" fontId="0" fillId="0" borderId="201" xfId="0" applyNumberFormat="1" applyFill="1" applyBorder="1" applyAlignment="1" applyProtection="1">
      <alignment horizontal="center" vertical="center"/>
    </xf>
    <xf numFmtId="0" fontId="2" fillId="0" borderId="165" xfId="0" applyFont="1" applyFill="1" applyBorder="1" applyAlignment="1" applyProtection="1">
      <alignment horizontal="center" vertical="center"/>
    </xf>
    <xf numFmtId="0" fontId="2" fillId="0" borderId="166" xfId="0" applyFont="1" applyFill="1" applyBorder="1" applyAlignment="1" applyProtection="1">
      <alignment horizontal="center" vertical="center"/>
    </xf>
    <xf numFmtId="0" fontId="2" fillId="48" borderId="64" xfId="0" applyFont="1" applyFill="1" applyBorder="1" applyAlignment="1" applyProtection="1">
      <alignment horizontal="left" vertical="center"/>
    </xf>
    <xf numFmtId="0" fontId="2" fillId="48" borderId="63" xfId="0" applyFont="1" applyFill="1" applyBorder="1" applyAlignment="1" applyProtection="1">
      <alignment horizontal="left" vertical="center"/>
    </xf>
    <xf numFmtId="0" fontId="2" fillId="48" borderId="118" xfId="0" applyFont="1" applyFill="1" applyBorder="1" applyAlignment="1" applyProtection="1">
      <alignment horizontal="left" vertical="center"/>
    </xf>
    <xf numFmtId="1" fontId="9" fillId="0" borderId="115" xfId="0" applyNumberFormat="1" applyFont="1" applyFill="1" applyBorder="1" applyAlignment="1" applyProtection="1">
      <alignment horizontal="center" vertical="center"/>
      <protection hidden="1"/>
    </xf>
    <xf numFmtId="1" fontId="93" fillId="0" borderId="115" xfId="0" applyNumberFormat="1" applyFont="1" applyFill="1" applyBorder="1" applyAlignment="1" applyProtection="1">
      <alignment horizontal="center" vertical="center"/>
      <protection hidden="1"/>
    </xf>
    <xf numFmtId="167" fontId="0" fillId="50" borderId="144" xfId="0" applyNumberFormat="1" applyFill="1" applyBorder="1" applyAlignment="1" applyProtection="1">
      <alignment horizontal="center"/>
      <protection locked="0"/>
    </xf>
    <xf numFmtId="167" fontId="0" fillId="50" borderId="143" xfId="0" applyNumberFormat="1" applyFill="1" applyBorder="1" applyAlignment="1" applyProtection="1">
      <alignment horizontal="center"/>
      <protection locked="0"/>
    </xf>
    <xf numFmtId="0" fontId="4" fillId="55" borderId="253" xfId="0" applyFont="1" applyFill="1" applyBorder="1" applyAlignment="1" applyProtection="1">
      <alignment horizontal="center" vertical="center"/>
    </xf>
    <xf numFmtId="0" fontId="4" fillId="55" borderId="254" xfId="0" applyFont="1" applyFill="1" applyBorder="1" applyAlignment="1" applyProtection="1">
      <alignment horizontal="center" vertical="center"/>
    </xf>
    <xf numFmtId="1" fontId="2" fillId="0" borderId="209" xfId="0" applyNumberFormat="1" applyFont="1" applyFill="1" applyBorder="1" applyAlignment="1" applyProtection="1">
      <alignment horizontal="center" vertical="center"/>
      <protection hidden="1"/>
    </xf>
    <xf numFmtId="1" fontId="2" fillId="0" borderId="255" xfId="0" applyNumberFormat="1" applyFont="1" applyFill="1" applyBorder="1" applyAlignment="1" applyProtection="1">
      <alignment horizontal="center" vertical="center"/>
      <protection hidden="1"/>
    </xf>
    <xf numFmtId="0" fontId="4" fillId="55" borderId="236" xfId="0" applyFont="1" applyFill="1" applyBorder="1" applyAlignment="1" applyProtection="1">
      <alignment horizontal="center" vertical="center"/>
    </xf>
    <xf numFmtId="0" fontId="5" fillId="0" borderId="196" xfId="0" applyFont="1" applyBorder="1" applyAlignment="1" applyProtection="1">
      <alignment horizontal="right"/>
      <protection hidden="1"/>
    </xf>
    <xf numFmtId="1" fontId="9" fillId="0" borderId="198" xfId="0" applyNumberFormat="1" applyFont="1" applyBorder="1" applyAlignment="1" applyProtection="1">
      <alignment horizontal="center" vertical="center"/>
      <protection hidden="1"/>
    </xf>
    <xf numFmtId="1" fontId="9" fillId="0" borderId="243" xfId="0" applyNumberFormat="1" applyFont="1" applyBorder="1" applyAlignment="1" applyProtection="1">
      <alignment horizontal="center" vertical="center"/>
      <protection hidden="1"/>
    </xf>
    <xf numFmtId="1" fontId="9" fillId="0" borderId="193" xfId="0" applyNumberFormat="1" applyFont="1" applyBorder="1" applyAlignment="1" applyProtection="1">
      <alignment horizontal="center" vertical="center"/>
      <protection hidden="1"/>
    </xf>
    <xf numFmtId="1" fontId="9" fillId="0" borderId="248" xfId="0" applyNumberFormat="1" applyFont="1" applyBorder="1" applyAlignment="1" applyProtection="1">
      <alignment horizontal="center" vertical="center"/>
      <protection hidden="1"/>
    </xf>
    <xf numFmtId="1" fontId="9" fillId="0" borderId="249" xfId="0" applyNumberFormat="1" applyFont="1" applyBorder="1" applyAlignment="1" applyProtection="1">
      <alignment horizontal="center" vertical="center"/>
      <protection hidden="1"/>
    </xf>
    <xf numFmtId="1" fontId="9" fillId="0" borderId="250" xfId="0" applyNumberFormat="1" applyFont="1" applyBorder="1" applyAlignment="1" applyProtection="1">
      <alignment horizontal="center" vertical="center"/>
      <protection hidden="1"/>
    </xf>
    <xf numFmtId="1" fontId="2" fillId="0" borderId="211" xfId="0" applyNumberFormat="1" applyFont="1" applyFill="1" applyBorder="1" applyAlignment="1" applyProtection="1">
      <alignment horizontal="center" vertical="center"/>
      <protection hidden="1"/>
    </xf>
    <xf numFmtId="1" fontId="2" fillId="0" borderId="261" xfId="0" applyNumberFormat="1" applyFont="1" applyFill="1" applyBorder="1" applyAlignment="1" applyProtection="1">
      <alignment horizontal="center" vertical="center"/>
      <protection hidden="1"/>
    </xf>
    <xf numFmtId="1" fontId="9" fillId="0" borderId="197" xfId="0" applyNumberFormat="1" applyFont="1" applyFill="1" applyBorder="1" applyAlignment="1" applyProtection="1">
      <alignment horizontal="center" vertical="center"/>
      <protection hidden="1"/>
    </xf>
    <xf numFmtId="1" fontId="9" fillId="0" borderId="201" xfId="0" applyNumberFormat="1" applyFont="1" applyFill="1" applyBorder="1" applyAlignment="1" applyProtection="1">
      <alignment horizontal="center" vertical="center"/>
      <protection hidden="1"/>
    </xf>
    <xf numFmtId="0" fontId="2" fillId="55" borderId="195" xfId="0" applyFont="1" applyFill="1" applyBorder="1" applyAlignment="1" applyProtection="1">
      <alignment horizontal="center"/>
    </xf>
    <xf numFmtId="0" fontId="2" fillId="55" borderId="251" xfId="0" applyFont="1" applyFill="1" applyBorder="1" applyAlignment="1" applyProtection="1">
      <alignment horizontal="center"/>
    </xf>
    <xf numFmtId="0" fontId="9" fillId="50" borderId="144" xfId="0" applyFont="1" applyFill="1" applyBorder="1" applyAlignment="1" applyProtection="1">
      <alignment horizontal="center"/>
      <protection locked="0"/>
    </xf>
    <xf numFmtId="0" fontId="0" fillId="50" borderId="143" xfId="0" applyFill="1" applyBorder="1" applyAlignment="1" applyProtection="1">
      <alignment horizontal="center"/>
      <protection locked="0"/>
    </xf>
    <xf numFmtId="0" fontId="25" fillId="46" borderId="273" xfId="0" applyFont="1" applyFill="1" applyBorder="1" applyAlignment="1" applyProtection="1">
      <alignment horizontal="left"/>
    </xf>
    <xf numFmtId="0" fontId="25" fillId="46" borderId="274" xfId="0" applyFont="1" applyFill="1" applyBorder="1" applyAlignment="1" applyProtection="1">
      <alignment horizontal="left"/>
    </xf>
    <xf numFmtId="0" fontId="25" fillId="46" borderId="273" xfId="0" applyFont="1" applyFill="1" applyBorder="1" applyAlignment="1" applyProtection="1">
      <alignment horizontal="center" vertical="center"/>
      <protection hidden="1"/>
    </xf>
    <xf numFmtId="0" fontId="25" fillId="46" borderId="274" xfId="0" applyFont="1" applyFill="1" applyBorder="1" applyAlignment="1" applyProtection="1">
      <alignment horizontal="center" vertical="center"/>
      <protection hidden="1"/>
    </xf>
    <xf numFmtId="0" fontId="25" fillId="46" borderId="275" xfId="0" applyFont="1" applyFill="1" applyBorder="1" applyAlignment="1" applyProtection="1">
      <alignment horizontal="center" vertical="center"/>
      <protection hidden="1"/>
    </xf>
    <xf numFmtId="1" fontId="2" fillId="0" borderId="197" xfId="0" applyNumberFormat="1" applyFont="1" applyBorder="1" applyAlignment="1" applyProtection="1">
      <alignment horizontal="center" vertical="center"/>
      <protection hidden="1"/>
    </xf>
    <xf numFmtId="1" fontId="2" fillId="0" borderId="224" xfId="0" applyNumberFormat="1" applyFont="1" applyBorder="1" applyAlignment="1" applyProtection="1">
      <alignment horizontal="center" vertical="center"/>
      <protection hidden="1"/>
    </xf>
    <xf numFmtId="1" fontId="9" fillId="0" borderId="276" xfId="0" applyNumberFormat="1" applyFont="1" applyBorder="1" applyAlignment="1" applyProtection="1">
      <alignment horizontal="center" vertical="center"/>
      <protection hidden="1"/>
    </xf>
    <xf numFmtId="1" fontId="9" fillId="0" borderId="277" xfId="0" applyNumberFormat="1" applyFont="1" applyBorder="1" applyAlignment="1" applyProtection="1">
      <alignment horizontal="center" vertical="center"/>
      <protection hidden="1"/>
    </xf>
    <xf numFmtId="0" fontId="4" fillId="55" borderId="195" xfId="0" applyFont="1" applyFill="1" applyBorder="1" applyAlignment="1" applyProtection="1">
      <alignment horizontal="left" vertical="center"/>
    </xf>
    <xf numFmtId="0" fontId="4" fillId="55" borderId="196" xfId="0" applyFont="1" applyFill="1" applyBorder="1" applyAlignment="1" applyProtection="1">
      <alignment horizontal="left" vertical="center"/>
    </xf>
    <xf numFmtId="0" fontId="4" fillId="55" borderId="259" xfId="0" applyFont="1" applyFill="1" applyBorder="1" applyAlignment="1" applyProtection="1">
      <alignment horizontal="left" vertical="center"/>
    </xf>
    <xf numFmtId="0" fontId="4" fillId="55" borderId="208" xfId="0" applyFont="1" applyFill="1" applyBorder="1" applyAlignment="1" applyProtection="1">
      <alignment horizontal="left" vertical="center"/>
    </xf>
    <xf numFmtId="0" fontId="89" fillId="54" borderId="6" xfId="0" applyFont="1" applyFill="1" applyBorder="1" applyAlignment="1" applyProtection="1">
      <alignment horizontal="center" vertical="center" wrapText="1"/>
    </xf>
    <xf numFmtId="0" fontId="89" fillId="54" borderId="33" xfId="0" applyFont="1" applyFill="1" applyBorder="1" applyAlignment="1" applyProtection="1">
      <alignment horizontal="center" vertical="center" wrapText="1"/>
    </xf>
    <xf numFmtId="0" fontId="2" fillId="50" borderId="69" xfId="0" applyFont="1" applyFill="1" applyBorder="1" applyAlignment="1" applyProtection="1">
      <alignment horizontal="center" vertical="center"/>
      <protection locked="0"/>
    </xf>
    <xf numFmtId="0" fontId="2" fillId="50" borderId="66" xfId="0" applyFont="1" applyFill="1" applyBorder="1" applyAlignment="1" applyProtection="1">
      <alignment horizontal="center" vertical="center"/>
      <protection locked="0"/>
    </xf>
    <xf numFmtId="0" fontId="17" fillId="48" borderId="111" xfId="0" applyFont="1" applyFill="1" applyBorder="1" applyAlignment="1" applyProtection="1">
      <alignment horizontal="center" vertical="center" textRotation="90" wrapText="1"/>
    </xf>
    <xf numFmtId="0" fontId="17" fillId="48" borderId="55" xfId="0" applyFont="1" applyFill="1" applyBorder="1" applyAlignment="1" applyProtection="1">
      <alignment horizontal="center" vertical="center" textRotation="90" wrapText="1"/>
    </xf>
    <xf numFmtId="0" fontId="2" fillId="50" borderId="91" xfId="0" applyFont="1" applyFill="1" applyBorder="1" applyAlignment="1" applyProtection="1">
      <alignment horizontal="center" vertical="center"/>
      <protection locked="0"/>
    </xf>
    <xf numFmtId="0" fontId="2" fillId="50" borderId="90" xfId="0" applyFont="1" applyFill="1" applyBorder="1" applyAlignment="1" applyProtection="1">
      <alignment horizontal="center" vertical="center"/>
      <protection locked="0"/>
    </xf>
    <xf numFmtId="0" fontId="2" fillId="50" borderId="93" xfId="0" applyFont="1" applyFill="1" applyBorder="1" applyAlignment="1" applyProtection="1">
      <alignment horizontal="center" vertical="center"/>
      <protection locked="0"/>
    </xf>
    <xf numFmtId="0" fontId="12" fillId="0" borderId="159" xfId="0" applyFont="1" applyFill="1" applyBorder="1" applyAlignment="1" applyProtection="1">
      <alignment horizontal="left" vertical="center"/>
    </xf>
    <xf numFmtId="0" fontId="12" fillId="0" borderId="168" xfId="0" applyFont="1" applyFill="1" applyBorder="1" applyAlignment="1" applyProtection="1">
      <alignment horizontal="left" vertical="center"/>
    </xf>
    <xf numFmtId="0" fontId="2" fillId="50" borderId="92" xfId="0" applyFont="1" applyFill="1" applyBorder="1" applyAlignment="1" applyProtection="1">
      <alignment horizontal="center" vertical="center"/>
      <protection locked="0"/>
    </xf>
    <xf numFmtId="0" fontId="9" fillId="50" borderId="56" xfId="0" applyFont="1" applyFill="1" applyBorder="1" applyAlignment="1" applyProtection="1">
      <alignment horizontal="left" vertical="center"/>
      <protection locked="0"/>
    </xf>
    <xf numFmtId="0" fontId="9" fillId="50" borderId="19" xfId="0" applyFont="1" applyFill="1" applyBorder="1" applyAlignment="1" applyProtection="1">
      <alignment horizontal="left" vertical="center"/>
      <protection locked="0"/>
    </xf>
    <xf numFmtId="0" fontId="12" fillId="0" borderId="1" xfId="0" applyFont="1" applyFill="1" applyBorder="1" applyAlignment="1" applyProtection="1">
      <alignment horizontal="left" vertical="center"/>
    </xf>
    <xf numFmtId="0" fontId="12" fillId="0" borderId="125" xfId="0" applyFont="1" applyFill="1" applyBorder="1" applyAlignment="1" applyProtection="1">
      <alignment horizontal="left" vertical="center"/>
    </xf>
    <xf numFmtId="0" fontId="2" fillId="48" borderId="60" xfId="0" applyFont="1" applyFill="1" applyBorder="1" applyAlignment="1" applyProtection="1">
      <alignment horizontal="center" vertical="center"/>
    </xf>
    <xf numFmtId="0" fontId="2" fillId="48" borderId="7" xfId="0" applyFont="1" applyFill="1" applyBorder="1" applyAlignment="1" applyProtection="1">
      <alignment horizontal="center" vertical="center"/>
    </xf>
    <xf numFmtId="0" fontId="2" fillId="48" borderId="50" xfId="0" applyFont="1" applyFill="1" applyBorder="1" applyAlignment="1" applyProtection="1">
      <alignment horizontal="center" vertical="center"/>
    </xf>
    <xf numFmtId="0" fontId="2" fillId="48" borderId="0" xfId="0" applyFont="1" applyFill="1" applyBorder="1" applyAlignment="1" applyProtection="1">
      <alignment horizontal="center" vertical="center"/>
    </xf>
    <xf numFmtId="0" fontId="9" fillId="50" borderId="44" xfId="0" applyFont="1" applyFill="1" applyBorder="1" applyAlignment="1" applyProtection="1">
      <alignment horizontal="left" vertical="center"/>
      <protection locked="0"/>
    </xf>
    <xf numFmtId="0" fontId="9" fillId="50" borderId="53" xfId="0" applyFont="1" applyFill="1" applyBorder="1" applyAlignment="1" applyProtection="1">
      <alignment horizontal="left" vertical="center"/>
      <protection locked="0"/>
    </xf>
    <xf numFmtId="1" fontId="2" fillId="2" borderId="109" xfId="0" applyNumberFormat="1" applyFont="1" applyFill="1" applyBorder="1" applyAlignment="1" applyProtection="1">
      <alignment horizontal="center" vertical="center"/>
      <protection locked="0"/>
    </xf>
    <xf numFmtId="1" fontId="2" fillId="2" borderId="148" xfId="0" applyNumberFormat="1" applyFont="1" applyFill="1" applyBorder="1" applyAlignment="1" applyProtection="1">
      <alignment horizontal="center" vertical="center"/>
      <protection locked="0"/>
    </xf>
    <xf numFmtId="0" fontId="87" fillId="54" borderId="3" xfId="0" applyFont="1" applyFill="1" applyBorder="1" applyAlignment="1" applyProtection="1">
      <alignment horizontal="center" vertical="center" wrapText="1"/>
    </xf>
    <xf numFmtId="0" fontId="87" fillId="54" borderId="29" xfId="0" applyFont="1" applyFill="1" applyBorder="1" applyAlignment="1" applyProtection="1">
      <alignment horizontal="center" vertical="center" wrapText="1"/>
    </xf>
    <xf numFmtId="0" fontId="2" fillId="48" borderId="64" xfId="0" applyFont="1" applyFill="1" applyBorder="1" applyAlignment="1" applyProtection="1">
      <alignment horizontal="center" vertical="center"/>
    </xf>
    <xf numFmtId="0" fontId="2" fillId="48" borderId="118" xfId="0" applyFont="1" applyFill="1" applyBorder="1" applyAlignment="1" applyProtection="1">
      <alignment horizontal="center" vertical="center"/>
    </xf>
    <xf numFmtId="0" fontId="2" fillId="48" borderId="6" xfId="0" applyFont="1" applyFill="1" applyBorder="1" applyAlignment="1" applyProtection="1">
      <alignment horizontal="center" vertical="center"/>
    </xf>
    <xf numFmtId="0" fontId="2" fillId="48" borderId="33" xfId="0" applyFont="1" applyFill="1" applyBorder="1" applyAlignment="1" applyProtection="1">
      <alignment horizontal="center" vertical="center"/>
    </xf>
    <xf numFmtId="0" fontId="9" fillId="50" borderId="91" xfId="0" applyFont="1" applyFill="1" applyBorder="1" applyAlignment="1" applyProtection="1">
      <alignment horizontal="center" vertical="center"/>
      <protection locked="0"/>
    </xf>
    <xf numFmtId="0" fontId="9" fillId="50" borderId="90" xfId="0" applyFont="1" applyFill="1" applyBorder="1" applyAlignment="1" applyProtection="1">
      <alignment horizontal="center" vertical="center"/>
      <protection locked="0"/>
    </xf>
    <xf numFmtId="0" fontId="9" fillId="50" borderId="93" xfId="0" applyFont="1" applyFill="1" applyBorder="1" applyAlignment="1" applyProtection="1">
      <alignment horizontal="center" vertical="center"/>
      <protection locked="0"/>
    </xf>
    <xf numFmtId="0" fontId="2" fillId="48" borderId="24" xfId="0" applyFont="1" applyFill="1" applyBorder="1" applyAlignment="1" applyProtection="1">
      <alignment horizontal="center" vertical="center"/>
    </xf>
    <xf numFmtId="0" fontId="2" fillId="54" borderId="6" xfId="0" applyFont="1" applyFill="1" applyBorder="1" applyAlignment="1" applyProtection="1">
      <alignment horizontal="center" vertical="center"/>
    </xf>
    <xf numFmtId="0" fontId="2" fillId="54" borderId="33" xfId="0" applyFont="1" applyFill="1" applyBorder="1" applyAlignment="1" applyProtection="1">
      <alignment horizontal="center" vertical="center"/>
    </xf>
    <xf numFmtId="0" fontId="0" fillId="0" borderId="5" xfId="0" applyFill="1" applyBorder="1" applyAlignment="1" applyProtection="1">
      <alignment horizontal="left" vertical="center"/>
    </xf>
    <xf numFmtId="0" fontId="0" fillId="0" borderId="0" xfId="0" applyFill="1" applyBorder="1" applyAlignment="1" applyProtection="1">
      <alignment horizontal="left" vertical="center"/>
    </xf>
    <xf numFmtId="1" fontId="2" fillId="0" borderId="161" xfId="0" applyNumberFormat="1" applyFont="1" applyBorder="1" applyAlignment="1" applyProtection="1">
      <alignment horizontal="center" vertical="center"/>
      <protection hidden="1"/>
    </xf>
    <xf numFmtId="1" fontId="2" fillId="0" borderId="162" xfId="0" applyNumberFormat="1" applyFont="1" applyBorder="1" applyAlignment="1" applyProtection="1">
      <alignment horizontal="center" vertical="center"/>
      <protection hidden="1"/>
    </xf>
    <xf numFmtId="0" fontId="27" fillId="50" borderId="136" xfId="0" applyFont="1" applyFill="1" applyBorder="1" applyAlignment="1" applyProtection="1">
      <alignment horizontal="center"/>
      <protection locked="0"/>
    </xf>
    <xf numFmtId="0" fontId="27" fillId="50" borderId="143" xfId="0" applyFont="1" applyFill="1" applyBorder="1" applyAlignment="1" applyProtection="1">
      <alignment horizontal="center"/>
      <protection locked="0"/>
    </xf>
    <xf numFmtId="1" fontId="0" fillId="0" borderId="247" xfId="0" applyNumberFormat="1" applyFill="1" applyBorder="1" applyAlignment="1" applyProtection="1">
      <alignment horizontal="center" vertical="center"/>
      <protection hidden="1"/>
    </xf>
    <xf numFmtId="1" fontId="0" fillId="0" borderId="217" xfId="0" applyNumberFormat="1" applyFill="1" applyBorder="1" applyAlignment="1" applyProtection="1">
      <alignment horizontal="center" vertical="center"/>
      <protection hidden="1"/>
    </xf>
    <xf numFmtId="0" fontId="0" fillId="0" borderId="5" xfId="0" applyFill="1" applyBorder="1" applyAlignment="1" applyProtection="1">
      <alignment horizontal="left" vertical="center"/>
      <protection hidden="1"/>
    </xf>
    <xf numFmtId="0" fontId="0" fillId="0" borderId="0" xfId="0" applyFill="1" applyBorder="1" applyAlignment="1" applyProtection="1">
      <alignment horizontal="left" vertical="center"/>
      <protection hidden="1"/>
    </xf>
    <xf numFmtId="1" fontId="0" fillId="5" borderId="218" xfId="0" applyNumberFormat="1" applyFill="1" applyBorder="1" applyAlignment="1" applyProtection="1">
      <alignment horizontal="center" vertical="center"/>
      <protection hidden="1"/>
    </xf>
    <xf numFmtId="1" fontId="0" fillId="5" borderId="219" xfId="0" applyNumberFormat="1" applyFill="1" applyBorder="1" applyAlignment="1" applyProtection="1">
      <alignment horizontal="center" vertical="center"/>
      <protection hidden="1"/>
    </xf>
    <xf numFmtId="1" fontId="2" fillId="0" borderId="212" xfId="0" applyNumberFormat="1" applyFont="1" applyFill="1" applyBorder="1" applyAlignment="1" applyProtection="1">
      <alignment horizontal="center" vertical="center"/>
      <protection hidden="1"/>
    </xf>
    <xf numFmtId="0" fontId="2" fillId="0" borderId="213" xfId="0" applyFont="1" applyFill="1" applyBorder="1" applyAlignment="1" applyProtection="1">
      <alignment horizontal="center" vertical="center"/>
      <protection hidden="1"/>
    </xf>
    <xf numFmtId="1" fontId="0" fillId="5" borderId="247" xfId="0" applyNumberFormat="1" applyFill="1" applyBorder="1" applyAlignment="1" applyProtection="1">
      <alignment horizontal="center" vertical="center"/>
      <protection hidden="1"/>
    </xf>
    <xf numFmtId="1" fontId="0" fillId="5" borderId="217" xfId="0" applyNumberFormat="1" applyFill="1" applyBorder="1" applyAlignment="1" applyProtection="1">
      <alignment horizontal="center" vertical="center"/>
      <protection hidden="1"/>
    </xf>
    <xf numFmtId="1" fontId="2" fillId="0" borderId="141" xfId="0" applyNumberFormat="1" applyFont="1" applyFill="1" applyBorder="1" applyAlignment="1" applyProtection="1">
      <alignment horizontal="center" vertical="center"/>
      <protection hidden="1"/>
    </xf>
    <xf numFmtId="0" fontId="9" fillId="0" borderId="116" xfId="0" applyFont="1" applyFill="1" applyBorder="1" applyAlignment="1" applyProtection="1">
      <alignment horizontal="left" vertical="center"/>
      <protection hidden="1"/>
    </xf>
    <xf numFmtId="0" fontId="9" fillId="0" borderId="1" xfId="0" applyFont="1" applyFill="1" applyBorder="1" applyAlignment="1" applyProtection="1">
      <alignment horizontal="left" vertical="center"/>
      <protection hidden="1"/>
    </xf>
    <xf numFmtId="0" fontId="9" fillId="0" borderId="160" xfId="0" applyFont="1" applyFill="1" applyBorder="1" applyAlignment="1" applyProtection="1">
      <alignment horizontal="left" vertical="center"/>
      <protection hidden="1"/>
    </xf>
    <xf numFmtId="0" fontId="9" fillId="0" borderId="159" xfId="0" applyFont="1" applyFill="1" applyBorder="1" applyAlignment="1" applyProtection="1">
      <alignment horizontal="left" vertical="center"/>
      <protection hidden="1"/>
    </xf>
    <xf numFmtId="0" fontId="1" fillId="48" borderId="112" xfId="0" applyFont="1" applyFill="1" applyBorder="1" applyAlignment="1" applyProtection="1">
      <alignment horizontal="center" vertical="center" wrapText="1"/>
    </xf>
    <xf numFmtId="0" fontId="1" fillId="48" borderId="111" xfId="0" applyFont="1" applyFill="1" applyBorder="1" applyAlignment="1" applyProtection="1">
      <alignment horizontal="center" vertical="center" wrapText="1"/>
    </xf>
    <xf numFmtId="0" fontId="1" fillId="48" borderId="50" xfId="0" applyFont="1" applyFill="1" applyBorder="1" applyAlignment="1" applyProtection="1">
      <alignment horizontal="center" vertical="center" wrapText="1"/>
    </xf>
    <xf numFmtId="0" fontId="1" fillId="48" borderId="24" xfId="0" applyFont="1" applyFill="1" applyBorder="1" applyAlignment="1" applyProtection="1">
      <alignment horizontal="center" vertical="center" wrapText="1"/>
    </xf>
    <xf numFmtId="0" fontId="1" fillId="48" borderId="60" xfId="0" applyFont="1" applyFill="1" applyBorder="1" applyAlignment="1" applyProtection="1">
      <alignment horizontal="center" vertical="center" wrapText="1"/>
    </xf>
    <xf numFmtId="0" fontId="1" fillId="48" borderId="55" xfId="0" applyFont="1" applyFill="1" applyBorder="1" applyAlignment="1" applyProtection="1">
      <alignment horizontal="center" vertical="center" wrapText="1"/>
    </xf>
    <xf numFmtId="0" fontId="0" fillId="50" borderId="73" xfId="0" applyFill="1" applyBorder="1" applyAlignment="1" applyProtection="1">
      <alignment horizontal="center"/>
      <protection locked="0"/>
    </xf>
    <xf numFmtId="0" fontId="0" fillId="50" borderId="138" xfId="0" applyFill="1" applyBorder="1" applyAlignment="1" applyProtection="1">
      <alignment horizontal="center"/>
      <protection locked="0"/>
    </xf>
    <xf numFmtId="0" fontId="0" fillId="50" borderId="144" xfId="0" applyFill="1" applyBorder="1" applyAlignment="1" applyProtection="1">
      <alignment horizontal="center"/>
      <protection locked="0"/>
    </xf>
    <xf numFmtId="1" fontId="0" fillId="0" borderId="215" xfId="0" applyNumberFormat="1" applyFill="1" applyBorder="1" applyAlignment="1" applyProtection="1">
      <alignment horizontal="center" vertical="center"/>
      <protection hidden="1"/>
    </xf>
    <xf numFmtId="1" fontId="0" fillId="0" borderId="216" xfId="0" applyNumberFormat="1" applyFill="1" applyBorder="1" applyAlignment="1" applyProtection="1">
      <alignment horizontal="center" vertical="center"/>
      <protection hidden="1"/>
    </xf>
    <xf numFmtId="1" fontId="2" fillId="0" borderId="262" xfId="0" applyNumberFormat="1" applyFont="1" applyFill="1" applyBorder="1" applyAlignment="1" applyProtection="1">
      <alignment horizontal="center" vertical="center"/>
      <protection hidden="1"/>
    </xf>
    <xf numFmtId="0" fontId="2" fillId="0" borderId="214" xfId="0" applyFont="1" applyFill="1" applyBorder="1" applyAlignment="1" applyProtection="1">
      <alignment horizontal="center" vertical="center"/>
      <protection hidden="1"/>
    </xf>
    <xf numFmtId="0" fontId="2" fillId="0" borderId="132" xfId="0" applyFont="1" applyFill="1" applyBorder="1" applyAlignment="1" applyProtection="1">
      <alignment horizontal="center" vertical="center"/>
    </xf>
    <xf numFmtId="0" fontId="2" fillId="0" borderId="134" xfId="0" applyFont="1" applyFill="1" applyBorder="1" applyAlignment="1" applyProtection="1">
      <alignment horizontal="center" vertical="center"/>
    </xf>
    <xf numFmtId="0" fontId="2" fillId="55" borderId="202" xfId="42" applyFont="1" applyFill="1" applyBorder="1" applyAlignment="1" applyProtection="1">
      <alignment horizontal="center" vertical="center"/>
    </xf>
    <xf numFmtId="0" fontId="2" fillId="0" borderId="156" xfId="0" applyFont="1" applyFill="1" applyBorder="1" applyAlignment="1" applyProtection="1">
      <alignment horizontal="center" vertical="center"/>
    </xf>
    <xf numFmtId="0" fontId="2" fillId="0" borderId="158" xfId="0" applyFont="1" applyFill="1" applyBorder="1" applyAlignment="1" applyProtection="1">
      <alignment horizontal="center" vertical="center"/>
    </xf>
    <xf numFmtId="0" fontId="17" fillId="48" borderId="56" xfId="0" applyFont="1" applyFill="1" applyBorder="1" applyAlignment="1" applyProtection="1">
      <alignment horizontal="left" vertical="center"/>
      <protection hidden="1"/>
    </xf>
    <xf numFmtId="0" fontId="17" fillId="48" borderId="97" xfId="0" applyFont="1" applyFill="1" applyBorder="1" applyAlignment="1" applyProtection="1">
      <alignment horizontal="left" vertical="center"/>
      <protection hidden="1"/>
    </xf>
    <xf numFmtId="0" fontId="17" fillId="48" borderId="115" xfId="0" applyFont="1" applyFill="1" applyBorder="1" applyAlignment="1" applyProtection="1">
      <alignment horizontal="left" vertical="center"/>
      <protection hidden="1"/>
    </xf>
    <xf numFmtId="1" fontId="2" fillId="0" borderId="169" xfId="0" applyNumberFormat="1" applyFont="1" applyFill="1" applyBorder="1" applyAlignment="1" applyProtection="1">
      <alignment horizontal="center" vertical="center"/>
      <protection hidden="1"/>
    </xf>
    <xf numFmtId="1" fontId="2" fillId="0" borderId="170" xfId="0" applyNumberFormat="1" applyFont="1" applyFill="1" applyBorder="1" applyAlignment="1" applyProtection="1">
      <alignment horizontal="center" vertical="center"/>
      <protection hidden="1"/>
    </xf>
    <xf numFmtId="1" fontId="2" fillId="0" borderId="90" xfId="0" applyNumberFormat="1" applyFont="1" applyFill="1" applyBorder="1" applyAlignment="1" applyProtection="1">
      <alignment horizontal="center" vertical="center"/>
      <protection hidden="1"/>
    </xf>
    <xf numFmtId="1" fontId="2" fillId="0" borderId="13" xfId="0" applyNumberFormat="1" applyFont="1" applyFill="1" applyBorder="1" applyAlignment="1" applyProtection="1">
      <alignment horizontal="center" vertical="center"/>
      <protection hidden="1"/>
    </xf>
    <xf numFmtId="1" fontId="2" fillId="0" borderId="35" xfId="0" applyNumberFormat="1" applyFont="1" applyFill="1" applyBorder="1" applyAlignment="1" applyProtection="1">
      <alignment horizontal="center" vertical="center"/>
      <protection hidden="1"/>
    </xf>
    <xf numFmtId="0" fontId="9" fillId="0" borderId="56" xfId="42" applyFont="1" applyFill="1" applyBorder="1" applyAlignment="1" applyProtection="1">
      <alignment horizontal="center" vertical="center"/>
    </xf>
    <xf numFmtId="0" fontId="9" fillId="0" borderId="19" xfId="42" applyFont="1" applyFill="1" applyBorder="1" applyAlignment="1" applyProtection="1">
      <alignment horizontal="center" vertical="center"/>
    </xf>
    <xf numFmtId="0" fontId="2" fillId="55" borderId="206" xfId="42" applyFont="1" applyFill="1" applyBorder="1" applyAlignment="1" applyProtection="1">
      <alignment horizontal="center" vertical="center"/>
    </xf>
    <xf numFmtId="0" fontId="86" fillId="0" borderId="256" xfId="0" applyFont="1" applyFill="1" applyBorder="1" applyAlignment="1" applyProtection="1">
      <alignment horizontal="left" vertical="center"/>
    </xf>
    <xf numFmtId="0" fontId="86" fillId="0" borderId="257" xfId="0" applyFont="1" applyFill="1" applyBorder="1" applyAlignment="1" applyProtection="1">
      <alignment horizontal="left" vertical="center"/>
    </xf>
    <xf numFmtId="0" fontId="12" fillId="55" borderId="233" xfId="0" applyFont="1" applyFill="1" applyBorder="1" applyAlignment="1" applyProtection="1">
      <alignment horizontal="left" vertical="center"/>
    </xf>
    <xf numFmtId="0" fontId="12" fillId="55" borderId="209" xfId="0" applyFont="1" applyFill="1" applyBorder="1" applyAlignment="1" applyProtection="1">
      <alignment horizontal="left" vertical="center"/>
    </xf>
    <xf numFmtId="0" fontId="12" fillId="55" borderId="261" xfId="0" applyFont="1" applyFill="1" applyBorder="1" applyAlignment="1" applyProtection="1">
      <alignment horizontal="left" vertical="center"/>
    </xf>
    <xf numFmtId="1" fontId="5" fillId="5" borderId="215" xfId="0" applyNumberFormat="1" applyFont="1" applyFill="1" applyBorder="1" applyAlignment="1" applyProtection="1">
      <alignment horizontal="center" vertical="center"/>
      <protection hidden="1"/>
    </xf>
    <xf numFmtId="1" fontId="5" fillId="5" borderId="216" xfId="0" applyNumberFormat="1" applyFont="1" applyFill="1" applyBorder="1" applyAlignment="1" applyProtection="1">
      <alignment horizontal="center" vertical="center"/>
      <protection hidden="1"/>
    </xf>
    <xf numFmtId="1" fontId="5" fillId="0" borderId="215" xfId="0" applyNumberFormat="1" applyFont="1" applyFill="1" applyBorder="1" applyAlignment="1" applyProtection="1">
      <alignment horizontal="center" vertical="center"/>
      <protection hidden="1"/>
    </xf>
    <xf numFmtId="1" fontId="5" fillId="0" borderId="216" xfId="0" applyNumberFormat="1" applyFont="1" applyFill="1" applyBorder="1" applyAlignment="1" applyProtection="1">
      <alignment horizontal="center" vertical="center"/>
      <protection hidden="1"/>
    </xf>
    <xf numFmtId="0" fontId="9" fillId="0" borderId="132" xfId="0" applyFont="1" applyBorder="1" applyAlignment="1" applyProtection="1">
      <alignment horizontal="left" vertical="center"/>
    </xf>
    <xf numFmtId="0" fontId="9" fillId="0" borderId="133" xfId="0" applyFont="1" applyBorder="1" applyAlignment="1" applyProtection="1">
      <alignment horizontal="left" vertical="center"/>
    </xf>
    <xf numFmtId="0" fontId="9" fillId="0" borderId="172" xfId="0" applyFont="1" applyBorder="1" applyAlignment="1" applyProtection="1">
      <alignment horizontal="left" vertical="center"/>
    </xf>
    <xf numFmtId="1" fontId="2" fillId="0" borderId="156" xfId="0" applyNumberFormat="1" applyFont="1" applyBorder="1" applyAlignment="1" applyProtection="1">
      <alignment horizontal="center" vertical="center"/>
      <protection hidden="1"/>
    </xf>
    <xf numFmtId="1" fontId="2" fillId="0" borderId="158" xfId="0" applyNumberFormat="1" applyFont="1" applyBorder="1" applyAlignment="1" applyProtection="1">
      <alignment horizontal="center" vertical="center"/>
      <protection hidden="1"/>
    </xf>
    <xf numFmtId="2" fontId="0" fillId="50" borderId="144" xfId="0" applyNumberFormat="1" applyFill="1" applyBorder="1" applyAlignment="1" applyProtection="1">
      <alignment horizontal="center"/>
      <protection locked="0"/>
    </xf>
    <xf numFmtId="2" fontId="0" fillId="50" borderId="143" xfId="0" applyNumberFormat="1" applyFill="1" applyBorder="1" applyAlignment="1" applyProtection="1">
      <alignment horizontal="center"/>
      <protection locked="0"/>
    </xf>
    <xf numFmtId="0" fontId="9" fillId="0" borderId="156" xfId="0" applyFont="1" applyBorder="1" applyAlignment="1" applyProtection="1">
      <alignment horizontal="left" vertical="center"/>
    </xf>
    <xf numFmtId="0" fontId="9" fillId="0" borderId="157" xfId="0" applyFont="1" applyBorder="1" applyAlignment="1" applyProtection="1">
      <alignment horizontal="left" vertical="center"/>
    </xf>
    <xf numFmtId="0" fontId="9" fillId="0" borderId="173" xfId="0" applyFont="1" applyBorder="1" applyAlignment="1" applyProtection="1">
      <alignment horizontal="left" vertical="center"/>
    </xf>
    <xf numFmtId="0" fontId="13" fillId="0" borderId="197" xfId="0" applyFont="1" applyBorder="1" applyAlignment="1" applyProtection="1">
      <alignment horizontal="left" vertical="center"/>
      <protection hidden="1"/>
    </xf>
    <xf numFmtId="0" fontId="13" fillId="0" borderId="0" xfId="0" applyFont="1" applyBorder="1" applyAlignment="1" applyProtection="1">
      <alignment horizontal="left" vertical="center"/>
      <protection hidden="1"/>
    </xf>
    <xf numFmtId="0" fontId="12" fillId="0" borderId="259" xfId="0" applyFont="1" applyBorder="1" applyAlignment="1" applyProtection="1">
      <alignment horizontal="left" vertical="center"/>
      <protection hidden="1"/>
    </xf>
    <xf numFmtId="0" fontId="12" fillId="0" borderId="208" xfId="0" applyFont="1" applyBorder="1" applyAlignment="1" applyProtection="1">
      <alignment horizontal="left" vertical="center"/>
      <protection hidden="1"/>
    </xf>
    <xf numFmtId="1" fontId="12" fillId="0" borderId="206" xfId="0" applyNumberFormat="1" applyFont="1" applyFill="1" applyBorder="1" applyAlignment="1" applyProtection="1">
      <alignment horizontal="center" vertical="center"/>
      <protection hidden="1"/>
    </xf>
    <xf numFmtId="1" fontId="12" fillId="0" borderId="208" xfId="0" applyNumberFormat="1" applyFont="1" applyFill="1" applyBorder="1" applyAlignment="1" applyProtection="1">
      <alignment horizontal="center" vertical="center"/>
      <protection hidden="1"/>
    </xf>
    <xf numFmtId="1" fontId="12" fillId="0" borderId="260" xfId="0" applyNumberFormat="1" applyFont="1" applyFill="1" applyBorder="1" applyAlignment="1" applyProtection="1">
      <alignment horizontal="center" vertical="center"/>
      <protection hidden="1"/>
    </xf>
    <xf numFmtId="0" fontId="2" fillId="0" borderId="197" xfId="0" applyFont="1" applyFill="1" applyBorder="1" applyAlignment="1" applyProtection="1">
      <alignment horizontal="left" vertical="center"/>
      <protection hidden="1"/>
    </xf>
    <xf numFmtId="0" fontId="2" fillId="0" borderId="0" xfId="0" applyFont="1" applyFill="1" applyBorder="1" applyAlignment="1" applyProtection="1">
      <alignment horizontal="left" vertical="center"/>
      <protection hidden="1"/>
    </xf>
    <xf numFmtId="1" fontId="2" fillId="0" borderId="85" xfId="0" applyNumberFormat="1" applyFont="1" applyFill="1" applyBorder="1" applyAlignment="1" applyProtection="1">
      <alignment horizontal="center" vertical="center"/>
      <protection hidden="1"/>
    </xf>
    <xf numFmtId="1" fontId="27" fillId="0" borderId="193" xfId="0" applyNumberFormat="1" applyFont="1" applyFill="1" applyBorder="1" applyAlignment="1" applyProtection="1">
      <alignment horizontal="center" vertical="center"/>
      <protection hidden="1"/>
    </xf>
    <xf numFmtId="1" fontId="27" fillId="0" borderId="248" xfId="0" applyNumberFormat="1" applyFont="1" applyFill="1" applyBorder="1" applyAlignment="1" applyProtection="1">
      <alignment horizontal="center" vertical="center"/>
      <protection hidden="1"/>
    </xf>
    <xf numFmtId="0" fontId="4" fillId="55" borderId="211" xfId="0" applyFont="1" applyFill="1" applyBorder="1" applyAlignment="1" applyProtection="1">
      <alignment horizontal="left" vertical="center"/>
      <protection hidden="1"/>
    </xf>
    <xf numFmtId="0" fontId="4" fillId="55" borderId="209" xfId="0" applyFont="1" applyFill="1" applyBorder="1" applyAlignment="1" applyProtection="1">
      <alignment horizontal="left" vertical="center"/>
      <protection hidden="1"/>
    </xf>
    <xf numFmtId="0" fontId="4" fillId="55" borderId="261" xfId="0" applyFont="1" applyFill="1" applyBorder="1" applyAlignment="1" applyProtection="1">
      <alignment horizontal="left" vertical="center"/>
      <protection hidden="1"/>
    </xf>
    <xf numFmtId="1" fontId="2" fillId="0" borderId="210" xfId="0" applyNumberFormat="1" applyFont="1" applyBorder="1" applyAlignment="1" applyProtection="1">
      <alignment horizontal="center" vertical="center"/>
      <protection hidden="1"/>
    </xf>
    <xf numFmtId="1" fontId="2" fillId="0" borderId="222" xfId="0" applyNumberFormat="1" applyFont="1" applyBorder="1" applyAlignment="1" applyProtection="1">
      <alignment horizontal="center" vertical="center"/>
      <protection hidden="1"/>
    </xf>
    <xf numFmtId="0" fontId="4" fillId="46" borderId="200" xfId="0" applyFont="1" applyFill="1" applyBorder="1" applyAlignment="1" applyProtection="1">
      <alignment horizontal="center" vertical="center"/>
      <protection hidden="1"/>
    </xf>
    <xf numFmtId="0" fontId="4" fillId="46" borderId="222" xfId="0" applyFont="1" applyFill="1" applyBorder="1" applyAlignment="1" applyProtection="1">
      <alignment horizontal="center" vertical="center"/>
      <protection hidden="1"/>
    </xf>
    <xf numFmtId="1" fontId="2" fillId="0" borderId="201" xfId="0" applyNumberFormat="1" applyFont="1" applyBorder="1" applyAlignment="1" applyProtection="1">
      <alignment horizontal="center" vertical="center"/>
      <protection hidden="1"/>
    </xf>
    <xf numFmtId="0" fontId="4" fillId="46" borderId="211" xfId="0" applyFont="1" applyFill="1" applyBorder="1" applyAlignment="1" applyProtection="1">
      <alignment horizontal="center" vertical="center"/>
      <protection hidden="1"/>
    </xf>
    <xf numFmtId="0" fontId="4" fillId="46" borderId="261" xfId="0" applyFont="1" applyFill="1" applyBorder="1" applyAlignment="1" applyProtection="1">
      <alignment horizontal="center" vertical="center"/>
      <protection hidden="1"/>
    </xf>
    <xf numFmtId="0" fontId="4" fillId="55" borderId="195" xfId="0" applyFont="1" applyFill="1" applyBorder="1" applyAlignment="1" applyProtection="1">
      <alignment horizontal="center" vertical="center"/>
      <protection hidden="1"/>
    </xf>
    <xf numFmtId="0" fontId="4" fillId="55" borderId="221" xfId="0" applyFont="1" applyFill="1" applyBorder="1" applyAlignment="1" applyProtection="1">
      <alignment horizontal="center" vertical="center"/>
      <protection hidden="1"/>
    </xf>
    <xf numFmtId="0" fontId="13" fillId="0" borderId="210" xfId="0" applyFont="1" applyBorder="1" applyAlignment="1" applyProtection="1">
      <alignment horizontal="left" vertical="center"/>
      <protection hidden="1"/>
    </xf>
    <xf numFmtId="0" fontId="13" fillId="0" borderId="200" xfId="0" applyFont="1" applyBorder="1" applyAlignment="1" applyProtection="1">
      <alignment horizontal="left" vertical="center"/>
      <protection hidden="1"/>
    </xf>
    <xf numFmtId="0" fontId="2" fillId="55" borderId="211" xfId="0" applyFont="1" applyFill="1" applyBorder="1" applyAlignment="1" applyProtection="1">
      <alignment horizontal="center" vertical="center" wrapText="1"/>
      <protection hidden="1"/>
    </xf>
    <xf numFmtId="0" fontId="2" fillId="55" borderId="261" xfId="0" applyFont="1" applyFill="1" applyBorder="1" applyAlignment="1" applyProtection="1">
      <alignment horizontal="center" vertical="center" wrapText="1"/>
      <protection hidden="1"/>
    </xf>
    <xf numFmtId="0" fontId="2" fillId="55" borderId="211" xfId="0" applyFont="1" applyFill="1" applyBorder="1" applyAlignment="1" applyProtection="1">
      <alignment horizontal="center" vertical="center"/>
      <protection hidden="1"/>
    </xf>
    <xf numFmtId="0" fontId="2" fillId="55" borderId="261" xfId="0" applyFont="1" applyFill="1" applyBorder="1" applyAlignment="1" applyProtection="1">
      <alignment horizontal="center" vertical="center"/>
      <protection hidden="1"/>
    </xf>
    <xf numFmtId="0" fontId="0" fillId="0" borderId="24" xfId="0" applyFill="1" applyBorder="1" applyAlignment="1" applyProtection="1">
      <alignment horizontal="left" vertical="center"/>
    </xf>
    <xf numFmtId="1" fontId="12" fillId="0" borderId="0" xfId="0" applyNumberFormat="1" applyFont="1" applyFill="1" applyBorder="1" applyAlignment="1" applyProtection="1">
      <alignment horizontal="center" vertical="center"/>
      <protection hidden="1"/>
    </xf>
    <xf numFmtId="1" fontId="12" fillId="0" borderId="201" xfId="0" applyNumberFormat="1" applyFont="1" applyFill="1" applyBorder="1" applyAlignment="1" applyProtection="1">
      <alignment horizontal="center" vertical="center"/>
      <protection hidden="1"/>
    </xf>
    <xf numFmtId="1" fontId="27" fillId="0" borderId="190" xfId="0" applyNumberFormat="1" applyFont="1" applyFill="1" applyBorder="1" applyAlignment="1" applyProtection="1">
      <alignment horizontal="center" vertical="center"/>
      <protection hidden="1"/>
    </xf>
    <xf numFmtId="1" fontId="27" fillId="0" borderId="263" xfId="0" applyNumberFormat="1" applyFont="1" applyFill="1" applyBorder="1" applyAlignment="1" applyProtection="1">
      <alignment horizontal="center" vertical="center"/>
      <protection hidden="1"/>
    </xf>
    <xf numFmtId="1" fontId="27" fillId="53" borderId="203" xfId="0" applyNumberFormat="1" applyFont="1" applyFill="1" applyBorder="1" applyAlignment="1" applyProtection="1">
      <alignment horizontal="center" vertical="center"/>
      <protection hidden="1"/>
    </xf>
    <xf numFmtId="0" fontId="9" fillId="48" borderId="7" xfId="0" applyFont="1" applyFill="1" applyBorder="1" applyAlignment="1" applyProtection="1">
      <alignment horizontal="center" vertical="center"/>
      <protection hidden="1"/>
    </xf>
    <xf numFmtId="0" fontId="9" fillId="48" borderId="33" xfId="0" applyFont="1" applyFill="1" applyBorder="1" applyAlignment="1" applyProtection="1">
      <alignment horizontal="center" vertical="center"/>
      <protection hidden="1"/>
    </xf>
    <xf numFmtId="0" fontId="0" fillId="48" borderId="60" xfId="0" applyFill="1" applyBorder="1" applyAlignment="1" applyProtection="1">
      <alignment horizontal="center"/>
    </xf>
    <xf numFmtId="0" fontId="0" fillId="48" borderId="7" xfId="0" applyFill="1" applyBorder="1" applyAlignment="1" applyProtection="1">
      <alignment horizontal="center"/>
    </xf>
    <xf numFmtId="0" fontId="0" fillId="48" borderId="33" xfId="0" applyFill="1" applyBorder="1" applyAlignment="1" applyProtection="1">
      <alignment horizontal="center"/>
    </xf>
    <xf numFmtId="167" fontId="0" fillId="6" borderId="216" xfId="0" applyNumberFormat="1" applyFill="1" applyBorder="1" applyAlignment="1" applyProtection="1">
      <alignment horizontal="center" vertical="center"/>
      <protection hidden="1"/>
    </xf>
    <xf numFmtId="167" fontId="0" fillId="0" borderId="219" xfId="0" applyNumberFormat="1" applyFill="1" applyBorder="1" applyAlignment="1" applyProtection="1">
      <alignment horizontal="center" vertical="center"/>
      <protection hidden="1"/>
    </xf>
    <xf numFmtId="2" fontId="5" fillId="6" borderId="216" xfId="0" applyNumberFormat="1" applyFont="1" applyFill="1" applyBorder="1" applyAlignment="1" applyProtection="1">
      <alignment horizontal="center" vertical="center"/>
      <protection hidden="1"/>
    </xf>
    <xf numFmtId="1" fontId="0" fillId="54" borderId="97" xfId="0" applyNumberFormat="1" applyFill="1" applyBorder="1" applyAlignment="1" applyProtection="1">
      <alignment horizontal="center" vertical="center"/>
      <protection hidden="1"/>
    </xf>
    <xf numFmtId="1" fontId="0" fillId="54" borderId="115" xfId="0" applyNumberFormat="1" applyFill="1" applyBorder="1" applyAlignment="1" applyProtection="1">
      <alignment horizontal="center" vertical="center"/>
      <protection hidden="1"/>
    </xf>
    <xf numFmtId="1" fontId="12" fillId="0" borderId="207" xfId="0" applyNumberFormat="1" applyFont="1" applyFill="1" applyBorder="1" applyAlignment="1" applyProtection="1">
      <alignment horizontal="center" vertical="center"/>
      <protection hidden="1"/>
    </xf>
    <xf numFmtId="1" fontId="12" fillId="0" borderId="200" xfId="0" applyNumberFormat="1" applyFont="1" applyFill="1" applyBorder="1" applyAlignment="1" applyProtection="1">
      <alignment horizontal="center" vertical="center"/>
      <protection hidden="1"/>
    </xf>
    <xf numFmtId="1" fontId="12" fillId="0" borderId="222" xfId="0" applyNumberFormat="1" applyFont="1" applyFill="1" applyBorder="1" applyAlignment="1" applyProtection="1">
      <alignment horizontal="center" vertical="center"/>
      <protection hidden="1"/>
    </xf>
    <xf numFmtId="0" fontId="1" fillId="48" borderId="4" xfId="0" applyFont="1" applyFill="1" applyBorder="1" applyAlignment="1" applyProtection="1">
      <alignment horizontal="center"/>
    </xf>
    <xf numFmtId="1" fontId="2" fillId="0" borderId="0" xfId="0" applyNumberFormat="1" applyFont="1" applyFill="1" applyBorder="1" applyAlignment="1" applyProtection="1">
      <alignment horizontal="center" vertical="center"/>
      <protection locked="0" hidden="1"/>
    </xf>
    <xf numFmtId="0" fontId="2" fillId="55" borderId="196" xfId="0" applyFont="1" applyFill="1" applyBorder="1" applyAlignment="1" applyProtection="1">
      <alignment horizontal="center"/>
    </xf>
    <xf numFmtId="0" fontId="0" fillId="0" borderId="51" xfId="0" applyBorder="1" applyAlignment="1" applyProtection="1">
      <alignment horizontal="center" vertical="center"/>
      <protection locked="0" hidden="1"/>
    </xf>
    <xf numFmtId="0" fontId="0" fillId="0" borderId="13" xfId="0" applyBorder="1" applyAlignment="1" applyProtection="1">
      <alignment horizontal="center" vertical="center"/>
      <protection locked="0" hidden="1"/>
    </xf>
    <xf numFmtId="0" fontId="0" fillId="0" borderId="21" xfId="0" applyBorder="1" applyAlignment="1" applyProtection="1">
      <alignment horizontal="center" vertical="center"/>
      <protection locked="0" hidden="1"/>
    </xf>
    <xf numFmtId="1" fontId="27" fillId="0" borderId="204" xfId="0" applyNumberFormat="1" applyFont="1" applyFill="1" applyBorder="1" applyAlignment="1" applyProtection="1">
      <alignment horizontal="center" vertical="center"/>
      <protection hidden="1"/>
    </xf>
    <xf numFmtId="1" fontId="27" fillId="0" borderId="205" xfId="0" applyNumberFormat="1" applyFont="1" applyFill="1" applyBorder="1" applyAlignment="1" applyProtection="1">
      <alignment horizontal="center" vertical="center"/>
      <protection hidden="1"/>
    </xf>
    <xf numFmtId="0" fontId="4" fillId="46" borderId="210" xfId="0" applyFont="1" applyFill="1" applyBorder="1" applyAlignment="1" applyProtection="1">
      <alignment horizontal="center" vertical="center"/>
      <protection hidden="1"/>
    </xf>
    <xf numFmtId="0" fontId="4" fillId="55" borderId="196" xfId="0"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locked="0" hidden="1"/>
    </xf>
    <xf numFmtId="0" fontId="0" fillId="0" borderId="50" xfId="0" applyBorder="1" applyAlignment="1" applyProtection="1">
      <alignment horizontal="center" vertical="center"/>
      <protection locked="0" hidden="1"/>
    </xf>
    <xf numFmtId="0" fontId="0" fillId="0" borderId="24" xfId="0" applyBorder="1" applyAlignment="1" applyProtection="1">
      <alignment horizontal="center" vertical="center"/>
      <protection locked="0" hidden="1"/>
    </xf>
    <xf numFmtId="2" fontId="12" fillId="0" borderId="0" xfId="0" applyNumberFormat="1" applyFont="1" applyAlignment="1" applyProtection="1">
      <alignment horizontal="center" vertical="center"/>
      <protection locked="0" hidden="1"/>
    </xf>
    <xf numFmtId="0" fontId="12" fillId="0" borderId="0" xfId="0" applyFont="1" applyAlignment="1" applyProtection="1">
      <alignment horizontal="center" vertical="center"/>
      <protection locked="0" hidden="1"/>
    </xf>
    <xf numFmtId="0" fontId="13" fillId="0" borderId="0" xfId="0" applyFont="1" applyAlignment="1" applyProtection="1">
      <alignment horizontal="center" vertical="center"/>
      <protection hidden="1"/>
    </xf>
    <xf numFmtId="0" fontId="9" fillId="0" borderId="50" xfId="0" applyFont="1" applyFill="1" applyBorder="1" applyAlignment="1" applyProtection="1">
      <alignment horizontal="center" vertical="center"/>
      <protection locked="0" hidden="1"/>
    </xf>
    <xf numFmtId="0" fontId="9" fillId="0" borderId="0" xfId="0" applyFont="1" applyFill="1" applyBorder="1" applyAlignment="1" applyProtection="1">
      <alignment horizontal="center" vertical="center"/>
      <protection locked="0" hidden="1"/>
    </xf>
    <xf numFmtId="0" fontId="2" fillId="0" borderId="0" xfId="0" applyFont="1" applyBorder="1" applyAlignment="1" applyProtection="1">
      <alignment horizontal="center" vertical="center"/>
      <protection hidden="1"/>
    </xf>
    <xf numFmtId="0" fontId="2" fillId="0" borderId="201" xfId="0" applyFont="1" applyBorder="1" applyAlignment="1" applyProtection="1">
      <alignment horizontal="center" vertical="center"/>
      <protection hidden="1"/>
    </xf>
    <xf numFmtId="1" fontId="2" fillId="0" borderId="0" xfId="0" applyNumberFormat="1" applyFont="1" applyBorder="1" applyAlignment="1" applyProtection="1">
      <alignment horizontal="center" vertical="center"/>
      <protection hidden="1"/>
    </xf>
    <xf numFmtId="0" fontId="9" fillId="0" borderId="24" xfId="0" applyFont="1" applyFill="1"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0" fontId="1" fillId="48" borderId="60" xfId="0" applyFont="1" applyFill="1" applyBorder="1" applyAlignment="1" applyProtection="1">
      <alignment horizontal="center"/>
    </xf>
    <xf numFmtId="0" fontId="1" fillId="48" borderId="7" xfId="0" applyFont="1" applyFill="1" applyBorder="1" applyAlignment="1" applyProtection="1">
      <alignment horizontal="center"/>
    </xf>
    <xf numFmtId="0" fontId="1" fillId="48" borderId="33" xfId="0" applyFont="1" applyFill="1" applyBorder="1" applyAlignment="1" applyProtection="1">
      <alignment horizontal="center"/>
    </xf>
    <xf numFmtId="167" fontId="2" fillId="0" borderId="213" xfId="0" applyNumberFormat="1" applyFont="1" applyFill="1" applyBorder="1" applyAlignment="1" applyProtection="1">
      <alignment horizontal="center" vertical="center"/>
      <protection hidden="1"/>
    </xf>
    <xf numFmtId="0" fontId="9" fillId="55" borderId="210" xfId="0" applyFont="1" applyFill="1" applyBorder="1" applyAlignment="1" applyProtection="1">
      <alignment horizontal="center"/>
    </xf>
    <xf numFmtId="0" fontId="0" fillId="55" borderId="200" xfId="0" applyFill="1" applyBorder="1" applyAlignment="1" applyProtection="1">
      <alignment horizontal="center"/>
    </xf>
    <xf numFmtId="0" fontId="0" fillId="55" borderId="222" xfId="0" applyFill="1" applyBorder="1" applyAlignment="1" applyProtection="1">
      <alignment horizontal="center"/>
    </xf>
    <xf numFmtId="0" fontId="1" fillId="48" borderId="50" xfId="0" applyFont="1" applyFill="1" applyBorder="1" applyAlignment="1" applyProtection="1">
      <alignment horizontal="center"/>
    </xf>
    <xf numFmtId="0" fontId="1" fillId="48" borderId="0" xfId="0" applyFont="1" applyFill="1" applyBorder="1" applyAlignment="1" applyProtection="1">
      <alignment horizontal="center"/>
    </xf>
    <xf numFmtId="0" fontId="1" fillId="48" borderId="31" xfId="0" applyFont="1" applyFill="1" applyBorder="1" applyAlignment="1" applyProtection="1">
      <alignment horizontal="center"/>
    </xf>
    <xf numFmtId="0" fontId="9" fillId="0" borderId="0" xfId="0" applyFont="1" applyFill="1" applyBorder="1" applyAlignment="1" applyProtection="1">
      <alignment horizontal="center" vertical="center"/>
      <protection hidden="1"/>
    </xf>
    <xf numFmtId="1" fontId="2" fillId="0" borderId="63" xfId="0" applyNumberFormat="1" applyFont="1" applyBorder="1" applyAlignment="1" applyProtection="1">
      <alignment horizontal="center" vertical="center"/>
      <protection hidden="1"/>
    </xf>
    <xf numFmtId="1" fontId="2" fillId="0" borderId="118" xfId="0" applyNumberFormat="1" applyFont="1" applyBorder="1" applyAlignment="1" applyProtection="1">
      <alignment horizontal="center" vertical="center"/>
      <protection hidden="1"/>
    </xf>
    <xf numFmtId="0" fontId="9" fillId="48" borderId="0" xfId="0" applyFont="1" applyFill="1" applyBorder="1" applyAlignment="1" applyProtection="1">
      <alignment horizontal="center" vertical="center"/>
      <protection hidden="1"/>
    </xf>
    <xf numFmtId="0" fontId="9" fillId="48" borderId="31" xfId="0" applyFont="1" applyFill="1" applyBorder="1" applyAlignment="1" applyProtection="1">
      <alignment horizontal="center" vertical="center"/>
      <protection hidden="1"/>
    </xf>
    <xf numFmtId="0" fontId="2" fillId="48" borderId="112" xfId="0" applyFont="1" applyFill="1" applyBorder="1" applyAlignment="1" applyProtection="1">
      <alignment horizontal="center" vertical="center"/>
      <protection hidden="1"/>
    </xf>
    <xf numFmtId="0" fontId="2" fillId="48" borderId="4" xfId="0" applyFont="1" applyFill="1" applyBorder="1" applyAlignment="1" applyProtection="1">
      <alignment horizontal="center" vertical="center"/>
      <protection hidden="1"/>
    </xf>
    <xf numFmtId="0" fontId="13" fillId="48" borderId="5" xfId="0" applyFont="1" applyFill="1" applyBorder="1" applyAlignment="1" applyProtection="1">
      <alignment horizontal="center" vertical="center" wrapText="1"/>
      <protection hidden="1"/>
    </xf>
    <xf numFmtId="0" fontId="13" fillId="48" borderId="0" xfId="0" applyFont="1" applyFill="1" applyBorder="1" applyAlignment="1" applyProtection="1">
      <alignment horizontal="center" vertical="center" wrapText="1"/>
      <protection hidden="1"/>
    </xf>
    <xf numFmtId="0" fontId="13" fillId="48" borderId="24" xfId="0" applyFont="1" applyFill="1" applyBorder="1" applyAlignment="1" applyProtection="1">
      <alignment horizontal="center" vertical="center" wrapText="1"/>
      <protection hidden="1"/>
    </xf>
    <xf numFmtId="0" fontId="13" fillId="48" borderId="6" xfId="0" applyFont="1" applyFill="1" applyBorder="1" applyAlignment="1" applyProtection="1">
      <alignment horizontal="center" vertical="center" wrapText="1"/>
      <protection hidden="1"/>
    </xf>
    <xf numFmtId="0" fontId="13" fillId="48" borderId="7" xfId="0" applyFont="1" applyFill="1" applyBorder="1" applyAlignment="1" applyProtection="1">
      <alignment horizontal="center" vertical="center" wrapText="1"/>
      <protection hidden="1"/>
    </xf>
    <xf numFmtId="0" fontId="13" fillId="48" borderId="55" xfId="0" applyFont="1" applyFill="1" applyBorder="1" applyAlignment="1" applyProtection="1">
      <alignment horizontal="center" vertical="center" wrapText="1"/>
      <protection hidden="1"/>
    </xf>
    <xf numFmtId="0" fontId="2" fillId="48" borderId="3" xfId="0" applyFont="1" applyFill="1" applyBorder="1" applyAlignment="1" applyProtection="1">
      <alignment horizontal="center" vertical="center"/>
      <protection hidden="1"/>
    </xf>
    <xf numFmtId="0" fontId="2" fillId="48" borderId="111" xfId="0" applyFont="1" applyFill="1" applyBorder="1" applyAlignment="1" applyProtection="1">
      <alignment horizontal="center" vertical="center"/>
      <protection hidden="1"/>
    </xf>
    <xf numFmtId="0" fontId="2" fillId="48" borderId="5" xfId="0" applyFont="1" applyFill="1" applyBorder="1" applyAlignment="1" applyProtection="1">
      <alignment horizontal="center" vertical="center"/>
      <protection hidden="1"/>
    </xf>
    <xf numFmtId="0" fontId="2" fillId="48" borderId="0" xfId="0" applyFont="1" applyFill="1" applyBorder="1" applyAlignment="1" applyProtection="1">
      <alignment horizontal="center" vertical="center"/>
      <protection hidden="1"/>
    </xf>
    <xf numFmtId="0" fontId="2" fillId="48" borderId="24" xfId="0" applyFont="1" applyFill="1" applyBorder="1" applyAlignment="1" applyProtection="1">
      <alignment horizontal="center" vertical="center"/>
      <protection hidden="1"/>
    </xf>
    <xf numFmtId="0" fontId="47" fillId="0" borderId="0" xfId="0" applyFont="1" applyAlignment="1" applyProtection="1">
      <alignment horizontal="center" vertical="center"/>
    </xf>
    <xf numFmtId="0" fontId="3" fillId="0" borderId="0" xfId="0" applyFont="1" applyAlignment="1" applyProtection="1">
      <alignment horizontal="center" vertical="center"/>
    </xf>
    <xf numFmtId="49" fontId="1" fillId="2" borderId="97" xfId="0" applyNumberFormat="1" applyFont="1" applyFill="1" applyBorder="1" applyAlignment="1" applyProtection="1">
      <alignment horizontal="left" vertical="center"/>
      <protection locked="0"/>
    </xf>
    <xf numFmtId="49" fontId="9" fillId="2" borderId="97" xfId="0" applyNumberFormat="1" applyFont="1" applyFill="1" applyBorder="1" applyAlignment="1" applyProtection="1">
      <alignment horizontal="left" vertical="center"/>
      <protection locked="0"/>
    </xf>
    <xf numFmtId="49" fontId="0" fillId="2" borderId="97" xfId="0" applyNumberFormat="1" applyFill="1" applyBorder="1" applyAlignment="1" applyProtection="1">
      <alignment horizontal="left" vertical="center"/>
      <protection locked="0"/>
    </xf>
    <xf numFmtId="0" fontId="2" fillId="48" borderId="50" xfId="0" applyFont="1" applyFill="1" applyBorder="1" applyAlignment="1" applyProtection="1">
      <alignment horizontal="center" vertical="center"/>
      <protection hidden="1"/>
    </xf>
    <xf numFmtId="0" fontId="2" fillId="48" borderId="31" xfId="0" applyFont="1" applyFill="1" applyBorder="1" applyAlignment="1" applyProtection="1">
      <alignment horizontal="center" vertical="center"/>
      <protection hidden="1"/>
    </xf>
    <xf numFmtId="0" fontId="25" fillId="0" borderId="0" xfId="0" applyFont="1" applyAlignment="1" applyProtection="1">
      <alignment horizontal="center" vertical="center"/>
      <protection hidden="1"/>
    </xf>
    <xf numFmtId="49" fontId="1" fillId="2" borderId="2" xfId="0" applyNumberFormat="1" applyFont="1" applyFill="1" applyBorder="1" applyAlignment="1" applyProtection="1">
      <alignment horizontal="left" vertical="center"/>
      <protection locked="0"/>
    </xf>
    <xf numFmtId="49" fontId="9" fillId="2" borderId="2" xfId="0" applyNumberFormat="1" applyFont="1" applyFill="1" applyBorder="1" applyAlignment="1" applyProtection="1">
      <alignment horizontal="left" vertical="center"/>
      <protection locked="0"/>
    </xf>
    <xf numFmtId="49" fontId="0" fillId="2" borderId="2" xfId="0" applyNumberFormat="1" applyFill="1" applyBorder="1" applyAlignment="1" applyProtection="1">
      <alignment horizontal="left" vertical="center"/>
      <protection locked="0"/>
    </xf>
    <xf numFmtId="0" fontId="14" fillId="0" borderId="0" xfId="0" applyFont="1" applyAlignment="1" applyProtection="1">
      <alignment horizontal="center" vertical="center"/>
    </xf>
    <xf numFmtId="0" fontId="13" fillId="55" borderId="196" xfId="0" applyFont="1" applyFill="1" applyBorder="1" applyAlignment="1" applyProtection="1">
      <alignment horizontal="center" vertical="center"/>
      <protection hidden="1"/>
    </xf>
    <xf numFmtId="0" fontId="13" fillId="55" borderId="221" xfId="0" applyFont="1" applyFill="1" applyBorder="1" applyAlignment="1" applyProtection="1">
      <alignment horizontal="center" vertical="center"/>
      <protection hidden="1"/>
    </xf>
    <xf numFmtId="0" fontId="13" fillId="55" borderId="264" xfId="0" applyFont="1" applyFill="1" applyBorder="1" applyAlignment="1" applyProtection="1">
      <alignment horizontal="center" vertical="center"/>
      <protection hidden="1"/>
    </xf>
    <xf numFmtId="0" fontId="13" fillId="55" borderId="251" xfId="0" applyFont="1" applyFill="1" applyBorder="1" applyAlignment="1" applyProtection="1">
      <alignment horizontal="center" vertical="center"/>
      <protection hidden="1"/>
    </xf>
    <xf numFmtId="0" fontId="9" fillId="52" borderId="0" xfId="0" applyFont="1" applyFill="1" applyAlignment="1" applyProtection="1">
      <alignment horizontal="center" vertical="center" textRotation="90" wrapText="1"/>
      <protection hidden="1"/>
    </xf>
    <xf numFmtId="0" fontId="13" fillId="55" borderId="195" xfId="0" applyFont="1" applyFill="1" applyBorder="1" applyAlignment="1" applyProtection="1">
      <alignment horizontal="center" vertical="center"/>
      <protection hidden="1"/>
    </xf>
    <xf numFmtId="0" fontId="27" fillId="55" borderId="0" xfId="0" applyFont="1" applyFill="1" applyBorder="1" applyAlignment="1" applyProtection="1">
      <alignment horizontal="center" vertical="center"/>
      <protection hidden="1"/>
    </xf>
    <xf numFmtId="0" fontId="27" fillId="55" borderId="201" xfId="0" applyFont="1" applyFill="1" applyBorder="1" applyAlignment="1" applyProtection="1">
      <alignment horizontal="center" vertical="center"/>
      <protection hidden="1"/>
    </xf>
    <xf numFmtId="0" fontId="12" fillId="0" borderId="197" xfId="0" applyFont="1" applyBorder="1" applyAlignment="1" applyProtection="1">
      <alignment horizontal="left" vertical="center"/>
      <protection hidden="1"/>
    </xf>
    <xf numFmtId="0" fontId="12" fillId="0" borderId="0" xfId="0" applyFont="1" applyBorder="1" applyAlignment="1" applyProtection="1">
      <alignment horizontal="left" vertical="center"/>
      <protection hidden="1"/>
    </xf>
    <xf numFmtId="0" fontId="113" fillId="0" borderId="50" xfId="74" applyBorder="1" applyAlignment="1" applyProtection="1">
      <alignment horizontal="left" vertical="center"/>
    </xf>
    <xf numFmtId="0" fontId="113" fillId="0" borderId="0" xfId="74" applyBorder="1" applyAlignment="1" applyProtection="1">
      <alignment horizontal="left" vertical="center"/>
    </xf>
    <xf numFmtId="0" fontId="2" fillId="48" borderId="29" xfId="0" applyFont="1" applyFill="1" applyBorder="1" applyAlignment="1" applyProtection="1">
      <alignment horizontal="center" vertical="center"/>
      <protection hidden="1"/>
    </xf>
    <xf numFmtId="1" fontId="12" fillId="0" borderId="203" xfId="0" applyNumberFormat="1" applyFont="1" applyFill="1" applyBorder="1" applyAlignment="1" applyProtection="1">
      <alignment horizontal="center" vertical="center"/>
      <protection hidden="1"/>
    </xf>
    <xf numFmtId="1" fontId="27" fillId="53" borderId="0" xfId="0" applyNumberFormat="1" applyFont="1" applyFill="1" applyBorder="1" applyAlignment="1" applyProtection="1">
      <alignment horizontal="center" vertical="center"/>
      <protection hidden="1"/>
    </xf>
    <xf numFmtId="1" fontId="27" fillId="53" borderId="201" xfId="0" applyNumberFormat="1" applyFont="1" applyFill="1" applyBorder="1" applyAlignment="1" applyProtection="1">
      <alignment horizontal="center" vertical="center"/>
      <protection hidden="1"/>
    </xf>
    <xf numFmtId="0" fontId="0" fillId="48" borderId="112" xfId="0" applyFill="1" applyBorder="1" applyAlignment="1" applyProtection="1">
      <alignment horizontal="center"/>
    </xf>
    <xf numFmtId="0" fontId="0" fillId="48" borderId="111" xfId="0" applyFill="1" applyBorder="1" applyAlignment="1" applyProtection="1">
      <alignment horizontal="center"/>
    </xf>
    <xf numFmtId="0" fontId="0" fillId="48" borderId="50" xfId="0" applyFill="1" applyBorder="1" applyAlignment="1" applyProtection="1">
      <alignment horizontal="center"/>
    </xf>
    <xf numFmtId="0" fontId="0" fillId="48" borderId="0" xfId="0" applyFill="1" applyBorder="1" applyAlignment="1" applyProtection="1">
      <alignment horizontal="center"/>
    </xf>
    <xf numFmtId="0" fontId="0" fillId="48" borderId="31" xfId="0" applyFill="1" applyBorder="1" applyAlignment="1" applyProtection="1">
      <alignment horizontal="center"/>
    </xf>
    <xf numFmtId="0" fontId="9" fillId="55" borderId="210" xfId="0" applyFont="1" applyFill="1" applyBorder="1" applyAlignment="1" applyProtection="1">
      <alignment horizontal="center" vertical="center"/>
      <protection hidden="1"/>
    </xf>
    <xf numFmtId="0" fontId="9" fillId="55" borderId="200" xfId="0" applyFont="1" applyFill="1" applyBorder="1" applyAlignment="1" applyProtection="1">
      <alignment horizontal="center" vertical="center"/>
      <protection hidden="1"/>
    </xf>
    <xf numFmtId="0" fontId="9" fillId="55" borderId="222" xfId="0" applyFont="1" applyFill="1" applyBorder="1" applyAlignment="1" applyProtection="1">
      <alignment horizontal="center" vertical="center"/>
      <protection hidden="1"/>
    </xf>
    <xf numFmtId="1" fontId="27" fillId="0" borderId="202" xfId="0" applyNumberFormat="1" applyFont="1" applyFill="1" applyBorder="1" applyAlignment="1" applyProtection="1">
      <alignment horizontal="center" vertical="center"/>
      <protection hidden="1"/>
    </xf>
    <xf numFmtId="1" fontId="27" fillId="0" borderId="196" xfId="0" applyNumberFormat="1" applyFont="1" applyFill="1" applyBorder="1" applyAlignment="1" applyProtection="1">
      <alignment horizontal="center" vertical="center"/>
      <protection hidden="1"/>
    </xf>
    <xf numFmtId="1" fontId="27" fillId="0" borderId="221" xfId="0" applyNumberFormat="1" applyFont="1" applyFill="1" applyBorder="1" applyAlignment="1" applyProtection="1">
      <alignment horizontal="center" vertical="center"/>
      <protection hidden="1"/>
    </xf>
    <xf numFmtId="1" fontId="12" fillId="53" borderId="203" xfId="0" applyNumberFormat="1" applyFont="1" applyFill="1" applyBorder="1" applyAlignment="1" applyProtection="1">
      <alignment horizontal="center" vertical="center"/>
      <protection hidden="1"/>
    </xf>
    <xf numFmtId="1" fontId="12" fillId="6" borderId="0" xfId="0" applyNumberFormat="1" applyFont="1" applyFill="1" applyBorder="1" applyAlignment="1" applyProtection="1">
      <alignment horizontal="center" vertical="center"/>
      <protection hidden="1"/>
    </xf>
    <xf numFmtId="1" fontId="12" fillId="6" borderId="201" xfId="0" applyNumberFormat="1" applyFont="1" applyFill="1" applyBorder="1" applyAlignment="1" applyProtection="1">
      <alignment horizontal="center" vertical="center"/>
      <protection hidden="1"/>
    </xf>
    <xf numFmtId="167" fontId="0" fillId="0" borderId="85" xfId="0" applyNumberFormat="1" applyFill="1" applyBorder="1" applyAlignment="1" applyProtection="1">
      <alignment horizontal="center"/>
    </xf>
    <xf numFmtId="0" fontId="4" fillId="46" borderId="211" xfId="0" applyFont="1" applyFill="1" applyBorder="1" applyAlignment="1" applyProtection="1">
      <alignment horizontal="left" vertical="center"/>
      <protection hidden="1"/>
    </xf>
    <xf numFmtId="0" fontId="4" fillId="46" borderId="209" xfId="0" applyFont="1" applyFill="1" applyBorder="1" applyAlignment="1" applyProtection="1">
      <alignment horizontal="left" vertical="center"/>
      <protection hidden="1"/>
    </xf>
    <xf numFmtId="0" fontId="4" fillId="46" borderId="261" xfId="0" applyFont="1" applyFill="1" applyBorder="1" applyAlignment="1" applyProtection="1">
      <alignment horizontal="left" vertical="center"/>
      <protection hidden="1"/>
    </xf>
    <xf numFmtId="1" fontId="0" fillId="5" borderId="272" xfId="0" applyNumberFormat="1" applyFill="1" applyBorder="1" applyAlignment="1" applyProtection="1">
      <alignment horizontal="center" vertical="center"/>
      <protection hidden="1"/>
    </xf>
    <xf numFmtId="1" fontId="0" fillId="5" borderId="220" xfId="0" applyNumberFormat="1" applyFill="1" applyBorder="1" applyAlignment="1" applyProtection="1">
      <alignment horizontal="center" vertical="center"/>
      <protection hidden="1"/>
    </xf>
    <xf numFmtId="0" fontId="0" fillId="0" borderId="24" xfId="0" applyFill="1" applyBorder="1" applyAlignment="1" applyProtection="1">
      <alignment horizontal="left" vertical="center"/>
      <protection hidden="1"/>
    </xf>
    <xf numFmtId="0" fontId="2" fillId="55" borderId="264" xfId="0" applyFont="1" applyFill="1" applyBorder="1" applyAlignment="1" applyProtection="1">
      <alignment horizontal="center" vertical="center"/>
      <protection hidden="1"/>
    </xf>
    <xf numFmtId="0" fontId="2" fillId="55" borderId="221" xfId="0" applyFont="1" applyFill="1" applyBorder="1" applyAlignment="1" applyProtection="1">
      <alignment horizontal="center" vertical="center"/>
      <protection hidden="1"/>
    </xf>
    <xf numFmtId="0" fontId="0" fillId="0" borderId="6" xfId="0" applyFill="1" applyBorder="1" applyAlignment="1" applyProtection="1">
      <alignment horizontal="left" vertical="center"/>
      <protection hidden="1"/>
    </xf>
    <xf numFmtId="0" fontId="0" fillId="0" borderId="7" xfId="0" applyFill="1" applyBorder="1" applyAlignment="1" applyProtection="1">
      <alignment horizontal="left" vertical="center"/>
      <protection hidden="1"/>
    </xf>
    <xf numFmtId="0" fontId="0" fillId="0" borderId="55" xfId="0" applyFill="1" applyBorder="1" applyAlignment="1" applyProtection="1">
      <alignment horizontal="left" vertical="center"/>
      <protection hidden="1"/>
    </xf>
    <xf numFmtId="0" fontId="9" fillId="0" borderId="64" xfId="0" applyFont="1" applyBorder="1" applyAlignment="1" applyProtection="1">
      <alignment horizontal="left" vertical="center"/>
    </xf>
    <xf numFmtId="0" fontId="9" fillId="0" borderId="63" xfId="0" applyFont="1" applyBorder="1" applyAlignment="1" applyProtection="1">
      <alignment horizontal="left" vertical="center"/>
    </xf>
    <xf numFmtId="0" fontId="9" fillId="0" borderId="165" xfId="0" applyFont="1" applyBorder="1" applyAlignment="1" applyProtection="1">
      <alignment horizontal="left" vertical="center"/>
    </xf>
    <xf numFmtId="0" fontId="9" fillId="0" borderId="104" xfId="0" applyFont="1" applyBorder="1" applyAlignment="1" applyProtection="1">
      <alignment horizontal="left" vertical="center"/>
    </xf>
    <xf numFmtId="0" fontId="9" fillId="0" borderId="105" xfId="0" applyFont="1" applyBorder="1" applyAlignment="1" applyProtection="1">
      <alignment horizontal="left" vertical="center"/>
    </xf>
    <xf numFmtId="0" fontId="12" fillId="0" borderId="0" xfId="0" applyFont="1" applyBorder="1" applyAlignment="1" applyProtection="1">
      <alignment horizontal="center" vertical="center"/>
    </xf>
    <xf numFmtId="0" fontId="9" fillId="0" borderId="132" xfId="0" applyFont="1" applyFill="1" applyBorder="1" applyAlignment="1" applyProtection="1">
      <alignment horizontal="center" vertical="center"/>
    </xf>
    <xf numFmtId="0" fontId="9" fillId="0" borderId="134" xfId="0" applyFont="1" applyFill="1" applyBorder="1" applyAlignment="1" applyProtection="1">
      <alignment horizontal="center" vertical="center"/>
    </xf>
    <xf numFmtId="0" fontId="2" fillId="55" borderId="195" xfId="0" applyFont="1" applyFill="1" applyBorder="1" applyAlignment="1" applyProtection="1">
      <alignment horizontal="center" vertical="center"/>
      <protection hidden="1"/>
    </xf>
    <xf numFmtId="0" fontId="2" fillId="55" borderId="196" xfId="0" applyFont="1" applyFill="1" applyBorder="1" applyAlignment="1" applyProtection="1">
      <alignment horizontal="center" vertical="center"/>
      <protection hidden="1"/>
    </xf>
    <xf numFmtId="0" fontId="27" fillId="50" borderId="141" xfId="0" applyFont="1" applyFill="1" applyBorder="1" applyAlignment="1" applyProtection="1">
      <alignment horizontal="center"/>
      <protection locked="0"/>
    </xf>
    <xf numFmtId="0" fontId="27" fillId="50" borderId="86" xfId="0" applyFont="1" applyFill="1" applyBorder="1" applyAlignment="1" applyProtection="1">
      <alignment horizontal="center"/>
      <protection locked="0"/>
    </xf>
    <xf numFmtId="0" fontId="27" fillId="50" borderId="85" xfId="0" applyFont="1" applyFill="1" applyBorder="1" applyAlignment="1" applyProtection="1">
      <alignment horizontal="center"/>
      <protection locked="0"/>
    </xf>
    <xf numFmtId="0" fontId="27" fillId="50" borderId="138" xfId="0" applyFont="1" applyFill="1" applyBorder="1" applyAlignment="1" applyProtection="1">
      <alignment horizontal="center"/>
      <protection locked="0"/>
    </xf>
    <xf numFmtId="1" fontId="0" fillId="50" borderId="174" xfId="0" applyNumberFormat="1" applyFill="1" applyBorder="1" applyAlignment="1" applyProtection="1">
      <alignment horizontal="center"/>
      <protection locked="0"/>
    </xf>
    <xf numFmtId="1" fontId="0" fillId="50" borderId="63" xfId="0" applyNumberFormat="1" applyFill="1" applyBorder="1" applyAlignment="1" applyProtection="1">
      <alignment horizontal="center"/>
      <protection locked="0"/>
    </xf>
    <xf numFmtId="1" fontId="0" fillId="50" borderId="121" xfId="0" applyNumberFormat="1" applyFill="1" applyBorder="1" applyAlignment="1" applyProtection="1">
      <alignment horizontal="center"/>
      <protection locked="0"/>
    </xf>
    <xf numFmtId="1" fontId="0" fillId="50" borderId="175" xfId="0" applyNumberFormat="1" applyFill="1" applyBorder="1" applyAlignment="1" applyProtection="1">
      <alignment horizontal="center"/>
      <protection locked="0"/>
    </xf>
    <xf numFmtId="1" fontId="0" fillId="50" borderId="157" xfId="0" applyNumberFormat="1" applyFill="1" applyBorder="1" applyAlignment="1" applyProtection="1">
      <alignment horizontal="center"/>
      <protection locked="0"/>
    </xf>
    <xf numFmtId="1" fontId="0" fillId="50" borderId="173" xfId="0" applyNumberFormat="1" applyFill="1" applyBorder="1" applyAlignment="1" applyProtection="1">
      <alignment horizontal="center"/>
      <protection locked="0"/>
    </xf>
    <xf numFmtId="0" fontId="2" fillId="48" borderId="6" xfId="0" applyFont="1" applyFill="1" applyBorder="1" applyAlignment="1" applyProtection="1">
      <alignment horizontal="center" vertical="center" wrapText="1"/>
    </xf>
    <xf numFmtId="0" fontId="2" fillId="48" borderId="33" xfId="0" applyFont="1" applyFill="1" applyBorder="1" applyAlignment="1" applyProtection="1">
      <alignment horizontal="center" vertical="center" wrapText="1"/>
    </xf>
    <xf numFmtId="0" fontId="0" fillId="0" borderId="117" xfId="0" applyFill="1" applyBorder="1" applyAlignment="1" applyProtection="1">
      <alignment horizontal="center" vertical="center" wrapText="1"/>
    </xf>
    <xf numFmtId="0" fontId="0" fillId="0" borderId="94" xfId="0" applyFill="1" applyBorder="1" applyAlignment="1" applyProtection="1">
      <alignment horizontal="center" vertical="center" wrapText="1"/>
    </xf>
    <xf numFmtId="0" fontId="1" fillId="0" borderId="48" xfId="0" applyFont="1" applyFill="1" applyBorder="1" applyAlignment="1" applyProtection="1">
      <alignment horizontal="center" vertical="center" wrapText="1"/>
      <protection hidden="1"/>
    </xf>
    <xf numFmtId="0" fontId="9" fillId="0" borderId="49" xfId="0" applyFont="1" applyFill="1" applyBorder="1" applyAlignment="1" applyProtection="1">
      <alignment horizontal="center" vertical="center" wrapText="1"/>
      <protection hidden="1"/>
    </xf>
    <xf numFmtId="2" fontId="1" fillId="0" borderId="1" xfId="0" applyNumberFormat="1" applyFont="1" applyFill="1" applyBorder="1" applyAlignment="1" applyProtection="1">
      <alignment horizontal="center" vertical="center"/>
      <protection hidden="1"/>
    </xf>
    <xf numFmtId="2" fontId="1" fillId="0" borderId="117" xfId="0" applyNumberFormat="1" applyFont="1" applyFill="1" applyBorder="1" applyAlignment="1" applyProtection="1">
      <alignment horizontal="center" vertical="center"/>
      <protection hidden="1"/>
    </xf>
    <xf numFmtId="1" fontId="9" fillId="0" borderId="1" xfId="42" applyNumberFormat="1" applyFont="1" applyBorder="1" applyAlignment="1" applyProtection="1">
      <alignment horizontal="center" vertical="center"/>
      <protection hidden="1"/>
    </xf>
    <xf numFmtId="2" fontId="9" fillId="0" borderId="1" xfId="42" applyNumberFormat="1" applyFont="1" applyBorder="1" applyAlignment="1" applyProtection="1">
      <alignment horizontal="center" vertical="center"/>
      <protection hidden="1"/>
    </xf>
    <xf numFmtId="0" fontId="2" fillId="54" borderId="3" xfId="0" applyFont="1" applyFill="1" applyBorder="1" applyAlignment="1" applyProtection="1">
      <alignment horizontal="center" vertical="center"/>
    </xf>
    <xf numFmtId="0" fontId="2" fillId="54" borderId="29" xfId="0" applyFont="1" applyFill="1" applyBorder="1" applyAlignment="1" applyProtection="1">
      <alignment horizontal="center" vertical="center"/>
    </xf>
    <xf numFmtId="0" fontId="4" fillId="46" borderId="267" xfId="0" applyFont="1" applyFill="1" applyBorder="1" applyAlignment="1" applyProtection="1">
      <alignment horizontal="center" vertical="center"/>
      <protection hidden="1"/>
    </xf>
    <xf numFmtId="0" fontId="4" fillId="46" borderId="242" xfId="0" applyFont="1" applyFill="1" applyBorder="1" applyAlignment="1" applyProtection="1">
      <alignment horizontal="center" vertical="center"/>
      <protection hidden="1"/>
    </xf>
    <xf numFmtId="0" fontId="4" fillId="46" borderId="268" xfId="0" applyFont="1" applyFill="1" applyBorder="1" applyAlignment="1" applyProtection="1">
      <alignment horizontal="center" vertical="center"/>
      <protection hidden="1"/>
    </xf>
    <xf numFmtId="0" fontId="9" fillId="0" borderId="197" xfId="0" applyFont="1" applyFill="1" applyBorder="1" applyAlignment="1" applyProtection="1">
      <alignment horizontal="left" vertical="center"/>
    </xf>
    <xf numFmtId="0" fontId="9" fillId="0" borderId="0" xfId="0" applyFont="1" applyFill="1" applyBorder="1" applyAlignment="1" applyProtection="1">
      <alignment horizontal="left" vertical="center"/>
    </xf>
    <xf numFmtId="0" fontId="9" fillId="0" borderId="276" xfId="0" applyFont="1" applyFill="1" applyBorder="1" applyAlignment="1" applyProtection="1">
      <alignment horizontal="left" vertical="center"/>
    </xf>
    <xf numFmtId="0" fontId="9" fillId="0" borderId="249" xfId="0" applyFont="1" applyFill="1" applyBorder="1" applyAlignment="1" applyProtection="1">
      <alignment horizontal="left" vertical="center"/>
    </xf>
    <xf numFmtId="0" fontId="0" fillId="55" borderId="196" xfId="0" applyFill="1" applyBorder="1" applyAlignment="1" applyProtection="1">
      <alignment horizontal="center"/>
    </xf>
    <xf numFmtId="0" fontId="0" fillId="55" borderId="221" xfId="0" applyFill="1" applyBorder="1" applyAlignment="1" applyProtection="1">
      <alignment horizontal="center"/>
    </xf>
    <xf numFmtId="0" fontId="0" fillId="55" borderId="208" xfId="0" applyFill="1" applyBorder="1" applyAlignment="1" applyProtection="1">
      <alignment horizontal="center"/>
    </xf>
    <xf numFmtId="0" fontId="0" fillId="55" borderId="260" xfId="0" applyFill="1" applyBorder="1" applyAlignment="1" applyProtection="1">
      <alignment horizontal="center"/>
    </xf>
    <xf numFmtId="1" fontId="0" fillId="0" borderId="0" xfId="0" applyNumberFormat="1" applyBorder="1" applyAlignment="1" applyProtection="1">
      <alignment horizontal="center" vertical="center"/>
      <protection hidden="1"/>
    </xf>
    <xf numFmtId="1" fontId="0" fillId="0" borderId="201" xfId="0" applyNumberFormat="1" applyBorder="1" applyAlignment="1" applyProtection="1">
      <alignment horizontal="center" vertical="center"/>
      <protection hidden="1"/>
    </xf>
    <xf numFmtId="0" fontId="2" fillId="55" borderId="259" xfId="0" applyFont="1" applyFill="1" applyBorder="1" applyAlignment="1" applyProtection="1">
      <alignment horizontal="center"/>
    </xf>
    <xf numFmtId="0" fontId="2" fillId="55" borderId="278" xfId="0" applyFont="1" applyFill="1" applyBorder="1" applyAlignment="1" applyProtection="1">
      <alignment horizontal="center"/>
    </xf>
    <xf numFmtId="1" fontId="5" fillId="0" borderId="64" xfId="0" applyNumberFormat="1" applyFont="1" applyFill="1" applyBorder="1" applyAlignment="1" applyProtection="1">
      <alignment horizontal="center" vertical="center"/>
      <protection hidden="1"/>
    </xf>
    <xf numFmtId="1" fontId="5" fillId="0" borderId="118" xfId="0" applyNumberFormat="1" applyFont="1" applyFill="1" applyBorder="1" applyAlignment="1" applyProtection="1">
      <alignment horizontal="center" vertical="center"/>
      <protection hidden="1"/>
    </xf>
    <xf numFmtId="0" fontId="9" fillId="50" borderId="86" xfId="0" applyFont="1" applyFill="1" applyBorder="1" applyAlignment="1" applyProtection="1">
      <alignment horizontal="center" vertical="center"/>
      <protection locked="0"/>
    </xf>
    <xf numFmtId="0" fontId="9" fillId="50" borderId="85" xfId="0" applyFont="1" applyFill="1" applyBorder="1" applyAlignment="1" applyProtection="1">
      <alignment horizontal="center" vertical="center"/>
      <protection locked="0"/>
    </xf>
    <xf numFmtId="0" fontId="9" fillId="50" borderId="88" xfId="0" applyFont="1" applyFill="1" applyBorder="1" applyAlignment="1" applyProtection="1">
      <alignment horizontal="center" vertical="center"/>
      <protection locked="0"/>
    </xf>
    <xf numFmtId="0" fontId="2" fillId="0" borderId="135" xfId="0" applyFont="1" applyFill="1" applyBorder="1" applyAlignment="1" applyProtection="1">
      <alignment horizontal="center" vertical="center"/>
    </xf>
    <xf numFmtId="0" fontId="2" fillId="0" borderId="168" xfId="0" applyFont="1" applyFill="1" applyBorder="1" applyAlignment="1" applyProtection="1">
      <alignment horizontal="center" vertical="center"/>
    </xf>
    <xf numFmtId="1" fontId="4" fillId="46" borderId="267" xfId="0" applyNumberFormat="1" applyFont="1" applyFill="1" applyBorder="1" applyAlignment="1" applyProtection="1">
      <alignment horizontal="center" vertical="center"/>
      <protection hidden="1"/>
    </xf>
    <xf numFmtId="1" fontId="4" fillId="46" borderId="242" xfId="0" applyNumberFormat="1" applyFont="1" applyFill="1" applyBorder="1" applyAlignment="1" applyProtection="1">
      <alignment horizontal="center" vertical="center"/>
      <protection hidden="1"/>
    </xf>
    <xf numFmtId="1" fontId="4" fillId="46" borderId="241" xfId="0" applyNumberFormat="1" applyFont="1" applyFill="1" applyBorder="1" applyAlignment="1" applyProtection="1">
      <alignment horizontal="center" vertical="center"/>
      <protection hidden="1"/>
    </xf>
    <xf numFmtId="1" fontId="4" fillId="46" borderId="268" xfId="0" applyNumberFormat="1" applyFont="1" applyFill="1" applyBorder="1" applyAlignment="1" applyProtection="1">
      <alignment horizontal="center" vertical="center"/>
      <protection hidden="1"/>
    </xf>
    <xf numFmtId="0" fontId="5" fillId="0" borderId="0" xfId="0" applyFont="1" applyBorder="1" applyAlignment="1" applyProtection="1">
      <alignment horizontal="right" vertical="center"/>
      <protection hidden="1"/>
    </xf>
    <xf numFmtId="0" fontId="5" fillId="0" borderId="0" xfId="0" applyFont="1" applyAlignment="1" applyProtection="1">
      <alignment horizontal="left" vertical="center" wrapText="1"/>
    </xf>
    <xf numFmtId="0" fontId="2" fillId="55" borderId="253" xfId="0" applyFont="1" applyFill="1" applyBorder="1" applyAlignment="1" applyProtection="1">
      <alignment horizontal="center" vertical="center" wrapText="1"/>
    </xf>
    <xf numFmtId="0" fontId="2" fillId="55" borderId="236" xfId="0" applyFont="1" applyFill="1" applyBorder="1" applyAlignment="1" applyProtection="1">
      <alignment horizontal="center" vertical="center" wrapText="1"/>
    </xf>
    <xf numFmtId="0" fontId="9" fillId="0" borderId="0" xfId="0" applyFont="1" applyFill="1" applyAlignment="1">
      <alignment horizontal="center"/>
    </xf>
    <xf numFmtId="0" fontId="9" fillId="48" borderId="0" xfId="0" applyFont="1" applyFill="1" applyAlignment="1">
      <alignment horizontal="center"/>
    </xf>
    <xf numFmtId="0" fontId="9" fillId="56" borderId="0" xfId="0" applyFont="1" applyFill="1" applyAlignment="1">
      <alignment horizontal="center"/>
    </xf>
    <xf numFmtId="0" fontId="0" fillId="0" borderId="2" xfId="0" applyFill="1" applyBorder="1" applyAlignment="1" applyProtection="1">
      <alignment horizontal="center" vertical="center"/>
      <protection locked="0" hidden="1"/>
    </xf>
    <xf numFmtId="0" fontId="9" fillId="0" borderId="51" xfId="0" applyFont="1" applyFill="1" applyBorder="1" applyAlignment="1" applyProtection="1">
      <alignment horizontal="center" vertical="center"/>
      <protection locked="0" hidden="1"/>
    </xf>
    <xf numFmtId="0" fontId="9" fillId="0" borderId="13" xfId="0" applyFont="1" applyFill="1" applyBorder="1" applyAlignment="1" applyProtection="1">
      <alignment horizontal="center" vertical="center"/>
      <protection locked="0" hidden="1"/>
    </xf>
    <xf numFmtId="0" fontId="9" fillId="0" borderId="21" xfId="0" applyFont="1" applyFill="1" applyBorder="1" applyAlignment="1" applyProtection="1">
      <alignment horizontal="center" vertical="center"/>
      <protection locked="0" hidden="1"/>
    </xf>
    <xf numFmtId="0" fontId="9" fillId="0" borderId="24" xfId="0" applyFont="1" applyFill="1" applyBorder="1" applyAlignment="1">
      <alignment horizontal="center"/>
    </xf>
    <xf numFmtId="0" fontId="2" fillId="0" borderId="238" xfId="0" applyFont="1" applyFill="1" applyBorder="1" applyAlignment="1" applyProtection="1">
      <alignment horizontal="left" vertical="center"/>
    </xf>
    <xf numFmtId="0" fontId="2" fillId="0" borderId="209" xfId="0" applyFont="1" applyFill="1" applyBorder="1" applyAlignment="1" applyProtection="1">
      <alignment horizontal="left" vertical="center"/>
    </xf>
    <xf numFmtId="0" fontId="5" fillId="0" borderId="0" xfId="0" applyFont="1" applyAlignment="1" applyProtection="1">
      <alignment horizontal="right" vertical="center"/>
      <protection hidden="1"/>
    </xf>
    <xf numFmtId="0" fontId="9" fillId="48" borderId="7" xfId="0" applyFont="1" applyFill="1" applyBorder="1" applyAlignment="1" applyProtection="1">
      <alignment horizontal="center"/>
    </xf>
    <xf numFmtId="0" fontId="9" fillId="48" borderId="55" xfId="0" applyFont="1" applyFill="1" applyBorder="1" applyAlignment="1" applyProtection="1">
      <alignment horizontal="center"/>
    </xf>
    <xf numFmtId="0" fontId="9" fillId="48" borderId="100" xfId="0" applyFont="1" applyFill="1" applyBorder="1" applyAlignment="1" applyProtection="1">
      <alignment horizontal="center" wrapText="1"/>
    </xf>
    <xf numFmtId="0" fontId="9" fillId="48" borderId="36" xfId="0" applyFont="1" applyFill="1" applyBorder="1" applyAlignment="1" applyProtection="1">
      <alignment horizontal="center" wrapText="1"/>
    </xf>
    <xf numFmtId="0" fontId="9" fillId="0" borderId="252" xfId="0" applyFont="1" applyBorder="1" applyAlignment="1" applyProtection="1">
      <alignment horizontal="left" vertical="center"/>
      <protection hidden="1"/>
    </xf>
    <xf numFmtId="0" fontId="9" fillId="0" borderId="200" xfId="0" applyFont="1" applyBorder="1" applyAlignment="1" applyProtection="1">
      <alignment horizontal="left" vertical="center"/>
      <protection hidden="1"/>
    </xf>
    <xf numFmtId="0" fontId="9" fillId="0" borderId="222" xfId="0" applyFont="1" applyBorder="1" applyAlignment="1" applyProtection="1">
      <alignment horizontal="left" vertical="center"/>
      <protection hidden="1"/>
    </xf>
    <xf numFmtId="0" fontId="2" fillId="50" borderId="136" xfId="0" applyFont="1" applyFill="1" applyBorder="1" applyAlignment="1" applyProtection="1">
      <alignment horizontal="center" vertical="center"/>
      <protection locked="0"/>
    </xf>
    <xf numFmtId="0" fontId="2" fillId="50" borderId="141" xfId="0" applyFont="1" applyFill="1" applyBorder="1" applyAlignment="1" applyProtection="1">
      <alignment horizontal="center" vertical="center"/>
      <protection locked="0"/>
    </xf>
    <xf numFmtId="0" fontId="2" fillId="50" borderId="123"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xf>
    <xf numFmtId="0" fontId="2" fillId="0" borderId="125" xfId="0" applyFont="1" applyFill="1" applyBorder="1" applyAlignment="1" applyProtection="1">
      <alignment horizontal="center" vertical="center"/>
    </xf>
    <xf numFmtId="0" fontId="2" fillId="0" borderId="53" xfId="0" applyFont="1" applyFill="1" applyBorder="1" applyAlignment="1" applyProtection="1">
      <alignment horizontal="center" vertical="center"/>
    </xf>
    <xf numFmtId="0" fontId="2" fillId="0" borderId="52" xfId="0" applyFont="1" applyFill="1" applyBorder="1" applyAlignment="1" applyProtection="1">
      <alignment horizontal="center" vertical="center"/>
    </xf>
    <xf numFmtId="1" fontId="9" fillId="0" borderId="201" xfId="0" applyNumberFormat="1" applyFont="1" applyBorder="1" applyAlignment="1" applyProtection="1">
      <alignment horizontal="center" vertical="center"/>
      <protection hidden="1"/>
    </xf>
    <xf numFmtId="0" fontId="2" fillId="0" borderId="269" xfId="0" applyFont="1" applyBorder="1" applyAlignment="1" applyProtection="1">
      <alignment horizontal="center" vertical="center"/>
      <protection hidden="1"/>
    </xf>
    <xf numFmtId="0" fontId="12" fillId="0" borderId="48" xfId="0" applyFont="1" applyFill="1" applyBorder="1" applyAlignment="1" applyProtection="1">
      <alignment horizontal="left" vertical="center"/>
    </xf>
    <xf numFmtId="0" fontId="12" fillId="0" borderId="52" xfId="0" applyFont="1" applyFill="1" applyBorder="1" applyAlignment="1" applyProtection="1">
      <alignment horizontal="left" vertical="center"/>
    </xf>
    <xf numFmtId="0" fontId="2" fillId="48" borderId="112" xfId="0" applyFont="1" applyFill="1" applyBorder="1" applyAlignment="1" applyProtection="1">
      <alignment horizontal="center" vertical="center"/>
    </xf>
    <xf numFmtId="0" fontId="2" fillId="48" borderId="111" xfId="0" applyFont="1" applyFill="1" applyBorder="1" applyAlignment="1" applyProtection="1">
      <alignment horizontal="center" vertical="center"/>
    </xf>
    <xf numFmtId="0" fontId="2" fillId="50" borderId="68" xfId="0" applyFont="1" applyFill="1" applyBorder="1" applyAlignment="1" applyProtection="1">
      <alignment horizontal="center" vertical="center"/>
      <protection locked="0"/>
    </xf>
    <xf numFmtId="0" fontId="116" fillId="0" borderId="4" xfId="0" applyFont="1" applyBorder="1" applyAlignment="1" applyProtection="1">
      <alignment horizontal="center" vertical="center"/>
      <protection hidden="1"/>
    </xf>
    <xf numFmtId="0" fontId="1" fillId="48" borderId="100" xfId="0" applyFont="1" applyFill="1" applyBorder="1" applyAlignment="1" applyProtection="1">
      <alignment horizontal="center" vertical="center" wrapText="1"/>
    </xf>
    <xf numFmtId="0" fontId="1" fillId="48" borderId="25" xfId="0" applyFont="1" applyFill="1" applyBorder="1" applyAlignment="1" applyProtection="1">
      <alignment horizontal="center" vertical="center" wrapText="1"/>
    </xf>
    <xf numFmtId="0" fontId="1" fillId="48" borderId="36" xfId="0" applyFont="1" applyFill="1" applyBorder="1" applyAlignment="1" applyProtection="1">
      <alignment horizontal="center" vertical="center" wrapText="1"/>
    </xf>
    <xf numFmtId="0" fontId="1" fillId="48" borderId="100" xfId="0" applyFont="1" applyFill="1" applyBorder="1" applyAlignment="1" applyProtection="1">
      <alignment horizontal="center" vertical="center" wrapText="1"/>
      <protection hidden="1"/>
    </xf>
    <xf numFmtId="0" fontId="1" fillId="48" borderId="25" xfId="0" applyFont="1" applyFill="1" applyBorder="1" applyAlignment="1" applyProtection="1">
      <alignment horizontal="center" vertical="center" wrapText="1"/>
      <protection hidden="1"/>
    </xf>
    <xf numFmtId="0" fontId="1" fillId="48" borderId="36" xfId="0" applyFont="1" applyFill="1" applyBorder="1" applyAlignment="1" applyProtection="1">
      <alignment horizontal="center" vertical="center" wrapText="1"/>
      <protection hidden="1"/>
    </xf>
    <xf numFmtId="169" fontId="2" fillId="0" borderId="0" xfId="0" applyNumberFormat="1" applyFont="1" applyFill="1" applyBorder="1" applyAlignment="1" applyProtection="1">
      <alignment horizontal="center" vertical="center"/>
      <protection locked="0" hidden="1"/>
    </xf>
    <xf numFmtId="0" fontId="9" fillId="50" borderId="167" xfId="0" applyFont="1" applyFill="1" applyBorder="1" applyAlignment="1" applyProtection="1">
      <alignment horizontal="left" vertical="center"/>
      <protection locked="0"/>
    </xf>
    <xf numFmtId="0" fontId="9" fillId="50" borderId="135" xfId="0" applyFont="1" applyFill="1" applyBorder="1" applyAlignment="1" applyProtection="1">
      <alignment horizontal="left" vertical="center"/>
      <protection locked="0"/>
    </xf>
    <xf numFmtId="0" fontId="2" fillId="50" borderId="70" xfId="0" applyFont="1" applyFill="1" applyBorder="1" applyAlignment="1" applyProtection="1">
      <alignment horizontal="center" vertical="center"/>
      <protection locked="0"/>
    </xf>
    <xf numFmtId="167" fontId="0" fillId="0" borderId="141" xfId="0" applyNumberFormat="1" applyFill="1" applyBorder="1" applyAlignment="1" applyProtection="1">
      <alignment horizontal="center"/>
    </xf>
    <xf numFmtId="0" fontId="1" fillId="0" borderId="0" xfId="0" applyFont="1" applyAlignment="1" applyProtection="1">
      <alignment horizontal="center"/>
      <protection locked="0"/>
    </xf>
    <xf numFmtId="0" fontId="1" fillId="0" borderId="25" xfId="0" applyFont="1" applyBorder="1" applyAlignment="1" applyProtection="1">
      <alignment horizontal="center" vertical="center" wrapText="1"/>
      <protection hidden="1"/>
    </xf>
    <xf numFmtId="0" fontId="0" fillId="0" borderId="0" xfId="0" applyAlignment="1" applyProtection="1">
      <alignment horizontal="center"/>
      <protection locked="0"/>
    </xf>
    <xf numFmtId="0" fontId="1" fillId="48" borderId="3" xfId="0" applyFont="1" applyFill="1" applyBorder="1" applyAlignment="1" applyProtection="1">
      <alignment horizontal="center" vertical="center" wrapText="1"/>
      <protection hidden="1"/>
    </xf>
    <xf numFmtId="0" fontId="1" fillId="48" borderId="4" xfId="0" applyFont="1" applyFill="1" applyBorder="1" applyAlignment="1" applyProtection="1">
      <alignment horizontal="center" vertical="center" wrapText="1"/>
      <protection hidden="1"/>
    </xf>
    <xf numFmtId="0" fontId="1" fillId="48" borderId="29" xfId="0" applyFont="1" applyFill="1" applyBorder="1" applyAlignment="1" applyProtection="1">
      <alignment horizontal="center" vertical="center" wrapText="1"/>
      <protection hidden="1"/>
    </xf>
    <xf numFmtId="0" fontId="1" fillId="48" borderId="5" xfId="0" applyFont="1" applyFill="1" applyBorder="1" applyAlignment="1" applyProtection="1">
      <alignment horizontal="center" vertical="center" wrapText="1"/>
      <protection hidden="1"/>
    </xf>
    <xf numFmtId="0" fontId="1" fillId="48" borderId="0" xfId="0" applyFont="1" applyFill="1" applyBorder="1" applyAlignment="1" applyProtection="1">
      <alignment horizontal="center" vertical="center" wrapText="1"/>
      <protection hidden="1"/>
    </xf>
    <xf numFmtId="0" fontId="1" fillId="48" borderId="31" xfId="0" applyFont="1" applyFill="1" applyBorder="1" applyAlignment="1" applyProtection="1">
      <alignment horizontal="center" vertical="center" wrapText="1"/>
      <protection hidden="1"/>
    </xf>
    <xf numFmtId="0" fontId="1" fillId="48" borderId="6" xfId="0" applyFont="1" applyFill="1" applyBorder="1" applyAlignment="1" applyProtection="1">
      <alignment horizontal="center" vertical="center" wrapText="1"/>
      <protection hidden="1"/>
    </xf>
    <xf numFmtId="0" fontId="1" fillId="48" borderId="7" xfId="0" applyFont="1" applyFill="1" applyBorder="1" applyAlignment="1" applyProtection="1">
      <alignment horizontal="center" vertical="center" wrapText="1"/>
      <protection hidden="1"/>
    </xf>
    <xf numFmtId="0" fontId="1" fillId="48" borderId="33" xfId="0" applyFont="1" applyFill="1" applyBorder="1" applyAlignment="1" applyProtection="1">
      <alignment horizontal="center" vertical="center" wrapText="1"/>
      <protection hidden="1"/>
    </xf>
    <xf numFmtId="0" fontId="5" fillId="48" borderId="50" xfId="0" applyFont="1" applyFill="1" applyBorder="1" applyAlignment="1" applyProtection="1">
      <alignment horizontal="center" vertical="center"/>
      <protection hidden="1"/>
    </xf>
    <xf numFmtId="0" fontId="5" fillId="48" borderId="31" xfId="0" applyFont="1" applyFill="1" applyBorder="1" applyAlignment="1" applyProtection="1">
      <alignment horizontal="center" vertical="center"/>
      <protection hidden="1"/>
    </xf>
    <xf numFmtId="0" fontId="1" fillId="48" borderId="60" xfId="0" applyFont="1" applyFill="1" applyBorder="1" applyAlignment="1" applyProtection="1">
      <alignment horizontal="center" vertical="center"/>
      <protection hidden="1"/>
    </xf>
    <xf numFmtId="0" fontId="1" fillId="48" borderId="33" xfId="0" applyFont="1" applyFill="1" applyBorder="1" applyAlignment="1" applyProtection="1">
      <alignment horizontal="center" vertical="center"/>
      <protection hidden="1"/>
    </xf>
    <xf numFmtId="0" fontId="1" fillId="48" borderId="22" xfId="0" applyFont="1" applyFill="1" applyBorder="1" applyAlignment="1" applyProtection="1">
      <alignment horizontal="center" vertical="center" wrapText="1"/>
      <protection hidden="1"/>
    </xf>
    <xf numFmtId="0" fontId="0" fillId="0" borderId="25"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1" fillId="0" borderId="50" xfId="0" applyFont="1" applyBorder="1" applyAlignment="1" applyProtection="1">
      <alignment horizontal="center" vertical="center" wrapText="1"/>
      <protection hidden="1"/>
    </xf>
    <xf numFmtId="0" fontId="1" fillId="0" borderId="58" xfId="0" applyFont="1" applyBorder="1" applyAlignment="1" applyProtection="1">
      <alignment horizontal="center" vertical="center" wrapText="1"/>
      <protection hidden="1"/>
    </xf>
    <xf numFmtId="0" fontId="0" fillId="0" borderId="0"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1" fillId="48" borderId="40" xfId="0" applyFont="1" applyFill="1" applyBorder="1" applyAlignment="1" applyProtection="1">
      <alignment horizontal="center" vertical="center" wrapText="1"/>
      <protection hidden="1"/>
    </xf>
    <xf numFmtId="0" fontId="1" fillId="48" borderId="43" xfId="0" applyFont="1" applyFill="1" applyBorder="1" applyAlignment="1" applyProtection="1">
      <alignment horizontal="center" vertical="center" wrapText="1"/>
      <protection hidden="1"/>
    </xf>
    <xf numFmtId="0" fontId="1" fillId="48" borderId="8" xfId="0" applyFont="1" applyFill="1" applyBorder="1" applyAlignment="1" applyProtection="1">
      <alignment horizontal="center" vertical="center" wrapText="1"/>
      <protection hidden="1"/>
    </xf>
    <xf numFmtId="0" fontId="1" fillId="50" borderId="74" xfId="0" applyFont="1" applyFill="1" applyBorder="1" applyAlignment="1" applyProtection="1">
      <alignment horizontal="center" vertical="center"/>
      <protection hidden="1"/>
    </xf>
    <xf numFmtId="0" fontId="0" fillId="50" borderId="90" xfId="0" applyFill="1" applyBorder="1" applyAlignment="1" applyProtection="1">
      <alignment horizontal="center" vertical="center"/>
      <protection hidden="1"/>
    </xf>
    <xf numFmtId="0" fontId="0" fillId="50" borderId="93" xfId="0" applyFill="1" applyBorder="1" applyAlignment="1" applyProtection="1">
      <alignment horizontal="center" vertical="center"/>
      <protection hidden="1"/>
    </xf>
    <xf numFmtId="0" fontId="0" fillId="50" borderId="74" xfId="0" applyFill="1" applyBorder="1" applyAlignment="1" applyProtection="1">
      <alignment horizontal="center" vertical="center"/>
      <protection hidden="1"/>
    </xf>
    <xf numFmtId="0" fontId="0" fillId="50" borderId="136" xfId="0" applyFill="1" applyBorder="1" applyAlignment="1" applyProtection="1">
      <alignment horizontal="center" vertical="center"/>
      <protection locked="0"/>
    </xf>
    <xf numFmtId="0" fontId="0" fillId="50" borderId="141" xfId="0" applyFill="1" applyBorder="1" applyAlignment="1" applyProtection="1">
      <alignment horizontal="center" vertical="center"/>
      <protection locked="0"/>
    </xf>
    <xf numFmtId="0" fontId="0" fillId="50" borderId="123" xfId="0" applyFill="1" applyBorder="1" applyAlignment="1" applyProtection="1">
      <alignment horizontal="center" vertical="center"/>
      <protection locked="0"/>
    </xf>
    <xf numFmtId="1"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2" fillId="48" borderId="12" xfId="0" applyFont="1" applyFill="1" applyBorder="1" applyAlignment="1" applyProtection="1">
      <alignment horizontal="center" vertical="center" wrapText="1"/>
      <protection hidden="1"/>
    </xf>
    <xf numFmtId="0" fontId="2" fillId="48" borderId="13" xfId="0" applyFont="1" applyFill="1" applyBorder="1" applyAlignment="1" applyProtection="1">
      <alignment horizontal="center" vertical="center"/>
      <protection hidden="1"/>
    </xf>
    <xf numFmtId="0" fontId="2" fillId="48" borderId="35" xfId="0" applyFont="1" applyFill="1" applyBorder="1" applyAlignment="1" applyProtection="1">
      <alignment horizontal="center" vertical="center"/>
      <protection hidden="1"/>
    </xf>
    <xf numFmtId="0" fontId="2" fillId="48" borderId="6" xfId="0" applyFont="1" applyFill="1" applyBorder="1" applyAlignment="1" applyProtection="1">
      <alignment horizontal="center" vertical="center"/>
      <protection hidden="1"/>
    </xf>
    <xf numFmtId="0" fontId="2" fillId="48" borderId="7" xfId="0" applyFont="1" applyFill="1" applyBorder="1" applyAlignment="1" applyProtection="1">
      <alignment horizontal="center" vertical="center"/>
      <protection hidden="1"/>
    </xf>
    <xf numFmtId="0" fontId="2" fillId="48" borderId="33" xfId="0" applyFont="1" applyFill="1" applyBorder="1" applyAlignment="1" applyProtection="1">
      <alignment horizontal="center" vertical="center"/>
      <protection hidden="1"/>
    </xf>
    <xf numFmtId="0" fontId="0" fillId="48" borderId="60" xfId="0" applyFill="1" applyBorder="1" applyAlignment="1" applyProtection="1">
      <alignment horizontal="center" vertical="center"/>
      <protection hidden="1"/>
    </xf>
    <xf numFmtId="0" fontId="0" fillId="48" borderId="33" xfId="0" applyFill="1" applyBorder="1" applyAlignment="1" applyProtection="1">
      <alignment horizontal="center" vertical="center"/>
      <protection hidden="1"/>
    </xf>
    <xf numFmtId="0" fontId="1" fillId="0" borderId="0" xfId="0" applyFont="1" applyAlignment="1" applyProtection="1">
      <alignment horizontal="left" vertical="center"/>
      <protection hidden="1"/>
    </xf>
    <xf numFmtId="0" fontId="1" fillId="0" borderId="44" xfId="0" applyFont="1" applyBorder="1" applyAlignment="1" applyProtection="1">
      <alignment horizontal="center"/>
      <protection hidden="1"/>
    </xf>
    <xf numFmtId="0" fontId="1" fillId="0" borderId="54" xfId="0" applyFont="1" applyBorder="1" applyAlignment="1" applyProtection="1">
      <alignment horizontal="center"/>
      <protection hidden="1"/>
    </xf>
    <xf numFmtId="0" fontId="1" fillId="0" borderId="45" xfId="0" applyFont="1" applyBorder="1" applyAlignment="1" applyProtection="1">
      <alignment horizontal="center"/>
      <protection hidden="1"/>
    </xf>
    <xf numFmtId="0" fontId="0" fillId="0" borderId="44" xfId="0" applyBorder="1" applyAlignment="1" applyProtection="1">
      <alignment horizontal="center"/>
      <protection hidden="1"/>
    </xf>
    <xf numFmtId="0" fontId="0" fillId="0" borderId="45" xfId="0" applyBorder="1" applyAlignment="1" applyProtection="1">
      <alignment horizontal="center"/>
      <protection hidden="1"/>
    </xf>
    <xf numFmtId="0" fontId="0" fillId="0" borderId="54" xfId="0" applyBorder="1" applyAlignment="1" applyProtection="1">
      <alignment horizontal="center"/>
      <protection hidden="1"/>
    </xf>
    <xf numFmtId="0" fontId="1" fillId="0" borderId="0" xfId="0" applyFont="1" applyAlignment="1" applyProtection="1">
      <alignment horizontal="left"/>
      <protection hidden="1"/>
    </xf>
    <xf numFmtId="0" fontId="1" fillId="0" borderId="25" xfId="0" applyFont="1" applyBorder="1" applyAlignment="1">
      <alignment horizontal="center" vertical="center" wrapText="1"/>
    </xf>
    <xf numFmtId="0" fontId="0" fillId="0" borderId="25" xfId="0" applyBorder="1" applyAlignment="1">
      <alignment horizontal="center" vertical="center" wrapText="1"/>
    </xf>
    <xf numFmtId="0" fontId="0" fillId="48" borderId="0" xfId="0" applyFill="1" applyAlignment="1" applyProtection="1">
      <alignment horizontal="center" vertical="center"/>
      <protection hidden="1"/>
    </xf>
    <xf numFmtId="0" fontId="0" fillId="0" borderId="50" xfId="0" applyBorder="1" applyAlignment="1" applyProtection="1">
      <alignment horizontal="center" vertical="center" wrapText="1"/>
      <protection hidden="1"/>
    </xf>
    <xf numFmtId="0" fontId="0" fillId="0" borderId="58" xfId="0" applyBorder="1" applyAlignment="1" applyProtection="1">
      <alignment horizontal="center" vertical="center" wrapText="1"/>
      <protection hidden="1"/>
    </xf>
    <xf numFmtId="0" fontId="1" fillId="0" borderId="0" xfId="0" applyFont="1" applyBorder="1" applyAlignment="1" applyProtection="1">
      <alignment horizontal="center" vertical="center" wrapText="1"/>
      <protection hidden="1"/>
    </xf>
    <xf numFmtId="0" fontId="1" fillId="0" borderId="24" xfId="0" applyFont="1"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1" fillId="0" borderId="64" xfId="0" applyFont="1" applyBorder="1" applyAlignment="1" applyProtection="1">
      <alignment horizontal="center"/>
      <protection hidden="1"/>
    </xf>
    <xf numFmtId="0" fontId="0" fillId="0" borderId="63" xfId="0" applyBorder="1" applyAlignment="1" applyProtection="1">
      <alignment horizontal="center"/>
      <protection hidden="1"/>
    </xf>
    <xf numFmtId="0" fontId="0" fillId="0" borderId="118" xfId="0" applyBorder="1" applyAlignment="1" applyProtection="1">
      <alignment horizontal="center"/>
      <protection hidden="1"/>
    </xf>
    <xf numFmtId="0" fontId="1" fillId="48" borderId="51" xfId="0" applyFont="1" applyFill="1" applyBorder="1" applyAlignment="1" applyProtection="1">
      <alignment horizontal="center" vertical="center" wrapText="1"/>
      <protection hidden="1"/>
    </xf>
    <xf numFmtId="0" fontId="1" fillId="48" borderId="35" xfId="0" applyFont="1" applyFill="1" applyBorder="1" applyAlignment="1" applyProtection="1">
      <alignment horizontal="center" vertical="center" wrapText="1"/>
      <protection hidden="1"/>
    </xf>
    <xf numFmtId="0" fontId="1" fillId="48" borderId="50" xfId="0" applyFont="1" applyFill="1" applyBorder="1" applyAlignment="1" applyProtection="1">
      <alignment horizontal="center" vertical="center" wrapText="1"/>
      <protection hidden="1"/>
    </xf>
    <xf numFmtId="0" fontId="1" fillId="48" borderId="42" xfId="0" applyFont="1" applyFill="1" applyBorder="1" applyAlignment="1" applyProtection="1">
      <alignment horizontal="center" vertical="center" wrapText="1"/>
      <protection hidden="1"/>
    </xf>
    <xf numFmtId="0" fontId="1" fillId="48" borderId="9" xfId="0" applyFont="1" applyFill="1" applyBorder="1" applyAlignment="1" applyProtection="1">
      <alignment horizontal="center" vertical="center" wrapText="1"/>
      <protection hidden="1"/>
    </xf>
    <xf numFmtId="0" fontId="1" fillId="48" borderId="37" xfId="0" applyFont="1" applyFill="1" applyBorder="1" applyAlignment="1" applyProtection="1">
      <alignment horizontal="center" vertical="center" wrapText="1"/>
      <protection hidden="1"/>
    </xf>
    <xf numFmtId="0" fontId="1" fillId="53" borderId="40" xfId="0" applyFont="1" applyFill="1" applyBorder="1" applyAlignment="1" applyProtection="1">
      <alignment horizontal="center" vertical="center" wrapText="1"/>
      <protection hidden="1"/>
    </xf>
    <xf numFmtId="0" fontId="1" fillId="53" borderId="43" xfId="0" applyFont="1" applyFill="1" applyBorder="1" applyAlignment="1" applyProtection="1">
      <alignment horizontal="center" vertical="center" wrapText="1"/>
      <protection hidden="1"/>
    </xf>
    <xf numFmtId="0" fontId="1" fillId="53" borderId="8" xfId="0" applyFont="1" applyFill="1" applyBorder="1" applyAlignment="1" applyProtection="1">
      <alignment horizontal="center" vertical="center" wrapText="1"/>
      <protection hidden="1"/>
    </xf>
    <xf numFmtId="0" fontId="1" fillId="53" borderId="22" xfId="0" applyFont="1" applyFill="1" applyBorder="1" applyAlignment="1" applyProtection="1">
      <alignment horizontal="center" vertical="center" wrapText="1"/>
      <protection hidden="1"/>
    </xf>
    <xf numFmtId="0" fontId="1" fillId="53" borderId="25" xfId="0" applyFont="1" applyFill="1" applyBorder="1" applyAlignment="1" applyProtection="1">
      <alignment horizontal="center" vertical="center" wrapText="1"/>
      <protection hidden="1"/>
    </xf>
    <xf numFmtId="0" fontId="1" fillId="53" borderId="36" xfId="0" applyFont="1" applyFill="1" applyBorder="1" applyAlignment="1" applyProtection="1">
      <alignment horizontal="center" vertical="center" wrapText="1"/>
      <protection hidden="1"/>
    </xf>
    <xf numFmtId="0" fontId="1" fillId="0" borderId="51" xfId="0" applyFont="1" applyBorder="1" applyAlignment="1" applyProtection="1">
      <alignment horizontal="center" vertical="center"/>
      <protection hidden="1"/>
    </xf>
    <xf numFmtId="0" fontId="1" fillId="0" borderId="13" xfId="0" applyFont="1" applyBorder="1" applyAlignment="1" applyProtection="1">
      <alignment horizontal="center" vertical="center"/>
      <protection hidden="1"/>
    </xf>
    <xf numFmtId="0" fontId="1" fillId="0" borderId="21"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0" xfId="0" applyFont="1" applyBorder="1" applyAlignment="1" applyProtection="1">
      <alignment horizontal="center" vertical="center"/>
      <protection hidden="1"/>
    </xf>
    <xf numFmtId="0" fontId="1" fillId="0" borderId="24" xfId="0" applyFont="1" applyBorder="1" applyAlignment="1" applyProtection="1">
      <alignment horizontal="center" vertical="center"/>
      <protection hidden="1"/>
    </xf>
    <xf numFmtId="0" fontId="1" fillId="0" borderId="58" xfId="0" applyFont="1" applyBorder="1" applyAlignment="1" applyProtection="1">
      <alignment horizontal="center" vertical="center"/>
      <protection hidden="1"/>
    </xf>
    <xf numFmtId="0" fontId="1" fillId="0" borderId="2" xfId="0" applyFont="1" applyBorder="1" applyAlignment="1" applyProtection="1">
      <alignment horizontal="center" vertical="center"/>
      <protection hidden="1"/>
    </xf>
    <xf numFmtId="0" fontId="1" fillId="0" borderId="16" xfId="0" applyFont="1" applyBorder="1" applyAlignment="1" applyProtection="1">
      <alignment horizontal="center" vertical="center"/>
      <protection hidden="1"/>
    </xf>
    <xf numFmtId="0" fontId="0" fillId="0" borderId="25" xfId="0" applyFont="1" applyBorder="1" applyAlignment="1" applyProtection="1">
      <alignment horizontal="center" vertical="center" wrapText="1"/>
      <protection hidden="1"/>
    </xf>
    <xf numFmtId="0" fontId="0" fillId="0" borderId="51" xfId="0" applyBorder="1" applyAlignment="1">
      <alignment horizontal="center"/>
    </xf>
    <xf numFmtId="0" fontId="0" fillId="0" borderId="13" xfId="0" applyBorder="1" applyAlignment="1">
      <alignment horizontal="center"/>
    </xf>
    <xf numFmtId="0" fontId="0" fillId="0" borderId="21" xfId="0" applyBorder="1" applyAlignment="1">
      <alignment horizontal="center"/>
    </xf>
    <xf numFmtId="0" fontId="0" fillId="0" borderId="109" xfId="0" applyFill="1" applyBorder="1" applyAlignment="1" applyProtection="1">
      <alignment horizontal="center" vertical="center"/>
      <protection hidden="1"/>
    </xf>
    <xf numFmtId="0" fontId="0" fillId="0" borderId="297" xfId="0" applyFill="1" applyBorder="1" applyAlignment="1" applyProtection="1">
      <alignment horizontal="center" vertical="center"/>
      <protection hidden="1"/>
    </xf>
    <xf numFmtId="0" fontId="0" fillId="50" borderId="91" xfId="0" applyFill="1" applyBorder="1" applyAlignment="1" applyProtection="1">
      <alignment horizontal="center" vertical="center"/>
      <protection locked="0"/>
    </xf>
    <xf numFmtId="0" fontId="0" fillId="50" borderId="140" xfId="0" applyFill="1" applyBorder="1" applyAlignment="1" applyProtection="1">
      <alignment horizontal="center" vertical="center"/>
      <protection locked="0"/>
    </xf>
    <xf numFmtId="0" fontId="1" fillId="48" borderId="42" xfId="0" applyFont="1" applyFill="1" applyBorder="1" applyAlignment="1" applyProtection="1">
      <alignment horizontal="center" vertical="center" textRotation="90" wrapText="1"/>
      <protection hidden="1"/>
    </xf>
    <xf numFmtId="0" fontId="1" fillId="48" borderId="9" xfId="0" applyFont="1" applyFill="1" applyBorder="1" applyAlignment="1" applyProtection="1">
      <alignment horizontal="center" vertical="center" textRotation="90" wrapText="1"/>
      <protection hidden="1"/>
    </xf>
    <xf numFmtId="0" fontId="1" fillId="48" borderId="37" xfId="0" applyFont="1" applyFill="1" applyBorder="1" applyAlignment="1" applyProtection="1">
      <alignment horizontal="center" vertical="center" textRotation="90" wrapText="1"/>
      <protection hidden="1"/>
    </xf>
    <xf numFmtId="0" fontId="1" fillId="53" borderId="35" xfId="0" applyFont="1" applyFill="1" applyBorder="1" applyAlignment="1" applyProtection="1">
      <alignment horizontal="center" vertical="center" textRotation="90" wrapText="1"/>
      <protection hidden="1"/>
    </xf>
    <xf numFmtId="0" fontId="1" fillId="53" borderId="31" xfId="0" applyFont="1" applyFill="1" applyBorder="1" applyAlignment="1" applyProtection="1">
      <alignment horizontal="center" vertical="center" textRotation="90" wrapText="1"/>
      <protection hidden="1"/>
    </xf>
    <xf numFmtId="0" fontId="1" fillId="53" borderId="33" xfId="0" applyFont="1" applyFill="1" applyBorder="1" applyAlignment="1" applyProtection="1">
      <alignment horizontal="center" vertical="center" textRotation="90" wrapText="1"/>
      <protection hidden="1"/>
    </xf>
    <xf numFmtId="0" fontId="1" fillId="5" borderId="44" xfId="0" applyFont="1" applyFill="1" applyBorder="1" applyAlignment="1" applyProtection="1">
      <alignment horizontal="center"/>
      <protection hidden="1"/>
    </xf>
    <xf numFmtId="0" fontId="1" fillId="5" borderId="45" xfId="0" applyFont="1" applyFill="1" applyBorder="1" applyAlignment="1" applyProtection="1">
      <alignment horizontal="center"/>
      <protection hidden="1"/>
    </xf>
    <xf numFmtId="0" fontId="1" fillId="5" borderId="54" xfId="0" applyFont="1" applyFill="1" applyBorder="1" applyAlignment="1" applyProtection="1">
      <alignment horizontal="center"/>
      <protection hidden="1"/>
    </xf>
    <xf numFmtId="0" fontId="1" fillId="48" borderId="3" xfId="0" applyFont="1" applyFill="1" applyBorder="1" applyAlignment="1" applyProtection="1">
      <alignment horizontal="center" vertical="center"/>
      <protection hidden="1"/>
    </xf>
    <xf numFmtId="0" fontId="1" fillId="48" borderId="4" xfId="0" applyFont="1" applyFill="1" applyBorder="1" applyAlignment="1" applyProtection="1">
      <alignment horizontal="center" vertical="center"/>
      <protection hidden="1"/>
    </xf>
    <xf numFmtId="0" fontId="1" fillId="48" borderId="29" xfId="0" applyFont="1" applyFill="1" applyBorder="1" applyAlignment="1" applyProtection="1">
      <alignment horizontal="center" vertical="center"/>
      <protection hidden="1"/>
    </xf>
    <xf numFmtId="0" fontId="1" fillId="48" borderId="5" xfId="0" applyFont="1" applyFill="1" applyBorder="1" applyAlignment="1" applyProtection="1">
      <alignment horizontal="center" vertical="center"/>
      <protection hidden="1"/>
    </xf>
    <xf numFmtId="0" fontId="1" fillId="48" borderId="0" xfId="0" applyFont="1" applyFill="1" applyBorder="1" applyAlignment="1" applyProtection="1">
      <alignment horizontal="center" vertical="center"/>
      <protection hidden="1"/>
    </xf>
    <xf numFmtId="0" fontId="1" fillId="48" borderId="31" xfId="0" applyFont="1" applyFill="1" applyBorder="1" applyAlignment="1" applyProtection="1">
      <alignment horizontal="center" vertical="center"/>
      <protection hidden="1"/>
    </xf>
    <xf numFmtId="167" fontId="1" fillId="0" borderId="147" xfId="0" applyNumberFormat="1" applyFont="1" applyFill="1" applyBorder="1" applyAlignment="1" applyProtection="1">
      <alignment horizontal="center" vertical="center"/>
      <protection hidden="1"/>
    </xf>
    <xf numFmtId="167" fontId="1" fillId="0" borderId="148" xfId="0" applyNumberFormat="1" applyFont="1" applyFill="1" applyBorder="1" applyAlignment="1" applyProtection="1">
      <alignment horizontal="center" vertical="center"/>
      <protection hidden="1"/>
    </xf>
    <xf numFmtId="167" fontId="0" fillId="0" borderId="74" xfId="0" applyNumberFormat="1" applyFill="1" applyBorder="1" applyAlignment="1" applyProtection="1">
      <alignment horizontal="center" vertical="center"/>
      <protection hidden="1"/>
    </xf>
    <xf numFmtId="167" fontId="0" fillId="0" borderId="93" xfId="0" applyNumberFormat="1" applyFill="1" applyBorder="1" applyAlignment="1" applyProtection="1">
      <alignment horizontal="center" vertical="center"/>
      <protection hidden="1"/>
    </xf>
    <xf numFmtId="0" fontId="1" fillId="48" borderId="6" xfId="0" applyFont="1" applyFill="1" applyBorder="1" applyAlignment="1" applyProtection="1">
      <alignment horizontal="center" vertical="center"/>
      <protection hidden="1"/>
    </xf>
    <xf numFmtId="0" fontId="1" fillId="48" borderId="7" xfId="0" applyFont="1" applyFill="1" applyBorder="1" applyAlignment="1" applyProtection="1">
      <alignment horizontal="center" vertical="center"/>
      <protection hidden="1"/>
    </xf>
    <xf numFmtId="0" fontId="1" fillId="48" borderId="13" xfId="0" applyFont="1" applyFill="1" applyBorder="1" applyAlignment="1" applyProtection="1">
      <alignment horizontal="center" vertical="center" wrapText="1"/>
      <protection hidden="1"/>
    </xf>
    <xf numFmtId="0" fontId="1" fillId="53" borderId="51" xfId="0" applyFont="1" applyFill="1" applyBorder="1" applyAlignment="1" applyProtection="1">
      <alignment horizontal="center" vertical="center" wrapText="1"/>
      <protection hidden="1"/>
    </xf>
    <xf numFmtId="0" fontId="1" fillId="53" borderId="13" xfId="0" applyFont="1" applyFill="1" applyBorder="1" applyAlignment="1" applyProtection="1">
      <alignment horizontal="center" vertical="center" wrapText="1"/>
      <protection hidden="1"/>
    </xf>
    <xf numFmtId="0" fontId="1" fillId="53" borderId="50" xfId="0" applyFont="1" applyFill="1" applyBorder="1" applyAlignment="1" applyProtection="1">
      <alignment horizontal="center" vertical="center" wrapText="1"/>
      <protection hidden="1"/>
    </xf>
    <xf numFmtId="0" fontId="1" fillId="53" borderId="0" xfId="0" applyFont="1" applyFill="1" applyBorder="1" applyAlignment="1" applyProtection="1">
      <alignment horizontal="center" vertical="center" wrapText="1"/>
      <protection hidden="1"/>
    </xf>
    <xf numFmtId="0" fontId="0" fillId="0" borderId="51"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21" xfId="0" applyBorder="1" applyAlignment="1" applyProtection="1">
      <alignment horizontal="center"/>
      <protection hidden="1"/>
    </xf>
    <xf numFmtId="0" fontId="0" fillId="0" borderId="50"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69" borderId="0" xfId="0" applyFill="1" applyAlignment="1" applyProtection="1">
      <alignment horizontal="center" vertical="center"/>
    </xf>
    <xf numFmtId="0" fontId="0" fillId="69" borderId="24" xfId="0" applyFill="1" applyBorder="1" applyAlignment="1" applyProtection="1">
      <alignment horizontal="center" vertical="center"/>
    </xf>
    <xf numFmtId="0" fontId="0" fillId="69" borderId="0" xfId="0" applyFill="1" applyAlignment="1">
      <alignment horizontal="center" vertical="center"/>
    </xf>
    <xf numFmtId="0" fontId="1" fillId="0" borderId="51" xfId="0" applyFont="1" applyBorder="1" applyAlignment="1">
      <alignment horizontal="center"/>
    </xf>
    <xf numFmtId="167" fontId="0" fillId="0" borderId="91" xfId="0" applyNumberFormat="1" applyFill="1" applyBorder="1" applyAlignment="1" applyProtection="1">
      <alignment horizontal="center" vertical="center"/>
      <protection hidden="1"/>
    </xf>
    <xf numFmtId="167" fontId="0" fillId="0" borderId="90" xfId="0" applyNumberFormat="1" applyFill="1" applyBorder="1" applyAlignment="1" applyProtection="1">
      <alignment horizontal="center" vertical="center"/>
      <protection hidden="1"/>
    </xf>
    <xf numFmtId="0" fontId="1" fillId="48" borderId="298" xfId="0" applyFont="1" applyFill="1" applyBorder="1" applyAlignment="1" applyProtection="1">
      <alignment horizontal="left" vertical="center" wrapText="1"/>
      <protection hidden="1"/>
    </xf>
    <xf numFmtId="0" fontId="1" fillId="48" borderId="5" xfId="0" applyFont="1" applyFill="1" applyBorder="1" applyAlignment="1" applyProtection="1">
      <alignment horizontal="left" vertical="center" wrapText="1"/>
      <protection hidden="1"/>
    </xf>
    <xf numFmtId="0" fontId="1" fillId="48" borderId="109" xfId="0" applyFont="1" applyFill="1" applyBorder="1" applyAlignment="1" applyProtection="1">
      <alignment horizontal="left" vertical="center" wrapText="1"/>
      <protection hidden="1"/>
    </xf>
    <xf numFmtId="0" fontId="1" fillId="48" borderId="74" xfId="0" applyFont="1" applyFill="1" applyBorder="1" applyAlignment="1" applyProtection="1">
      <alignment vertical="center" wrapText="1"/>
      <protection hidden="1"/>
    </xf>
    <xf numFmtId="0" fontId="1" fillId="48" borderId="90" xfId="0" applyFont="1" applyFill="1" applyBorder="1" applyAlignment="1" applyProtection="1">
      <alignment vertical="center" wrapText="1"/>
      <protection hidden="1"/>
    </xf>
    <xf numFmtId="0" fontId="1" fillId="48" borderId="93" xfId="0" applyFont="1" applyFill="1" applyBorder="1" applyAlignment="1" applyProtection="1">
      <alignment vertical="center" wrapText="1"/>
      <protection hidden="1"/>
    </xf>
    <xf numFmtId="0" fontId="1" fillId="48" borderId="74" xfId="0" applyFont="1" applyFill="1" applyBorder="1" applyAlignment="1" applyProtection="1">
      <alignment vertical="center"/>
      <protection hidden="1"/>
    </xf>
    <xf numFmtId="0" fontId="1" fillId="48" borderId="90" xfId="0" applyFont="1" applyFill="1" applyBorder="1" applyAlignment="1" applyProtection="1">
      <alignment vertical="center"/>
      <protection hidden="1"/>
    </xf>
    <xf numFmtId="0" fontId="1" fillId="48" borderId="93" xfId="0" applyFont="1" applyFill="1" applyBorder="1" applyAlignment="1" applyProtection="1">
      <alignment vertical="center"/>
      <protection hidden="1"/>
    </xf>
    <xf numFmtId="0" fontId="1" fillId="48" borderId="147" xfId="0" applyFont="1" applyFill="1" applyBorder="1" applyAlignment="1" applyProtection="1">
      <alignment horizontal="left" vertical="center"/>
      <protection hidden="1"/>
    </xf>
    <xf numFmtId="0" fontId="1" fillId="48" borderId="145" xfId="0" applyFont="1" applyFill="1" applyBorder="1" applyAlignment="1" applyProtection="1">
      <alignment horizontal="left" vertical="center"/>
      <protection hidden="1"/>
    </xf>
    <xf numFmtId="0" fontId="1" fillId="48" borderId="148" xfId="0" applyFont="1" applyFill="1" applyBorder="1" applyAlignment="1" applyProtection="1">
      <alignment horizontal="left" vertical="center"/>
      <protection hidden="1"/>
    </xf>
    <xf numFmtId="167" fontId="1" fillId="0" borderId="144" xfId="0" applyNumberFormat="1" applyFont="1" applyFill="1" applyBorder="1" applyAlignment="1" applyProtection="1">
      <alignment horizontal="center" vertical="center" wrapText="1"/>
      <protection hidden="1"/>
    </xf>
    <xf numFmtId="167" fontId="1" fillId="0" borderId="123" xfId="0" applyNumberFormat="1" applyFont="1" applyFill="1" applyBorder="1" applyAlignment="1" applyProtection="1">
      <alignment horizontal="center" vertical="center" wrapText="1"/>
      <protection hidden="1"/>
    </xf>
    <xf numFmtId="167" fontId="0" fillId="0" borderId="174" xfId="0" applyNumberFormat="1" applyBorder="1" applyAlignment="1" applyProtection="1">
      <alignment horizontal="center" vertical="center"/>
      <protection hidden="1"/>
    </xf>
    <xf numFmtId="167" fontId="0" fillId="0" borderId="118" xfId="0" applyNumberFormat="1" applyBorder="1" applyAlignment="1" applyProtection="1">
      <alignment horizontal="center" vertical="center"/>
      <protection hidden="1"/>
    </xf>
    <xf numFmtId="0" fontId="0" fillId="50" borderId="90" xfId="0" applyFill="1" applyBorder="1" applyAlignment="1" applyProtection="1">
      <alignment horizontal="center" vertical="center"/>
      <protection locked="0"/>
    </xf>
    <xf numFmtId="0" fontId="0" fillId="50" borderId="93" xfId="0" applyFill="1" applyBorder="1" applyAlignment="1" applyProtection="1">
      <alignment horizontal="center" vertical="center"/>
      <protection locked="0"/>
    </xf>
    <xf numFmtId="0" fontId="2" fillId="48" borderId="3" xfId="0" applyFont="1" applyFill="1" applyBorder="1" applyAlignment="1" applyProtection="1">
      <alignment horizontal="center" vertical="center" wrapText="1"/>
      <protection hidden="1"/>
    </xf>
    <xf numFmtId="0" fontId="2" fillId="48" borderId="4" xfId="0" applyFont="1" applyFill="1" applyBorder="1" applyAlignment="1" applyProtection="1">
      <alignment horizontal="center" vertical="center" wrapText="1"/>
      <protection hidden="1"/>
    </xf>
    <xf numFmtId="0" fontId="2" fillId="48" borderId="29" xfId="0" applyFont="1" applyFill="1" applyBorder="1" applyAlignment="1" applyProtection="1">
      <alignment horizontal="center" vertical="center" wrapText="1"/>
      <protection hidden="1"/>
    </xf>
    <xf numFmtId="0" fontId="2" fillId="48" borderId="5" xfId="0" applyFont="1" applyFill="1" applyBorder="1" applyAlignment="1" applyProtection="1">
      <alignment horizontal="center" vertical="center" wrapText="1"/>
      <protection hidden="1"/>
    </xf>
    <xf numFmtId="0" fontId="2" fillId="48" borderId="0" xfId="0" applyFont="1" applyFill="1" applyBorder="1" applyAlignment="1" applyProtection="1">
      <alignment horizontal="center" vertical="center" wrapText="1"/>
      <protection hidden="1"/>
    </xf>
    <xf numFmtId="0" fontId="2" fillId="48" borderId="31" xfId="0" applyFont="1" applyFill="1" applyBorder="1" applyAlignment="1" applyProtection="1">
      <alignment horizontal="center" vertical="center" wrapText="1"/>
      <protection hidden="1"/>
    </xf>
    <xf numFmtId="0" fontId="2" fillId="48" borderId="6" xfId="0" applyFont="1" applyFill="1" applyBorder="1" applyAlignment="1" applyProtection="1">
      <alignment horizontal="center" vertical="center" wrapText="1"/>
      <protection hidden="1"/>
    </xf>
    <xf numFmtId="0" fontId="2" fillId="48" borderId="7" xfId="0" applyFont="1" applyFill="1" applyBorder="1" applyAlignment="1" applyProtection="1">
      <alignment horizontal="center" vertical="center" wrapText="1"/>
      <protection hidden="1"/>
    </xf>
    <xf numFmtId="0" fontId="2" fillId="48" borderId="33" xfId="0" applyFont="1" applyFill="1" applyBorder="1" applyAlignment="1" applyProtection="1">
      <alignment horizontal="center" vertical="center" wrapText="1"/>
      <protection hidden="1"/>
    </xf>
    <xf numFmtId="0" fontId="0" fillId="50" borderId="143" xfId="0" applyFill="1" applyBorder="1" applyAlignment="1" applyProtection="1">
      <alignment horizontal="center" vertical="center"/>
      <protection locked="0"/>
    </xf>
    <xf numFmtId="167" fontId="1" fillId="0" borderId="109" xfId="0" applyNumberFormat="1" applyFont="1" applyFill="1" applyBorder="1" applyAlignment="1" applyProtection="1">
      <alignment horizontal="center" vertical="center"/>
      <protection hidden="1"/>
    </xf>
    <xf numFmtId="167" fontId="1" fillId="0" borderId="145" xfId="0" applyNumberFormat="1" applyFont="1" applyFill="1" applyBorder="1" applyAlignment="1" applyProtection="1">
      <alignment horizontal="center" vertical="center"/>
      <protection hidden="1"/>
    </xf>
    <xf numFmtId="0" fontId="1" fillId="48" borderId="144" xfId="0" applyFont="1" applyFill="1" applyBorder="1" applyAlignment="1" applyProtection="1">
      <alignment vertical="center"/>
      <protection hidden="1"/>
    </xf>
    <xf numFmtId="0" fontId="1" fillId="48" borderId="141" xfId="0" applyFont="1" applyFill="1" applyBorder="1" applyAlignment="1" applyProtection="1">
      <alignment vertical="center"/>
      <protection hidden="1"/>
    </xf>
    <xf numFmtId="0" fontId="1" fillId="48" borderId="123" xfId="0" applyFont="1" applyFill="1" applyBorder="1" applyAlignment="1" applyProtection="1">
      <alignment vertical="center"/>
      <protection hidden="1"/>
    </xf>
    <xf numFmtId="167" fontId="1" fillId="0" borderId="136" xfId="0" applyNumberFormat="1" applyFont="1" applyFill="1" applyBorder="1" applyAlignment="1" applyProtection="1">
      <alignment horizontal="center" vertical="center" wrapText="1"/>
      <protection hidden="1"/>
    </xf>
    <xf numFmtId="167" fontId="1" fillId="0" borderId="141" xfId="0" applyNumberFormat="1" applyFont="1" applyFill="1" applyBorder="1" applyAlignment="1" applyProtection="1">
      <alignment horizontal="center" vertical="center" wrapText="1"/>
      <protection hidden="1"/>
    </xf>
    <xf numFmtId="0" fontId="0" fillId="48" borderId="63" xfId="0" applyFill="1" applyBorder="1" applyProtection="1">
      <protection hidden="1"/>
    </xf>
    <xf numFmtId="0" fontId="1" fillId="50" borderId="73" xfId="0" applyFont="1" applyFill="1" applyBorder="1" applyAlignment="1" applyProtection="1">
      <alignment horizontal="center" vertical="center"/>
      <protection hidden="1"/>
    </xf>
    <xf numFmtId="0" fontId="1" fillId="50" borderId="85" xfId="0" applyFont="1" applyFill="1" applyBorder="1" applyAlignment="1" applyProtection="1">
      <alignment horizontal="center" vertical="center"/>
      <protection hidden="1"/>
    </xf>
    <xf numFmtId="0" fontId="1" fillId="50" borderId="88" xfId="0" applyFont="1" applyFill="1" applyBorder="1" applyAlignment="1" applyProtection="1">
      <alignment horizontal="center" vertical="center"/>
      <protection hidden="1"/>
    </xf>
    <xf numFmtId="167" fontId="0" fillId="0" borderId="64" xfId="0" applyNumberFormat="1" applyBorder="1" applyAlignment="1" applyProtection="1">
      <alignment horizontal="center" vertical="center"/>
      <protection hidden="1"/>
    </xf>
    <xf numFmtId="167" fontId="0" fillId="0" borderId="63" xfId="0" applyNumberFormat="1" applyBorder="1" applyAlignment="1" applyProtection="1">
      <alignment horizontal="center" vertical="center"/>
      <protection hidden="1"/>
    </xf>
    <xf numFmtId="0" fontId="0" fillId="0" borderId="64" xfId="0" applyBorder="1" applyAlignment="1">
      <alignment horizontal="center"/>
    </xf>
    <xf numFmtId="0" fontId="0" fillId="0" borderId="63" xfId="0" applyBorder="1" applyAlignment="1">
      <alignment horizontal="center"/>
    </xf>
    <xf numFmtId="0" fontId="0" fillId="0" borderId="118" xfId="0" applyBorder="1" applyAlignment="1">
      <alignment horizontal="center"/>
    </xf>
    <xf numFmtId="0" fontId="9" fillId="0" borderId="0" xfId="0" applyFont="1" applyAlignment="1" applyProtection="1">
      <alignment horizontal="center"/>
      <protection locked="0" hidden="1"/>
    </xf>
    <xf numFmtId="0" fontId="4" fillId="0" borderId="0" xfId="0" applyFont="1" applyFill="1" applyBorder="1" applyAlignment="1" applyProtection="1">
      <alignment horizontal="center" vertical="center"/>
    </xf>
    <xf numFmtId="0" fontId="2" fillId="0" borderId="64" xfId="0" applyFont="1" applyBorder="1" applyAlignment="1">
      <alignment horizontal="center"/>
    </xf>
    <xf numFmtId="0" fontId="2" fillId="0" borderId="63" xfId="0" applyFont="1" applyBorder="1" applyAlignment="1">
      <alignment horizontal="center"/>
    </xf>
    <xf numFmtId="0" fontId="2" fillId="0" borderId="118" xfId="0" applyFont="1" applyBorder="1" applyAlignment="1">
      <alignment horizontal="center"/>
    </xf>
    <xf numFmtId="0" fontId="2" fillId="0" borderId="64" xfId="0" applyFont="1" applyFill="1" applyBorder="1" applyAlignment="1">
      <alignment horizontal="center"/>
    </xf>
    <xf numFmtId="0" fontId="2" fillId="0" borderId="63" xfId="0" applyFont="1" applyFill="1" applyBorder="1" applyAlignment="1">
      <alignment horizontal="center"/>
    </xf>
    <xf numFmtId="0" fontId="2" fillId="0" borderId="118" xfId="0" applyFont="1" applyFill="1" applyBorder="1" applyAlignment="1">
      <alignment horizontal="center"/>
    </xf>
    <xf numFmtId="0" fontId="2" fillId="0" borderId="3" xfId="0" applyFont="1" applyFill="1" applyBorder="1" applyAlignment="1">
      <alignment horizontal="center"/>
    </xf>
    <xf numFmtId="0" fontId="2" fillId="0" borderId="4" xfId="0" applyFont="1" applyFill="1" applyBorder="1" applyAlignment="1">
      <alignment horizontal="center"/>
    </xf>
    <xf numFmtId="0" fontId="2" fillId="0" borderId="29" xfId="0" applyFont="1" applyFill="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0" borderId="29" xfId="0" applyFont="1" applyBorder="1" applyAlignment="1">
      <alignment horizontal="center"/>
    </xf>
    <xf numFmtId="0" fontId="9" fillId="0" borderId="63" xfId="0" applyFont="1" applyBorder="1" applyAlignment="1">
      <alignment horizontal="center"/>
    </xf>
    <xf numFmtId="0" fontId="9" fillId="0" borderId="64" xfId="0" applyFont="1" applyBorder="1" applyAlignment="1">
      <alignment horizontal="center"/>
    </xf>
    <xf numFmtId="0" fontId="9" fillId="0" borderId="118" xfId="0" applyFont="1" applyBorder="1" applyAlignment="1">
      <alignment horizontal="center"/>
    </xf>
    <xf numFmtId="0" fontId="25" fillId="0" borderId="0" xfId="0" applyFont="1" applyAlignment="1">
      <alignment horizontal="center" vertical="center"/>
    </xf>
    <xf numFmtId="0" fontId="1" fillId="0" borderId="0" xfId="0" applyFont="1" applyAlignment="1">
      <alignment horizontal="left" vertical="top" wrapText="1"/>
    </xf>
    <xf numFmtId="0" fontId="0" fillId="0" borderId="0" xfId="0" applyAlignment="1">
      <alignment horizontal="left" wrapText="1"/>
    </xf>
    <xf numFmtId="0" fontId="1" fillId="0" borderId="0" xfId="0" applyFont="1" applyAlignment="1">
      <alignment horizontal="center" wrapText="1"/>
    </xf>
    <xf numFmtId="2" fontId="2" fillId="0" borderId="30" xfId="62" applyNumberFormat="1" applyFont="1" applyBorder="1" applyAlignment="1">
      <alignment horizontal="center" vertical="top" wrapText="1"/>
    </xf>
    <xf numFmtId="2" fontId="2" fillId="0" borderId="32" xfId="62" applyNumberFormat="1" applyFont="1" applyBorder="1" applyAlignment="1">
      <alignment horizontal="center" vertical="top" wrapText="1"/>
    </xf>
    <xf numFmtId="0" fontId="6" fillId="0" borderId="3" xfId="62" applyFont="1" applyBorder="1" applyAlignment="1">
      <alignment horizontal="center"/>
    </xf>
    <xf numFmtId="0" fontId="6" fillId="0" borderId="29" xfId="62" applyFont="1" applyBorder="1" applyAlignment="1">
      <alignment horizontal="center"/>
    </xf>
    <xf numFmtId="0" fontId="6" fillId="0" borderId="5" xfId="62" applyFont="1" applyBorder="1" applyAlignment="1">
      <alignment horizontal="center"/>
    </xf>
    <xf numFmtId="0" fontId="6" fillId="0" borderId="31" xfId="62" applyFont="1" applyBorder="1" applyAlignment="1">
      <alignment horizontal="center"/>
    </xf>
    <xf numFmtId="0" fontId="0" fillId="0" borderId="0" xfId="0" applyAlignment="1">
      <alignment horizontal="center"/>
    </xf>
    <xf numFmtId="0" fontId="1" fillId="0" borderId="0" xfId="0" applyFont="1" applyAlignment="1">
      <alignment horizontal="center"/>
    </xf>
    <xf numFmtId="0" fontId="0" fillId="0" borderId="4" xfId="0" applyBorder="1" applyAlignment="1">
      <alignment horizontal="center"/>
    </xf>
    <xf numFmtId="0" fontId="0" fillId="0" borderId="29" xfId="0" applyBorder="1" applyAlignment="1">
      <alignment horizontal="center"/>
    </xf>
    <xf numFmtId="0" fontId="1" fillId="0" borderId="31" xfId="0" applyFont="1" applyBorder="1" applyAlignment="1">
      <alignment horizontal="center"/>
    </xf>
    <xf numFmtId="0" fontId="2" fillId="0" borderId="0" xfId="62" applyFont="1" applyFill="1" applyBorder="1" applyAlignment="1">
      <alignment horizontal="center"/>
    </xf>
    <xf numFmtId="0" fontId="2" fillId="0" borderId="31" xfId="62" applyFont="1" applyFill="1" applyBorder="1" applyAlignment="1">
      <alignment horizontal="center"/>
    </xf>
    <xf numFmtId="0" fontId="2" fillId="0" borderId="3" xfId="62" applyFont="1" applyFill="1" applyBorder="1" applyAlignment="1">
      <alignment horizontal="center"/>
    </xf>
    <xf numFmtId="0" fontId="2" fillId="0" borderId="4" xfId="62" applyFont="1" applyFill="1" applyBorder="1" applyAlignment="1">
      <alignment horizontal="center"/>
    </xf>
    <xf numFmtId="0" fontId="2" fillId="0" borderId="29" xfId="62" applyFont="1" applyFill="1" applyBorder="1" applyAlignment="1">
      <alignment horizontal="center"/>
    </xf>
    <xf numFmtId="0" fontId="2" fillId="0" borderId="4" xfId="62" applyFont="1" applyFill="1" applyBorder="1" applyAlignment="1">
      <alignment horizontal="center" vertical="center"/>
    </xf>
    <xf numFmtId="0" fontId="2" fillId="0" borderId="29" xfId="62" applyFont="1" applyFill="1" applyBorder="1" applyAlignment="1">
      <alignment horizontal="center" vertical="center"/>
    </xf>
    <xf numFmtId="0" fontId="2" fillId="0" borderId="5" xfId="62" applyFont="1" applyFill="1" applyBorder="1" applyAlignment="1">
      <alignment horizontal="center"/>
    </xf>
    <xf numFmtId="0" fontId="2" fillId="0" borderId="0" xfId="62" applyFont="1" applyFill="1" applyBorder="1" applyAlignment="1">
      <alignment horizontal="center" vertical="center"/>
    </xf>
    <xf numFmtId="0" fontId="2" fillId="0" borderId="31" xfId="62" applyFont="1" applyFill="1" applyBorder="1" applyAlignment="1">
      <alignment horizontal="center" vertical="center"/>
    </xf>
    <xf numFmtId="0" fontId="6" fillId="0" borderId="4" xfId="62" applyFont="1" applyBorder="1" applyAlignment="1">
      <alignment horizontal="center"/>
    </xf>
    <xf numFmtId="49" fontId="71" fillId="40" borderId="20" xfId="62" applyNumberFormat="1" applyFont="1" applyFill="1" applyBorder="1" applyAlignment="1">
      <alignment horizontal="center" vertical="center"/>
    </xf>
    <xf numFmtId="49" fontId="71" fillId="40" borderId="15" xfId="62" applyNumberFormat="1" applyFont="1" applyFill="1" applyBorder="1" applyAlignment="1">
      <alignment horizontal="center" vertical="center"/>
    </xf>
    <xf numFmtId="0" fontId="71" fillId="40" borderId="21" xfId="62" applyFont="1" applyFill="1" applyBorder="1" applyAlignment="1">
      <alignment horizontal="left" vertical="center"/>
    </xf>
    <xf numFmtId="0" fontId="71" fillId="40" borderId="16" xfId="62" applyFont="1" applyFill="1" applyBorder="1" applyAlignment="1">
      <alignment horizontal="left" vertical="center"/>
    </xf>
    <xf numFmtId="0" fontId="67" fillId="0" borderId="15" xfId="62" applyFont="1" applyFill="1" applyBorder="1" applyAlignment="1">
      <alignment horizontal="center" vertical="center"/>
    </xf>
    <xf numFmtId="49" fontId="19" fillId="40" borderId="176" xfId="62" applyNumberFormat="1" applyFont="1" applyFill="1" applyBorder="1" applyAlignment="1">
      <alignment vertical="center"/>
    </xf>
    <xf numFmtId="0" fontId="67" fillId="0" borderId="177" xfId="62" applyFont="1" applyFill="1" applyBorder="1" applyAlignment="1">
      <alignment vertical="center"/>
    </xf>
    <xf numFmtId="0" fontId="71" fillId="40" borderId="21" xfId="62" applyFont="1" applyFill="1" applyBorder="1" applyAlignment="1">
      <alignment vertical="center"/>
    </xf>
    <xf numFmtId="0" fontId="67" fillId="0" borderId="16" xfId="62" applyFont="1" applyFill="1" applyBorder="1" applyAlignment="1">
      <alignment vertical="center"/>
    </xf>
    <xf numFmtId="0" fontId="71" fillId="40" borderId="16" xfId="62" applyFont="1" applyFill="1" applyBorder="1" applyAlignment="1">
      <alignment vertical="center"/>
    </xf>
    <xf numFmtId="0" fontId="68" fillId="39" borderId="171" xfId="62" applyFont="1" applyFill="1" applyBorder="1" applyAlignment="1">
      <alignment horizontal="center" vertical="center"/>
    </xf>
    <xf numFmtId="0" fontId="69" fillId="0" borderId="27" xfId="62" applyFont="1" applyFill="1" applyBorder="1" applyAlignment="1">
      <alignment horizontal="center"/>
    </xf>
    <xf numFmtId="49" fontId="19" fillId="41" borderId="22" xfId="62" applyNumberFormat="1" applyFont="1" applyFill="1" applyBorder="1" applyAlignment="1">
      <alignment horizontal="left" vertical="top"/>
    </xf>
    <xf numFmtId="49" fontId="19" fillId="41" borderId="25" xfId="62" applyNumberFormat="1" applyFont="1" applyFill="1" applyBorder="1" applyAlignment="1">
      <alignment horizontal="left" vertical="top"/>
    </xf>
    <xf numFmtId="49" fontId="19" fillId="41" borderId="22" xfId="62" applyNumberFormat="1" applyFont="1" applyFill="1" applyBorder="1" applyAlignment="1">
      <alignment horizontal="left" vertical="center"/>
    </xf>
    <xf numFmtId="49" fontId="19" fillId="41" borderId="17" xfId="62" applyNumberFormat="1" applyFont="1" applyFill="1" applyBorder="1" applyAlignment="1">
      <alignment horizontal="left" vertical="center"/>
    </xf>
    <xf numFmtId="0" fontId="0" fillId="0" borderId="0" xfId="0" applyAlignment="1">
      <alignment horizontal="center" vertical="center"/>
    </xf>
    <xf numFmtId="0" fontId="39" fillId="0" borderId="0" xfId="62" applyFont="1" applyFill="1" applyAlignment="1" applyProtection="1">
      <alignment horizontal="center"/>
      <protection locked="0"/>
    </xf>
    <xf numFmtId="49" fontId="6" fillId="47" borderId="30" xfId="62" applyNumberFormat="1" applyFont="1" applyFill="1" applyBorder="1" applyAlignment="1" applyProtection="1">
      <alignment horizontal="center" textRotation="90"/>
      <protection locked="0"/>
    </xf>
    <xf numFmtId="49" fontId="6" fillId="47" borderId="32" xfId="62" applyNumberFormat="1" applyFont="1" applyFill="1" applyBorder="1" applyAlignment="1" applyProtection="1">
      <alignment horizontal="center" textRotation="90"/>
      <protection locked="0"/>
    </xf>
    <xf numFmtId="49" fontId="6" fillId="47" borderId="34" xfId="62" applyNumberFormat="1" applyFont="1" applyFill="1" applyBorder="1" applyAlignment="1" applyProtection="1">
      <alignment horizontal="center" textRotation="90"/>
      <protection locked="0"/>
    </xf>
    <xf numFmtId="0" fontId="2" fillId="0" borderId="5" xfId="62" applyFont="1" applyFill="1" applyBorder="1" applyAlignment="1" applyProtection="1">
      <alignment horizontal="center" vertical="center" wrapText="1"/>
      <protection locked="0"/>
    </xf>
    <xf numFmtId="0" fontId="2" fillId="0" borderId="0" xfId="62" applyFont="1" applyFill="1" applyBorder="1" applyAlignment="1" applyProtection="1">
      <alignment horizontal="center" vertical="center" wrapText="1"/>
      <protection locked="0"/>
    </xf>
    <xf numFmtId="0" fontId="2" fillId="0" borderId="31" xfId="62" applyFont="1" applyFill="1" applyBorder="1" applyAlignment="1" applyProtection="1">
      <alignment horizontal="center" vertical="center" wrapText="1"/>
      <protection locked="0"/>
    </xf>
    <xf numFmtId="0" fontId="9" fillId="0" borderId="0" xfId="0" applyFont="1" applyAlignment="1">
      <alignment horizontal="left" vertical="center" wrapText="1"/>
    </xf>
    <xf numFmtId="0" fontId="9" fillId="0" borderId="0" xfId="0" applyFont="1" applyAlignment="1">
      <alignment horizontal="left"/>
    </xf>
    <xf numFmtId="0" fontId="4" fillId="0" borderId="0" xfId="0" applyFont="1" applyAlignment="1">
      <alignment horizontal="center" vertical="center" wrapText="1"/>
    </xf>
    <xf numFmtId="0" fontId="25" fillId="0" borderId="0" xfId="0" applyFont="1" applyAlignment="1">
      <alignment horizontal="center"/>
    </xf>
    <xf numFmtId="0" fontId="2" fillId="0" borderId="30" xfId="62" applyFont="1" applyFill="1" applyBorder="1" applyAlignment="1" applyProtection="1">
      <alignment horizontal="center" vertical="center" wrapText="1"/>
    </xf>
    <xf numFmtId="0" fontId="2" fillId="0" borderId="32" xfId="62" applyFont="1" applyFill="1" applyBorder="1" applyAlignment="1" applyProtection="1">
      <alignment horizontal="center" vertical="center" wrapText="1"/>
    </xf>
    <xf numFmtId="0" fontId="2" fillId="0" borderId="34" xfId="62" applyFont="1" applyFill="1" applyBorder="1" applyAlignment="1" applyProtection="1">
      <alignment horizontal="center" vertical="center" wrapText="1"/>
    </xf>
    <xf numFmtId="0" fontId="2" fillId="0" borderId="3" xfId="62" applyFont="1" applyFill="1" applyBorder="1" applyAlignment="1" applyProtection="1">
      <alignment horizontal="center"/>
    </xf>
    <xf numFmtId="0" fontId="2" fillId="0" borderId="4" xfId="62" applyFont="1" applyFill="1" applyBorder="1" applyAlignment="1" applyProtection="1">
      <alignment horizontal="center"/>
    </xf>
    <xf numFmtId="0" fontId="2" fillId="0" borderId="29" xfId="62" applyFont="1" applyFill="1" applyBorder="1" applyAlignment="1" applyProtection="1">
      <alignment horizontal="center"/>
    </xf>
  </cellXfs>
  <cellStyles count="75">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Eingabe" xfId="27" builtinId="20" customBuiltin="1"/>
    <cellStyle name="Ergebnis" xfId="28" builtinId="25" customBuiltin="1"/>
    <cellStyle name="Erklärender Text" xfId="29" builtinId="53" customBuiltin="1"/>
    <cellStyle name="Gut" xfId="30" builtinId="26" customBuiltin="1"/>
    <cellStyle name="Komma" xfId="31" builtinId="3"/>
    <cellStyle name="Komma 2" xfId="32" xr:uid="{00000000-0005-0000-0000-00001F000000}"/>
    <cellStyle name="Komma 3" xfId="73" xr:uid="{08AF2142-5FC2-4CBA-8814-FBEABAA147AD}"/>
    <cellStyle name="Link" xfId="74" builtinId="8"/>
    <cellStyle name="Neutral" xfId="33" builtinId="28" customBuiltin="1"/>
    <cellStyle name="Notiz 2" xfId="34" xr:uid="{00000000-0005-0000-0000-000021000000}"/>
    <cellStyle name="Prozent" xfId="35" builtinId="5"/>
    <cellStyle name="Prozent 2" xfId="36" xr:uid="{00000000-0005-0000-0000-000023000000}"/>
    <cellStyle name="Prozent 2 2" xfId="37" xr:uid="{00000000-0005-0000-0000-000024000000}"/>
    <cellStyle name="Prozent 3" xfId="38" xr:uid="{00000000-0005-0000-0000-000025000000}"/>
    <cellStyle name="Prozent 4" xfId="39" xr:uid="{00000000-0005-0000-0000-000026000000}"/>
    <cellStyle name="Prozent 4 2" xfId="40" xr:uid="{00000000-0005-0000-0000-000027000000}"/>
    <cellStyle name="Schlecht" xfId="41" builtinId="27" customBuiltin="1"/>
    <cellStyle name="Standard" xfId="0" builtinId="0"/>
    <cellStyle name="Standard 2" xfId="42" xr:uid="{00000000-0005-0000-0000-00002A000000}"/>
    <cellStyle name="Standard 2 2" xfId="43" xr:uid="{00000000-0005-0000-0000-00002B000000}"/>
    <cellStyle name="Standard 2 3" xfId="44" xr:uid="{00000000-0005-0000-0000-00002C000000}"/>
    <cellStyle name="Standard 2 3 2" xfId="45" xr:uid="{00000000-0005-0000-0000-00002D000000}"/>
    <cellStyle name="Standard 2 3 2 2" xfId="46" xr:uid="{00000000-0005-0000-0000-00002E000000}"/>
    <cellStyle name="Standard 2 3 2 3" xfId="47" xr:uid="{00000000-0005-0000-0000-00002F000000}"/>
    <cellStyle name="Standard 2 3 2 4" xfId="48" xr:uid="{00000000-0005-0000-0000-000030000000}"/>
    <cellStyle name="Standard 2 3 2 4 2" xfId="49" xr:uid="{00000000-0005-0000-0000-000031000000}"/>
    <cellStyle name="Standard 2 3 3" xfId="50" xr:uid="{00000000-0005-0000-0000-000032000000}"/>
    <cellStyle name="Standard 2 3 4" xfId="51" xr:uid="{00000000-0005-0000-0000-000033000000}"/>
    <cellStyle name="Standard 2 3 5" xfId="52" xr:uid="{00000000-0005-0000-0000-000034000000}"/>
    <cellStyle name="Standard 2 4" xfId="53" xr:uid="{00000000-0005-0000-0000-000035000000}"/>
    <cellStyle name="Standard 2 4 2" xfId="54" xr:uid="{00000000-0005-0000-0000-000036000000}"/>
    <cellStyle name="Standard 2 4 3" xfId="55" xr:uid="{00000000-0005-0000-0000-000037000000}"/>
    <cellStyle name="Standard 2 4 4" xfId="56" xr:uid="{00000000-0005-0000-0000-000038000000}"/>
    <cellStyle name="Standard 2 4 4 2" xfId="57" xr:uid="{00000000-0005-0000-0000-000039000000}"/>
    <cellStyle name="Standard 2 5" xfId="58" xr:uid="{00000000-0005-0000-0000-00003A000000}"/>
    <cellStyle name="Standard 2 6" xfId="59" xr:uid="{00000000-0005-0000-0000-00003B000000}"/>
    <cellStyle name="Standard 2 7" xfId="60" xr:uid="{00000000-0005-0000-0000-00003C000000}"/>
    <cellStyle name="Standard 2 8" xfId="61" xr:uid="{00000000-0005-0000-0000-00003D000000}"/>
    <cellStyle name="Standard 3" xfId="62" xr:uid="{00000000-0005-0000-0000-00003E000000}"/>
    <cellStyle name="Standard 3 2" xfId="63" xr:uid="{00000000-0005-0000-0000-00003F000000}"/>
    <cellStyle name="Standard 4" xfId="64" xr:uid="{00000000-0005-0000-0000-000040000000}"/>
    <cellStyle name="Überschrift" xfId="65" builtinId="15" customBuiltin="1"/>
    <cellStyle name="Überschrift 1" xfId="66" builtinId="16" customBuiltin="1"/>
    <cellStyle name="Überschrift 2" xfId="67" builtinId="17" customBuiltin="1"/>
    <cellStyle name="Überschrift 3" xfId="68" builtinId="18" customBuiltin="1"/>
    <cellStyle name="Überschrift 4" xfId="69" builtinId="19" customBuiltin="1"/>
    <cellStyle name="Verknüpfte Zelle" xfId="70" builtinId="24" customBuiltin="1"/>
    <cellStyle name="Warnender Text" xfId="71" builtinId="11" customBuiltin="1"/>
    <cellStyle name="Zelle überprüfen" xfId="72" builtinId="23" customBuiltin="1"/>
  </cellStyles>
  <dxfs count="5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i val="0"/>
        <color theme="1" tint="0.499984740745262"/>
      </font>
      <fill>
        <patternFill>
          <bgColor theme="0" tint="-0.14996795556505021"/>
        </patternFill>
      </fill>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b/>
        <i val="0"/>
        <strike val="0"/>
      </font>
      <fill>
        <patternFill>
          <bgColor theme="0" tint="-0.14996795556505021"/>
        </patternFill>
      </fill>
      <border>
        <vertical/>
        <horizontal/>
      </border>
    </dxf>
    <dxf>
      <fill>
        <patternFill>
          <bgColor rgb="FFFF0000"/>
        </patternFill>
      </fill>
    </dxf>
    <dxf>
      <font>
        <strike val="0"/>
        <color theme="0"/>
      </font>
    </dxf>
    <dxf>
      <font>
        <strike val="0"/>
        <color rgb="FFFF0000"/>
      </font>
    </dxf>
    <dxf>
      <font>
        <strike val="0"/>
        <color theme="0"/>
      </font>
    </dxf>
    <dxf>
      <font>
        <strike val="0"/>
        <color theme="0"/>
      </font>
    </dxf>
    <dxf>
      <font>
        <strike val="0"/>
        <color theme="0"/>
      </font>
    </dxf>
    <dxf>
      <fill>
        <patternFill patternType="lightDown"/>
      </fill>
    </dxf>
    <dxf>
      <fill>
        <patternFill patternType="lightDown"/>
      </fill>
    </dxf>
    <dxf>
      <fill>
        <patternFill patternType="lightDown"/>
      </fill>
    </dxf>
    <dxf>
      <fill>
        <patternFill patternType="lightDown"/>
      </fill>
    </dxf>
    <dxf>
      <font>
        <strike val="0"/>
        <color theme="0"/>
      </font>
    </dxf>
    <dxf>
      <fill>
        <patternFill patternType="lightDown"/>
      </fill>
    </dxf>
    <dxf>
      <font>
        <color auto="1"/>
      </font>
      <fill>
        <patternFill>
          <bgColor rgb="FFF8F896"/>
        </patternFill>
      </fill>
    </dxf>
    <dxf>
      <font>
        <strike val="0"/>
        <color theme="0"/>
      </font>
    </dxf>
    <dxf>
      <font>
        <strike val="0"/>
        <color theme="0"/>
      </font>
    </dxf>
    <dxf>
      <font>
        <strike val="0"/>
        <color theme="0"/>
      </font>
    </dxf>
    <dxf>
      <font>
        <strike val="0"/>
        <color theme="0"/>
      </font>
    </dxf>
    <dxf>
      <font>
        <strike val="0"/>
        <color theme="0"/>
      </font>
    </dxf>
    <dxf>
      <font>
        <strike val="0"/>
        <color theme="0"/>
      </font>
    </dxf>
    <dxf>
      <fill>
        <patternFill patternType="lightUp"/>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strike val="0"/>
        <color theme="0"/>
      </font>
    </dxf>
  </dxfs>
  <tableStyles count="0" defaultTableStyle="TableStyleMedium9" defaultPivotStyle="PivotStyleLight16"/>
  <colors>
    <mruColors>
      <color rgb="FFC84646"/>
      <color rgb="FF85C226"/>
      <color rgb="FFF8F896"/>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Lagerbestand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1"/>
          <c:order val="0"/>
          <c:tx>
            <c:strRef>
              <c:f>'Datentabellen Diagramme'!$A$3</c:f>
              <c:strCache>
                <c:ptCount val="1"/>
                <c:pt idx="0">
                  <c:v>Grobfutter</c:v>
                </c:pt>
              </c:strCache>
            </c:strRef>
          </c:tx>
          <c:spPr>
            <a:solidFill>
              <a:srgbClr val="85C226"/>
            </a:solidFill>
            <a:ln>
              <a:noFill/>
            </a:ln>
            <a:effectLst/>
          </c:spPr>
          <c:invertIfNegative val="0"/>
          <c:cat>
            <c:multiLvlStrRef>
              <c:f>'Datentabellen Diagramme'!$B$1:$AM$2</c:f>
              <c:multiLvlStrCache>
                <c:ptCount val="38"/>
                <c:lvl>
                  <c:pt idx="0">
                    <c:v>N</c:v>
                  </c:pt>
                  <c:pt idx="1">
                    <c:v>P2O5</c:v>
                  </c:pt>
                  <c:pt idx="3">
                    <c:v>N</c:v>
                  </c:pt>
                  <c:pt idx="4">
                    <c:v>P2O5</c:v>
                  </c:pt>
                  <c:pt idx="6">
                    <c:v>N</c:v>
                  </c:pt>
                  <c:pt idx="7">
                    <c:v>P2O5</c:v>
                  </c:pt>
                  <c:pt idx="9">
                    <c:v>N</c:v>
                  </c:pt>
                  <c:pt idx="10">
                    <c:v>P2O5</c:v>
                  </c:pt>
                  <c:pt idx="12">
                    <c:v>N</c:v>
                  </c:pt>
                  <c:pt idx="13">
                    <c:v>P2O5</c:v>
                  </c:pt>
                  <c:pt idx="15">
                    <c:v>N</c:v>
                  </c:pt>
                  <c:pt idx="16">
                    <c:v>P2O5</c:v>
                  </c:pt>
                  <c:pt idx="18">
                    <c:v>N</c:v>
                  </c:pt>
                  <c:pt idx="19">
                    <c:v>P2O5</c:v>
                  </c:pt>
                  <c:pt idx="21">
                    <c:v>N</c:v>
                  </c:pt>
                  <c:pt idx="22">
                    <c:v>P2O5</c:v>
                  </c:pt>
                  <c:pt idx="24">
                    <c:v>N</c:v>
                  </c:pt>
                  <c:pt idx="25">
                    <c:v>P2O5</c:v>
                  </c:pt>
                  <c:pt idx="27">
                    <c:v>N</c:v>
                  </c:pt>
                  <c:pt idx="28">
                    <c:v>P2O5</c:v>
                  </c:pt>
                  <c:pt idx="30">
                    <c:v>N</c:v>
                  </c:pt>
                  <c:pt idx="31">
                    <c:v>P2O5</c:v>
                  </c:pt>
                  <c:pt idx="33">
                    <c:v>N</c:v>
                  </c:pt>
                  <c:pt idx="34">
                    <c:v>P2O5</c:v>
                  </c:pt>
                  <c:pt idx="36">
                    <c:v>N</c:v>
                  </c:pt>
                  <c:pt idx="37">
                    <c:v>P2O5</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Diagramme'!$B$3:$AM$3</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34E3-4EE6-AE9B-6258A04588D6}"/>
            </c:ext>
          </c:extLst>
        </c:ser>
        <c:ser>
          <c:idx val="2"/>
          <c:order val="1"/>
          <c:tx>
            <c:strRef>
              <c:f>'Datentabellen Diagramme'!$A$4</c:f>
              <c:strCache>
                <c:ptCount val="1"/>
                <c:pt idx="0">
                  <c:v>Kraftfutter</c:v>
                </c:pt>
              </c:strCache>
            </c:strRef>
          </c:tx>
          <c:spPr>
            <a:solidFill>
              <a:srgbClr val="C84646"/>
            </a:solidFill>
            <a:ln w="9525">
              <a:noFill/>
            </a:ln>
            <a:effectLst/>
          </c:spPr>
          <c:invertIfNegative val="0"/>
          <c:cat>
            <c:multiLvlStrRef>
              <c:f>'Datentabellen Diagramme'!$B$1:$AM$2</c:f>
              <c:multiLvlStrCache>
                <c:ptCount val="38"/>
                <c:lvl>
                  <c:pt idx="0">
                    <c:v>N</c:v>
                  </c:pt>
                  <c:pt idx="1">
                    <c:v>P2O5</c:v>
                  </c:pt>
                  <c:pt idx="3">
                    <c:v>N</c:v>
                  </c:pt>
                  <c:pt idx="4">
                    <c:v>P2O5</c:v>
                  </c:pt>
                  <c:pt idx="6">
                    <c:v>N</c:v>
                  </c:pt>
                  <c:pt idx="7">
                    <c:v>P2O5</c:v>
                  </c:pt>
                  <c:pt idx="9">
                    <c:v>N</c:v>
                  </c:pt>
                  <c:pt idx="10">
                    <c:v>P2O5</c:v>
                  </c:pt>
                  <c:pt idx="12">
                    <c:v>N</c:v>
                  </c:pt>
                  <c:pt idx="13">
                    <c:v>P2O5</c:v>
                  </c:pt>
                  <c:pt idx="15">
                    <c:v>N</c:v>
                  </c:pt>
                  <c:pt idx="16">
                    <c:v>P2O5</c:v>
                  </c:pt>
                  <c:pt idx="18">
                    <c:v>N</c:v>
                  </c:pt>
                  <c:pt idx="19">
                    <c:v>P2O5</c:v>
                  </c:pt>
                  <c:pt idx="21">
                    <c:v>N</c:v>
                  </c:pt>
                  <c:pt idx="22">
                    <c:v>P2O5</c:v>
                  </c:pt>
                  <c:pt idx="24">
                    <c:v>N</c:v>
                  </c:pt>
                  <c:pt idx="25">
                    <c:v>P2O5</c:v>
                  </c:pt>
                  <c:pt idx="27">
                    <c:v>N</c:v>
                  </c:pt>
                  <c:pt idx="28">
                    <c:v>P2O5</c:v>
                  </c:pt>
                  <c:pt idx="30">
                    <c:v>N</c:v>
                  </c:pt>
                  <c:pt idx="31">
                    <c:v>P2O5</c:v>
                  </c:pt>
                  <c:pt idx="33">
                    <c:v>N</c:v>
                  </c:pt>
                  <c:pt idx="34">
                    <c:v>P2O5</c:v>
                  </c:pt>
                  <c:pt idx="36">
                    <c:v>N</c:v>
                  </c:pt>
                  <c:pt idx="37">
                    <c:v>P2O5</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Diagramme'!$B$4:$AM$4</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34E3-4EE6-AE9B-6258A04588D6}"/>
            </c:ext>
          </c:extLst>
        </c:ser>
        <c:ser>
          <c:idx val="3"/>
          <c:order val="2"/>
          <c:tx>
            <c:strRef>
              <c:f>'Datentabellen Diagramme'!$A$5</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Diagramme'!$B$1:$AM$2</c:f>
              <c:multiLvlStrCache>
                <c:ptCount val="38"/>
                <c:lvl>
                  <c:pt idx="0">
                    <c:v>N</c:v>
                  </c:pt>
                  <c:pt idx="1">
                    <c:v>P2O5</c:v>
                  </c:pt>
                  <c:pt idx="3">
                    <c:v>N</c:v>
                  </c:pt>
                  <c:pt idx="4">
                    <c:v>P2O5</c:v>
                  </c:pt>
                  <c:pt idx="6">
                    <c:v>N</c:v>
                  </c:pt>
                  <c:pt idx="7">
                    <c:v>P2O5</c:v>
                  </c:pt>
                  <c:pt idx="9">
                    <c:v>N</c:v>
                  </c:pt>
                  <c:pt idx="10">
                    <c:v>P2O5</c:v>
                  </c:pt>
                  <c:pt idx="12">
                    <c:v>N</c:v>
                  </c:pt>
                  <c:pt idx="13">
                    <c:v>P2O5</c:v>
                  </c:pt>
                  <c:pt idx="15">
                    <c:v>N</c:v>
                  </c:pt>
                  <c:pt idx="16">
                    <c:v>P2O5</c:v>
                  </c:pt>
                  <c:pt idx="18">
                    <c:v>N</c:v>
                  </c:pt>
                  <c:pt idx="19">
                    <c:v>P2O5</c:v>
                  </c:pt>
                  <c:pt idx="21">
                    <c:v>N</c:v>
                  </c:pt>
                  <c:pt idx="22">
                    <c:v>P2O5</c:v>
                  </c:pt>
                  <c:pt idx="24">
                    <c:v>N</c:v>
                  </c:pt>
                  <c:pt idx="25">
                    <c:v>P2O5</c:v>
                  </c:pt>
                  <c:pt idx="27">
                    <c:v>N</c:v>
                  </c:pt>
                  <c:pt idx="28">
                    <c:v>P2O5</c:v>
                  </c:pt>
                  <c:pt idx="30">
                    <c:v>N</c:v>
                  </c:pt>
                  <c:pt idx="31">
                    <c:v>P2O5</c:v>
                  </c:pt>
                  <c:pt idx="33">
                    <c:v>N</c:v>
                  </c:pt>
                  <c:pt idx="34">
                    <c:v>P2O5</c:v>
                  </c:pt>
                  <c:pt idx="36">
                    <c:v>N</c:v>
                  </c:pt>
                  <c:pt idx="37">
                    <c:v>P2O5</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Diagramme'!$B$5:$AM$5</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3-34E3-4EE6-AE9B-6258A04588D6}"/>
            </c:ext>
          </c:extLst>
        </c:ser>
        <c:dLbls>
          <c:showLegendKey val="0"/>
          <c:showVal val="0"/>
          <c:showCatName val="0"/>
          <c:showSerName val="0"/>
          <c:showPercent val="0"/>
          <c:showBubbleSize val="0"/>
        </c:dLbls>
        <c:gapWidth val="50"/>
        <c:overlap val="100"/>
        <c:axId val="545140584"/>
        <c:axId val="545137632"/>
      </c:barChart>
      <c:catAx>
        <c:axId val="545140584"/>
        <c:scaling>
          <c:orientation val="minMax"/>
        </c:scaling>
        <c:delete val="0"/>
        <c:axPos val="b"/>
        <c:numFmt formatCode="General" sourceLinked="1"/>
        <c:majorTickMark val="none"/>
        <c:minorTickMark val="none"/>
        <c:tickLblPos val="low"/>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5137632"/>
        <c:crosses val="autoZero"/>
        <c:auto val="1"/>
        <c:lblAlgn val="ctr"/>
        <c:lblOffset val="100"/>
        <c:noMultiLvlLbl val="0"/>
      </c:catAx>
      <c:valAx>
        <c:axId val="545137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a:t>
                </a:r>
                <a:r>
                  <a:rPr lang="en-US" baseline="-25000"/>
                  <a:t>2</a:t>
                </a:r>
                <a:r>
                  <a:rPr lang="en-US"/>
                  <a:t>O</a:t>
                </a:r>
                <a:r>
                  <a:rPr lang="en-US" baseline="-25000"/>
                  <a:t>5</a:t>
                </a:r>
                <a:r>
                  <a:rPr lang="en-US"/>
                  <a:t>  in Tonnen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5140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Verbrauch</a:t>
            </a:r>
            <a:r>
              <a:rPr lang="de-DE" baseline="0"/>
              <a:t> pro Jahr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672248327635392"/>
          <c:y val="0.15953012337902048"/>
          <c:w val="0.82884386098917606"/>
          <c:h val="0.53021792315798044"/>
        </c:manualLayout>
      </c:layout>
      <c:barChart>
        <c:barDir val="col"/>
        <c:grouping val="stacked"/>
        <c:varyColors val="0"/>
        <c:ser>
          <c:idx val="0"/>
          <c:order val="0"/>
          <c:tx>
            <c:strRef>
              <c:f>'Datentabellen Diagramme'!$C$22:$C$22</c:f>
              <c:strCache>
                <c:ptCount val="1"/>
                <c:pt idx="0">
                  <c:v>Tiere</c:v>
                </c:pt>
              </c:strCache>
            </c:strRef>
          </c:tx>
          <c:spPr>
            <a:solidFill>
              <a:schemeClr val="accent1"/>
            </a:solidFill>
            <a:ln>
              <a:noFill/>
            </a:ln>
            <a:effectLst/>
          </c:spPr>
          <c:invertIfNegative val="0"/>
          <c:cat>
            <c:multiLvlStrRef>
              <c:f>'Datentabellen Diagramme'!$A$23:$B$30</c:f>
              <c:multiLvlStrCache>
                <c:ptCount val="8"/>
                <c:lvl>
                  <c:pt idx="0">
                    <c:v>N</c:v>
                  </c:pt>
                  <c:pt idx="1">
                    <c:v>P2O5</c:v>
                  </c:pt>
                  <c:pt idx="3">
                    <c:v>N</c:v>
                  </c:pt>
                  <c:pt idx="4">
                    <c:v>P2O5</c:v>
                  </c:pt>
                  <c:pt idx="6">
                    <c:v>N</c:v>
                  </c:pt>
                  <c:pt idx="7">
                    <c:v>P2O5</c:v>
                  </c:pt>
                </c:lvl>
                <c:lvl>
                  <c:pt idx="0">
                    <c:v>Grobfutter</c:v>
                  </c:pt>
                  <c:pt idx="3">
                    <c:v>Kraftfutter</c:v>
                  </c:pt>
                  <c:pt idx="6">
                    <c:v>Sonst. Biogas-Einsatzstoffe</c:v>
                  </c:pt>
                </c:lvl>
              </c:multiLvlStrCache>
            </c:multiLvlStrRef>
          </c:cat>
          <c:val>
            <c:numRef>
              <c:f>'Datentabellen Diagramme'!$C$23:$C$30</c:f>
              <c:numCache>
                <c:formatCode>General</c:formatCode>
                <c:ptCount val="8"/>
                <c:pt idx="0">
                  <c:v>0</c:v>
                </c:pt>
                <c:pt idx="1">
                  <c:v>0</c:v>
                </c:pt>
                <c:pt idx="3">
                  <c:v>0</c:v>
                </c:pt>
                <c:pt idx="4">
                  <c:v>0</c:v>
                </c:pt>
              </c:numCache>
            </c:numRef>
          </c:val>
          <c:extLst xmlns:c15="http://schemas.microsoft.com/office/drawing/2012/chart">
            <c:ext xmlns:c16="http://schemas.microsoft.com/office/drawing/2014/chart" uri="{C3380CC4-5D6E-409C-BE32-E72D297353CC}">
              <c16:uniqueId val="{00000000-1900-49B3-9FFD-32A263802CCD}"/>
            </c:ext>
          </c:extLst>
        </c:ser>
        <c:ser>
          <c:idx val="1"/>
          <c:order val="1"/>
          <c:tx>
            <c:strRef>
              <c:f>'Datentabellen Diagramme'!$D$22:$D$22</c:f>
              <c:strCache>
                <c:ptCount val="1"/>
                <c:pt idx="0">
                  <c:v>Biogas</c:v>
                </c:pt>
              </c:strCache>
            </c:strRef>
          </c:tx>
          <c:spPr>
            <a:solidFill>
              <a:srgbClr val="CC9900"/>
            </a:solidFill>
            <a:ln>
              <a:noFill/>
            </a:ln>
            <a:effectLst/>
          </c:spPr>
          <c:invertIfNegative val="0"/>
          <c:cat>
            <c:multiLvlStrRef>
              <c:f>'Datentabellen Diagramme'!$A$23:$B$30</c:f>
              <c:multiLvlStrCache>
                <c:ptCount val="8"/>
                <c:lvl>
                  <c:pt idx="0">
                    <c:v>N</c:v>
                  </c:pt>
                  <c:pt idx="1">
                    <c:v>P2O5</c:v>
                  </c:pt>
                  <c:pt idx="3">
                    <c:v>N</c:v>
                  </c:pt>
                  <c:pt idx="4">
                    <c:v>P2O5</c:v>
                  </c:pt>
                  <c:pt idx="6">
                    <c:v>N</c:v>
                  </c:pt>
                  <c:pt idx="7">
                    <c:v>P2O5</c:v>
                  </c:pt>
                </c:lvl>
                <c:lvl>
                  <c:pt idx="0">
                    <c:v>Grobfutter</c:v>
                  </c:pt>
                  <c:pt idx="3">
                    <c:v>Kraftfutter</c:v>
                  </c:pt>
                  <c:pt idx="6">
                    <c:v>Sonst. Biogas-Einsatzstoffe</c:v>
                  </c:pt>
                </c:lvl>
              </c:multiLvlStrCache>
            </c:multiLvlStrRef>
          </c:cat>
          <c:val>
            <c:numRef>
              <c:f>'Datentabellen Diagramme'!$D$23:$D$30</c:f>
              <c:numCache>
                <c:formatCode>General</c:formatCode>
                <c:ptCount val="8"/>
                <c:pt idx="0">
                  <c:v>0</c:v>
                </c:pt>
                <c:pt idx="1">
                  <c:v>0</c:v>
                </c:pt>
                <c:pt idx="3">
                  <c:v>0</c:v>
                </c:pt>
                <c:pt idx="4">
                  <c:v>0</c:v>
                </c:pt>
                <c:pt idx="6">
                  <c:v>0</c:v>
                </c:pt>
                <c:pt idx="7">
                  <c:v>0</c:v>
                </c:pt>
              </c:numCache>
            </c:numRef>
          </c:val>
          <c:extLst>
            <c:ext xmlns:c16="http://schemas.microsoft.com/office/drawing/2014/chart" uri="{C3380CC4-5D6E-409C-BE32-E72D297353CC}">
              <c16:uniqueId val="{00000001-1900-49B3-9FFD-32A263802CCD}"/>
            </c:ext>
          </c:extLst>
        </c:ser>
        <c:dLbls>
          <c:showLegendKey val="0"/>
          <c:showVal val="0"/>
          <c:showCatName val="0"/>
          <c:showSerName val="0"/>
          <c:showPercent val="0"/>
          <c:showBubbleSize val="0"/>
        </c:dLbls>
        <c:gapWidth val="50"/>
        <c:overlap val="100"/>
        <c:axId val="632208408"/>
        <c:axId val="632209064"/>
        <c:extLst/>
      </c:barChart>
      <c:catAx>
        <c:axId val="632208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32209064"/>
        <c:crosses val="autoZero"/>
        <c:auto val="1"/>
        <c:lblAlgn val="ctr"/>
        <c:lblOffset val="100"/>
        <c:noMultiLvlLbl val="0"/>
      </c:catAx>
      <c:valAx>
        <c:axId val="632209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N/P2O5 in Tonnen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32208408"/>
        <c:crosses val="autoZero"/>
        <c:crossBetween val="between"/>
      </c:valAx>
      <c:spPr>
        <a:noFill/>
        <a:ln>
          <a:noFill/>
        </a:ln>
        <a:effectLst/>
      </c:spPr>
    </c:plotArea>
    <c:legend>
      <c:legendPos val="b"/>
      <c:layout>
        <c:manualLayout>
          <c:xMode val="edge"/>
          <c:yMode val="edge"/>
          <c:x val="0.3610885537679962"/>
          <c:y val="0.88158238896714203"/>
          <c:w val="0.34802447584270024"/>
          <c:h val="7.52658452701333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An-/Verkauf (Kauf)</a:t>
            </a:r>
            <a:r>
              <a:rPr lang="de-DE" baseline="0"/>
              <a:t> und Produktion (Prod) - Stickstoff</a:t>
            </a: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1"/>
          <c:order val="0"/>
          <c:tx>
            <c:strRef>
              <c:f>'Datentabellen Diagramme'!$A$10</c:f>
              <c:strCache>
                <c:ptCount val="1"/>
                <c:pt idx="0">
                  <c:v>Grobfutter</c:v>
                </c:pt>
              </c:strCache>
            </c:strRef>
          </c:tx>
          <c:spPr>
            <a:solidFill>
              <a:srgbClr val="85C226"/>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Diagramme'!$B$10:$AM$10</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0-2070-4B15-BC6E-3E2CD0109AA5}"/>
            </c:ext>
          </c:extLst>
        </c:ser>
        <c:ser>
          <c:idx val="2"/>
          <c:order val="1"/>
          <c:tx>
            <c:strRef>
              <c:f>'Datentabellen Diagramme'!$A$11</c:f>
              <c:strCache>
                <c:ptCount val="1"/>
                <c:pt idx="0">
                  <c:v>Kraftfutter</c:v>
                </c:pt>
              </c:strCache>
            </c:strRef>
          </c:tx>
          <c:spPr>
            <a:solidFill>
              <a:srgbClr val="C84646"/>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Diagramme'!$B$11:$AM$11</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2070-4B15-BC6E-3E2CD0109AA5}"/>
            </c:ext>
          </c:extLst>
        </c:ser>
        <c:ser>
          <c:idx val="3"/>
          <c:order val="2"/>
          <c:tx>
            <c:strRef>
              <c:f>'Datentabellen Diagramme'!$A$12</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Diagramme'!$B$12:$AM$12</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2070-4B15-BC6E-3E2CD0109AA5}"/>
            </c:ext>
          </c:extLst>
        </c:ser>
        <c:dLbls>
          <c:showLegendKey val="0"/>
          <c:showVal val="0"/>
          <c:showCatName val="0"/>
          <c:showSerName val="0"/>
          <c:showPercent val="0"/>
          <c:showBubbleSize val="0"/>
        </c:dLbls>
        <c:gapWidth val="0"/>
        <c:overlap val="100"/>
        <c:axId val="758252416"/>
        <c:axId val="758254384"/>
      </c:barChart>
      <c:catAx>
        <c:axId val="758252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58254384"/>
        <c:crosses val="autoZero"/>
        <c:auto val="1"/>
        <c:lblAlgn val="ctr"/>
        <c:lblOffset val="100"/>
        <c:noMultiLvlLbl val="0"/>
      </c:catAx>
      <c:valAx>
        <c:axId val="758254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N</a:t>
                </a:r>
                <a:r>
                  <a:rPr lang="en-US"/>
                  <a:t> in Tonnen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5825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An-/Verkauf (Kauf)</a:t>
            </a:r>
            <a:r>
              <a:rPr lang="de-DE" baseline="0"/>
              <a:t> und Produktion (Prod) - Phosphat</a:t>
            </a: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2"/>
          <c:order val="0"/>
          <c:tx>
            <c:strRef>
              <c:f>'Datentabellen Diagramme'!$A$17</c:f>
              <c:strCache>
                <c:ptCount val="1"/>
                <c:pt idx="0">
                  <c:v>Grobfutter</c:v>
                </c:pt>
              </c:strCache>
            </c:strRef>
          </c:tx>
          <c:spPr>
            <a:solidFill>
              <a:srgbClr val="85C226"/>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Diagramme'!$B$17:$AM$17</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D560-4628-9CD1-797E2948347E}"/>
            </c:ext>
          </c:extLst>
        </c:ser>
        <c:ser>
          <c:idx val="3"/>
          <c:order val="1"/>
          <c:tx>
            <c:strRef>
              <c:f>'Datentabellen Diagramme'!$A$18</c:f>
              <c:strCache>
                <c:ptCount val="1"/>
                <c:pt idx="0">
                  <c:v>Kraftfutter</c:v>
                </c:pt>
              </c:strCache>
            </c:strRef>
          </c:tx>
          <c:spPr>
            <a:solidFill>
              <a:srgbClr val="C84646"/>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Diagramme'!$B$18:$AM$18</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D560-4628-9CD1-797E2948347E}"/>
            </c:ext>
          </c:extLst>
        </c:ser>
        <c:ser>
          <c:idx val="0"/>
          <c:order val="2"/>
          <c:tx>
            <c:strRef>
              <c:f>'Datentabellen Diagramme'!$A$19</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Diagramme'!$B$19:$AM$19</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4-D560-4628-9CD1-797E2948347E}"/>
            </c:ext>
          </c:extLst>
        </c:ser>
        <c:dLbls>
          <c:showLegendKey val="0"/>
          <c:showVal val="0"/>
          <c:showCatName val="0"/>
          <c:showSerName val="0"/>
          <c:showPercent val="0"/>
          <c:showBubbleSize val="0"/>
        </c:dLbls>
        <c:gapWidth val="0"/>
        <c:overlap val="100"/>
        <c:axId val="758252416"/>
        <c:axId val="758254384"/>
      </c:barChart>
      <c:catAx>
        <c:axId val="758252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58254384"/>
        <c:crosses val="autoZero"/>
        <c:auto val="1"/>
        <c:lblAlgn val="ctr"/>
        <c:lblOffset val="100"/>
        <c:noMultiLvlLbl val="0"/>
      </c:catAx>
      <c:valAx>
        <c:axId val="758254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a:t>
                </a:r>
                <a:r>
                  <a:rPr lang="en-US" b="1" baseline="-25000"/>
                  <a:t>2</a:t>
                </a:r>
                <a:r>
                  <a:rPr lang="en-US" b="1"/>
                  <a:t>O</a:t>
                </a:r>
                <a:r>
                  <a:rPr lang="en-US" b="1" baseline="-25000"/>
                  <a:t>5</a:t>
                </a:r>
                <a:r>
                  <a:rPr lang="en-US"/>
                  <a:t> in Tonnen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5825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5" dropStyle="combo" dx="16" fmlaLink="$BM$69" fmlaRange="Tiere!$B$30:$B$85" noThreeD="1" sel="1" val="0"/>
</file>

<file path=xl/ctrlProps/ctrlProp10.xml><?xml version="1.0" encoding="utf-8"?>
<formControlPr xmlns="http://schemas.microsoft.com/office/spreadsheetml/2009/9/main" objectType="Drop" dropLines="15" dropStyle="combo" dx="16" fmlaLink="$BM$80" fmlaRange="Tiere!$B$30:$B$85" noThreeD="1" sel="1" val="0"/>
</file>

<file path=xl/ctrlProps/ctrlProp100.xml><?xml version="1.0" encoding="utf-8"?>
<formControlPr xmlns="http://schemas.microsoft.com/office/spreadsheetml/2009/9/main" objectType="Drop" dropLines="35" dropStyle="combo" dx="16" fmlaLink="$AX$128" fmlaRange="Pflanzen!$C$5:$C$109" noThreeD="1" sel="1" val="64"/>
</file>

<file path=xl/ctrlProps/ctrlProp101.xml><?xml version="1.0" encoding="utf-8"?>
<formControlPr xmlns="http://schemas.microsoft.com/office/spreadsheetml/2009/9/main" objectType="Drop" dropLines="35" dropStyle="combo" dx="16" fmlaLink="$AX$129" fmlaRange="Pflanzen!$C$5:$C$109" noThreeD="1" sel="1" val="0"/>
</file>

<file path=xl/ctrlProps/ctrlProp102.xml><?xml version="1.0" encoding="utf-8"?>
<formControlPr xmlns="http://schemas.microsoft.com/office/spreadsheetml/2009/9/main" objectType="Drop" dropLines="35" dropStyle="combo" dx="16" fmlaLink="$AX$130" fmlaRange="Pflanzen!$C$5:$C$109" noThreeD="1" sel="1" val="0"/>
</file>

<file path=xl/ctrlProps/ctrlProp103.xml><?xml version="1.0" encoding="utf-8"?>
<formControlPr xmlns="http://schemas.microsoft.com/office/spreadsheetml/2009/9/main" objectType="CheckBox" fmlaLink="$P$310" lockText="1" noThreeD="1"/>
</file>

<file path=xl/ctrlProps/ctrlProp104.xml><?xml version="1.0" encoding="utf-8"?>
<formControlPr xmlns="http://schemas.microsoft.com/office/spreadsheetml/2009/9/main" objectType="CheckBox" fmlaLink="$P$310" lockText="1" noThreeD="1"/>
</file>

<file path=xl/ctrlProps/ctrlProp105.xml><?xml version="1.0" encoding="utf-8"?>
<formControlPr xmlns="http://schemas.microsoft.com/office/spreadsheetml/2009/9/main" objectType="CheckBox" fmlaLink="$P$311" lockText="1" noThreeD="1"/>
</file>

<file path=xl/ctrlProps/ctrlProp106.xml><?xml version="1.0" encoding="utf-8"?>
<formControlPr xmlns="http://schemas.microsoft.com/office/spreadsheetml/2009/9/main" objectType="CheckBox" fmlaLink="$P$310" lockText="1" noThreeD="1"/>
</file>

<file path=xl/ctrlProps/ctrlProp107.xml><?xml version="1.0" encoding="utf-8"?>
<formControlPr xmlns="http://schemas.microsoft.com/office/spreadsheetml/2009/9/main" objectType="CheckBox" fmlaLink="$P$309" lockText="1" noThreeD="1"/>
</file>

<file path=xl/ctrlProps/ctrlProp108.xml><?xml version="1.0" encoding="utf-8"?>
<formControlPr xmlns="http://schemas.microsoft.com/office/spreadsheetml/2009/9/main" objectType="CheckBox" fmlaLink="$P$312" lockText="1" noThreeD="1"/>
</file>

<file path=xl/ctrlProps/ctrlProp109.xml><?xml version="1.0" encoding="utf-8"?>
<formControlPr xmlns="http://schemas.microsoft.com/office/spreadsheetml/2009/9/main" objectType="CheckBox" fmlaLink="$P$310" lockText="1" noThreeD="1"/>
</file>

<file path=xl/ctrlProps/ctrlProp11.xml><?xml version="1.0" encoding="utf-8"?>
<formControlPr xmlns="http://schemas.microsoft.com/office/spreadsheetml/2009/9/main" objectType="Drop" dropLines="15" dropStyle="combo" dx="16" fmlaLink="$BM$81" fmlaRange="Tiere!$B$30:$B$85" noThreeD="1" sel="1" val="0"/>
</file>

<file path=xl/ctrlProps/ctrlProp110.xml><?xml version="1.0" encoding="utf-8"?>
<formControlPr xmlns="http://schemas.microsoft.com/office/spreadsheetml/2009/9/main" objectType="CheckBox" fmlaLink="$P$309" lockText="1" noThreeD="1"/>
</file>

<file path=xl/ctrlProps/ctrlProp111.xml><?xml version="1.0" encoding="utf-8"?>
<formControlPr xmlns="http://schemas.microsoft.com/office/spreadsheetml/2009/9/main" objectType="CheckBox" fmlaLink="$P$313" lockText="1" noThreeD="1"/>
</file>

<file path=xl/ctrlProps/ctrlProp112.xml><?xml version="1.0" encoding="utf-8"?>
<formControlPr xmlns="http://schemas.microsoft.com/office/spreadsheetml/2009/9/main" objectType="CheckBox" fmlaLink="$P$310" lockText="1" noThreeD="1"/>
</file>

<file path=xl/ctrlProps/ctrlProp113.xml><?xml version="1.0" encoding="utf-8"?>
<formControlPr xmlns="http://schemas.microsoft.com/office/spreadsheetml/2009/9/main" objectType="CheckBox" fmlaLink="$P$309" lockText="1" noThreeD="1"/>
</file>

<file path=xl/ctrlProps/ctrlProp114.xml><?xml version="1.0" encoding="utf-8"?>
<formControlPr xmlns="http://schemas.microsoft.com/office/spreadsheetml/2009/9/main" objectType="CheckBox" fmlaLink="$P$314" lockText="1" noThreeD="1"/>
</file>

<file path=xl/ctrlProps/ctrlProp115.xml><?xml version="1.0" encoding="utf-8"?>
<formControlPr xmlns="http://schemas.microsoft.com/office/spreadsheetml/2009/9/main" objectType="CheckBox" fmlaLink="$P$310" lockText="1" noThreeD="1"/>
</file>

<file path=xl/ctrlProps/ctrlProp116.xml><?xml version="1.0" encoding="utf-8"?>
<formControlPr xmlns="http://schemas.microsoft.com/office/spreadsheetml/2009/9/main" objectType="CheckBox" fmlaLink="$P$309" lockText="1" noThreeD="1"/>
</file>

<file path=xl/ctrlProps/ctrlProp117.xml><?xml version="1.0" encoding="utf-8"?>
<formControlPr xmlns="http://schemas.microsoft.com/office/spreadsheetml/2009/9/main" objectType="CheckBox" fmlaLink="$P$315" lockText="1" noThreeD="1"/>
</file>

<file path=xl/ctrlProps/ctrlProp118.xml><?xml version="1.0" encoding="utf-8"?>
<formControlPr xmlns="http://schemas.microsoft.com/office/spreadsheetml/2009/9/main" objectType="CheckBox" fmlaLink="$P$310" lockText="1" noThreeD="1"/>
</file>

<file path=xl/ctrlProps/ctrlProp119.xml><?xml version="1.0" encoding="utf-8"?>
<formControlPr xmlns="http://schemas.microsoft.com/office/spreadsheetml/2009/9/main" objectType="CheckBox" fmlaLink="$P$309" lockText="1" noThreeD="1"/>
</file>

<file path=xl/ctrlProps/ctrlProp12.xml><?xml version="1.0" encoding="utf-8"?>
<formControlPr xmlns="http://schemas.microsoft.com/office/spreadsheetml/2009/9/main" objectType="Drop" dropStyle="combo" dx="16" fmlaLink="$BN$68" fmlaRange="Stroh!$B$2:$B$4" noThreeD="1" sel="1" val="0"/>
</file>

<file path=xl/ctrlProps/ctrlProp120.xml><?xml version="1.0" encoding="utf-8"?>
<formControlPr xmlns="http://schemas.microsoft.com/office/spreadsheetml/2009/9/main" objectType="CheckBox" fmlaLink="$P$316" lockText="1" noThreeD="1"/>
</file>

<file path=xl/ctrlProps/ctrlProp121.xml><?xml version="1.0" encoding="utf-8"?>
<formControlPr xmlns="http://schemas.microsoft.com/office/spreadsheetml/2009/9/main" objectType="CheckBox" fmlaLink="$P$310" lockText="1" noThreeD="1"/>
</file>

<file path=xl/ctrlProps/ctrlProp122.xml><?xml version="1.0" encoding="utf-8"?>
<formControlPr xmlns="http://schemas.microsoft.com/office/spreadsheetml/2009/9/main" objectType="CheckBox" fmlaLink="$P$309" lockText="1" noThreeD="1"/>
</file>

<file path=xl/ctrlProps/ctrlProp123.xml><?xml version="1.0" encoding="utf-8"?>
<formControlPr xmlns="http://schemas.microsoft.com/office/spreadsheetml/2009/9/main" objectType="CheckBox" fmlaLink="$P$317" lockText="1" noThreeD="1"/>
</file>

<file path=xl/ctrlProps/ctrlProp124.xml><?xml version="1.0" encoding="utf-8"?>
<formControlPr xmlns="http://schemas.microsoft.com/office/spreadsheetml/2009/9/main" objectType="CheckBox" fmlaLink="$P$310" lockText="1" noThreeD="1"/>
</file>

<file path=xl/ctrlProps/ctrlProp125.xml><?xml version="1.0" encoding="utf-8"?>
<formControlPr xmlns="http://schemas.microsoft.com/office/spreadsheetml/2009/9/main" objectType="CheckBox" fmlaLink="$P$309" lockText="1" noThreeD="1"/>
</file>

<file path=xl/ctrlProps/ctrlProp126.xml><?xml version="1.0" encoding="utf-8"?>
<formControlPr xmlns="http://schemas.microsoft.com/office/spreadsheetml/2009/9/main" objectType="CheckBox" fmlaLink="$P$318" lockText="1" noThreeD="1"/>
</file>

<file path=xl/ctrlProps/ctrlProp127.xml><?xml version="1.0" encoding="utf-8"?>
<formControlPr xmlns="http://schemas.microsoft.com/office/spreadsheetml/2009/9/main" objectType="CheckBox" fmlaLink="$P$310" lockText="1" noThreeD="1"/>
</file>

<file path=xl/ctrlProps/ctrlProp128.xml><?xml version="1.0" encoding="utf-8"?>
<formControlPr xmlns="http://schemas.microsoft.com/office/spreadsheetml/2009/9/main" objectType="CheckBox" fmlaLink="$P$309" lockText="1" noThreeD="1"/>
</file>

<file path=xl/ctrlProps/ctrlProp129.xml><?xml version="1.0" encoding="utf-8"?>
<formControlPr xmlns="http://schemas.microsoft.com/office/spreadsheetml/2009/9/main" objectType="CheckBox" fmlaLink="$P$319" lockText="1" noThreeD="1"/>
</file>

<file path=xl/ctrlProps/ctrlProp13.xml><?xml version="1.0" encoding="utf-8"?>
<formControlPr xmlns="http://schemas.microsoft.com/office/spreadsheetml/2009/9/main" objectType="Drop" dropLines="15" dropStyle="combo" dx="16" fmlaLink="$BM$68" fmlaRange="Tiere!$B$30:$B$85" noThreeD="1" sel="1" val="0"/>
</file>

<file path=xl/ctrlProps/ctrlProp130.xml><?xml version="1.0" encoding="utf-8"?>
<formControlPr xmlns="http://schemas.microsoft.com/office/spreadsheetml/2009/9/main" objectType="CheckBox" fmlaLink="$P$310" lockText="1" noThreeD="1"/>
</file>

<file path=xl/ctrlProps/ctrlProp131.xml><?xml version="1.0" encoding="utf-8"?>
<formControlPr xmlns="http://schemas.microsoft.com/office/spreadsheetml/2009/9/main" objectType="CheckBox" fmlaLink="$P$309" lockText="1" noThreeD="1"/>
</file>

<file path=xl/ctrlProps/ctrlProp132.xml><?xml version="1.0" encoding="utf-8"?>
<formControlPr xmlns="http://schemas.microsoft.com/office/spreadsheetml/2009/9/main" objectType="CheckBox" fmlaLink="$P$320" lockText="1" noThreeD="1"/>
</file>

<file path=xl/ctrlProps/ctrlProp133.xml><?xml version="1.0" encoding="utf-8"?>
<formControlPr xmlns="http://schemas.microsoft.com/office/spreadsheetml/2009/9/main" objectType="CheckBox" fmlaLink="$P$310" lockText="1" noThreeD="1"/>
</file>

<file path=xl/ctrlProps/ctrlProp134.xml><?xml version="1.0" encoding="utf-8"?>
<formControlPr xmlns="http://schemas.microsoft.com/office/spreadsheetml/2009/9/main" objectType="CheckBox" fmlaLink="$P$309" lockText="1" noThreeD="1"/>
</file>

<file path=xl/ctrlProps/ctrlProp135.xml><?xml version="1.0" encoding="utf-8"?>
<formControlPr xmlns="http://schemas.microsoft.com/office/spreadsheetml/2009/9/main" objectType="CheckBox" fmlaLink="$P$321" lockText="1" noThreeD="1"/>
</file>

<file path=xl/ctrlProps/ctrlProp136.xml><?xml version="1.0" encoding="utf-8"?>
<formControlPr xmlns="http://schemas.microsoft.com/office/spreadsheetml/2009/9/main" objectType="CheckBox" fmlaLink="$P$310" lockText="1" noThreeD="1"/>
</file>

<file path=xl/ctrlProps/ctrlProp137.xml><?xml version="1.0" encoding="utf-8"?>
<formControlPr xmlns="http://schemas.microsoft.com/office/spreadsheetml/2009/9/main" objectType="CheckBox" fmlaLink="$P$309" lockText="1" noThreeD="1"/>
</file>

<file path=xl/ctrlProps/ctrlProp138.xml><?xml version="1.0" encoding="utf-8"?>
<formControlPr xmlns="http://schemas.microsoft.com/office/spreadsheetml/2009/9/main" objectType="CheckBox" fmlaLink="$P$322" lockText="1" noThreeD="1"/>
</file>

<file path=xl/ctrlProps/ctrlProp139.xml><?xml version="1.0" encoding="utf-8"?>
<formControlPr xmlns="http://schemas.microsoft.com/office/spreadsheetml/2009/9/main" objectType="CheckBox" fmlaLink="$P$310" lockText="1" noThreeD="1"/>
</file>

<file path=xl/ctrlProps/ctrlProp14.xml><?xml version="1.0" encoding="utf-8"?>
<formControlPr xmlns="http://schemas.microsoft.com/office/spreadsheetml/2009/9/main" objectType="Drop" dropStyle="combo" dx="16" fmlaLink="$BN$69" fmlaRange="Stroh!$B$2:$B$4" noThreeD="1" sel="1" val="0"/>
</file>

<file path=xl/ctrlProps/ctrlProp140.xml><?xml version="1.0" encoding="utf-8"?>
<formControlPr xmlns="http://schemas.microsoft.com/office/spreadsheetml/2009/9/main" objectType="CheckBox" fmlaLink="$P$309" lockText="1" noThreeD="1"/>
</file>

<file path=xl/ctrlProps/ctrlProp141.xml><?xml version="1.0" encoding="utf-8"?>
<formControlPr xmlns="http://schemas.microsoft.com/office/spreadsheetml/2009/9/main" objectType="CheckBox" fmlaLink="$P$323" lockText="1" noThreeD="1"/>
</file>

<file path=xl/ctrlProps/ctrlProp142.xml><?xml version="1.0" encoding="utf-8"?>
<formControlPr xmlns="http://schemas.microsoft.com/office/spreadsheetml/2009/9/main" objectType="CheckBox" fmlaLink="$P$310" lockText="1" noThreeD="1"/>
</file>

<file path=xl/ctrlProps/ctrlProp143.xml><?xml version="1.0" encoding="utf-8"?>
<formControlPr xmlns="http://schemas.microsoft.com/office/spreadsheetml/2009/9/main" objectType="CheckBox" fmlaLink="$P$309" lockText="1" noThreeD="1"/>
</file>

<file path=xl/ctrlProps/ctrlProp144.xml><?xml version="1.0" encoding="utf-8"?>
<formControlPr xmlns="http://schemas.microsoft.com/office/spreadsheetml/2009/9/main" objectType="CheckBox" fmlaLink="$P$324" lockText="1" noThreeD="1"/>
</file>

<file path=xl/ctrlProps/ctrlProp145.xml><?xml version="1.0" encoding="utf-8"?>
<formControlPr xmlns="http://schemas.microsoft.com/office/spreadsheetml/2009/9/main" objectType="CheckBox" fmlaLink="$P$310" lockText="1" noThreeD="1"/>
</file>

<file path=xl/ctrlProps/ctrlProp146.xml><?xml version="1.0" encoding="utf-8"?>
<formControlPr xmlns="http://schemas.microsoft.com/office/spreadsheetml/2009/9/main" objectType="CheckBox" fmlaLink="$P$309" lockText="1" noThreeD="1"/>
</file>

<file path=xl/ctrlProps/ctrlProp147.xml><?xml version="1.0" encoding="utf-8"?>
<formControlPr xmlns="http://schemas.microsoft.com/office/spreadsheetml/2009/9/main" objectType="CheckBox" fmlaLink="$P$325" lockText="1" noThreeD="1"/>
</file>

<file path=xl/ctrlProps/ctrlProp148.xml><?xml version="1.0" encoding="utf-8"?>
<formControlPr xmlns="http://schemas.microsoft.com/office/spreadsheetml/2009/9/main" objectType="CheckBox" fmlaLink="$P$310" lockText="1" noThreeD="1"/>
</file>

<file path=xl/ctrlProps/ctrlProp149.xml><?xml version="1.0" encoding="utf-8"?>
<formControlPr xmlns="http://schemas.microsoft.com/office/spreadsheetml/2009/9/main" objectType="CheckBox" fmlaLink="$P$309" lockText="1" noThreeD="1"/>
</file>

<file path=xl/ctrlProps/ctrlProp15.xml><?xml version="1.0" encoding="utf-8"?>
<formControlPr xmlns="http://schemas.microsoft.com/office/spreadsheetml/2009/9/main" objectType="Drop" dropStyle="combo" dx="16" fmlaLink="$BN$70" fmlaRange="Stroh!$B$2:$B$4" noThreeD="1" sel="1" val="0"/>
</file>

<file path=xl/ctrlProps/ctrlProp150.xml><?xml version="1.0" encoding="utf-8"?>
<formControlPr xmlns="http://schemas.microsoft.com/office/spreadsheetml/2009/9/main" objectType="CheckBox" fmlaLink="$P$326" lockText="1" noThreeD="1"/>
</file>

<file path=xl/ctrlProps/ctrlProp151.xml><?xml version="1.0" encoding="utf-8"?>
<formControlPr xmlns="http://schemas.microsoft.com/office/spreadsheetml/2009/9/main" objectType="CheckBox" fmlaLink="$P$310" lockText="1" noThreeD="1"/>
</file>

<file path=xl/ctrlProps/ctrlProp152.xml><?xml version="1.0" encoding="utf-8"?>
<formControlPr xmlns="http://schemas.microsoft.com/office/spreadsheetml/2009/9/main" objectType="CheckBox" fmlaLink="$P$309" lockText="1" noThreeD="1"/>
</file>

<file path=xl/ctrlProps/ctrlProp153.xml><?xml version="1.0" encoding="utf-8"?>
<formControlPr xmlns="http://schemas.microsoft.com/office/spreadsheetml/2009/9/main" objectType="CheckBox" fmlaLink="$P$327" lockText="1" noThreeD="1"/>
</file>

<file path=xl/ctrlProps/ctrlProp154.xml><?xml version="1.0" encoding="utf-8"?>
<formControlPr xmlns="http://schemas.microsoft.com/office/spreadsheetml/2009/9/main" objectType="CheckBox" fmlaLink="$P$310" lockText="1" noThreeD="1"/>
</file>

<file path=xl/ctrlProps/ctrlProp155.xml><?xml version="1.0" encoding="utf-8"?>
<formControlPr xmlns="http://schemas.microsoft.com/office/spreadsheetml/2009/9/main" objectType="CheckBox" fmlaLink="$P$309" lockText="1" noThreeD="1"/>
</file>

<file path=xl/ctrlProps/ctrlProp156.xml><?xml version="1.0" encoding="utf-8"?>
<formControlPr xmlns="http://schemas.microsoft.com/office/spreadsheetml/2009/9/main" objectType="CheckBox" fmlaLink="$P$328" lockText="1" noThreeD="1"/>
</file>

<file path=xl/ctrlProps/ctrlProp157.xml><?xml version="1.0" encoding="utf-8"?>
<formControlPr xmlns="http://schemas.microsoft.com/office/spreadsheetml/2009/9/main" objectType="CheckBox" fmlaLink="$P$310" lockText="1" noThreeD="1"/>
</file>

<file path=xl/ctrlProps/ctrlProp158.xml><?xml version="1.0" encoding="utf-8"?>
<formControlPr xmlns="http://schemas.microsoft.com/office/spreadsheetml/2009/9/main" objectType="CheckBox" fmlaLink="$P$309" lockText="1" noThreeD="1"/>
</file>

<file path=xl/ctrlProps/ctrlProp159.xml><?xml version="1.0" encoding="utf-8"?>
<formControlPr xmlns="http://schemas.microsoft.com/office/spreadsheetml/2009/9/main" objectType="CheckBox" fmlaLink="$P$329" lockText="1" noThreeD="1"/>
</file>

<file path=xl/ctrlProps/ctrlProp16.xml><?xml version="1.0" encoding="utf-8"?>
<formControlPr xmlns="http://schemas.microsoft.com/office/spreadsheetml/2009/9/main" objectType="Drop" dropStyle="combo" dx="16" fmlaLink="$BN$71" fmlaRange="Stroh!$B$2:$B$4" noThreeD="1" sel="1" val="0"/>
</file>

<file path=xl/ctrlProps/ctrlProp160.xml><?xml version="1.0" encoding="utf-8"?>
<formControlPr xmlns="http://schemas.microsoft.com/office/spreadsheetml/2009/9/main" objectType="CheckBox" fmlaLink="$P$310" lockText="1" noThreeD="1"/>
</file>

<file path=xl/ctrlProps/ctrlProp161.xml><?xml version="1.0" encoding="utf-8"?>
<formControlPr xmlns="http://schemas.microsoft.com/office/spreadsheetml/2009/9/main" objectType="CheckBox" fmlaLink="$P$309" lockText="1" noThreeD="1"/>
</file>

<file path=xl/ctrlProps/ctrlProp162.xml><?xml version="1.0" encoding="utf-8"?>
<formControlPr xmlns="http://schemas.microsoft.com/office/spreadsheetml/2009/9/main" objectType="CheckBox" fmlaLink="$P$330" lockText="1" noThreeD="1"/>
</file>

<file path=xl/ctrlProps/ctrlProp163.xml><?xml version="1.0" encoding="utf-8"?>
<formControlPr xmlns="http://schemas.microsoft.com/office/spreadsheetml/2009/9/main" objectType="CheckBox" fmlaLink="$P$310" lockText="1" noThreeD="1"/>
</file>

<file path=xl/ctrlProps/ctrlProp164.xml><?xml version="1.0" encoding="utf-8"?>
<formControlPr xmlns="http://schemas.microsoft.com/office/spreadsheetml/2009/9/main" objectType="CheckBox" fmlaLink="$P$309" lockText="1" noThreeD="1"/>
</file>

<file path=xl/ctrlProps/ctrlProp165.xml><?xml version="1.0" encoding="utf-8"?>
<formControlPr xmlns="http://schemas.microsoft.com/office/spreadsheetml/2009/9/main" objectType="CheckBox" fmlaLink="$P$331" lockText="1" noThreeD="1"/>
</file>

<file path=xl/ctrlProps/ctrlProp166.xml><?xml version="1.0" encoding="utf-8"?>
<formControlPr xmlns="http://schemas.microsoft.com/office/spreadsheetml/2009/9/main" objectType="CheckBox" fmlaLink="$P$310" lockText="1" noThreeD="1"/>
</file>

<file path=xl/ctrlProps/ctrlProp167.xml><?xml version="1.0" encoding="utf-8"?>
<formControlPr xmlns="http://schemas.microsoft.com/office/spreadsheetml/2009/9/main" objectType="CheckBox" fmlaLink="$P$309" lockText="1" noThreeD="1"/>
</file>

<file path=xl/ctrlProps/ctrlProp168.xml><?xml version="1.0" encoding="utf-8"?>
<formControlPr xmlns="http://schemas.microsoft.com/office/spreadsheetml/2009/9/main" objectType="CheckBox" fmlaLink="$P$332" lockText="1" noThreeD="1"/>
</file>

<file path=xl/ctrlProps/ctrlProp169.xml><?xml version="1.0" encoding="utf-8"?>
<formControlPr xmlns="http://schemas.microsoft.com/office/spreadsheetml/2009/9/main" objectType="CheckBox" fmlaLink="$P$310" lockText="1" noThreeD="1"/>
</file>

<file path=xl/ctrlProps/ctrlProp17.xml><?xml version="1.0" encoding="utf-8"?>
<formControlPr xmlns="http://schemas.microsoft.com/office/spreadsheetml/2009/9/main" objectType="Drop" dropStyle="combo" dx="16" fmlaLink="$BN$72" fmlaRange="Stroh!$B$2:$B$4" noThreeD="1" sel="1" val="0"/>
</file>

<file path=xl/ctrlProps/ctrlProp170.xml><?xml version="1.0" encoding="utf-8"?>
<formControlPr xmlns="http://schemas.microsoft.com/office/spreadsheetml/2009/9/main" objectType="CheckBox" fmlaLink="$P$309" lockText="1" noThreeD="1"/>
</file>

<file path=xl/ctrlProps/ctrlProp171.xml><?xml version="1.0" encoding="utf-8"?>
<formControlPr xmlns="http://schemas.microsoft.com/office/spreadsheetml/2009/9/main" objectType="CheckBox" fmlaLink="$P$333" lockText="1" noThreeD="1"/>
</file>

<file path=xl/ctrlProps/ctrlProp172.xml><?xml version="1.0" encoding="utf-8"?>
<formControlPr xmlns="http://schemas.microsoft.com/office/spreadsheetml/2009/9/main" objectType="CheckBox" fmlaLink="$P$310" lockText="1" noThreeD="1"/>
</file>

<file path=xl/ctrlProps/ctrlProp173.xml><?xml version="1.0" encoding="utf-8"?>
<formControlPr xmlns="http://schemas.microsoft.com/office/spreadsheetml/2009/9/main" objectType="CheckBox" fmlaLink="$P$309" lockText="1" noThreeD="1"/>
</file>

<file path=xl/ctrlProps/ctrlProp174.xml><?xml version="1.0" encoding="utf-8"?>
<formControlPr xmlns="http://schemas.microsoft.com/office/spreadsheetml/2009/9/main" objectType="CheckBox" fmlaLink="$P$334" lockText="1" noThreeD="1"/>
</file>

<file path=xl/ctrlProps/ctrlProp175.xml><?xml version="1.0" encoding="utf-8"?>
<formControlPr xmlns="http://schemas.microsoft.com/office/spreadsheetml/2009/9/main" objectType="CheckBox" fmlaLink="$P$310" lockText="1" noThreeD="1"/>
</file>

<file path=xl/ctrlProps/ctrlProp176.xml><?xml version="1.0" encoding="utf-8"?>
<formControlPr xmlns="http://schemas.microsoft.com/office/spreadsheetml/2009/9/main" objectType="CheckBox" fmlaLink="$P$309" lockText="1" noThreeD="1"/>
</file>

<file path=xl/ctrlProps/ctrlProp177.xml><?xml version="1.0" encoding="utf-8"?>
<formControlPr xmlns="http://schemas.microsoft.com/office/spreadsheetml/2009/9/main" objectType="CheckBox" fmlaLink="$P$335" lockText="1" noThreeD="1"/>
</file>

<file path=xl/ctrlProps/ctrlProp178.xml><?xml version="1.0" encoding="utf-8"?>
<formControlPr xmlns="http://schemas.microsoft.com/office/spreadsheetml/2009/9/main" objectType="CheckBox" fmlaLink="$P$310" lockText="1" noThreeD="1"/>
</file>

<file path=xl/ctrlProps/ctrlProp179.xml><?xml version="1.0" encoding="utf-8"?>
<formControlPr xmlns="http://schemas.microsoft.com/office/spreadsheetml/2009/9/main" objectType="CheckBox" fmlaLink="$P$309" lockText="1" noThreeD="1"/>
</file>

<file path=xl/ctrlProps/ctrlProp18.xml><?xml version="1.0" encoding="utf-8"?>
<formControlPr xmlns="http://schemas.microsoft.com/office/spreadsheetml/2009/9/main" objectType="Drop" dropStyle="combo" dx="16" fmlaLink="$BN$73" fmlaRange="Stroh!$B$2:$B$4" noThreeD="1" sel="1" val="0"/>
</file>

<file path=xl/ctrlProps/ctrlProp180.xml><?xml version="1.0" encoding="utf-8"?>
<formControlPr xmlns="http://schemas.microsoft.com/office/spreadsheetml/2009/9/main" objectType="CheckBox" fmlaLink="$P$336" lockText="1" noThreeD="1"/>
</file>

<file path=xl/ctrlProps/ctrlProp181.xml><?xml version="1.0" encoding="utf-8"?>
<formControlPr xmlns="http://schemas.microsoft.com/office/spreadsheetml/2009/9/main" objectType="CheckBox" fmlaLink="$P$310" lockText="1" noThreeD="1"/>
</file>

<file path=xl/ctrlProps/ctrlProp182.xml><?xml version="1.0" encoding="utf-8"?>
<formControlPr xmlns="http://schemas.microsoft.com/office/spreadsheetml/2009/9/main" objectType="CheckBox" fmlaLink="$P$337" lockText="1" noThreeD="1"/>
</file>

<file path=xl/ctrlProps/ctrlProp183.xml><?xml version="1.0" encoding="utf-8"?>
<formControlPr xmlns="http://schemas.microsoft.com/office/spreadsheetml/2009/9/main" objectType="Drop" dropLines="3" dropStyle="combo" dx="16" fmlaLink="$AD$308" fmlaRange="Stroh!$H$2:$H$4" noThreeD="1" sel="1" val="0"/>
</file>

<file path=xl/ctrlProps/ctrlProp184.xml><?xml version="1.0" encoding="utf-8"?>
<formControlPr xmlns="http://schemas.microsoft.com/office/spreadsheetml/2009/9/main" objectType="Drop" dropLines="3" dropStyle="combo" dx="16" fmlaLink="$AD$309" fmlaRange="Stroh!$H$2:$H$4" noThreeD="1" sel="1" val="0"/>
</file>

<file path=xl/ctrlProps/ctrlProp185.xml><?xml version="1.0" encoding="utf-8"?>
<formControlPr xmlns="http://schemas.microsoft.com/office/spreadsheetml/2009/9/main" objectType="Drop" dropLines="3" dropStyle="combo" dx="16" fmlaLink="$AD$310" fmlaRange="Stroh!$H$2:$H$4" noThreeD="1" sel="1" val="0"/>
</file>

<file path=xl/ctrlProps/ctrlProp186.xml><?xml version="1.0" encoding="utf-8"?>
<formControlPr xmlns="http://schemas.microsoft.com/office/spreadsheetml/2009/9/main" objectType="Drop" dropLines="3" dropStyle="combo" dx="16" fmlaLink="$AD$311" fmlaRange="Stroh!$H$2:$H$4" noThreeD="1" sel="1" val="0"/>
</file>

<file path=xl/ctrlProps/ctrlProp187.xml><?xml version="1.0" encoding="utf-8"?>
<formControlPr xmlns="http://schemas.microsoft.com/office/spreadsheetml/2009/9/main" objectType="Drop" dropLines="3" dropStyle="combo" dx="16" fmlaLink="$AD$312" fmlaRange="Stroh!$H$2:$H$4" noThreeD="1" sel="1" val="0"/>
</file>

<file path=xl/ctrlProps/ctrlProp188.xml><?xml version="1.0" encoding="utf-8"?>
<formControlPr xmlns="http://schemas.microsoft.com/office/spreadsheetml/2009/9/main" objectType="Drop" dropLines="3" dropStyle="combo" dx="16" fmlaLink="$AD$313" fmlaRange="Stroh!$H$2:$H$4" noThreeD="1" sel="1" val="0"/>
</file>

<file path=xl/ctrlProps/ctrlProp189.xml><?xml version="1.0" encoding="utf-8"?>
<formControlPr xmlns="http://schemas.microsoft.com/office/spreadsheetml/2009/9/main" objectType="Drop" dropLines="3" dropStyle="combo" dx="16" fmlaLink="$AD$314" fmlaRange="Stroh!$H$2:$H$4" noThreeD="1" sel="1" val="0"/>
</file>

<file path=xl/ctrlProps/ctrlProp19.xml><?xml version="1.0" encoding="utf-8"?>
<formControlPr xmlns="http://schemas.microsoft.com/office/spreadsheetml/2009/9/main" objectType="Drop" dropStyle="combo" dx="16" fmlaLink="$BN$74" fmlaRange="Stroh!$B$2:$B$4" noThreeD="1" sel="1" val="0"/>
</file>

<file path=xl/ctrlProps/ctrlProp190.xml><?xml version="1.0" encoding="utf-8"?>
<formControlPr xmlns="http://schemas.microsoft.com/office/spreadsheetml/2009/9/main" objectType="Drop" dropLines="3" dropStyle="combo" dx="16" fmlaLink="$AD$315" fmlaRange="Stroh!$H$2:$H$4" noThreeD="1" sel="1" val="0"/>
</file>

<file path=xl/ctrlProps/ctrlProp191.xml><?xml version="1.0" encoding="utf-8"?>
<formControlPr xmlns="http://schemas.microsoft.com/office/spreadsheetml/2009/9/main" objectType="Drop" dropLines="3" dropStyle="combo" dx="16" fmlaLink="$AD$316" fmlaRange="Stroh!$H$2:$H$4" noThreeD="1" sel="1" val="0"/>
</file>

<file path=xl/ctrlProps/ctrlProp192.xml><?xml version="1.0" encoding="utf-8"?>
<formControlPr xmlns="http://schemas.microsoft.com/office/spreadsheetml/2009/9/main" objectType="Drop" dropLines="3" dropStyle="combo" dx="16" fmlaLink="$AD$317" fmlaRange="Stroh!$H$2:$H$4" noThreeD="1" sel="1" val="0"/>
</file>

<file path=xl/ctrlProps/ctrlProp193.xml><?xml version="1.0" encoding="utf-8"?>
<formControlPr xmlns="http://schemas.microsoft.com/office/spreadsheetml/2009/9/main" objectType="Drop" dropLines="3" dropStyle="combo" dx="16" fmlaLink="$AD$318" fmlaRange="Stroh!$H$2:$H$4" noThreeD="1" sel="1" val="0"/>
</file>

<file path=xl/ctrlProps/ctrlProp194.xml><?xml version="1.0" encoding="utf-8"?>
<formControlPr xmlns="http://schemas.microsoft.com/office/spreadsheetml/2009/9/main" objectType="Drop" dropLines="3" dropStyle="combo" dx="16" fmlaLink="$AD$319" fmlaRange="Stroh!$H$2:$H$4" noThreeD="1" sel="1" val="0"/>
</file>

<file path=xl/ctrlProps/ctrlProp195.xml><?xml version="1.0" encoding="utf-8"?>
<formControlPr xmlns="http://schemas.microsoft.com/office/spreadsheetml/2009/9/main" objectType="Drop" dropLines="3" dropStyle="combo" dx="16" fmlaLink="$AD$320" fmlaRange="Stroh!$H$2:$H$4" noThreeD="1" sel="1" val="0"/>
</file>

<file path=xl/ctrlProps/ctrlProp196.xml><?xml version="1.0" encoding="utf-8"?>
<formControlPr xmlns="http://schemas.microsoft.com/office/spreadsheetml/2009/9/main" objectType="Drop" dropLines="3" dropStyle="combo" dx="16" fmlaLink="$AD$321" fmlaRange="Stroh!$H$2:$H$4" noThreeD="1" sel="1" val="0"/>
</file>

<file path=xl/ctrlProps/ctrlProp197.xml><?xml version="1.0" encoding="utf-8"?>
<formControlPr xmlns="http://schemas.microsoft.com/office/spreadsheetml/2009/9/main" objectType="Drop" dropLines="3" dropStyle="combo" dx="16" fmlaLink="$AD$322" fmlaRange="Stroh!$H$2:$H$4" noThreeD="1" sel="1" val="0"/>
</file>

<file path=xl/ctrlProps/ctrlProp198.xml><?xml version="1.0" encoding="utf-8"?>
<formControlPr xmlns="http://schemas.microsoft.com/office/spreadsheetml/2009/9/main" objectType="Drop" dropLines="3" dropStyle="combo" dx="16" fmlaLink="$AD$323" fmlaRange="Stroh!$H$2:$H$4" noThreeD="1" sel="1" val="0"/>
</file>

<file path=xl/ctrlProps/ctrlProp199.xml><?xml version="1.0" encoding="utf-8"?>
<formControlPr xmlns="http://schemas.microsoft.com/office/spreadsheetml/2009/9/main" objectType="Drop" dropLines="3" dropStyle="combo" dx="16" fmlaLink="$AD$324" fmlaRange="Stroh!$H$2:$H$4" noThreeD="1" sel="1" val="0"/>
</file>

<file path=xl/ctrlProps/ctrlProp2.xml><?xml version="1.0" encoding="utf-8"?>
<formControlPr xmlns="http://schemas.microsoft.com/office/spreadsheetml/2009/9/main" objectType="Drop" dropLines="15" dropStyle="combo" dx="16" fmlaLink="$BM$70" fmlaRange="Tiere!$B$30:$B$85" noThreeD="1" sel="1" val="0"/>
</file>

<file path=xl/ctrlProps/ctrlProp20.xml><?xml version="1.0" encoding="utf-8"?>
<formControlPr xmlns="http://schemas.microsoft.com/office/spreadsheetml/2009/9/main" objectType="Drop" dropStyle="combo" dx="16" fmlaLink="$BN$75" fmlaRange="Stroh!$B$2:$B$4" noThreeD="1" sel="1" val="0"/>
</file>

<file path=xl/ctrlProps/ctrlProp200.xml><?xml version="1.0" encoding="utf-8"?>
<formControlPr xmlns="http://schemas.microsoft.com/office/spreadsheetml/2009/9/main" objectType="Drop" dropLines="3" dropStyle="combo" dx="16" fmlaLink="$AD$325" fmlaRange="Stroh!$H$2:$H$4" noThreeD="1" sel="1" val="0"/>
</file>

<file path=xl/ctrlProps/ctrlProp201.xml><?xml version="1.0" encoding="utf-8"?>
<formControlPr xmlns="http://schemas.microsoft.com/office/spreadsheetml/2009/9/main" objectType="Drop" dropLines="3" dropStyle="combo" dx="16" fmlaLink="$AD$326" fmlaRange="Stroh!$H$2:$H$4" noThreeD="1" sel="1" val="0"/>
</file>

<file path=xl/ctrlProps/ctrlProp202.xml><?xml version="1.0" encoding="utf-8"?>
<formControlPr xmlns="http://schemas.microsoft.com/office/spreadsheetml/2009/9/main" objectType="Drop" dropLines="3" dropStyle="combo" dx="16" fmlaLink="$AD$327" fmlaRange="Stroh!$H$2:$H$4" noThreeD="1" sel="1" val="0"/>
</file>

<file path=xl/ctrlProps/ctrlProp203.xml><?xml version="1.0" encoding="utf-8"?>
<formControlPr xmlns="http://schemas.microsoft.com/office/spreadsheetml/2009/9/main" objectType="Drop" dropLines="3" dropStyle="combo" dx="16" fmlaLink="$AD$328" fmlaRange="Stroh!$H$2:$H$4" noThreeD="1" sel="1" val="0"/>
</file>

<file path=xl/ctrlProps/ctrlProp204.xml><?xml version="1.0" encoding="utf-8"?>
<formControlPr xmlns="http://schemas.microsoft.com/office/spreadsheetml/2009/9/main" objectType="Drop" dropLines="3" dropStyle="combo" dx="16" fmlaLink="$AD$329" fmlaRange="Stroh!$H$2:$H$4" noThreeD="1" sel="1" val="0"/>
</file>

<file path=xl/ctrlProps/ctrlProp205.xml><?xml version="1.0" encoding="utf-8"?>
<formControlPr xmlns="http://schemas.microsoft.com/office/spreadsheetml/2009/9/main" objectType="Drop" dropLines="3" dropStyle="combo" dx="16" fmlaLink="$AD$330" fmlaRange="Stroh!$H$2:$H$4" noThreeD="1" sel="1" val="0"/>
</file>

<file path=xl/ctrlProps/ctrlProp206.xml><?xml version="1.0" encoding="utf-8"?>
<formControlPr xmlns="http://schemas.microsoft.com/office/spreadsheetml/2009/9/main" objectType="Drop" dropLines="3" dropStyle="combo" dx="16" fmlaLink="$AD$331" fmlaRange="Stroh!$H$2:$H$4" noThreeD="1" sel="1" val="0"/>
</file>

<file path=xl/ctrlProps/ctrlProp207.xml><?xml version="1.0" encoding="utf-8"?>
<formControlPr xmlns="http://schemas.microsoft.com/office/spreadsheetml/2009/9/main" objectType="Drop" dropLines="3" dropStyle="combo" dx="16" fmlaLink="$AD$332" fmlaRange="Stroh!$H$2:$H$4" noThreeD="1" sel="1" val="0"/>
</file>

<file path=xl/ctrlProps/ctrlProp208.xml><?xml version="1.0" encoding="utf-8"?>
<formControlPr xmlns="http://schemas.microsoft.com/office/spreadsheetml/2009/9/main" objectType="Drop" dropLines="3" dropStyle="combo" dx="16" fmlaLink="$AD$333" fmlaRange="Stroh!$H$2:$H$4" noThreeD="1" sel="1" val="0"/>
</file>

<file path=xl/ctrlProps/ctrlProp209.xml><?xml version="1.0" encoding="utf-8"?>
<formControlPr xmlns="http://schemas.microsoft.com/office/spreadsheetml/2009/9/main" objectType="Drop" dropLines="3" dropStyle="combo" dx="16" fmlaLink="$AD$334" fmlaRange="Stroh!$H$2:$H$4" noThreeD="1" sel="1" val="0"/>
</file>

<file path=xl/ctrlProps/ctrlProp21.xml><?xml version="1.0" encoding="utf-8"?>
<formControlPr xmlns="http://schemas.microsoft.com/office/spreadsheetml/2009/9/main" objectType="Drop" dropStyle="combo" dx="16" fmlaLink="$BN$76" fmlaRange="Stroh!$B$2:$B$4" noThreeD="1" sel="1" val="0"/>
</file>

<file path=xl/ctrlProps/ctrlProp210.xml><?xml version="1.0" encoding="utf-8"?>
<formControlPr xmlns="http://schemas.microsoft.com/office/spreadsheetml/2009/9/main" objectType="Drop" dropLines="3" dropStyle="combo" dx="16" fmlaLink="$AD$335" fmlaRange="Stroh!$H$2:$H$4" noThreeD="1" sel="1" val="0"/>
</file>

<file path=xl/ctrlProps/ctrlProp211.xml><?xml version="1.0" encoding="utf-8"?>
<formControlPr xmlns="http://schemas.microsoft.com/office/spreadsheetml/2009/9/main" objectType="Drop" dropLines="3" dropStyle="combo" dx="16" fmlaLink="$AD$336" fmlaRange="Stroh!$H$2:$H$4" noThreeD="1" sel="1" val="0"/>
</file>

<file path=xl/ctrlProps/ctrlProp212.xml><?xml version="1.0" encoding="utf-8"?>
<formControlPr xmlns="http://schemas.microsoft.com/office/spreadsheetml/2009/9/main" objectType="Drop" dropLines="3" dropStyle="combo" dx="16" fmlaLink="$AD$337" fmlaRange="Stroh!$H$2:$H$4" noThreeD="1" sel="1" val="0"/>
</file>

<file path=xl/ctrlProps/ctrlProp213.xml><?xml version="1.0" encoding="utf-8"?>
<formControlPr xmlns="http://schemas.microsoft.com/office/spreadsheetml/2009/9/main" objectType="Drop" dropLines="35" dropStyle="combo" dx="16" fmlaLink="$AX$113" fmlaRange="Pflanzen!$C$5:$C$109" noThreeD="1" sel="1" val="64"/>
</file>

<file path=xl/ctrlProps/ctrlProp214.xml><?xml version="1.0" encoding="utf-8"?>
<formControlPr xmlns="http://schemas.microsoft.com/office/spreadsheetml/2009/9/main" objectType="Drop" dropLines="35" dropStyle="combo" dx="16" fmlaLink="$AX$114" fmlaRange="Pflanzen!$C$5:$C$109" noThreeD="1" sel="1" val="59"/>
</file>

<file path=xl/ctrlProps/ctrlProp215.xml><?xml version="1.0" encoding="utf-8"?>
<formControlPr xmlns="http://schemas.microsoft.com/office/spreadsheetml/2009/9/main" objectType="Drop" dropLines="35" dropStyle="combo" dx="16" fmlaLink="$AX$115" fmlaRange="Pflanzen!$C$5:$C$109" noThreeD="1" sel="1" val="0"/>
</file>

<file path=xl/ctrlProps/ctrlProp216.xml><?xml version="1.0" encoding="utf-8"?>
<formControlPr xmlns="http://schemas.microsoft.com/office/spreadsheetml/2009/9/main" objectType="Drop" dropLines="35" dropStyle="combo" dx="16" fmlaLink="$AX$116" fmlaRange="Pflanzen!$C$5:$C$109" noThreeD="1" sel="1" val="0"/>
</file>

<file path=xl/ctrlProps/ctrlProp217.xml><?xml version="1.0" encoding="utf-8"?>
<formControlPr xmlns="http://schemas.microsoft.com/office/spreadsheetml/2009/9/main" objectType="Drop" dropLines="35" dropStyle="combo" dx="16" fmlaLink="$AX$117" fmlaRange="Pflanzen!$C$5:$C$109" noThreeD="1" sel="1" val="0"/>
</file>

<file path=xl/ctrlProps/ctrlProp218.xml><?xml version="1.0" encoding="utf-8"?>
<formControlPr xmlns="http://schemas.microsoft.com/office/spreadsheetml/2009/9/main" objectType="Drop" dropLines="35" dropStyle="combo" dx="16" fmlaLink="$AX$118" fmlaRange="Pflanzen!$C$5:$C$109" noThreeD="1" sel="1" val="0"/>
</file>

<file path=xl/ctrlProps/ctrlProp219.xml><?xml version="1.0" encoding="utf-8"?>
<formControlPr xmlns="http://schemas.microsoft.com/office/spreadsheetml/2009/9/main" objectType="Drop" dropLines="35" dropStyle="combo" dx="16" fmlaLink="$AX$119" fmlaRange="Pflanzen!$C$5:$C$109" noThreeD="1" sel="1" val="0"/>
</file>

<file path=xl/ctrlProps/ctrlProp22.xml><?xml version="1.0" encoding="utf-8"?>
<formControlPr xmlns="http://schemas.microsoft.com/office/spreadsheetml/2009/9/main" objectType="Drop" dropStyle="combo" dx="16" fmlaLink="$BN$79" fmlaRange="Stroh!$B$2:$B$4" noThreeD="1" sel="1" val="0"/>
</file>

<file path=xl/ctrlProps/ctrlProp220.xml><?xml version="1.0" encoding="utf-8"?>
<formControlPr xmlns="http://schemas.microsoft.com/office/spreadsheetml/2009/9/main" objectType="Drop" dropLines="35" dropStyle="combo" dx="16" fmlaLink="$AX$120" fmlaRange="Pflanzen!$C$5:$C$109" noThreeD="1" sel="1" val="0"/>
</file>

<file path=xl/ctrlProps/ctrlProp221.xml><?xml version="1.0" encoding="utf-8"?>
<formControlPr xmlns="http://schemas.microsoft.com/office/spreadsheetml/2009/9/main" objectType="Drop" dropLines="35" dropStyle="combo" dx="16" fmlaLink="$AX$121" fmlaRange="Pflanzen!$C$5:$C$109" noThreeD="1" sel="1" val="64"/>
</file>

<file path=xl/ctrlProps/ctrlProp222.xml><?xml version="1.0" encoding="utf-8"?>
<formControlPr xmlns="http://schemas.microsoft.com/office/spreadsheetml/2009/9/main" objectType="Drop" dropLines="35" dropStyle="combo" dx="16" fmlaLink="$AX$122" fmlaRange="Pflanzen!$C$5:$C$109" noThreeD="1" sel="1" val="64"/>
</file>

<file path=xl/ctrlProps/ctrlProp223.xml><?xml version="1.0" encoding="utf-8"?>
<formControlPr xmlns="http://schemas.microsoft.com/office/spreadsheetml/2009/9/main" objectType="Drop" dropLines="35" dropStyle="combo" dx="16" fmlaLink="$AX$123" fmlaRange="Pflanzen!$C$5:$C$109" noThreeD="1" sel="1" val="64"/>
</file>

<file path=xl/ctrlProps/ctrlProp224.xml><?xml version="1.0" encoding="utf-8"?>
<formControlPr xmlns="http://schemas.microsoft.com/office/spreadsheetml/2009/9/main" objectType="Drop" dropLines="35" dropStyle="combo" dx="16" fmlaLink="$AX$124" fmlaRange="Pflanzen!$C$5:$C$109" noThreeD="1" sel="1" val="64"/>
</file>

<file path=xl/ctrlProps/ctrlProp225.xml><?xml version="1.0" encoding="utf-8"?>
<formControlPr xmlns="http://schemas.microsoft.com/office/spreadsheetml/2009/9/main" objectType="Drop" dropLines="35" dropStyle="combo" dx="16" fmlaLink="$AX$125" fmlaRange="Pflanzen!$C$5:$C$109" noThreeD="1" sel="1" val="64"/>
</file>

<file path=xl/ctrlProps/ctrlProp226.xml><?xml version="1.0" encoding="utf-8"?>
<formControlPr xmlns="http://schemas.microsoft.com/office/spreadsheetml/2009/9/main" objectType="Drop" dropLines="35" dropStyle="combo" dx="16" fmlaLink="$AX$126" fmlaRange="Pflanzen!$C$5:$C$109" noThreeD="1" sel="1" val="0"/>
</file>

<file path=xl/ctrlProps/ctrlProp227.xml><?xml version="1.0" encoding="utf-8"?>
<formControlPr xmlns="http://schemas.microsoft.com/office/spreadsheetml/2009/9/main" objectType="Drop" dropLines="35" dropStyle="combo" dx="16" fmlaLink="$AX$127" fmlaRange="Pflanzen!$C$5:$C$109" noThreeD="1" sel="1" val="64"/>
</file>

<file path=xl/ctrlProps/ctrlProp228.xml><?xml version="1.0" encoding="utf-8"?>
<formControlPr xmlns="http://schemas.microsoft.com/office/spreadsheetml/2009/9/main" objectType="Drop" dropLines="35" dropStyle="combo" dx="16" fmlaLink="$AX$128" fmlaRange="Pflanzen!$C$5:$C$109" noThreeD="1" sel="1" val="64"/>
</file>

<file path=xl/ctrlProps/ctrlProp229.xml><?xml version="1.0" encoding="utf-8"?>
<formControlPr xmlns="http://schemas.microsoft.com/office/spreadsheetml/2009/9/main" objectType="Drop" dropLines="35" dropStyle="combo" dx="16" fmlaLink="$AX$129" fmlaRange="Pflanzen!$C$5:$C$109" noThreeD="1" sel="1" val="0"/>
</file>

<file path=xl/ctrlProps/ctrlProp23.xml><?xml version="1.0" encoding="utf-8"?>
<formControlPr xmlns="http://schemas.microsoft.com/office/spreadsheetml/2009/9/main" objectType="Drop" dropStyle="combo" dx="16" fmlaLink="$BN$80" fmlaRange="Stroh!$B$2:$B$4" noThreeD="1" sel="1" val="0"/>
</file>

<file path=xl/ctrlProps/ctrlProp230.xml><?xml version="1.0" encoding="utf-8"?>
<formControlPr xmlns="http://schemas.microsoft.com/office/spreadsheetml/2009/9/main" objectType="Drop" dropLines="35" dropStyle="combo" dx="16" fmlaLink="$AX$130" fmlaRange="Pflanzen!$C$5:$C$109" noThreeD="1" sel="1" val="0"/>
</file>

<file path=xl/ctrlProps/ctrlProp231.xml><?xml version="1.0" encoding="utf-8"?>
<formControlPr xmlns="http://schemas.microsoft.com/office/spreadsheetml/2009/9/main" objectType="Drop" dropLines="35" dropStyle="combo" dx="16" fmlaLink="$BR$137" fmlaRange="Pflanzen!$A$5:$A$117" noThreeD="1" sel="1" val="0"/>
</file>

<file path=xl/ctrlProps/ctrlProp232.xml><?xml version="1.0" encoding="utf-8"?>
<formControlPr xmlns="http://schemas.microsoft.com/office/spreadsheetml/2009/9/main" objectType="Drop" dropLines="35" dropStyle="combo" dx="16" fmlaLink="$BR$138" fmlaRange="Pflanzen!$A$5:$A$117" noThreeD="1" sel="1" val="0"/>
</file>

<file path=xl/ctrlProps/ctrlProp233.xml><?xml version="1.0" encoding="utf-8"?>
<formControlPr xmlns="http://schemas.microsoft.com/office/spreadsheetml/2009/9/main" objectType="Drop" dropLines="35" dropStyle="combo" dx="16" fmlaLink="$BR$139" fmlaRange="Pflanzen!$A$5:$A$117" noThreeD="1" sel="1" val="0"/>
</file>

<file path=xl/ctrlProps/ctrlProp234.xml><?xml version="1.0" encoding="utf-8"?>
<formControlPr xmlns="http://schemas.microsoft.com/office/spreadsheetml/2009/9/main" objectType="Drop" dropLines="35" dropStyle="combo" dx="16" fmlaLink="$BR$140" fmlaRange="Pflanzen!$A$5:$A$117" noThreeD="1" sel="1" val="0"/>
</file>

<file path=xl/ctrlProps/ctrlProp235.xml><?xml version="1.0" encoding="utf-8"?>
<formControlPr xmlns="http://schemas.microsoft.com/office/spreadsheetml/2009/9/main" objectType="Drop" dropLines="35" dropStyle="combo" dx="16" fmlaLink="$BR$141" fmlaRange="Pflanzen!$A$5:$A$117" noThreeD="1" sel="1" val="0"/>
</file>

<file path=xl/ctrlProps/ctrlProp236.xml><?xml version="1.0" encoding="utf-8"?>
<formControlPr xmlns="http://schemas.microsoft.com/office/spreadsheetml/2009/9/main" objectType="Drop" dropLines="35" dropStyle="combo" dx="16" fmlaLink="$BR$142" fmlaRange="Pflanzen!$A$5:$A$117" noThreeD="1" sel="1" val="0"/>
</file>

<file path=xl/ctrlProps/ctrlProp237.xml><?xml version="1.0" encoding="utf-8"?>
<formControlPr xmlns="http://schemas.microsoft.com/office/spreadsheetml/2009/9/main" objectType="Drop" dropLines="35" dropStyle="combo" dx="16" fmlaLink="$BR$143" fmlaRange="Pflanzen!$A$5:$A$117" noThreeD="1" sel="1" val="63"/>
</file>

<file path=xl/ctrlProps/ctrlProp238.xml><?xml version="1.0" encoding="utf-8"?>
<formControlPr xmlns="http://schemas.microsoft.com/office/spreadsheetml/2009/9/main" objectType="Drop" dropLines="35" dropStyle="combo" dx="16" fmlaLink="$BR$144" fmlaRange="Pflanzen!$A$5:$A$117" noThreeD="1" sel="1" val="0"/>
</file>

<file path=xl/ctrlProps/ctrlProp239.xml><?xml version="1.0" encoding="utf-8"?>
<formControlPr xmlns="http://schemas.microsoft.com/office/spreadsheetml/2009/9/main" objectType="Drop" dropLines="35" dropStyle="combo" dx="16" fmlaLink="$BR$145" fmlaRange="Pflanzen!$A$5:$A$117" noThreeD="1" sel="1" val="64"/>
</file>

<file path=xl/ctrlProps/ctrlProp24.xml><?xml version="1.0" encoding="utf-8"?>
<formControlPr xmlns="http://schemas.microsoft.com/office/spreadsheetml/2009/9/main" objectType="Drop" dropStyle="combo" dx="16" fmlaLink="$BN$81" fmlaRange="Stroh!$B$2:$B$4" noThreeD="1" sel="1" val="0"/>
</file>

<file path=xl/ctrlProps/ctrlProp240.xml><?xml version="1.0" encoding="utf-8"?>
<formControlPr xmlns="http://schemas.microsoft.com/office/spreadsheetml/2009/9/main" objectType="Drop" dropLines="35" dropStyle="combo" dx="16" fmlaLink="$BR$146" fmlaRange="Pflanzen!$A$5:$A$117" noThreeD="1" sel="1" val="0"/>
</file>

<file path=xl/ctrlProps/ctrlProp241.xml><?xml version="1.0" encoding="utf-8"?>
<formControlPr xmlns="http://schemas.microsoft.com/office/spreadsheetml/2009/9/main" objectType="Drop" dropLines="35" dropStyle="combo" dx="16" fmlaLink="$BR$147" fmlaRange="Pflanzen!$A$5:$A$117" noThreeD="1" sel="1" val="0"/>
</file>

<file path=xl/ctrlProps/ctrlProp242.xml><?xml version="1.0" encoding="utf-8"?>
<formControlPr xmlns="http://schemas.microsoft.com/office/spreadsheetml/2009/9/main" objectType="Drop" dropLines="35" dropStyle="combo" dx="16" fmlaLink="$BR$148" fmlaRange="Pflanzen!$A$5:$A$117" noThreeD="1" sel="1" val="64"/>
</file>

<file path=xl/ctrlProps/ctrlProp243.xml><?xml version="1.0" encoding="utf-8"?>
<formControlPr xmlns="http://schemas.microsoft.com/office/spreadsheetml/2009/9/main" objectType="Drop" dropLines="35" dropStyle="combo" dx="16" fmlaLink="$BR$149" fmlaRange="Pflanzen!$A$5:$A$117" noThreeD="1" sel="1" val="64"/>
</file>

<file path=xl/ctrlProps/ctrlProp244.xml><?xml version="1.0" encoding="utf-8"?>
<formControlPr xmlns="http://schemas.microsoft.com/office/spreadsheetml/2009/9/main" objectType="Drop" dropLines="35" dropStyle="combo" dx="16" fmlaLink="$BR$150" fmlaRange="Pflanzen!$A$5:$A$117" noThreeD="1" sel="1" val="0"/>
</file>

<file path=xl/ctrlProps/ctrlProp245.xml><?xml version="1.0" encoding="utf-8"?>
<formControlPr xmlns="http://schemas.microsoft.com/office/spreadsheetml/2009/9/main" objectType="Drop" dropLines="35" dropStyle="combo" dx="16" fmlaLink="$BR$151" fmlaRange="Pflanzen!$A$5:$A$117" noThreeD="1" sel="1" val="63"/>
</file>

<file path=xl/ctrlProps/ctrlProp246.xml><?xml version="1.0" encoding="utf-8"?>
<formControlPr xmlns="http://schemas.microsoft.com/office/spreadsheetml/2009/9/main" objectType="Drop" dropLines="35" dropStyle="combo" dx="16" fmlaLink="$BR$152" fmlaRange="Pflanzen!$A$5:$A$117" noThreeD="1" sel="1" val="64"/>
</file>

<file path=xl/ctrlProps/ctrlProp247.xml><?xml version="1.0" encoding="utf-8"?>
<formControlPr xmlns="http://schemas.microsoft.com/office/spreadsheetml/2009/9/main" objectType="Drop" dropLines="35" dropStyle="combo" dx="16" fmlaLink="$BR$153" fmlaRange="Pflanzen!$A$5:$A$117" noThreeD="1" sel="1" val="0"/>
</file>

<file path=xl/ctrlProps/ctrlProp248.xml><?xml version="1.0" encoding="utf-8"?>
<formControlPr xmlns="http://schemas.microsoft.com/office/spreadsheetml/2009/9/main" objectType="Drop" dropLines="35" dropStyle="combo" dx="16" fmlaLink="$BR$154" fmlaRange="Pflanzen!$A$5:$A$117" noThreeD="1" sel="1" val="0"/>
</file>

<file path=xl/ctrlProps/ctrlProp249.xml><?xml version="1.0" encoding="utf-8"?>
<formControlPr xmlns="http://schemas.microsoft.com/office/spreadsheetml/2009/9/main" objectType="Drop" dropLines="35" dropStyle="combo" dx="16" fmlaLink="$AX$130" fmlaRange="Pflanzen!$C$5:$C$109" noThreeD="1" sel="1" val="0"/>
</file>

<file path=xl/ctrlProps/ctrlProp25.xml><?xml version="1.0" encoding="utf-8"?>
<formControlPr xmlns="http://schemas.microsoft.com/office/spreadsheetml/2009/9/main" objectType="Drop" dropStyle="combo" dx="16" fmlaLink="$BN$83" fmlaRange="Stroh!$B$2:$B$4" noThreeD="1" sel="1" val="0"/>
</file>

<file path=xl/ctrlProps/ctrlProp250.xml><?xml version="1.0" encoding="utf-8"?>
<formControlPr xmlns="http://schemas.microsoft.com/office/spreadsheetml/2009/9/main" objectType="Drop" dropLines="35" dropStyle="combo" dx="16" fmlaLink="$BR$155" fmlaRange="Pflanzen!$A$5:$A$117" noThreeD="1" sel="1" val="63"/>
</file>

<file path=xl/ctrlProps/ctrlProp251.xml><?xml version="1.0" encoding="utf-8"?>
<formControlPr xmlns="http://schemas.microsoft.com/office/spreadsheetml/2009/9/main" objectType="Drop" dropLines="35" dropStyle="combo" dx="22" fmlaLink="$BR$14" fmlaRange="Pflanzen!$C$5:$C$109" noThreeD="1" sel="1" val="0"/>
</file>

<file path=xl/ctrlProps/ctrlProp252.xml><?xml version="1.0" encoding="utf-8"?>
<formControlPr xmlns="http://schemas.microsoft.com/office/spreadsheetml/2009/9/main" objectType="Drop" dropLines="35" dropStyle="combo" dx="22" fmlaLink="$BR$15" fmlaRange="Pflanzen!$C$5:$C$109" noThreeD="1" sel="1" val="0"/>
</file>

<file path=xl/ctrlProps/ctrlProp253.xml><?xml version="1.0" encoding="utf-8"?>
<formControlPr xmlns="http://schemas.microsoft.com/office/spreadsheetml/2009/9/main" objectType="Drop" dropLines="35" dropStyle="combo" dx="22" fmlaLink="$BR$16" fmlaRange="Pflanzen!$C$5:$C$109" noThreeD="1" sel="1" val="0"/>
</file>

<file path=xl/ctrlProps/ctrlProp254.xml><?xml version="1.0" encoding="utf-8"?>
<formControlPr xmlns="http://schemas.microsoft.com/office/spreadsheetml/2009/9/main" objectType="Drop" dropLines="35" dropStyle="combo" dx="22" fmlaLink="$BR$17" fmlaRange="Pflanzen!$C$5:$C$109" noThreeD="1" sel="1" val="0"/>
</file>

<file path=xl/ctrlProps/ctrlProp255.xml><?xml version="1.0" encoding="utf-8"?>
<formControlPr xmlns="http://schemas.microsoft.com/office/spreadsheetml/2009/9/main" objectType="Drop" dropLines="35" dropStyle="combo" dx="22" fmlaLink="$BR$18" fmlaRange="Pflanzen!$C$5:$C$109" noThreeD="1" sel="1" val="0"/>
</file>

<file path=xl/ctrlProps/ctrlProp256.xml><?xml version="1.0" encoding="utf-8"?>
<formControlPr xmlns="http://schemas.microsoft.com/office/spreadsheetml/2009/9/main" objectType="Drop" dropLines="35" dropStyle="combo" dx="22" fmlaLink="$BR$19" fmlaRange="Pflanzen!$C$5:$C$109" noThreeD="1" sel="1" val="0"/>
</file>

<file path=xl/ctrlProps/ctrlProp257.xml><?xml version="1.0" encoding="utf-8"?>
<formControlPr xmlns="http://schemas.microsoft.com/office/spreadsheetml/2009/9/main" objectType="Drop" dropLines="35" dropStyle="combo" dx="22" fmlaLink="$BR$20" fmlaRange="Pflanzen!$C$5:$C$109" noThreeD="1" sel="1" val="0"/>
</file>

<file path=xl/ctrlProps/ctrlProp258.xml><?xml version="1.0" encoding="utf-8"?>
<formControlPr xmlns="http://schemas.microsoft.com/office/spreadsheetml/2009/9/main" objectType="Drop" dropLines="35" dropStyle="combo" dx="22" fmlaLink="$BR$21" fmlaRange="Pflanzen!$C$5:$C$109" noThreeD="1" sel="1" val="0"/>
</file>

<file path=xl/ctrlProps/ctrlProp259.xml><?xml version="1.0" encoding="utf-8"?>
<formControlPr xmlns="http://schemas.microsoft.com/office/spreadsheetml/2009/9/main" objectType="Drop" dropLines="35" dropStyle="combo" dx="22" fmlaLink="$BR$22" fmlaRange="Pflanzen!$C$5:$C$109" noThreeD="1" sel="1" val="0"/>
</file>

<file path=xl/ctrlProps/ctrlProp26.xml><?xml version="1.0" encoding="utf-8"?>
<formControlPr xmlns="http://schemas.microsoft.com/office/spreadsheetml/2009/9/main" objectType="Drop" dropStyle="combo" dx="16" fmlaLink="$BN$86" fmlaRange="Stroh!$B$2:$B$4" noThreeD="1" sel="1" val="0"/>
</file>

<file path=xl/ctrlProps/ctrlProp260.xml><?xml version="1.0" encoding="utf-8"?>
<formControlPr xmlns="http://schemas.microsoft.com/office/spreadsheetml/2009/9/main" objectType="Drop" dropLines="35" dropStyle="combo" dx="22" fmlaLink="$BR$23" fmlaRange="Pflanzen!$C$5:$C$109" noThreeD="1" sel="1" val="0"/>
</file>

<file path=xl/ctrlProps/ctrlProp261.xml><?xml version="1.0" encoding="utf-8"?>
<formControlPr xmlns="http://schemas.microsoft.com/office/spreadsheetml/2009/9/main" objectType="Drop" dropLines="35" dropStyle="combo" dx="22" fmlaLink="$BR$24" fmlaRange="Pflanzen!$C$5:$C$109" noThreeD="1" sel="1" val="0"/>
</file>

<file path=xl/ctrlProps/ctrlProp262.xml><?xml version="1.0" encoding="utf-8"?>
<formControlPr xmlns="http://schemas.microsoft.com/office/spreadsheetml/2009/9/main" objectType="Drop" dropLines="35" dropStyle="combo" dx="22" fmlaLink="$BR$25" fmlaRange="Pflanzen!$C$5:$C$109" noThreeD="1" sel="1" val="0"/>
</file>

<file path=xl/ctrlProps/ctrlProp263.xml><?xml version="1.0" encoding="utf-8"?>
<formControlPr xmlns="http://schemas.microsoft.com/office/spreadsheetml/2009/9/main" objectType="Drop" dropLines="35" dropStyle="combo" dx="22" fmlaLink="$BR$26" fmlaRange="Pflanzen!$C$5:$C$109" noThreeD="1" sel="1" val="0"/>
</file>

<file path=xl/ctrlProps/ctrlProp264.xml><?xml version="1.0" encoding="utf-8"?>
<formControlPr xmlns="http://schemas.microsoft.com/office/spreadsheetml/2009/9/main" objectType="Drop" dropLines="35" dropStyle="combo" dx="22" fmlaLink="$BR$27" fmlaRange="Pflanzen!$C$5:$C$109" noThreeD="1" sel="1" val="0"/>
</file>

<file path=xl/ctrlProps/ctrlProp265.xml><?xml version="1.0" encoding="utf-8"?>
<formControlPr xmlns="http://schemas.microsoft.com/office/spreadsheetml/2009/9/main" objectType="Drop" dropLines="35" dropStyle="combo" dx="22" fmlaLink="$BR$28" fmlaRange="Pflanzen!$C$5:$C$109" noThreeD="1" sel="1" val="0"/>
</file>

<file path=xl/ctrlProps/ctrlProp266.xml><?xml version="1.0" encoding="utf-8"?>
<formControlPr xmlns="http://schemas.microsoft.com/office/spreadsheetml/2009/9/main" objectType="Drop" dropLines="35" dropStyle="combo" dx="22" fmlaLink="$BR$29" fmlaRange="Pflanzen!$C$5:$C$109" noThreeD="1" sel="1" val="0"/>
</file>

<file path=xl/ctrlProps/ctrlProp267.xml><?xml version="1.0" encoding="utf-8"?>
<formControlPr xmlns="http://schemas.microsoft.com/office/spreadsheetml/2009/9/main" objectType="Drop" dropLines="35" dropStyle="combo" dx="22" fmlaLink="$BR$30" fmlaRange="Pflanzen!$C$5:$C$109" noThreeD="1" sel="1" val="0"/>
</file>

<file path=xl/ctrlProps/ctrlProp268.xml><?xml version="1.0" encoding="utf-8"?>
<formControlPr xmlns="http://schemas.microsoft.com/office/spreadsheetml/2009/9/main" objectType="Drop" dropLines="35" dropStyle="combo" dx="22" fmlaLink="$BQ$44" fmlaRange="Pflanzen!$A$5:$A$117" noThreeD="1" sel="1" val="0"/>
</file>

<file path=xl/ctrlProps/ctrlProp269.xml><?xml version="1.0" encoding="utf-8"?>
<formControlPr xmlns="http://schemas.microsoft.com/office/spreadsheetml/2009/9/main" objectType="Drop" dropLines="35" dropStyle="combo" dx="22" fmlaLink="$BQ$45" fmlaRange="Pflanzen!$A$5:$A$117" noThreeD="1" sel="1" val="0"/>
</file>

<file path=xl/ctrlProps/ctrlProp27.xml><?xml version="1.0" encoding="utf-8"?>
<formControlPr xmlns="http://schemas.microsoft.com/office/spreadsheetml/2009/9/main" objectType="Drop" dropStyle="combo" dx="16" fmlaLink="$BN$87" fmlaRange="Stroh!$B$2:$B$4" noThreeD="1" sel="1" val="0"/>
</file>

<file path=xl/ctrlProps/ctrlProp270.xml><?xml version="1.0" encoding="utf-8"?>
<formControlPr xmlns="http://schemas.microsoft.com/office/spreadsheetml/2009/9/main" objectType="Drop" dropLines="35" dropStyle="combo" dx="22" fmlaLink="$BQ$46" fmlaRange="Pflanzen!$A$5:$A$117" noThreeD="1" sel="1" val="76"/>
</file>

<file path=xl/ctrlProps/ctrlProp271.xml><?xml version="1.0" encoding="utf-8"?>
<formControlPr xmlns="http://schemas.microsoft.com/office/spreadsheetml/2009/9/main" objectType="Drop" dropLines="35" dropStyle="combo" dx="22" fmlaLink="$BQ$47" fmlaRange="Pflanzen!$A$5:$A$117" noThreeD="1" sel="1" val="0"/>
</file>

<file path=xl/ctrlProps/ctrlProp272.xml><?xml version="1.0" encoding="utf-8"?>
<formControlPr xmlns="http://schemas.microsoft.com/office/spreadsheetml/2009/9/main" objectType="Drop" dropLines="35" dropStyle="combo" dx="22" fmlaLink="$BQ$48" fmlaRange="Pflanzen!$A$5:$A$117" noThreeD="1" sel="1" val="0"/>
</file>

<file path=xl/ctrlProps/ctrlProp273.xml><?xml version="1.0" encoding="utf-8"?>
<formControlPr xmlns="http://schemas.microsoft.com/office/spreadsheetml/2009/9/main" objectType="Drop" dropLines="35" dropStyle="combo" dx="22" fmlaLink="$BQ$49" fmlaRange="Pflanzen!$A$5:$A$117" noThreeD="1" sel="1" val="37"/>
</file>

<file path=xl/ctrlProps/ctrlProp274.xml><?xml version="1.0" encoding="utf-8"?>
<formControlPr xmlns="http://schemas.microsoft.com/office/spreadsheetml/2009/9/main" objectType="Drop" dropLines="35" dropStyle="combo" dx="22" fmlaLink="$BQ$50" fmlaRange="Pflanzen!$A$5:$A$117" noThreeD="1" sel="1" val="17"/>
</file>

<file path=xl/ctrlProps/ctrlProp275.xml><?xml version="1.0" encoding="utf-8"?>
<formControlPr xmlns="http://schemas.microsoft.com/office/spreadsheetml/2009/9/main" objectType="Drop" dropLines="35" dropStyle="combo" dx="22" fmlaLink="$BQ$51" fmlaRange="Pflanzen!$A$5:$A$117" noThreeD="1" sel="1" val="4"/>
</file>

<file path=xl/ctrlProps/ctrlProp276.xml><?xml version="1.0" encoding="utf-8"?>
<formControlPr xmlns="http://schemas.microsoft.com/office/spreadsheetml/2009/9/main" objectType="Drop" dropLines="35" dropStyle="combo" dx="22" fmlaLink="$BQ$52" fmlaRange="Pflanzen!$A$5:$A$117" noThreeD="1" sel="1" val="0"/>
</file>

<file path=xl/ctrlProps/ctrlProp277.xml><?xml version="1.0" encoding="utf-8"?>
<formControlPr xmlns="http://schemas.microsoft.com/office/spreadsheetml/2009/9/main" objectType="Drop" dropLines="35" dropStyle="combo" dx="22" fmlaLink="$BQ$61" fmlaRange="Pflanzen!$A$5:$A$117" noThreeD="1" sel="1" val="27"/>
</file>

<file path=xl/ctrlProps/ctrlProp278.xml><?xml version="1.0" encoding="utf-8"?>
<formControlPr xmlns="http://schemas.microsoft.com/office/spreadsheetml/2009/9/main" objectType="Drop" dropLines="35" dropStyle="combo" dx="22" fmlaLink="$BQ$53" fmlaRange="Pflanzen!$A$5:$A$117" noThreeD="1" sel="1" val="11"/>
</file>

<file path=xl/ctrlProps/ctrlProp279.xml><?xml version="1.0" encoding="utf-8"?>
<formControlPr xmlns="http://schemas.microsoft.com/office/spreadsheetml/2009/9/main" objectType="Drop" dropLines="35" dropStyle="combo" dx="22" fmlaLink="$BQ$54" fmlaRange="Pflanzen!$A$5:$A$117" noThreeD="1" sel="1" val="0"/>
</file>

<file path=xl/ctrlProps/ctrlProp28.xml><?xml version="1.0" encoding="utf-8"?>
<formControlPr xmlns="http://schemas.microsoft.com/office/spreadsheetml/2009/9/main" objectType="Drop" dropLines="3" dropStyle="combo" dx="16" fmlaLink="$X$266" fmlaRange="$U$265:$U$267" noThreeD="1" sel="1" val="0"/>
</file>

<file path=xl/ctrlProps/ctrlProp280.xml><?xml version="1.0" encoding="utf-8"?>
<formControlPr xmlns="http://schemas.microsoft.com/office/spreadsheetml/2009/9/main" objectType="Drop" dropLines="35" dropStyle="combo" dx="22" fmlaLink="$BQ$55" fmlaRange="Pflanzen!$A$5:$A$117" noThreeD="1" sel="1" val="0"/>
</file>

<file path=xl/ctrlProps/ctrlProp281.xml><?xml version="1.0" encoding="utf-8"?>
<formControlPr xmlns="http://schemas.microsoft.com/office/spreadsheetml/2009/9/main" objectType="Drop" dropLines="35" dropStyle="combo" dx="22" fmlaLink="$BQ$56" fmlaRange="Pflanzen!$A$5:$A$117" noThreeD="1" sel="1" val="36"/>
</file>

<file path=xl/ctrlProps/ctrlProp282.xml><?xml version="1.0" encoding="utf-8"?>
<formControlPr xmlns="http://schemas.microsoft.com/office/spreadsheetml/2009/9/main" objectType="Drop" dropLines="35" dropStyle="combo" dx="22" fmlaLink="$BQ$57" fmlaRange="Pflanzen!$A$5:$A$117" noThreeD="1" sel="1" val="0"/>
</file>

<file path=xl/ctrlProps/ctrlProp283.xml><?xml version="1.0" encoding="utf-8"?>
<formControlPr xmlns="http://schemas.microsoft.com/office/spreadsheetml/2009/9/main" objectType="Drop" dropLines="35" dropStyle="combo" dx="22" fmlaLink="$BQ$58" fmlaRange="Pflanzen!$A$5:$A$117" noThreeD="1" sel="1" val="0"/>
</file>

<file path=xl/ctrlProps/ctrlProp284.xml><?xml version="1.0" encoding="utf-8"?>
<formControlPr xmlns="http://schemas.microsoft.com/office/spreadsheetml/2009/9/main" objectType="Drop" dropLines="35" dropStyle="combo" dx="22" fmlaLink="$BQ$59" fmlaRange="Pflanzen!$A$5:$A$117" noThreeD="1" sel="1" val="31"/>
</file>

<file path=xl/ctrlProps/ctrlProp285.xml><?xml version="1.0" encoding="utf-8"?>
<formControlPr xmlns="http://schemas.microsoft.com/office/spreadsheetml/2009/9/main" objectType="Drop" dropLines="35" dropStyle="combo" dx="22" fmlaLink="$BQ$60" fmlaRange="Pflanzen!$A$5:$A$117" noThreeD="1" sel="1" val="38"/>
</file>

<file path=xl/ctrlProps/ctrlProp286.xml><?xml version="1.0" encoding="utf-8"?>
<formControlPr xmlns="http://schemas.microsoft.com/office/spreadsheetml/2009/9/main" objectType="Drop" dropLines="35" dropStyle="combo" dx="22" fmlaLink="$BR$32" fmlaRange="Pflanzen!$C$5:$C$109" noThreeD="1" sel="1" val="0"/>
</file>

<file path=xl/ctrlProps/ctrlProp287.xml><?xml version="1.0" encoding="utf-8"?>
<formControlPr xmlns="http://schemas.microsoft.com/office/spreadsheetml/2009/9/main" objectType="Drop" dropLines="35" dropStyle="combo" dx="22" fmlaLink="$BR$33" fmlaRange="Pflanzen!$C$5:$C$109" noThreeD="1" sel="1" val="0"/>
</file>

<file path=xl/ctrlProps/ctrlProp288.xml><?xml version="1.0" encoding="utf-8"?>
<formControlPr xmlns="http://schemas.microsoft.com/office/spreadsheetml/2009/9/main" objectType="Drop" dropLines="35" dropStyle="combo" dx="22" fmlaLink="$BR$34" fmlaRange="Pflanzen!$C$5:$C$109" noThreeD="1" sel="1" val="0"/>
</file>

<file path=xl/ctrlProps/ctrlProp289.xml><?xml version="1.0" encoding="utf-8"?>
<formControlPr xmlns="http://schemas.microsoft.com/office/spreadsheetml/2009/9/main" objectType="Drop" dropLines="35" dropStyle="combo" dx="22" fmlaLink="$BR$35" fmlaRange="Pflanzen!$C$5:$C$109" noThreeD="1" sel="1" val="0"/>
</file>

<file path=xl/ctrlProps/ctrlProp29.xml><?xml version="1.0" encoding="utf-8"?>
<formControlPr xmlns="http://schemas.microsoft.com/office/spreadsheetml/2009/9/main" objectType="Drop" dropLines="3" dropStyle="combo" dx="16" fmlaLink="$X$267" fmlaRange="$U$265:$U$267" noThreeD="1" sel="1" val="0"/>
</file>

<file path=xl/ctrlProps/ctrlProp290.xml><?xml version="1.0" encoding="utf-8"?>
<formControlPr xmlns="http://schemas.microsoft.com/office/spreadsheetml/2009/9/main" objectType="Drop" dropLines="35" dropStyle="combo" dx="22" fmlaLink="$BR$36" fmlaRange="Pflanzen!$C$5:$C$109" noThreeD="1" sel="1" val="0"/>
</file>

<file path=xl/ctrlProps/ctrlProp291.xml><?xml version="1.0" encoding="utf-8"?>
<formControlPr xmlns="http://schemas.microsoft.com/office/spreadsheetml/2009/9/main" objectType="Drop" dropLines="35" dropStyle="combo" dx="22" fmlaLink="$BQ$63" fmlaRange="Pflanzen!$A$5:$A$117" noThreeD="1" sel="1" val="0"/>
</file>

<file path=xl/ctrlProps/ctrlProp292.xml><?xml version="1.0" encoding="utf-8"?>
<formControlPr xmlns="http://schemas.microsoft.com/office/spreadsheetml/2009/9/main" objectType="Drop" dropLines="35" dropStyle="combo" dx="22" fmlaLink="$BQ$64" fmlaRange="Pflanzen!$A$5:$A$117" noThreeD="1" sel="1" val="4"/>
</file>

<file path=xl/ctrlProps/ctrlProp293.xml><?xml version="1.0" encoding="utf-8"?>
<formControlPr xmlns="http://schemas.microsoft.com/office/spreadsheetml/2009/9/main" objectType="Drop" dropLines="35" dropStyle="combo" dx="22" fmlaLink="$BQ$65" fmlaRange="Pflanzen!$A$5:$A$117" noThreeD="1" sel="1" val="0"/>
</file>

<file path=xl/ctrlProps/ctrlProp294.xml><?xml version="1.0" encoding="utf-8"?>
<formControlPr xmlns="http://schemas.microsoft.com/office/spreadsheetml/2009/9/main" objectType="Drop" dropLines="35" dropStyle="combo" dx="22" fmlaLink="$BQ$66" fmlaRange="Pflanzen!$A$5:$A$117" noThreeD="1" sel="1" val="0"/>
</file>

<file path=xl/ctrlProps/ctrlProp295.xml><?xml version="1.0" encoding="utf-8"?>
<formControlPr xmlns="http://schemas.microsoft.com/office/spreadsheetml/2009/9/main" objectType="Drop" dropLines="35" dropStyle="combo" dx="22" fmlaLink="$BQ$68" fmlaRange="Pflanzen!$A$5:$A$117" noThreeD="1" sel="1" val="0"/>
</file>

<file path=xl/ctrlProps/ctrlProp296.xml><?xml version="1.0" encoding="utf-8"?>
<formControlPr xmlns="http://schemas.microsoft.com/office/spreadsheetml/2009/9/main" objectType="Drop" dropLines="35" dropStyle="combo" dx="22" fmlaLink="$BQ$67" fmlaRange="Pflanzen!$A$5:$A$117" noThreeD="1" sel="1" val="0"/>
</file>

<file path=xl/ctrlProps/ctrlProp297.xml><?xml version="1.0" encoding="utf-8"?>
<formControlPr xmlns="http://schemas.microsoft.com/office/spreadsheetml/2009/9/main" objectType="Drop" dropStyle="combo" dx="22" fmlaLink="$BQ$98" fmlaRange="Tierprodukte!$B$35:$B$38" noThreeD="1" sel="3" val="0"/>
</file>

<file path=xl/ctrlProps/ctrlProp298.xml><?xml version="1.0" encoding="utf-8"?>
<formControlPr xmlns="http://schemas.microsoft.com/office/spreadsheetml/2009/9/main" objectType="Drop" dropStyle="combo" dx="22" fmlaLink="$BQ$102" fmlaRange="Tierprodukte!$B$51:$B$52" noThreeD="1" sel="1" val="0"/>
</file>

<file path=xl/ctrlProps/ctrlProp299.xml><?xml version="1.0" encoding="utf-8"?>
<formControlPr xmlns="http://schemas.microsoft.com/office/spreadsheetml/2009/9/main" objectType="Drop" dropStyle="combo" dx="22" fmlaLink="$BQ$103" fmlaRange="Tierprodukte!$B$59:$B$60" noThreeD="1" sel="1" val="0"/>
</file>

<file path=xl/ctrlProps/ctrlProp3.xml><?xml version="1.0" encoding="utf-8"?>
<formControlPr xmlns="http://schemas.microsoft.com/office/spreadsheetml/2009/9/main" objectType="Drop" dropLines="15" dropStyle="combo" dx="16" fmlaLink="$BM$71" fmlaRange="Tiere!$B$30:$B$85" noThreeD="1" sel="1" val="0"/>
</file>

<file path=xl/ctrlProps/ctrlProp30.xml><?xml version="1.0" encoding="utf-8"?>
<formControlPr xmlns="http://schemas.microsoft.com/office/spreadsheetml/2009/9/main" objectType="Drop" dropLines="3" dropStyle="combo" dx="16" fmlaLink="$X$268" fmlaRange="$U$265:$U$267" noThreeD="1" sel="1" val="0"/>
</file>

<file path=xl/ctrlProps/ctrlProp300.xml><?xml version="1.0" encoding="utf-8"?>
<formControlPr xmlns="http://schemas.microsoft.com/office/spreadsheetml/2009/9/main" objectType="Drop" dropLines="14" dropStyle="combo" dx="22" fmlaLink="$BQ$99" fmlaRange="Tierprodukte!$B$7:$B$19" noThreeD="1" sel="1" val="0"/>
</file>

<file path=xl/ctrlProps/ctrlProp301.xml><?xml version="1.0" encoding="utf-8"?>
<formControlPr xmlns="http://schemas.microsoft.com/office/spreadsheetml/2009/9/main" objectType="Drop" dropLines="14" dropStyle="combo" dx="22" fmlaLink="$BQ$101" fmlaRange="Tierprodukte!$B$7:$B$19" noThreeD="1" sel="1" val="0"/>
</file>

<file path=xl/ctrlProps/ctrlProp302.xml><?xml version="1.0" encoding="utf-8"?>
<formControlPr xmlns="http://schemas.microsoft.com/office/spreadsheetml/2009/9/main" objectType="Drop" dropLines="14" dropStyle="combo" dx="22" fmlaLink="$BQ$100" fmlaRange="Tierprodukte!$B$7:$B$19" noThreeD="1" sel="1" val="0"/>
</file>

<file path=xl/ctrlProps/ctrlProp303.xml><?xml version="1.0" encoding="utf-8"?>
<formControlPr xmlns="http://schemas.microsoft.com/office/spreadsheetml/2009/9/main" objectType="Drop" dropLines="35" dropStyle="combo" dx="22" fmlaLink="$BR$31" fmlaRange="Pflanzen!$C$5:$C$109" noThreeD="1" sel="1" val="0"/>
</file>

<file path=xl/ctrlProps/ctrlProp304.xml><?xml version="1.0" encoding="utf-8"?>
<formControlPr xmlns="http://schemas.microsoft.com/office/spreadsheetml/2009/9/main" objectType="Drop" dropLines="35" dropStyle="combo" dx="22" fmlaLink="$BQ$62" fmlaRange="Pflanzen!$A$5:$A$117" noThreeD="1" sel="1" val="27"/>
</file>

<file path=xl/ctrlProps/ctrlProp305.xml><?xml version="1.0" encoding="utf-8"?>
<formControlPr xmlns="http://schemas.microsoft.com/office/spreadsheetml/2009/9/main" objectType="Drop" dropLines="35" dropStyle="combo" dx="22" fmlaLink="$BR$75" fmlaRange="Pflanzen!$C$122:$C$160" noThreeD="1" sel="1" val="0"/>
</file>

<file path=xl/ctrlProps/ctrlProp306.xml><?xml version="1.0" encoding="utf-8"?>
<formControlPr xmlns="http://schemas.microsoft.com/office/spreadsheetml/2009/9/main" objectType="Drop" dropLines="35" dropStyle="combo" dx="22" fmlaLink="$BR$76" fmlaRange="Pflanzen!$C$122:$C$160" noThreeD="1" sel="1" val="0"/>
</file>

<file path=xl/ctrlProps/ctrlProp307.xml><?xml version="1.0" encoding="utf-8"?>
<formControlPr xmlns="http://schemas.microsoft.com/office/spreadsheetml/2009/9/main" objectType="Drop" dropLines="35" dropStyle="combo" dx="22" fmlaLink="$BR$77" fmlaRange="Pflanzen!$C$122:$C$160" noThreeD="1" sel="1" val="0"/>
</file>

<file path=xl/ctrlProps/ctrlProp308.xml><?xml version="1.0" encoding="utf-8"?>
<formControlPr xmlns="http://schemas.microsoft.com/office/spreadsheetml/2009/9/main" objectType="Drop" dropLines="35" dropStyle="combo" dx="22" fmlaLink="$BR$78" fmlaRange="Pflanzen!$C$122:$C$160" noThreeD="1" sel="1" val="0"/>
</file>

<file path=xl/ctrlProps/ctrlProp309.xml><?xml version="1.0" encoding="utf-8"?>
<formControlPr xmlns="http://schemas.microsoft.com/office/spreadsheetml/2009/9/main" objectType="Drop" dropLines="35" dropStyle="combo" dx="22" fmlaLink="$BR$79" fmlaRange="Pflanzen!$C$122:$C$160" noThreeD="1" sel="1" val="0"/>
</file>

<file path=xl/ctrlProps/ctrlProp31.xml><?xml version="1.0" encoding="utf-8"?>
<formControlPr xmlns="http://schemas.microsoft.com/office/spreadsheetml/2009/9/main" objectType="Drop" dropLines="3" dropStyle="combo" dx="16" fmlaLink="$X$269" fmlaRange="$U$265:$U$267" noThreeD="1" sel="1" val="0"/>
</file>

<file path=xl/ctrlProps/ctrlProp310.xml><?xml version="1.0" encoding="utf-8"?>
<formControlPr xmlns="http://schemas.microsoft.com/office/spreadsheetml/2009/9/main" objectType="Drop" dropStyle="combo" dx="22" fmlaLink="BT99" fmlaRange="Tierprodukte!$H$23:$H$24" noThreeD="1" sel="1" val="0"/>
</file>

<file path=xl/ctrlProps/ctrlProp311.xml><?xml version="1.0" encoding="utf-8"?>
<formControlPr xmlns="http://schemas.microsoft.com/office/spreadsheetml/2009/9/main" objectType="Drop" dropStyle="combo" dx="22" fmlaLink="BT101" fmlaRange="Tierprodukte!$H$23:$H$24" noThreeD="1" sel="1" val="0"/>
</file>

<file path=xl/ctrlProps/ctrlProp312.xml><?xml version="1.0" encoding="utf-8"?>
<formControlPr xmlns="http://schemas.microsoft.com/office/spreadsheetml/2009/9/main" objectType="Drop" dropStyle="combo" dx="22" fmlaLink="BT100" fmlaRange="Tierprodukte!$H$23:$H$24" noThreeD="1" sel="1" val="0"/>
</file>

<file path=xl/ctrlProps/ctrlProp313.xml><?xml version="1.0" encoding="utf-8"?>
<formControlPr xmlns="http://schemas.microsoft.com/office/spreadsheetml/2009/9/main" objectType="CheckBox" fmlaLink="$BT$14" lockText="1" noThreeD="1"/>
</file>

<file path=xl/ctrlProps/ctrlProp314.xml><?xml version="1.0" encoding="utf-8"?>
<formControlPr xmlns="http://schemas.microsoft.com/office/spreadsheetml/2009/9/main" objectType="CheckBox" fmlaLink="$BT$15" lockText="1" noThreeD="1"/>
</file>

<file path=xl/ctrlProps/ctrlProp315.xml><?xml version="1.0" encoding="utf-8"?>
<formControlPr xmlns="http://schemas.microsoft.com/office/spreadsheetml/2009/9/main" objectType="CheckBox" fmlaLink="$BT$16" lockText="1" noThreeD="1"/>
</file>

<file path=xl/ctrlProps/ctrlProp316.xml><?xml version="1.0" encoding="utf-8"?>
<formControlPr xmlns="http://schemas.microsoft.com/office/spreadsheetml/2009/9/main" objectType="CheckBox" fmlaLink="$BT$18" lockText="1" noThreeD="1"/>
</file>

<file path=xl/ctrlProps/ctrlProp317.xml><?xml version="1.0" encoding="utf-8"?>
<formControlPr xmlns="http://schemas.microsoft.com/office/spreadsheetml/2009/9/main" objectType="CheckBox" fmlaLink="$BT$19" lockText="1" noThreeD="1"/>
</file>

<file path=xl/ctrlProps/ctrlProp318.xml><?xml version="1.0" encoding="utf-8"?>
<formControlPr xmlns="http://schemas.microsoft.com/office/spreadsheetml/2009/9/main" objectType="CheckBox" fmlaLink="$BT$20" lockText="1" noThreeD="1"/>
</file>

<file path=xl/ctrlProps/ctrlProp319.xml><?xml version="1.0" encoding="utf-8"?>
<formControlPr xmlns="http://schemas.microsoft.com/office/spreadsheetml/2009/9/main" objectType="CheckBox" fmlaLink="$BT$21" lockText="1" noThreeD="1"/>
</file>

<file path=xl/ctrlProps/ctrlProp32.xml><?xml version="1.0" encoding="utf-8"?>
<formControlPr xmlns="http://schemas.microsoft.com/office/spreadsheetml/2009/9/main" objectType="Drop" dropLines="3" dropStyle="combo" dx="16" fmlaLink="$X$277" fmlaRange="$U$277:$U$279" noThreeD="1" sel="3" val="0"/>
</file>

<file path=xl/ctrlProps/ctrlProp320.xml><?xml version="1.0" encoding="utf-8"?>
<formControlPr xmlns="http://schemas.microsoft.com/office/spreadsheetml/2009/9/main" objectType="CheckBox" fmlaLink="$BT$22" lockText="1" noThreeD="1"/>
</file>

<file path=xl/ctrlProps/ctrlProp321.xml><?xml version="1.0" encoding="utf-8"?>
<formControlPr xmlns="http://schemas.microsoft.com/office/spreadsheetml/2009/9/main" objectType="CheckBox" fmlaLink="$BT$23" lockText="1" noThreeD="1"/>
</file>

<file path=xl/ctrlProps/ctrlProp322.xml><?xml version="1.0" encoding="utf-8"?>
<formControlPr xmlns="http://schemas.microsoft.com/office/spreadsheetml/2009/9/main" objectType="CheckBox" fmlaLink="$BT$24" lockText="1" noThreeD="1"/>
</file>

<file path=xl/ctrlProps/ctrlProp323.xml><?xml version="1.0" encoding="utf-8"?>
<formControlPr xmlns="http://schemas.microsoft.com/office/spreadsheetml/2009/9/main" objectType="CheckBox" fmlaLink="$BT$25" lockText="1" noThreeD="1"/>
</file>

<file path=xl/ctrlProps/ctrlProp324.xml><?xml version="1.0" encoding="utf-8"?>
<formControlPr xmlns="http://schemas.microsoft.com/office/spreadsheetml/2009/9/main" objectType="CheckBox" fmlaLink="$BT$26" lockText="1" noThreeD="1"/>
</file>

<file path=xl/ctrlProps/ctrlProp325.xml><?xml version="1.0" encoding="utf-8"?>
<formControlPr xmlns="http://schemas.microsoft.com/office/spreadsheetml/2009/9/main" objectType="CheckBox" fmlaLink="$BT$27" lockText="1" noThreeD="1"/>
</file>

<file path=xl/ctrlProps/ctrlProp326.xml><?xml version="1.0" encoding="utf-8"?>
<formControlPr xmlns="http://schemas.microsoft.com/office/spreadsheetml/2009/9/main" objectType="CheckBox" fmlaLink="$BT$28" lockText="1" noThreeD="1"/>
</file>

<file path=xl/ctrlProps/ctrlProp327.xml><?xml version="1.0" encoding="utf-8"?>
<formControlPr xmlns="http://schemas.microsoft.com/office/spreadsheetml/2009/9/main" objectType="CheckBox" fmlaLink="$BT$29" lockText="1" noThreeD="1"/>
</file>

<file path=xl/ctrlProps/ctrlProp328.xml><?xml version="1.0" encoding="utf-8"?>
<formControlPr xmlns="http://schemas.microsoft.com/office/spreadsheetml/2009/9/main" objectType="CheckBox" fmlaLink="$BT$30" lockText="1" noThreeD="1"/>
</file>

<file path=xl/ctrlProps/ctrlProp329.xml><?xml version="1.0" encoding="utf-8"?>
<formControlPr xmlns="http://schemas.microsoft.com/office/spreadsheetml/2009/9/main" objectType="CheckBox" fmlaLink="$BT$31" lockText="1" noThreeD="1"/>
</file>

<file path=xl/ctrlProps/ctrlProp33.xml><?xml version="1.0" encoding="utf-8"?>
<formControlPr xmlns="http://schemas.microsoft.com/office/spreadsheetml/2009/9/main" objectType="Drop" dropLines="3" dropStyle="combo" dx="16" fmlaLink="$X$278" fmlaRange="$U$277:$U$279" noThreeD="1" sel="3" val="0"/>
</file>

<file path=xl/ctrlProps/ctrlProp330.xml><?xml version="1.0" encoding="utf-8"?>
<formControlPr xmlns="http://schemas.microsoft.com/office/spreadsheetml/2009/9/main" objectType="CheckBox" fmlaLink="$BT$32" lockText="1" noThreeD="1"/>
</file>

<file path=xl/ctrlProps/ctrlProp331.xml><?xml version="1.0" encoding="utf-8"?>
<formControlPr xmlns="http://schemas.microsoft.com/office/spreadsheetml/2009/9/main" objectType="CheckBox" fmlaLink="$BT$33" lockText="1" noThreeD="1"/>
</file>

<file path=xl/ctrlProps/ctrlProp332.xml><?xml version="1.0" encoding="utf-8"?>
<formControlPr xmlns="http://schemas.microsoft.com/office/spreadsheetml/2009/9/main" objectType="CheckBox" fmlaLink="$BT$34" lockText="1" noThreeD="1"/>
</file>

<file path=xl/ctrlProps/ctrlProp333.xml><?xml version="1.0" encoding="utf-8"?>
<formControlPr xmlns="http://schemas.microsoft.com/office/spreadsheetml/2009/9/main" objectType="CheckBox" fmlaLink="$BT$35" lockText="1" noThreeD="1"/>
</file>

<file path=xl/ctrlProps/ctrlProp334.xml><?xml version="1.0" encoding="utf-8"?>
<formControlPr xmlns="http://schemas.microsoft.com/office/spreadsheetml/2009/9/main" objectType="CheckBox" fmlaLink="$BT$36" lockText="1" noThreeD="1"/>
</file>

<file path=xl/ctrlProps/ctrlProp335.xml><?xml version="1.0" encoding="utf-8"?>
<formControlPr xmlns="http://schemas.microsoft.com/office/spreadsheetml/2009/9/main" objectType="CheckBox" fmlaLink="$BT$17" lockText="1" noThreeD="1"/>
</file>

<file path=xl/ctrlProps/ctrlProp336.xml><?xml version="1.0" encoding="utf-8"?>
<formControlPr xmlns="http://schemas.microsoft.com/office/spreadsheetml/2009/9/main" objectType="CheckBox" fmlaLink="$BT$44" lockText="1" noThreeD="1"/>
</file>

<file path=xl/ctrlProps/ctrlProp337.xml><?xml version="1.0" encoding="utf-8"?>
<formControlPr xmlns="http://schemas.microsoft.com/office/spreadsheetml/2009/9/main" objectType="CheckBox" fmlaLink="$BT$45" lockText="1" noThreeD="1"/>
</file>

<file path=xl/ctrlProps/ctrlProp338.xml><?xml version="1.0" encoding="utf-8"?>
<formControlPr xmlns="http://schemas.microsoft.com/office/spreadsheetml/2009/9/main" objectType="CheckBox" fmlaLink="$BT$46" lockText="1" noThreeD="1"/>
</file>

<file path=xl/ctrlProps/ctrlProp339.xml><?xml version="1.0" encoding="utf-8"?>
<formControlPr xmlns="http://schemas.microsoft.com/office/spreadsheetml/2009/9/main" objectType="CheckBox" fmlaLink="$BT$47" lockText="1" noThreeD="1"/>
</file>

<file path=xl/ctrlProps/ctrlProp34.xml><?xml version="1.0" encoding="utf-8"?>
<formControlPr xmlns="http://schemas.microsoft.com/office/spreadsheetml/2009/9/main" objectType="Drop" dropLines="3" dropStyle="combo" dx="16" fmlaLink="$X$279" fmlaRange="$U$277:$U$279" noThreeD="1" sel="3" val="0"/>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fmlaLink="$BT$48" lockText="1" noThreeD="1"/>
</file>

<file path=xl/ctrlProps/ctrlProp342.xml><?xml version="1.0" encoding="utf-8"?>
<formControlPr xmlns="http://schemas.microsoft.com/office/spreadsheetml/2009/9/main" objectType="CheckBox" fmlaLink="$BT$49" lockText="1" noThreeD="1"/>
</file>

<file path=xl/ctrlProps/ctrlProp343.xml><?xml version="1.0" encoding="utf-8"?>
<formControlPr xmlns="http://schemas.microsoft.com/office/spreadsheetml/2009/9/main" objectType="CheckBox" fmlaLink="$BT$50" lockText="1" noThreeD="1"/>
</file>

<file path=xl/ctrlProps/ctrlProp344.xml><?xml version="1.0" encoding="utf-8"?>
<formControlPr xmlns="http://schemas.microsoft.com/office/spreadsheetml/2009/9/main" objectType="CheckBox" fmlaLink="$BT$51" lockText="1" noThreeD="1"/>
</file>

<file path=xl/ctrlProps/ctrlProp345.xml><?xml version="1.0" encoding="utf-8"?>
<formControlPr xmlns="http://schemas.microsoft.com/office/spreadsheetml/2009/9/main" objectType="CheckBox" fmlaLink="$BT$52" lockText="1" noThreeD="1"/>
</file>

<file path=xl/ctrlProps/ctrlProp346.xml><?xml version="1.0" encoding="utf-8"?>
<formControlPr xmlns="http://schemas.microsoft.com/office/spreadsheetml/2009/9/main" objectType="CheckBox" fmlaLink="$BT$53" lockText="1" noThreeD="1"/>
</file>

<file path=xl/ctrlProps/ctrlProp347.xml><?xml version="1.0" encoding="utf-8"?>
<formControlPr xmlns="http://schemas.microsoft.com/office/spreadsheetml/2009/9/main" objectType="CheckBox" fmlaLink="$BT$54" lockText="1" noThreeD="1"/>
</file>

<file path=xl/ctrlProps/ctrlProp348.xml><?xml version="1.0" encoding="utf-8"?>
<formControlPr xmlns="http://schemas.microsoft.com/office/spreadsheetml/2009/9/main" objectType="CheckBox" fmlaLink="$BT$55" lockText="1" noThreeD="1"/>
</file>

<file path=xl/ctrlProps/ctrlProp349.xml><?xml version="1.0" encoding="utf-8"?>
<formControlPr xmlns="http://schemas.microsoft.com/office/spreadsheetml/2009/9/main" objectType="CheckBox" fmlaLink="$BT$56" lockText="1" noThreeD="1"/>
</file>

<file path=xl/ctrlProps/ctrlProp35.xml><?xml version="1.0" encoding="utf-8"?>
<formControlPr xmlns="http://schemas.microsoft.com/office/spreadsheetml/2009/9/main" objectType="Drop" dropLines="3" dropStyle="combo" dx="16" fmlaLink="$X$281" fmlaRange="$U$277:$U$279" noThreeD="1" sel="3" val="0"/>
</file>

<file path=xl/ctrlProps/ctrlProp350.xml><?xml version="1.0" encoding="utf-8"?>
<formControlPr xmlns="http://schemas.microsoft.com/office/spreadsheetml/2009/9/main" objectType="CheckBox" fmlaLink="$BT$57" lockText="1" noThreeD="1"/>
</file>

<file path=xl/ctrlProps/ctrlProp351.xml><?xml version="1.0" encoding="utf-8"?>
<formControlPr xmlns="http://schemas.microsoft.com/office/spreadsheetml/2009/9/main" objectType="CheckBox" fmlaLink="$BT$58" lockText="1" noThreeD="1"/>
</file>

<file path=xl/ctrlProps/ctrlProp352.xml><?xml version="1.0" encoding="utf-8"?>
<formControlPr xmlns="http://schemas.microsoft.com/office/spreadsheetml/2009/9/main" objectType="CheckBox" fmlaLink="$BT$59" lockText="1" noThreeD="1"/>
</file>

<file path=xl/ctrlProps/ctrlProp353.xml><?xml version="1.0" encoding="utf-8"?>
<formControlPr xmlns="http://schemas.microsoft.com/office/spreadsheetml/2009/9/main" objectType="CheckBox" fmlaLink="$BT$60" lockText="1" noThreeD="1"/>
</file>

<file path=xl/ctrlProps/ctrlProp354.xml><?xml version="1.0" encoding="utf-8"?>
<formControlPr xmlns="http://schemas.microsoft.com/office/spreadsheetml/2009/9/main" objectType="CheckBox" fmlaLink="$BT$61" lockText="1" noThreeD="1"/>
</file>

<file path=xl/ctrlProps/ctrlProp355.xml><?xml version="1.0" encoding="utf-8"?>
<formControlPr xmlns="http://schemas.microsoft.com/office/spreadsheetml/2009/9/main" objectType="CheckBox" fmlaLink="$BT$62" lockText="1" noThreeD="1"/>
</file>

<file path=xl/ctrlProps/ctrlProp356.xml><?xml version="1.0" encoding="utf-8"?>
<formControlPr xmlns="http://schemas.microsoft.com/office/spreadsheetml/2009/9/main" objectType="CheckBox" fmlaLink="$BT$63" lockText="1" noThreeD="1"/>
</file>

<file path=xl/ctrlProps/ctrlProp357.xml><?xml version="1.0" encoding="utf-8"?>
<formControlPr xmlns="http://schemas.microsoft.com/office/spreadsheetml/2009/9/main" objectType="CheckBox" fmlaLink="$BT$64" lockText="1" noThreeD="1"/>
</file>

<file path=xl/ctrlProps/ctrlProp358.xml><?xml version="1.0" encoding="utf-8"?>
<formControlPr xmlns="http://schemas.microsoft.com/office/spreadsheetml/2009/9/main" objectType="CheckBox" fmlaLink="$BT$65" lockText="1" noThreeD="1"/>
</file>

<file path=xl/ctrlProps/ctrlProp359.xml><?xml version="1.0" encoding="utf-8"?>
<formControlPr xmlns="http://schemas.microsoft.com/office/spreadsheetml/2009/9/main" objectType="CheckBox" fmlaLink="$BT$66" lockText="1" noThreeD="1"/>
</file>

<file path=xl/ctrlProps/ctrlProp36.xml><?xml version="1.0" encoding="utf-8"?>
<formControlPr xmlns="http://schemas.microsoft.com/office/spreadsheetml/2009/9/main" objectType="Drop" dropStyle="combo" dx="16" fmlaLink="$Z$13:$Z$14" fmlaRange="$AA$13:$AA$14" noThreeD="1" sel="1" val="0"/>
</file>

<file path=xl/ctrlProps/ctrlProp360.xml><?xml version="1.0" encoding="utf-8"?>
<formControlPr xmlns="http://schemas.microsoft.com/office/spreadsheetml/2009/9/main" objectType="CheckBox" fmlaLink="$BT$67" lockText="1" noThreeD="1"/>
</file>

<file path=xl/ctrlProps/ctrlProp361.xml><?xml version="1.0" encoding="utf-8"?>
<formControlPr xmlns="http://schemas.microsoft.com/office/spreadsheetml/2009/9/main" objectType="CheckBox" fmlaLink="$BT$68" lockText="1" noThreeD="1"/>
</file>

<file path=xl/ctrlProps/ctrlProp362.xml><?xml version="1.0" encoding="utf-8"?>
<formControlPr xmlns="http://schemas.microsoft.com/office/spreadsheetml/2009/9/main" objectType="Drop" dropLines="5" dropStyle="combo" dx="16" fmlaLink="'Abweichende Werte'!$AB$7" fmlaRange="Tiere!$E$89:$E$93" noThreeD="1" sel="1" val="0"/>
</file>

<file path=xl/ctrlProps/ctrlProp363.xml><?xml version="1.0" encoding="utf-8"?>
<formControlPr xmlns="http://schemas.microsoft.com/office/spreadsheetml/2009/9/main" objectType="Drop" dropLines="5" dropStyle="combo" dx="16" fmlaLink="$AB$8" fmlaRange="Tiere!$E$89:$E$93" noThreeD="1" sel="1" val="0"/>
</file>

<file path=xl/ctrlProps/ctrlProp364.xml><?xml version="1.0" encoding="utf-8"?>
<formControlPr xmlns="http://schemas.microsoft.com/office/spreadsheetml/2009/9/main" objectType="Drop" dropStyle="combo" dx="16" fmlaLink="'Abweichende Werte'!$AB$9" fmlaRange="Tiere!$E$89:$E$93" noThreeD="1" sel="1" val="0"/>
</file>

<file path=xl/ctrlProps/ctrlProp365.xml><?xml version="1.0" encoding="utf-8"?>
<formControlPr xmlns="http://schemas.microsoft.com/office/spreadsheetml/2009/9/main" objectType="Drop" dropStyle="combo" dx="16" fmlaLink="'Abweichende Werte'!$AB$10" fmlaRange="Tiere!$E$89:$E$93" noThreeD="1" sel="1" val="0"/>
</file>

<file path=xl/ctrlProps/ctrlProp366.xml><?xml version="1.0" encoding="utf-8"?>
<formControlPr xmlns="http://schemas.microsoft.com/office/spreadsheetml/2009/9/main" objectType="Drop" dropStyle="combo" dx="16" fmlaLink="'Abweichende Werte'!$AB$11" fmlaRange="Tiere!$E$89:$E$93" noThreeD="1" sel="1" val="0"/>
</file>

<file path=xl/ctrlProps/ctrlProp37.xml><?xml version="1.0" encoding="utf-8"?>
<formControlPr xmlns="http://schemas.microsoft.com/office/spreadsheetml/2009/9/main" objectType="Drop" dropLines="35" dropStyle="combo" dx="16" fmlaLink="$AX$113" fmlaRange="Pflanzen!$C$5:$C$109" noThreeD="1" sel="1" val="0"/>
</file>

<file path=xl/ctrlProps/ctrlProp38.xml><?xml version="1.0" encoding="utf-8"?>
<formControlPr xmlns="http://schemas.microsoft.com/office/spreadsheetml/2009/9/main" objectType="CheckBox" fmlaLink="$P$308" lockText="1" noThreeD="1"/>
</file>

<file path=xl/ctrlProps/ctrlProp39.xml><?xml version="1.0" encoding="utf-8"?>
<formControlPr xmlns="http://schemas.microsoft.com/office/spreadsheetml/2009/9/main" objectType="CheckBox" fmlaLink="$DK$68" lockText="1" noThreeD="1"/>
</file>

<file path=xl/ctrlProps/ctrlProp4.xml><?xml version="1.0" encoding="utf-8"?>
<formControlPr xmlns="http://schemas.microsoft.com/office/spreadsheetml/2009/9/main" objectType="Drop" dropLines="15" dropStyle="combo" dx="16" fmlaLink="$BM$72" fmlaRange="Tiere!$B$30:$B$85" noThreeD="1" sel="1" val="0"/>
</file>

<file path=xl/ctrlProps/ctrlProp40.xml><?xml version="1.0" encoding="utf-8"?>
<formControlPr xmlns="http://schemas.microsoft.com/office/spreadsheetml/2009/9/main" objectType="CheckBox" fmlaLink="$DK$71" lockText="1" noThreeD="1"/>
</file>

<file path=xl/ctrlProps/ctrlProp41.xml><?xml version="1.0" encoding="utf-8"?>
<formControlPr xmlns="http://schemas.microsoft.com/office/spreadsheetml/2009/9/main" objectType="CheckBox" fmlaLink="$DK$74" lockText="1" noThreeD="1"/>
</file>

<file path=xl/ctrlProps/ctrlProp42.xml><?xml version="1.0" encoding="utf-8"?>
<formControlPr xmlns="http://schemas.microsoft.com/office/spreadsheetml/2009/9/main" objectType="CheckBox" fmlaLink="$DK$72" lockText="1" noThreeD="1"/>
</file>

<file path=xl/ctrlProps/ctrlProp43.xml><?xml version="1.0" encoding="utf-8"?>
<formControlPr xmlns="http://schemas.microsoft.com/office/spreadsheetml/2009/9/main" objectType="CheckBox" fmlaLink="$DK$73" lockText="1" noThreeD="1"/>
</file>

<file path=xl/ctrlProps/ctrlProp44.xml><?xml version="1.0" encoding="utf-8"?>
<formControlPr xmlns="http://schemas.microsoft.com/office/spreadsheetml/2009/9/main" objectType="CheckBox" fmlaLink="$DK$75" lockText="1" noThreeD="1"/>
</file>

<file path=xl/ctrlProps/ctrlProp45.xml><?xml version="1.0" encoding="utf-8"?>
<formControlPr xmlns="http://schemas.microsoft.com/office/spreadsheetml/2009/9/main" objectType="CheckBox" fmlaLink="$DK$76" lockText="1" noThreeD="1"/>
</file>

<file path=xl/ctrlProps/ctrlProp46.xml><?xml version="1.0" encoding="utf-8"?>
<formControlPr xmlns="http://schemas.microsoft.com/office/spreadsheetml/2009/9/main" objectType="CheckBox" fmlaLink="$DK$79" lockText="1" noThreeD="1"/>
</file>

<file path=xl/ctrlProps/ctrlProp47.xml><?xml version="1.0" encoding="utf-8"?>
<formControlPr xmlns="http://schemas.microsoft.com/office/spreadsheetml/2009/9/main" objectType="CheckBox" fmlaLink="$DK$80" lockText="1" noThreeD="1"/>
</file>

<file path=xl/ctrlProps/ctrlProp48.xml><?xml version="1.0" encoding="utf-8"?>
<formControlPr xmlns="http://schemas.microsoft.com/office/spreadsheetml/2009/9/main" objectType="CheckBox" fmlaLink="$DK$81" lockText="1" noThreeD="1"/>
</file>

<file path=xl/ctrlProps/ctrlProp49.xml><?xml version="1.0" encoding="utf-8"?>
<formControlPr xmlns="http://schemas.microsoft.com/office/spreadsheetml/2009/9/main" objectType="CheckBox" fmlaLink="$DK$83" lockText="1" noThreeD="1"/>
</file>

<file path=xl/ctrlProps/ctrlProp5.xml><?xml version="1.0" encoding="utf-8"?>
<formControlPr xmlns="http://schemas.microsoft.com/office/spreadsheetml/2009/9/main" objectType="Drop" dropLines="15" dropStyle="combo" dx="16" fmlaLink="$BM$73" fmlaRange="Tiere!$B$30:$B$85" noThreeD="1" sel="1" val="0"/>
</file>

<file path=xl/ctrlProps/ctrlProp50.xml><?xml version="1.0" encoding="utf-8"?>
<formControlPr xmlns="http://schemas.microsoft.com/office/spreadsheetml/2009/9/main" objectType="CheckBox" fmlaLink="$DK$86" lockText="1" noThreeD="1"/>
</file>

<file path=xl/ctrlProps/ctrlProp51.xml><?xml version="1.0" encoding="utf-8"?>
<formControlPr xmlns="http://schemas.microsoft.com/office/spreadsheetml/2009/9/main" objectType="CheckBox" fmlaLink="$DK$87" lockText="1" noThreeD="1"/>
</file>

<file path=xl/ctrlProps/ctrlProp52.xml><?xml version="1.0" encoding="utf-8"?>
<formControlPr xmlns="http://schemas.microsoft.com/office/spreadsheetml/2009/9/main" objectType="CheckBox" fmlaLink="$DK$69" lockText="1" noThreeD="1"/>
</file>

<file path=xl/ctrlProps/ctrlProp53.xml><?xml version="1.0" encoding="utf-8"?>
<formControlPr xmlns="http://schemas.microsoft.com/office/spreadsheetml/2009/9/main" objectType="CheckBox" fmlaLink="$DK$70" lockText="1" noThreeD="1"/>
</file>

<file path=xl/ctrlProps/ctrlProp54.xml><?xml version="1.0" encoding="utf-8"?>
<formControlPr xmlns="http://schemas.microsoft.com/office/spreadsheetml/2009/9/main" objectType="Drop" dropLines="2" dropStyle="combo" dx="16" fmlaLink="$Y$164" fmlaRange="Stroh!$B$9:$B$10" noThreeD="1" sel="2" val="0"/>
</file>

<file path=xl/ctrlProps/ctrlProp55.xml><?xml version="1.0" encoding="utf-8"?>
<formControlPr xmlns="http://schemas.microsoft.com/office/spreadsheetml/2009/9/main" objectType="CheckBox" fmlaLink="$P$309" lockText="1" noThreeD="1"/>
</file>

<file path=xl/ctrlProps/ctrlProp56.xml><?xml version="1.0" encoding="utf-8"?>
<formControlPr xmlns="http://schemas.microsoft.com/office/spreadsheetml/2009/9/main" objectType="CheckBox" fmlaLink="$P$310" lockText="1" noThreeD="1"/>
</file>

<file path=xl/ctrlProps/ctrlProp57.xml><?xml version="1.0" encoding="utf-8"?>
<formControlPr xmlns="http://schemas.microsoft.com/office/spreadsheetml/2009/9/main" objectType="Drop" dropLines="35" dropStyle="combo" dx="16" fmlaLink="$AX$114" fmlaRange="Pflanzen!$C$5:$C$109" noThreeD="1" sel="1" val="0"/>
</file>

<file path=xl/ctrlProps/ctrlProp58.xml><?xml version="1.0" encoding="utf-8"?>
<formControlPr xmlns="http://schemas.microsoft.com/office/spreadsheetml/2009/9/main" objectType="Drop" dropLines="35" dropStyle="combo" dx="16" fmlaLink="$AX$115" fmlaRange="Pflanzen!$C$5:$C$109" noThreeD="1" sel="1" val="70"/>
</file>

<file path=xl/ctrlProps/ctrlProp59.xml><?xml version="1.0" encoding="utf-8"?>
<formControlPr xmlns="http://schemas.microsoft.com/office/spreadsheetml/2009/9/main" objectType="Drop" dropLines="2" dropStyle="combo" dx="16" fmlaLink="$Y$165" fmlaRange="Stroh!$B$9:$B$10" noThreeD="1" sel="1" val="0"/>
</file>

<file path=xl/ctrlProps/ctrlProp6.xml><?xml version="1.0" encoding="utf-8"?>
<formControlPr xmlns="http://schemas.microsoft.com/office/spreadsheetml/2009/9/main" objectType="Drop" dropLines="15" dropStyle="combo" dx="16" fmlaLink="$BM$74" fmlaRange="Tiere!$B$30:$B$85" noThreeD="1" sel="1" val="0"/>
</file>

<file path=xl/ctrlProps/ctrlProp60.xml><?xml version="1.0" encoding="utf-8"?>
<formControlPr xmlns="http://schemas.microsoft.com/office/spreadsheetml/2009/9/main" objectType="Drop" dropLines="2" dropStyle="combo" dx="16" fmlaLink="$Y$166" fmlaRange="Stroh!$B$9:$B$10" noThreeD="1" sel="1" val="0"/>
</file>

<file path=xl/ctrlProps/ctrlProp61.xml><?xml version="1.0" encoding="utf-8"?>
<formControlPr xmlns="http://schemas.microsoft.com/office/spreadsheetml/2009/9/main" objectType="Drop" dropLines="2" dropStyle="combo" dx="16" fmlaLink="$Y$167" fmlaRange="Stroh!$B$9:$B$10" noThreeD="1" sel="1" val="0"/>
</file>

<file path=xl/ctrlProps/ctrlProp62.xml><?xml version="1.0" encoding="utf-8"?>
<formControlPr xmlns="http://schemas.microsoft.com/office/spreadsheetml/2009/9/main" objectType="Drop" dropLines="2" dropStyle="combo" dx="16" fmlaLink="$Y$168" fmlaRange="Stroh!$B$9:$B$10" noThreeD="1" sel="2" val="0"/>
</file>

<file path=xl/ctrlProps/ctrlProp63.xml><?xml version="1.0" encoding="utf-8"?>
<formControlPr xmlns="http://schemas.microsoft.com/office/spreadsheetml/2009/9/main" objectType="Drop" dropLines="3" dropStyle="combo" dx="16" fmlaLink="$X$279" fmlaRange="$U$277:$U$279" noThreeD="1" sel="3" val="0"/>
</file>

<file path=xl/ctrlProps/ctrlProp64.xml><?xml version="1.0" encoding="utf-8"?>
<formControlPr xmlns="http://schemas.microsoft.com/office/spreadsheetml/2009/9/main" objectType="Drop" dropLines="3" dropStyle="combo" dx="16" fmlaLink="$X$280" fmlaRange="$U$277:$U$279" noThreeD="1" sel="3" val="0"/>
</file>

<file path=xl/ctrlProps/ctrlProp65.xml><?xml version="1.0" encoding="utf-8"?>
<formControlPr xmlns="http://schemas.microsoft.com/office/spreadsheetml/2009/9/main" objectType="CheckBox" fmlaLink="$Q$257" lockText="1" noThreeD="1"/>
</file>

<file path=xl/ctrlProps/ctrlProp66.xml><?xml version="1.0" encoding="utf-8"?>
<formControlPr xmlns="http://schemas.microsoft.com/office/spreadsheetml/2009/9/main" objectType="CheckBox" fmlaLink="$Q$258" lockText="1" noThreeD="1"/>
</file>

<file path=xl/ctrlProps/ctrlProp67.xml><?xml version="1.0" encoding="utf-8"?>
<formControlPr xmlns="http://schemas.microsoft.com/office/spreadsheetml/2009/9/main" objectType="CheckBox" fmlaLink="$Q$259" lockText="1" noThreeD="1"/>
</file>

<file path=xl/ctrlProps/ctrlProp68.xml><?xml version="1.0" encoding="utf-8"?>
<formControlPr xmlns="http://schemas.microsoft.com/office/spreadsheetml/2009/9/main" objectType="CheckBox" fmlaLink="$Q$260" lockText="1" noThreeD="1"/>
</file>

<file path=xl/ctrlProps/ctrlProp69.xml><?xml version="1.0" encoding="utf-8"?>
<formControlPr xmlns="http://schemas.microsoft.com/office/spreadsheetml/2009/9/main" objectType="CheckBox" fmlaLink="$Q$261" lockText="1" noThreeD="1"/>
</file>

<file path=xl/ctrlProps/ctrlProp7.xml><?xml version="1.0" encoding="utf-8"?>
<formControlPr xmlns="http://schemas.microsoft.com/office/spreadsheetml/2009/9/main" objectType="Drop" dropLines="15" dropStyle="combo" dx="16" fmlaLink="$BM$75" fmlaRange="Tiere!$B$30:$B$85" noThreeD="1" sel="1" val="0"/>
</file>

<file path=xl/ctrlProps/ctrlProp70.xml><?xml version="1.0" encoding="utf-8"?>
<formControlPr xmlns="http://schemas.microsoft.com/office/spreadsheetml/2009/9/main" objectType="CheckBox" fmlaLink="$Q$262" lockText="1" noThreeD="1"/>
</file>

<file path=xl/ctrlProps/ctrlProp71.xml><?xml version="1.0" encoding="utf-8"?>
<formControlPr xmlns="http://schemas.microsoft.com/office/spreadsheetml/2009/9/main" objectType="CheckBox" fmlaLink="$Q$263" lockText="1" noThreeD="1"/>
</file>

<file path=xl/ctrlProps/ctrlProp72.xml><?xml version="1.0" encoding="utf-8"?>
<formControlPr xmlns="http://schemas.microsoft.com/office/spreadsheetml/2009/9/main" objectType="CheckBox" fmlaLink="$Q$266" lockText="1" noThreeD="1"/>
</file>

<file path=xl/ctrlProps/ctrlProp73.xml><?xml version="1.0" encoding="utf-8"?>
<formControlPr xmlns="http://schemas.microsoft.com/office/spreadsheetml/2009/9/main" objectType="CheckBox" fmlaLink="$Q$267" lockText="1" noThreeD="1"/>
</file>

<file path=xl/ctrlProps/ctrlProp74.xml><?xml version="1.0" encoding="utf-8"?>
<formControlPr xmlns="http://schemas.microsoft.com/office/spreadsheetml/2009/9/main" objectType="CheckBox" fmlaLink="$Q$268" lockText="1" noThreeD="1"/>
</file>

<file path=xl/ctrlProps/ctrlProp75.xml><?xml version="1.0" encoding="utf-8"?>
<formControlPr xmlns="http://schemas.microsoft.com/office/spreadsheetml/2009/9/main" objectType="CheckBox" fmlaLink="$Q$269" lockText="1" noThreeD="1"/>
</file>

<file path=xl/ctrlProps/ctrlProp76.xml><?xml version="1.0" encoding="utf-8"?>
<formControlPr xmlns="http://schemas.microsoft.com/office/spreadsheetml/2009/9/main" objectType="Drop" dropStyle="combo" dx="16" fmlaLink="$BN$84" fmlaRange="Stroh!$B$2:$B$4" noThreeD="1" sel="1" val="0"/>
</file>

<file path=xl/ctrlProps/ctrlProp77.xml><?xml version="1.0" encoding="utf-8"?>
<formControlPr xmlns="http://schemas.microsoft.com/office/spreadsheetml/2009/9/main" objectType="CheckBox" fmlaLink="$DK$86" lockText="1" noThreeD="1"/>
</file>

<file path=xl/ctrlProps/ctrlProp78.xml><?xml version="1.0" encoding="utf-8"?>
<formControlPr xmlns="http://schemas.microsoft.com/office/spreadsheetml/2009/9/main" objectType="Drop" dropStyle="combo" dx="16" fmlaLink="$BN$85" fmlaRange="Stroh!$B$2:$B$4" noThreeD="1" sel="1" val="0"/>
</file>

<file path=xl/ctrlProps/ctrlProp79.xml><?xml version="1.0" encoding="utf-8"?>
<formControlPr xmlns="http://schemas.microsoft.com/office/spreadsheetml/2009/9/main" objectType="CheckBox" fmlaLink="$DK$85" lockText="1" noThreeD="1"/>
</file>

<file path=xl/ctrlProps/ctrlProp8.xml><?xml version="1.0" encoding="utf-8"?>
<formControlPr xmlns="http://schemas.microsoft.com/office/spreadsheetml/2009/9/main" objectType="Drop" dropLines="15" dropStyle="combo" dx="16" fmlaLink="$BM$76" fmlaRange="Tiere!$B$30:$B$85" noThreeD="1" sel="1" val="0"/>
</file>

<file path=xl/ctrlProps/ctrlProp80.xml><?xml version="1.0" encoding="utf-8"?>
<formControlPr xmlns="http://schemas.microsoft.com/office/spreadsheetml/2009/9/main" objectType="Drop" dropLines="15" dropStyle="combo" dx="16" fmlaLink="$BM$77" fmlaRange="Tiere!$B$30:$B$85" noThreeD="1" sel="1" val="0"/>
</file>

<file path=xl/ctrlProps/ctrlProp81.xml><?xml version="1.0" encoding="utf-8"?>
<formControlPr xmlns="http://schemas.microsoft.com/office/spreadsheetml/2009/9/main" objectType="Drop" dropStyle="combo" dx="16" fmlaLink="$BN$77" fmlaRange="Stroh!$B$2:$B$4" noThreeD="1" sel="1" val="0"/>
</file>

<file path=xl/ctrlProps/ctrlProp82.xml><?xml version="1.0" encoding="utf-8"?>
<formControlPr xmlns="http://schemas.microsoft.com/office/spreadsheetml/2009/9/main" objectType="CheckBox" fmlaLink="$DK$77" lockText="1" noThreeD="1"/>
</file>

<file path=xl/ctrlProps/ctrlProp83.xml><?xml version="1.0" encoding="utf-8"?>
<formControlPr xmlns="http://schemas.microsoft.com/office/spreadsheetml/2009/9/main" objectType="Drop" dropLines="15" dropStyle="combo" dx="16" fmlaLink="$BM$78" fmlaRange="Tiere!$B$30:$B$85" noThreeD="1" sel="1" val="0"/>
</file>

<file path=xl/ctrlProps/ctrlProp84.xml><?xml version="1.0" encoding="utf-8"?>
<formControlPr xmlns="http://schemas.microsoft.com/office/spreadsheetml/2009/9/main" objectType="Drop" dropStyle="combo" dx="16" fmlaLink="$BN$78" fmlaRange="Stroh!$B$2:$B$4" noThreeD="1" sel="1" val="0"/>
</file>

<file path=xl/ctrlProps/ctrlProp85.xml><?xml version="1.0" encoding="utf-8"?>
<formControlPr xmlns="http://schemas.microsoft.com/office/spreadsheetml/2009/9/main" objectType="CheckBox" fmlaLink="$DK$78" lockText="1" noThreeD="1"/>
</file>

<file path=xl/ctrlProps/ctrlProp86.xml><?xml version="1.0" encoding="utf-8"?>
<formControlPr xmlns="http://schemas.microsoft.com/office/spreadsheetml/2009/9/main" objectType="Drop" dropStyle="combo" dx="16" fmlaLink="$BN$84" fmlaRange="Stroh!$B$2:$B$4" noThreeD="1" sel="1" val="0"/>
</file>

<file path=xl/ctrlProps/ctrlProp87.xml><?xml version="1.0" encoding="utf-8"?>
<formControlPr xmlns="http://schemas.microsoft.com/office/spreadsheetml/2009/9/main" objectType="CheckBox" fmlaLink="$DK$84" lockText="1" noThreeD="1"/>
</file>

<file path=xl/ctrlProps/ctrlProp88.xml><?xml version="1.0" encoding="utf-8"?>
<formControlPr xmlns="http://schemas.microsoft.com/office/spreadsheetml/2009/9/main" objectType="Drop" dropLines="35" dropStyle="combo" dx="16" fmlaLink="$AX$116" fmlaRange="Pflanzen!$C$5:$C$109" noThreeD="1" sel="1" val="0"/>
</file>

<file path=xl/ctrlProps/ctrlProp89.xml><?xml version="1.0" encoding="utf-8"?>
<formControlPr xmlns="http://schemas.microsoft.com/office/spreadsheetml/2009/9/main" objectType="Drop" dropLines="35" dropStyle="combo" dx="16" fmlaLink="$AX$117" fmlaRange="Pflanzen!$C$5:$C$109" noThreeD="1" sel="1" val="0"/>
</file>

<file path=xl/ctrlProps/ctrlProp9.xml><?xml version="1.0" encoding="utf-8"?>
<formControlPr xmlns="http://schemas.microsoft.com/office/spreadsheetml/2009/9/main" objectType="Drop" dropLines="15" dropStyle="combo" dx="16" fmlaLink="$BM$79" fmlaRange="Tiere!$B$30:$B$85" noThreeD="1" sel="1" val="0"/>
</file>

<file path=xl/ctrlProps/ctrlProp90.xml><?xml version="1.0" encoding="utf-8"?>
<formControlPr xmlns="http://schemas.microsoft.com/office/spreadsheetml/2009/9/main" objectType="Drop" dropLines="35" dropStyle="combo" dx="16" fmlaLink="$AX$118" fmlaRange="Pflanzen!$C$5:$C$109" noThreeD="1" sel="1" val="0"/>
</file>

<file path=xl/ctrlProps/ctrlProp91.xml><?xml version="1.0" encoding="utf-8"?>
<formControlPr xmlns="http://schemas.microsoft.com/office/spreadsheetml/2009/9/main" objectType="Drop" dropLines="35" dropStyle="combo" dx="16" fmlaLink="$AX$119" fmlaRange="Pflanzen!$C$5:$C$109" noThreeD="1" sel="1" val="0"/>
</file>

<file path=xl/ctrlProps/ctrlProp92.xml><?xml version="1.0" encoding="utf-8"?>
<formControlPr xmlns="http://schemas.microsoft.com/office/spreadsheetml/2009/9/main" objectType="Drop" dropLines="35" dropStyle="combo" dx="16" fmlaLink="$AX$120" fmlaRange="Pflanzen!$C$5:$C$109" noThreeD="1" sel="1" val="0"/>
</file>

<file path=xl/ctrlProps/ctrlProp93.xml><?xml version="1.0" encoding="utf-8"?>
<formControlPr xmlns="http://schemas.microsoft.com/office/spreadsheetml/2009/9/main" objectType="Drop" dropLines="35" dropStyle="combo" dx="16" fmlaLink="$AX$121" fmlaRange="Pflanzen!$C$5:$C$109" noThreeD="1" sel="1" val="0"/>
</file>

<file path=xl/ctrlProps/ctrlProp94.xml><?xml version="1.0" encoding="utf-8"?>
<formControlPr xmlns="http://schemas.microsoft.com/office/spreadsheetml/2009/9/main" objectType="Drop" dropLines="35" dropStyle="combo" dx="16" fmlaLink="$AX$122" fmlaRange="Pflanzen!$C$5:$C$109" noThreeD="1" sel="1" val="0"/>
</file>

<file path=xl/ctrlProps/ctrlProp95.xml><?xml version="1.0" encoding="utf-8"?>
<formControlPr xmlns="http://schemas.microsoft.com/office/spreadsheetml/2009/9/main" objectType="Drop" dropLines="35" dropStyle="combo" dx="16" fmlaLink="$AX$123" fmlaRange="Pflanzen!$C$5:$C$109" noThreeD="1" sel="1" val="0"/>
</file>

<file path=xl/ctrlProps/ctrlProp96.xml><?xml version="1.0" encoding="utf-8"?>
<formControlPr xmlns="http://schemas.microsoft.com/office/spreadsheetml/2009/9/main" objectType="Drop" dropLines="35" dropStyle="combo" dx="16" fmlaLink="$AX$124" fmlaRange="Pflanzen!$C$5:$C$109" noThreeD="1" sel="1" val="0"/>
</file>

<file path=xl/ctrlProps/ctrlProp97.xml><?xml version="1.0" encoding="utf-8"?>
<formControlPr xmlns="http://schemas.microsoft.com/office/spreadsheetml/2009/9/main" objectType="Drop" dropLines="35" dropStyle="combo" dx="16" fmlaLink="$AX$125" fmlaRange="Pflanzen!$C$5:$C$109" noThreeD="1" sel="1" val="55"/>
</file>

<file path=xl/ctrlProps/ctrlProp98.xml><?xml version="1.0" encoding="utf-8"?>
<formControlPr xmlns="http://schemas.microsoft.com/office/spreadsheetml/2009/9/main" objectType="Drop" dropLines="35" dropStyle="combo" dx="16" fmlaLink="$AX$126" fmlaRange="Pflanzen!$C$5:$C$109" noThreeD="1" sel="1" val="0"/>
</file>

<file path=xl/ctrlProps/ctrlProp99.xml><?xml version="1.0" encoding="utf-8"?>
<formControlPr xmlns="http://schemas.microsoft.com/office/spreadsheetml/2009/9/main" objectType="Drop" dropLines="35" dropStyle="combo" dx="16" fmlaLink="$AX$127" fmlaRange="Pflanzen!$C$5:$C$109" noThreeD="1" sel="1" val="64"/>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95250</xdr:rowOff>
    </xdr:from>
    <xdr:to>
      <xdr:col>6</xdr:col>
      <xdr:colOff>9525</xdr:colOff>
      <xdr:row>20</xdr:row>
      <xdr:rowOff>133350</xdr:rowOff>
    </xdr:to>
    <xdr:sp macro="" textlink="">
      <xdr:nvSpPr>
        <xdr:cNvPr id="175242" name="Ellipse 16">
          <a:extLst>
            <a:ext uri="{FF2B5EF4-FFF2-40B4-BE49-F238E27FC236}">
              <a16:creationId xmlns:a16="http://schemas.microsoft.com/office/drawing/2014/main" id="{00000000-0008-0000-0000-00008AAC0200}"/>
            </a:ext>
          </a:extLst>
        </xdr:cNvPr>
        <xdr:cNvSpPr>
          <a:spLocks noChangeArrowheads="1"/>
        </xdr:cNvSpPr>
      </xdr:nvSpPr>
      <xdr:spPr bwMode="auto">
        <a:xfrm>
          <a:off x="1914525" y="4000500"/>
          <a:ext cx="1885950" cy="342900"/>
        </a:xfrm>
        <a:prstGeom prst="ellipse">
          <a:avLst/>
        </a:prstGeom>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de-DE"/>
        </a:p>
      </xdr:txBody>
    </xdr:sp>
    <xdr:clientData/>
  </xdr:twoCellAnchor>
  <xdr:twoCellAnchor>
    <xdr:from>
      <xdr:col>2</xdr:col>
      <xdr:colOff>1</xdr:colOff>
      <xdr:row>18</xdr:row>
      <xdr:rowOff>74083</xdr:rowOff>
    </xdr:from>
    <xdr:to>
      <xdr:col>6</xdr:col>
      <xdr:colOff>21169</xdr:colOff>
      <xdr:row>27</xdr:row>
      <xdr:rowOff>63500</xdr:rowOff>
    </xdr:to>
    <xdr:sp macro="" textlink="">
      <xdr:nvSpPr>
        <xdr:cNvPr id="73" name="Zylinder 72">
          <a:extLst>
            <a:ext uri="{FF2B5EF4-FFF2-40B4-BE49-F238E27FC236}">
              <a16:creationId xmlns:a16="http://schemas.microsoft.com/office/drawing/2014/main" id="{00000000-0008-0000-0000-000049000000}"/>
            </a:ext>
          </a:extLst>
        </xdr:cNvPr>
        <xdr:cNvSpPr/>
      </xdr:nvSpPr>
      <xdr:spPr>
        <a:xfrm>
          <a:off x="1915584" y="3905250"/>
          <a:ext cx="1862668" cy="1322917"/>
        </a:xfrm>
        <a:prstGeom prst="can">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clientData/>
  </xdr:twoCellAnchor>
  <xdr:twoCellAnchor>
    <xdr:from>
      <xdr:col>0</xdr:col>
      <xdr:colOff>42333</xdr:colOff>
      <xdr:row>16</xdr:row>
      <xdr:rowOff>62195</xdr:rowOff>
    </xdr:from>
    <xdr:to>
      <xdr:col>12</xdr:col>
      <xdr:colOff>402166</xdr:colOff>
      <xdr:row>28</xdr:row>
      <xdr:rowOff>10584</xdr:rowOff>
    </xdr:to>
    <xdr:sp macro="" textlink="">
      <xdr:nvSpPr>
        <xdr:cNvPr id="50" name="Rechteck 49">
          <a:extLst>
            <a:ext uri="{FF2B5EF4-FFF2-40B4-BE49-F238E27FC236}">
              <a16:creationId xmlns:a16="http://schemas.microsoft.com/office/drawing/2014/main" id="{00000000-0008-0000-0000-000032000000}"/>
            </a:ext>
          </a:extLst>
        </xdr:cNvPr>
        <xdr:cNvSpPr/>
      </xdr:nvSpPr>
      <xdr:spPr>
        <a:xfrm>
          <a:off x="42333" y="3693601"/>
          <a:ext cx="6384396" cy="1781952"/>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68</xdr:row>
          <xdr:rowOff>9525</xdr:rowOff>
        </xdr:from>
        <xdr:to>
          <xdr:col>3</xdr:col>
          <xdr:colOff>485775</xdr:colOff>
          <xdr:row>69</xdr:row>
          <xdr:rowOff>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219075</xdr:rowOff>
        </xdr:from>
        <xdr:to>
          <xdr:col>3</xdr:col>
          <xdr:colOff>485775</xdr:colOff>
          <xdr:row>69</xdr:row>
          <xdr:rowOff>209550</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209550</xdr:rowOff>
        </xdr:from>
        <xdr:to>
          <xdr:col>3</xdr:col>
          <xdr:colOff>485775</xdr:colOff>
          <xdr:row>70</xdr:row>
          <xdr:rowOff>200025</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219075</xdr:rowOff>
        </xdr:from>
        <xdr:to>
          <xdr:col>3</xdr:col>
          <xdr:colOff>485775</xdr:colOff>
          <xdr:row>71</xdr:row>
          <xdr:rowOff>200025</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219075</xdr:rowOff>
        </xdr:from>
        <xdr:to>
          <xdr:col>3</xdr:col>
          <xdr:colOff>485775</xdr:colOff>
          <xdr:row>72</xdr:row>
          <xdr:rowOff>209550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219075</xdr:rowOff>
        </xdr:from>
        <xdr:to>
          <xdr:col>3</xdr:col>
          <xdr:colOff>485775</xdr:colOff>
          <xdr:row>73</xdr:row>
          <xdr:rowOff>200025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219075</xdr:rowOff>
        </xdr:from>
        <xdr:to>
          <xdr:col>3</xdr:col>
          <xdr:colOff>485775</xdr:colOff>
          <xdr:row>74</xdr:row>
          <xdr:rowOff>209550</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219075</xdr:rowOff>
        </xdr:from>
        <xdr:to>
          <xdr:col>3</xdr:col>
          <xdr:colOff>485775</xdr:colOff>
          <xdr:row>75</xdr:row>
          <xdr:rowOff>209550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78</xdr:row>
          <xdr:rowOff>0</xdr:rowOff>
        </xdr:from>
        <xdr:to>
          <xdr:col>3</xdr:col>
          <xdr:colOff>485775</xdr:colOff>
          <xdr:row>78</xdr:row>
          <xdr:rowOff>219075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79</xdr:row>
          <xdr:rowOff>9525</xdr:rowOff>
        </xdr:from>
        <xdr:to>
          <xdr:col>3</xdr:col>
          <xdr:colOff>485775</xdr:colOff>
          <xdr:row>79</xdr:row>
          <xdr:rowOff>219075</xdr:rowOff>
        </xdr:to>
        <xdr:sp macro="" textlink="">
          <xdr:nvSpPr>
            <xdr:cNvPr id="2081" name="Drop Dow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80</xdr:row>
          <xdr:rowOff>9525</xdr:rowOff>
        </xdr:from>
        <xdr:to>
          <xdr:col>3</xdr:col>
          <xdr:colOff>485775</xdr:colOff>
          <xdr:row>80</xdr:row>
          <xdr:rowOff>219075</xdr:rowOff>
        </xdr:to>
        <xdr:sp macro="" textlink="">
          <xdr:nvSpPr>
            <xdr:cNvPr id="2082" name="Drop Down 34"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67</xdr:row>
          <xdr:rowOff>19050</xdr:rowOff>
        </xdr:from>
        <xdr:to>
          <xdr:col>6</xdr:col>
          <xdr:colOff>485775</xdr:colOff>
          <xdr:row>68</xdr:row>
          <xdr:rowOff>0</xdr:rowOff>
        </xdr:to>
        <xdr:sp macro="" textlink="">
          <xdr:nvSpPr>
            <xdr:cNvPr id="2208" name="Drop Down 160" hidden="1">
              <a:extLst>
                <a:ext uri="{63B3BB69-23CF-44E3-9099-C40C66FF867C}">
                  <a14:compatExt spid="_x0000_s2208"/>
                </a:ext>
                <a:ext uri="{FF2B5EF4-FFF2-40B4-BE49-F238E27FC236}">
                  <a16:creationId xmlns:a16="http://schemas.microsoft.com/office/drawing/2014/main" id="{00000000-0008-0000-0000-0000A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19050</xdr:rowOff>
        </xdr:from>
        <xdr:to>
          <xdr:col>3</xdr:col>
          <xdr:colOff>485775</xdr:colOff>
          <xdr:row>68</xdr:row>
          <xdr:rowOff>9525</xdr:rowOff>
        </xdr:to>
        <xdr:sp macro="" textlink="">
          <xdr:nvSpPr>
            <xdr:cNvPr id="2250" name="Drop Down 202" hidden="1">
              <a:extLst>
                <a:ext uri="{63B3BB69-23CF-44E3-9099-C40C66FF867C}">
                  <a14:compatExt spid="_x0000_s2250"/>
                </a:ext>
                <a:ext uri="{FF2B5EF4-FFF2-40B4-BE49-F238E27FC236}">
                  <a16:creationId xmlns:a16="http://schemas.microsoft.com/office/drawing/2014/main" id="{00000000-0008-0000-0000-0000C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68</xdr:row>
          <xdr:rowOff>19050</xdr:rowOff>
        </xdr:from>
        <xdr:to>
          <xdr:col>6</xdr:col>
          <xdr:colOff>485775</xdr:colOff>
          <xdr:row>69</xdr:row>
          <xdr:rowOff>0</xdr:rowOff>
        </xdr:to>
        <xdr:sp macro="" textlink="">
          <xdr:nvSpPr>
            <xdr:cNvPr id="2261" name="Drop Down 213" hidden="1">
              <a:extLst>
                <a:ext uri="{63B3BB69-23CF-44E3-9099-C40C66FF867C}">
                  <a14:compatExt spid="_x0000_s2261"/>
                </a:ext>
                <a:ext uri="{FF2B5EF4-FFF2-40B4-BE49-F238E27FC236}">
                  <a16:creationId xmlns:a16="http://schemas.microsoft.com/office/drawing/2014/main" id="{00000000-0008-0000-0000-0000D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69</xdr:row>
          <xdr:rowOff>28575</xdr:rowOff>
        </xdr:from>
        <xdr:to>
          <xdr:col>6</xdr:col>
          <xdr:colOff>485775</xdr:colOff>
          <xdr:row>70</xdr:row>
          <xdr:rowOff>9525</xdr:rowOff>
        </xdr:to>
        <xdr:sp macro="" textlink="">
          <xdr:nvSpPr>
            <xdr:cNvPr id="2262" name="Drop Down 214" hidden="1">
              <a:extLst>
                <a:ext uri="{63B3BB69-23CF-44E3-9099-C40C66FF867C}">
                  <a14:compatExt spid="_x0000_s2262"/>
                </a:ext>
                <a:ext uri="{FF2B5EF4-FFF2-40B4-BE49-F238E27FC236}">
                  <a16:creationId xmlns:a16="http://schemas.microsoft.com/office/drawing/2014/main" id="{00000000-0008-0000-0000-0000D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70</xdr:row>
          <xdr:rowOff>28575</xdr:rowOff>
        </xdr:from>
        <xdr:to>
          <xdr:col>6</xdr:col>
          <xdr:colOff>485775</xdr:colOff>
          <xdr:row>71</xdr:row>
          <xdr:rowOff>9525</xdr:rowOff>
        </xdr:to>
        <xdr:sp macro="" textlink="">
          <xdr:nvSpPr>
            <xdr:cNvPr id="2263" name="Drop Down 215" hidden="1">
              <a:extLst>
                <a:ext uri="{63B3BB69-23CF-44E3-9099-C40C66FF867C}">
                  <a14:compatExt spid="_x0000_s2263"/>
                </a:ext>
                <a:ext uri="{FF2B5EF4-FFF2-40B4-BE49-F238E27FC236}">
                  <a16:creationId xmlns:a16="http://schemas.microsoft.com/office/drawing/2014/main" id="{00000000-0008-0000-0000-0000D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71</xdr:row>
          <xdr:rowOff>28575</xdr:rowOff>
        </xdr:from>
        <xdr:to>
          <xdr:col>6</xdr:col>
          <xdr:colOff>485775</xdr:colOff>
          <xdr:row>72</xdr:row>
          <xdr:rowOff>9525</xdr:rowOff>
        </xdr:to>
        <xdr:sp macro="" textlink="">
          <xdr:nvSpPr>
            <xdr:cNvPr id="2264" name="Drop Down 216" hidden="1">
              <a:extLst>
                <a:ext uri="{63B3BB69-23CF-44E3-9099-C40C66FF867C}">
                  <a14:compatExt spid="_x0000_s2264"/>
                </a:ext>
                <a:ext uri="{FF2B5EF4-FFF2-40B4-BE49-F238E27FC236}">
                  <a16:creationId xmlns:a16="http://schemas.microsoft.com/office/drawing/2014/main" id="{00000000-0008-0000-0000-0000D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72</xdr:row>
          <xdr:rowOff>28575</xdr:rowOff>
        </xdr:from>
        <xdr:to>
          <xdr:col>6</xdr:col>
          <xdr:colOff>485775</xdr:colOff>
          <xdr:row>73</xdr:row>
          <xdr:rowOff>9525</xdr:rowOff>
        </xdr:to>
        <xdr:sp macro="" textlink="">
          <xdr:nvSpPr>
            <xdr:cNvPr id="2265" name="Drop Down 217" hidden="1">
              <a:extLst>
                <a:ext uri="{63B3BB69-23CF-44E3-9099-C40C66FF867C}">
                  <a14:compatExt spid="_x0000_s2265"/>
                </a:ext>
                <a:ext uri="{FF2B5EF4-FFF2-40B4-BE49-F238E27FC236}">
                  <a16:creationId xmlns:a16="http://schemas.microsoft.com/office/drawing/2014/main" id="{00000000-0008-0000-0000-0000D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73</xdr:row>
          <xdr:rowOff>28575</xdr:rowOff>
        </xdr:from>
        <xdr:to>
          <xdr:col>6</xdr:col>
          <xdr:colOff>485775</xdr:colOff>
          <xdr:row>74</xdr:row>
          <xdr:rowOff>9525</xdr:rowOff>
        </xdr:to>
        <xdr:sp macro="" textlink="">
          <xdr:nvSpPr>
            <xdr:cNvPr id="2266" name="Drop Down 218" hidden="1">
              <a:extLst>
                <a:ext uri="{63B3BB69-23CF-44E3-9099-C40C66FF867C}">
                  <a14:compatExt spid="_x0000_s2266"/>
                </a:ext>
                <a:ext uri="{FF2B5EF4-FFF2-40B4-BE49-F238E27FC236}">
                  <a16:creationId xmlns:a16="http://schemas.microsoft.com/office/drawing/2014/main" id="{00000000-0008-0000-0000-0000D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74</xdr:row>
          <xdr:rowOff>28575</xdr:rowOff>
        </xdr:from>
        <xdr:to>
          <xdr:col>6</xdr:col>
          <xdr:colOff>485775</xdr:colOff>
          <xdr:row>75</xdr:row>
          <xdr:rowOff>9525</xdr:rowOff>
        </xdr:to>
        <xdr:sp macro="" textlink="">
          <xdr:nvSpPr>
            <xdr:cNvPr id="2267" name="Drop Down 219" hidden="1">
              <a:extLst>
                <a:ext uri="{63B3BB69-23CF-44E3-9099-C40C66FF867C}">
                  <a14:compatExt spid="_x0000_s2267"/>
                </a:ext>
                <a:ext uri="{FF2B5EF4-FFF2-40B4-BE49-F238E27FC236}">
                  <a16:creationId xmlns:a16="http://schemas.microsoft.com/office/drawing/2014/main" id="{00000000-0008-0000-0000-0000D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75</xdr:row>
          <xdr:rowOff>28575</xdr:rowOff>
        </xdr:from>
        <xdr:to>
          <xdr:col>6</xdr:col>
          <xdr:colOff>485775</xdr:colOff>
          <xdr:row>76</xdr:row>
          <xdr:rowOff>9525</xdr:rowOff>
        </xdr:to>
        <xdr:sp macro="" textlink="">
          <xdr:nvSpPr>
            <xdr:cNvPr id="2268" name="Drop Down 220" hidden="1">
              <a:extLst>
                <a:ext uri="{63B3BB69-23CF-44E3-9099-C40C66FF867C}">
                  <a14:compatExt spid="_x0000_s2268"/>
                </a:ext>
                <a:ext uri="{FF2B5EF4-FFF2-40B4-BE49-F238E27FC236}">
                  <a16:creationId xmlns:a16="http://schemas.microsoft.com/office/drawing/2014/main" id="{00000000-0008-0000-0000-0000D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78</xdr:row>
          <xdr:rowOff>28575</xdr:rowOff>
        </xdr:from>
        <xdr:to>
          <xdr:col>6</xdr:col>
          <xdr:colOff>485775</xdr:colOff>
          <xdr:row>79</xdr:row>
          <xdr:rowOff>9525</xdr:rowOff>
        </xdr:to>
        <xdr:sp macro="" textlink="">
          <xdr:nvSpPr>
            <xdr:cNvPr id="2269" name="Drop Down 221" hidden="1">
              <a:extLst>
                <a:ext uri="{63B3BB69-23CF-44E3-9099-C40C66FF867C}">
                  <a14:compatExt spid="_x0000_s2269"/>
                </a:ext>
                <a:ext uri="{FF2B5EF4-FFF2-40B4-BE49-F238E27FC236}">
                  <a16:creationId xmlns:a16="http://schemas.microsoft.com/office/drawing/2014/main" id="{00000000-0008-0000-0000-0000D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79</xdr:row>
          <xdr:rowOff>28575</xdr:rowOff>
        </xdr:from>
        <xdr:to>
          <xdr:col>6</xdr:col>
          <xdr:colOff>485775</xdr:colOff>
          <xdr:row>80</xdr:row>
          <xdr:rowOff>9525</xdr:rowOff>
        </xdr:to>
        <xdr:sp macro="" textlink="">
          <xdr:nvSpPr>
            <xdr:cNvPr id="2270" name="Drop Down 222" hidden="1">
              <a:extLst>
                <a:ext uri="{63B3BB69-23CF-44E3-9099-C40C66FF867C}">
                  <a14:compatExt spid="_x0000_s2270"/>
                </a:ext>
                <a:ext uri="{FF2B5EF4-FFF2-40B4-BE49-F238E27FC236}">
                  <a16:creationId xmlns:a16="http://schemas.microsoft.com/office/drawing/2014/main" id="{00000000-0008-0000-0000-0000D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80</xdr:row>
          <xdr:rowOff>28575</xdr:rowOff>
        </xdr:from>
        <xdr:to>
          <xdr:col>6</xdr:col>
          <xdr:colOff>485775</xdr:colOff>
          <xdr:row>81</xdr:row>
          <xdr:rowOff>9525</xdr:rowOff>
        </xdr:to>
        <xdr:sp macro="" textlink="">
          <xdr:nvSpPr>
            <xdr:cNvPr id="2271" name="Drop Down 223" hidden="1">
              <a:extLst>
                <a:ext uri="{63B3BB69-23CF-44E3-9099-C40C66FF867C}">
                  <a14:compatExt spid="_x0000_s2271"/>
                </a:ext>
                <a:ext uri="{FF2B5EF4-FFF2-40B4-BE49-F238E27FC236}">
                  <a16:creationId xmlns:a16="http://schemas.microsoft.com/office/drawing/2014/main" id="{00000000-0008-0000-0000-0000D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82</xdr:row>
          <xdr:rowOff>9525</xdr:rowOff>
        </xdr:from>
        <xdr:to>
          <xdr:col>6</xdr:col>
          <xdr:colOff>495300</xdr:colOff>
          <xdr:row>82</xdr:row>
          <xdr:rowOff>219075</xdr:rowOff>
        </xdr:to>
        <xdr:sp macro="" textlink="">
          <xdr:nvSpPr>
            <xdr:cNvPr id="2304" name="Drop Down 256" hidden="1">
              <a:extLst>
                <a:ext uri="{63B3BB69-23CF-44E3-9099-C40C66FF867C}">
                  <a14:compatExt spid="_x0000_s2304"/>
                </a:ext>
                <a:ext uri="{FF2B5EF4-FFF2-40B4-BE49-F238E27FC236}">
                  <a16:creationId xmlns:a16="http://schemas.microsoft.com/office/drawing/2014/main" id="{00000000-0008-0000-0000-00000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85</xdr:row>
          <xdr:rowOff>0</xdr:rowOff>
        </xdr:from>
        <xdr:to>
          <xdr:col>6</xdr:col>
          <xdr:colOff>495300</xdr:colOff>
          <xdr:row>85</xdr:row>
          <xdr:rowOff>209550</xdr:rowOff>
        </xdr:to>
        <xdr:sp macro="" textlink="">
          <xdr:nvSpPr>
            <xdr:cNvPr id="2307" name="Drop Down 259" hidden="1">
              <a:extLst>
                <a:ext uri="{63B3BB69-23CF-44E3-9099-C40C66FF867C}">
                  <a14:compatExt spid="_x0000_s2307"/>
                </a:ext>
                <a:ext uri="{FF2B5EF4-FFF2-40B4-BE49-F238E27FC236}">
                  <a16:creationId xmlns:a16="http://schemas.microsoft.com/office/drawing/2014/main" id="{00000000-0008-0000-0000-00000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86</xdr:row>
          <xdr:rowOff>0</xdr:rowOff>
        </xdr:from>
        <xdr:to>
          <xdr:col>6</xdr:col>
          <xdr:colOff>495300</xdr:colOff>
          <xdr:row>86</xdr:row>
          <xdr:rowOff>209550</xdr:rowOff>
        </xdr:to>
        <xdr:sp macro="" textlink="">
          <xdr:nvSpPr>
            <xdr:cNvPr id="2308" name="Drop Down 260" hidden="1">
              <a:extLst>
                <a:ext uri="{63B3BB69-23CF-44E3-9099-C40C66FF867C}">
                  <a14:compatExt spid="_x0000_s2308"/>
                </a:ext>
                <a:ext uri="{FF2B5EF4-FFF2-40B4-BE49-F238E27FC236}">
                  <a16:creationId xmlns:a16="http://schemas.microsoft.com/office/drawing/2014/main" id="{00000000-0008-0000-0000-00000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265</xdr:row>
          <xdr:rowOff>0</xdr:rowOff>
        </xdr:from>
        <xdr:to>
          <xdr:col>5</xdr:col>
          <xdr:colOff>0</xdr:colOff>
          <xdr:row>265</xdr:row>
          <xdr:rowOff>209550</xdr:rowOff>
        </xdr:to>
        <xdr:sp macro="" textlink="">
          <xdr:nvSpPr>
            <xdr:cNvPr id="2368" name="Drop Down 320" hidden="1">
              <a:extLst>
                <a:ext uri="{63B3BB69-23CF-44E3-9099-C40C66FF867C}">
                  <a14:compatExt spid="_x0000_s2368"/>
                </a:ext>
                <a:ext uri="{FF2B5EF4-FFF2-40B4-BE49-F238E27FC236}">
                  <a16:creationId xmlns:a16="http://schemas.microsoft.com/office/drawing/2014/main" id="{00000000-0008-0000-0000-00004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266</xdr:row>
          <xdr:rowOff>9525</xdr:rowOff>
        </xdr:from>
        <xdr:to>
          <xdr:col>5</xdr:col>
          <xdr:colOff>0</xdr:colOff>
          <xdr:row>266</xdr:row>
          <xdr:rowOff>209550</xdr:rowOff>
        </xdr:to>
        <xdr:sp macro="" textlink="">
          <xdr:nvSpPr>
            <xdr:cNvPr id="2370" name="Drop Down 322" hidden="1">
              <a:extLst>
                <a:ext uri="{63B3BB69-23CF-44E3-9099-C40C66FF867C}">
                  <a14:compatExt spid="_x0000_s2370"/>
                </a:ext>
                <a:ext uri="{FF2B5EF4-FFF2-40B4-BE49-F238E27FC236}">
                  <a16:creationId xmlns:a16="http://schemas.microsoft.com/office/drawing/2014/main" id="{00000000-0008-0000-0000-00004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267</xdr:row>
          <xdr:rowOff>9525</xdr:rowOff>
        </xdr:from>
        <xdr:to>
          <xdr:col>5</xdr:col>
          <xdr:colOff>0</xdr:colOff>
          <xdr:row>267</xdr:row>
          <xdr:rowOff>219075</xdr:rowOff>
        </xdr:to>
        <xdr:sp macro="" textlink="">
          <xdr:nvSpPr>
            <xdr:cNvPr id="2371" name="Drop Down 323" hidden="1">
              <a:extLst>
                <a:ext uri="{63B3BB69-23CF-44E3-9099-C40C66FF867C}">
                  <a14:compatExt spid="_x0000_s2371"/>
                </a:ext>
                <a:ext uri="{FF2B5EF4-FFF2-40B4-BE49-F238E27FC236}">
                  <a16:creationId xmlns:a16="http://schemas.microsoft.com/office/drawing/2014/main" id="{00000000-0008-0000-0000-00004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268</xdr:row>
          <xdr:rowOff>9525</xdr:rowOff>
        </xdr:from>
        <xdr:to>
          <xdr:col>5</xdr:col>
          <xdr:colOff>0</xdr:colOff>
          <xdr:row>268</xdr:row>
          <xdr:rowOff>209550</xdr:rowOff>
        </xdr:to>
        <xdr:sp macro="" textlink="">
          <xdr:nvSpPr>
            <xdr:cNvPr id="2372" name="Drop Down 324" hidden="1">
              <a:extLst>
                <a:ext uri="{63B3BB69-23CF-44E3-9099-C40C66FF867C}">
                  <a14:compatExt spid="_x0000_s2372"/>
                </a:ext>
                <a:ext uri="{FF2B5EF4-FFF2-40B4-BE49-F238E27FC236}">
                  <a16:creationId xmlns:a16="http://schemas.microsoft.com/office/drawing/2014/main" id="{00000000-0008-0000-0000-00004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276</xdr:row>
          <xdr:rowOff>0</xdr:rowOff>
        </xdr:from>
        <xdr:to>
          <xdr:col>0</xdr:col>
          <xdr:colOff>962025</xdr:colOff>
          <xdr:row>277</xdr:row>
          <xdr:rowOff>9525</xdr:rowOff>
        </xdr:to>
        <xdr:sp macro="" textlink="">
          <xdr:nvSpPr>
            <xdr:cNvPr id="2401" name="Drop Down 353" hidden="1">
              <a:extLst>
                <a:ext uri="{63B3BB69-23CF-44E3-9099-C40C66FF867C}">
                  <a14:compatExt spid="_x0000_s2401"/>
                </a:ext>
                <a:ext uri="{FF2B5EF4-FFF2-40B4-BE49-F238E27FC236}">
                  <a16:creationId xmlns:a16="http://schemas.microsoft.com/office/drawing/2014/main" id="{00000000-0008-0000-0000-00006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277</xdr:row>
          <xdr:rowOff>0</xdr:rowOff>
        </xdr:from>
        <xdr:to>
          <xdr:col>0</xdr:col>
          <xdr:colOff>962025</xdr:colOff>
          <xdr:row>278</xdr:row>
          <xdr:rowOff>9525</xdr:rowOff>
        </xdr:to>
        <xdr:sp macro="" textlink="">
          <xdr:nvSpPr>
            <xdr:cNvPr id="2402" name="Drop Down 354" hidden="1">
              <a:extLst>
                <a:ext uri="{63B3BB69-23CF-44E3-9099-C40C66FF867C}">
                  <a14:compatExt spid="_x0000_s2402"/>
                </a:ext>
                <a:ext uri="{FF2B5EF4-FFF2-40B4-BE49-F238E27FC236}">
                  <a16:creationId xmlns:a16="http://schemas.microsoft.com/office/drawing/2014/main" id="{00000000-0008-0000-0000-00006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278</xdr:row>
          <xdr:rowOff>0</xdr:rowOff>
        </xdr:from>
        <xdr:to>
          <xdr:col>0</xdr:col>
          <xdr:colOff>962025</xdr:colOff>
          <xdr:row>279</xdr:row>
          <xdr:rowOff>9525</xdr:rowOff>
        </xdr:to>
        <xdr:sp macro="" textlink="">
          <xdr:nvSpPr>
            <xdr:cNvPr id="2403" name="Drop Down 355" hidden="1">
              <a:extLst>
                <a:ext uri="{63B3BB69-23CF-44E3-9099-C40C66FF867C}">
                  <a14:compatExt spid="_x0000_s2403"/>
                </a:ext>
                <a:ext uri="{FF2B5EF4-FFF2-40B4-BE49-F238E27FC236}">
                  <a16:creationId xmlns:a16="http://schemas.microsoft.com/office/drawing/2014/main" id="{00000000-0008-0000-0000-00006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280</xdr:row>
          <xdr:rowOff>0</xdr:rowOff>
        </xdr:from>
        <xdr:to>
          <xdr:col>0</xdr:col>
          <xdr:colOff>962025</xdr:colOff>
          <xdr:row>281</xdr:row>
          <xdr:rowOff>9525</xdr:rowOff>
        </xdr:to>
        <xdr:sp macro="" textlink="">
          <xdr:nvSpPr>
            <xdr:cNvPr id="2404" name="Drop Down 356" hidden="1">
              <a:extLst>
                <a:ext uri="{63B3BB69-23CF-44E3-9099-C40C66FF867C}">
                  <a14:compatExt spid="_x0000_s2404"/>
                </a:ext>
                <a:ext uri="{FF2B5EF4-FFF2-40B4-BE49-F238E27FC236}">
                  <a16:creationId xmlns:a16="http://schemas.microsoft.com/office/drawing/2014/main" id="{00000000-0008-0000-0000-00006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95250</xdr:colOff>
      <xdr:row>0</xdr:row>
      <xdr:rowOff>47625</xdr:rowOff>
    </xdr:from>
    <xdr:to>
      <xdr:col>12</xdr:col>
      <xdr:colOff>190500</xdr:colOff>
      <xdr:row>3</xdr:row>
      <xdr:rowOff>110490</xdr:rowOff>
    </xdr:to>
    <xdr:pic>
      <xdr:nvPicPr>
        <xdr:cNvPr id="224667" name="Grafik 15" descr="C:\Users\msbo\AppData\Local\Microsoft\Windows\Temporary Internet Files\Content.Outlook\ZLX39RCH\Logo IAB 2.jpg">
          <a:extLst>
            <a:ext uri="{FF2B5EF4-FFF2-40B4-BE49-F238E27FC236}">
              <a16:creationId xmlns:a16="http://schemas.microsoft.com/office/drawing/2014/main" id="{00000000-0008-0000-0000-00009B6D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47625"/>
          <a:ext cx="10382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390524</xdr:colOff>
      <xdr:row>222</xdr:row>
      <xdr:rowOff>19050</xdr:rowOff>
    </xdr:from>
    <xdr:to>
      <xdr:col>1</xdr:col>
      <xdr:colOff>523874</xdr:colOff>
      <xdr:row>225</xdr:row>
      <xdr:rowOff>142876</xdr:rowOff>
    </xdr:to>
    <xdr:sp macro="" textlink="">
      <xdr:nvSpPr>
        <xdr:cNvPr id="42" name="Flussdiagramm: Magnetplattenspeicher 41">
          <a:extLst>
            <a:ext uri="{FF2B5EF4-FFF2-40B4-BE49-F238E27FC236}">
              <a16:creationId xmlns:a16="http://schemas.microsoft.com/office/drawing/2014/main" id="{00000000-0008-0000-0000-00002A000000}"/>
            </a:ext>
          </a:extLst>
        </xdr:cNvPr>
        <xdr:cNvSpPr/>
      </xdr:nvSpPr>
      <xdr:spPr bwMode="auto">
        <a:xfrm>
          <a:off x="390524" y="6353175"/>
          <a:ext cx="1114425" cy="695326"/>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(ohne Separation)</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3</xdr:col>
      <xdr:colOff>158917</xdr:colOff>
      <xdr:row>221</xdr:row>
      <xdr:rowOff>194509</xdr:rowOff>
    </xdr:from>
    <xdr:to>
      <xdr:col>5</xdr:col>
      <xdr:colOff>349417</xdr:colOff>
      <xdr:row>225</xdr:row>
      <xdr:rowOff>127334</xdr:rowOff>
    </xdr:to>
    <xdr:sp macro="" textlink="">
      <xdr:nvSpPr>
        <xdr:cNvPr id="43" name="Flussdiagramm: Magnetplattenspeicher 42">
          <a:extLst>
            <a:ext uri="{FF2B5EF4-FFF2-40B4-BE49-F238E27FC236}">
              <a16:creationId xmlns:a16="http://schemas.microsoft.com/office/drawing/2014/main" id="{00000000-0008-0000-0000-00002B000000}"/>
            </a:ext>
          </a:extLst>
        </xdr:cNvPr>
        <xdr:cNvSpPr/>
      </xdr:nvSpPr>
      <xdr:spPr bwMode="auto">
        <a:xfrm>
          <a:off x="2434891" y="45588654"/>
          <a:ext cx="1203158" cy="734930"/>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a:t>
          </a:r>
          <a:r>
            <a:rPr lang="de-DE" sz="1100" b="1"/>
            <a:t> flüssig</a:t>
          </a:r>
        </a:p>
        <a:p>
          <a:pPr algn="ctr"/>
          <a:r>
            <a:rPr lang="de-DE" sz="1100"/>
            <a:t>(mit</a:t>
          </a:r>
          <a:r>
            <a:rPr lang="de-DE" sz="1100" baseline="0"/>
            <a:t> Separation)</a:t>
          </a:r>
          <a:endParaRPr lang="de-DE" sz="1100"/>
        </a:p>
      </xdr:txBody>
    </xdr:sp>
    <xdr:clientData/>
  </xdr:twoCellAnchor>
  <xdr:twoCellAnchor>
    <xdr:from>
      <xdr:col>8</xdr:col>
      <xdr:colOff>371475</xdr:colOff>
      <xdr:row>222</xdr:row>
      <xdr:rowOff>76200</xdr:rowOff>
    </xdr:from>
    <xdr:to>
      <xdr:col>11</xdr:col>
      <xdr:colOff>361950</xdr:colOff>
      <xdr:row>225</xdr:row>
      <xdr:rowOff>66675</xdr:rowOff>
    </xdr:to>
    <xdr:sp macro="" textlink="">
      <xdr:nvSpPr>
        <xdr:cNvPr id="44" name="Flussdiagramm: Prozess 43">
          <a:extLst>
            <a:ext uri="{FF2B5EF4-FFF2-40B4-BE49-F238E27FC236}">
              <a16:creationId xmlns:a16="http://schemas.microsoft.com/office/drawing/2014/main" id="{00000000-0008-0000-0000-00002C000000}"/>
            </a:ext>
          </a:extLst>
        </xdr:cNvPr>
        <xdr:cNvSpPr/>
      </xdr:nvSpPr>
      <xdr:spPr bwMode="auto">
        <a:xfrm>
          <a:off x="5067300" y="6410325"/>
          <a:ext cx="1047750" cy="561975"/>
        </a:xfrm>
        <a:prstGeom prst="flowChart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fest</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r>
            <a:rPr lang="de-DE" sz="1100" baseline="0"/>
            <a:t>)</a:t>
          </a:r>
          <a:endParaRPr lang="de-DE" sz="1100"/>
        </a:p>
      </xdr:txBody>
    </xdr:sp>
    <xdr:clientData/>
  </xdr:twoCellAnchor>
  <xdr:twoCellAnchor>
    <xdr:from>
      <xdr:col>5</xdr:col>
      <xdr:colOff>481965</xdr:colOff>
      <xdr:row>216</xdr:row>
      <xdr:rowOff>152400</xdr:rowOff>
    </xdr:from>
    <xdr:to>
      <xdr:col>9</xdr:col>
      <xdr:colOff>241935</xdr:colOff>
      <xdr:row>219</xdr:row>
      <xdr:rowOff>114300</xdr:rowOff>
    </xdr:to>
    <xdr:sp macro="" textlink="">
      <xdr:nvSpPr>
        <xdr:cNvPr id="45" name="Flussdiagramm: Alternativer Prozess 44">
          <a:extLst>
            <a:ext uri="{FF2B5EF4-FFF2-40B4-BE49-F238E27FC236}">
              <a16:creationId xmlns:a16="http://schemas.microsoft.com/office/drawing/2014/main" id="{00000000-0008-0000-0000-00002D000000}"/>
            </a:ext>
          </a:extLst>
        </xdr:cNvPr>
        <xdr:cNvSpPr/>
      </xdr:nvSpPr>
      <xdr:spPr bwMode="auto">
        <a:xfrm>
          <a:off x="3857625" y="43875960"/>
          <a:ext cx="1634490" cy="556260"/>
        </a:xfrm>
        <a:prstGeom prst="flowChartAlternate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Separation</a:t>
          </a:r>
        </a:p>
      </xdr:txBody>
    </xdr:sp>
    <xdr:clientData/>
  </xdr:twoCellAnchor>
  <xdr:twoCellAnchor>
    <xdr:from>
      <xdr:col>0</xdr:col>
      <xdr:colOff>960119</xdr:colOff>
      <xdr:row>213</xdr:row>
      <xdr:rowOff>190500</xdr:rowOff>
    </xdr:from>
    <xdr:to>
      <xdr:col>3</xdr:col>
      <xdr:colOff>289560</xdr:colOff>
      <xdr:row>222</xdr:row>
      <xdr:rowOff>19050</xdr:rowOff>
    </xdr:to>
    <xdr:cxnSp macro="">
      <xdr:nvCxnSpPr>
        <xdr:cNvPr id="224672" name="Gerade Verbindung mit Pfeil 17">
          <a:extLst>
            <a:ext uri="{FF2B5EF4-FFF2-40B4-BE49-F238E27FC236}">
              <a16:creationId xmlns:a16="http://schemas.microsoft.com/office/drawing/2014/main" id="{00000000-0008-0000-0000-0000A06D0300}"/>
            </a:ext>
          </a:extLst>
        </xdr:cNvPr>
        <xdr:cNvCxnSpPr>
          <a:cxnSpLocks noChangeShapeType="1"/>
          <a:endCxn id="42" idx="1"/>
        </xdr:cNvCxnSpPr>
      </xdr:nvCxnSpPr>
      <xdr:spPr bwMode="auto">
        <a:xfrm flipH="1">
          <a:off x="960119" y="43319700"/>
          <a:ext cx="1668781" cy="161163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254167</xdr:colOff>
      <xdr:row>219</xdr:row>
      <xdr:rowOff>114300</xdr:rowOff>
    </xdr:from>
    <xdr:to>
      <xdr:col>7</xdr:col>
      <xdr:colOff>266701</xdr:colOff>
      <xdr:row>221</xdr:row>
      <xdr:rowOff>194509</xdr:rowOff>
    </xdr:to>
    <xdr:cxnSp macro="">
      <xdr:nvCxnSpPr>
        <xdr:cNvPr id="224673" name="Gerade Verbindung mit Pfeil 21">
          <a:extLst>
            <a:ext uri="{FF2B5EF4-FFF2-40B4-BE49-F238E27FC236}">
              <a16:creationId xmlns:a16="http://schemas.microsoft.com/office/drawing/2014/main" id="{00000000-0008-0000-0000-0000A16D0300}"/>
            </a:ext>
          </a:extLst>
        </xdr:cNvPr>
        <xdr:cNvCxnSpPr>
          <a:cxnSpLocks noChangeShapeType="1"/>
          <a:stCxn id="45" idx="2"/>
          <a:endCxn id="43" idx="1"/>
        </xdr:cNvCxnSpPr>
      </xdr:nvCxnSpPr>
      <xdr:spPr bwMode="auto">
        <a:xfrm flipH="1">
          <a:off x="3036470" y="45107392"/>
          <a:ext cx="1531520" cy="481262"/>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262890</xdr:colOff>
      <xdr:row>219</xdr:row>
      <xdr:rowOff>114300</xdr:rowOff>
    </xdr:from>
    <xdr:to>
      <xdr:col>9</xdr:col>
      <xdr:colOff>454343</xdr:colOff>
      <xdr:row>222</xdr:row>
      <xdr:rowOff>76200</xdr:rowOff>
    </xdr:to>
    <xdr:cxnSp macro="">
      <xdr:nvCxnSpPr>
        <xdr:cNvPr id="224674" name="Gerade Verbindung mit Pfeil 23">
          <a:extLst>
            <a:ext uri="{FF2B5EF4-FFF2-40B4-BE49-F238E27FC236}">
              <a16:creationId xmlns:a16="http://schemas.microsoft.com/office/drawing/2014/main" id="{00000000-0008-0000-0000-0000A26D0300}"/>
            </a:ext>
          </a:extLst>
        </xdr:cNvPr>
        <xdr:cNvCxnSpPr>
          <a:cxnSpLocks noChangeShapeType="1"/>
          <a:stCxn id="45" idx="2"/>
          <a:endCxn id="44" idx="0"/>
        </xdr:cNvCxnSpPr>
      </xdr:nvCxnSpPr>
      <xdr:spPr bwMode="auto">
        <a:xfrm>
          <a:off x="4674870" y="44432220"/>
          <a:ext cx="1029653" cy="55626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289560</xdr:colOff>
      <xdr:row>214</xdr:row>
      <xdr:rowOff>0</xdr:rowOff>
    </xdr:from>
    <xdr:to>
      <xdr:col>7</xdr:col>
      <xdr:colOff>262890</xdr:colOff>
      <xdr:row>216</xdr:row>
      <xdr:rowOff>152400</xdr:rowOff>
    </xdr:to>
    <xdr:cxnSp macro="">
      <xdr:nvCxnSpPr>
        <xdr:cNvPr id="224675" name="Gerade Verbindung mit Pfeil 26">
          <a:extLst>
            <a:ext uri="{FF2B5EF4-FFF2-40B4-BE49-F238E27FC236}">
              <a16:creationId xmlns:a16="http://schemas.microsoft.com/office/drawing/2014/main" id="{00000000-0008-0000-0000-0000A36D0300}"/>
            </a:ext>
          </a:extLst>
        </xdr:cNvPr>
        <xdr:cNvCxnSpPr>
          <a:cxnSpLocks noChangeShapeType="1"/>
          <a:endCxn id="45" idx="0"/>
        </xdr:cNvCxnSpPr>
      </xdr:nvCxnSpPr>
      <xdr:spPr bwMode="auto">
        <a:xfrm>
          <a:off x="3147060" y="43327320"/>
          <a:ext cx="1527810" cy="54864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0</xdr:colOff>
          <xdr:row>12</xdr:row>
          <xdr:rowOff>9525</xdr:rowOff>
        </xdr:from>
        <xdr:to>
          <xdr:col>8</xdr:col>
          <xdr:colOff>0</xdr:colOff>
          <xdr:row>13</xdr:row>
          <xdr:rowOff>0</xdr:rowOff>
        </xdr:to>
        <xdr:sp macro="" textlink="">
          <xdr:nvSpPr>
            <xdr:cNvPr id="57789" name="Drop Down 2493" hidden="1">
              <a:extLst>
                <a:ext uri="{63B3BB69-23CF-44E3-9099-C40C66FF867C}">
                  <a14:compatExt spid="_x0000_s57789"/>
                </a:ext>
                <a:ext uri="{FF2B5EF4-FFF2-40B4-BE49-F238E27FC236}">
                  <a16:creationId xmlns:a16="http://schemas.microsoft.com/office/drawing/2014/main" id="{00000000-0008-0000-0000-0000BDE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8866</xdr:colOff>
      <xdr:row>16</xdr:row>
      <xdr:rowOff>30324</xdr:rowOff>
    </xdr:from>
    <xdr:to>
      <xdr:col>6</xdr:col>
      <xdr:colOff>84667</xdr:colOff>
      <xdr:row>18</xdr:row>
      <xdr:rowOff>50549</xdr:rowOff>
    </xdr:to>
    <xdr:sp macro="" textlink="">
      <xdr:nvSpPr>
        <xdr:cNvPr id="61" name="Textfeld 18">
          <a:extLst>
            <a:ext uri="{FF2B5EF4-FFF2-40B4-BE49-F238E27FC236}">
              <a16:creationId xmlns:a16="http://schemas.microsoft.com/office/drawing/2014/main" id="{00000000-0008-0000-0000-00003D000000}"/>
            </a:ext>
          </a:extLst>
        </xdr:cNvPr>
        <xdr:cNvSpPr txBox="1"/>
      </xdr:nvSpPr>
      <xdr:spPr>
        <a:xfrm>
          <a:off x="8866" y="3607491"/>
          <a:ext cx="3875218" cy="32714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de-DE" sz="1500" b="1">
              <a:solidFill>
                <a:sysClr val="windowText" lastClr="000000"/>
              </a:solidFill>
            </a:rPr>
            <a:t>Stoffflüsse in der Biogasanlage</a:t>
          </a:r>
        </a:p>
      </xdr:txBody>
    </xdr:sp>
    <xdr:clientData/>
  </xdr:twoCellAnchor>
  <xdr:twoCellAnchor>
    <xdr:from>
      <xdr:col>0</xdr:col>
      <xdr:colOff>140663</xdr:colOff>
      <xdr:row>18</xdr:row>
      <xdr:rowOff>23361</xdr:rowOff>
    </xdr:from>
    <xdr:to>
      <xdr:col>0</xdr:col>
      <xdr:colOff>640296</xdr:colOff>
      <xdr:row>20</xdr:row>
      <xdr:rowOff>43008</xdr:rowOff>
    </xdr:to>
    <xdr:sp macro="" textlink="">
      <xdr:nvSpPr>
        <xdr:cNvPr id="62" name="Ellipse 61">
          <a:extLst>
            <a:ext uri="{FF2B5EF4-FFF2-40B4-BE49-F238E27FC236}">
              <a16:creationId xmlns:a16="http://schemas.microsoft.com/office/drawing/2014/main" id="{00000000-0008-0000-0000-00003E000000}"/>
            </a:ext>
          </a:extLst>
        </xdr:cNvPr>
        <xdr:cNvSpPr/>
      </xdr:nvSpPr>
      <xdr:spPr>
        <a:xfrm>
          <a:off x="140663" y="3976236"/>
          <a:ext cx="499633" cy="329210"/>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1</a:t>
          </a:r>
        </a:p>
      </xdr:txBody>
    </xdr:sp>
    <xdr:clientData/>
  </xdr:twoCellAnchor>
  <xdr:twoCellAnchor>
    <xdr:from>
      <xdr:col>0</xdr:col>
      <xdr:colOff>428625</xdr:colOff>
      <xdr:row>23</xdr:row>
      <xdr:rowOff>35718</xdr:rowOff>
    </xdr:from>
    <xdr:to>
      <xdr:col>1</xdr:col>
      <xdr:colOff>592675</xdr:colOff>
      <xdr:row>27</xdr:row>
      <xdr:rowOff>84666</xdr:rowOff>
    </xdr:to>
    <xdr:sp macro="" textlink="">
      <xdr:nvSpPr>
        <xdr:cNvPr id="72" name="Zylinder 71">
          <a:extLst>
            <a:ext uri="{FF2B5EF4-FFF2-40B4-BE49-F238E27FC236}">
              <a16:creationId xmlns:a16="http://schemas.microsoft.com/office/drawing/2014/main" id="{00000000-0008-0000-0000-000048000000}"/>
            </a:ext>
          </a:extLst>
        </xdr:cNvPr>
        <xdr:cNvSpPr/>
      </xdr:nvSpPr>
      <xdr:spPr>
        <a:xfrm>
          <a:off x="428625" y="4762499"/>
          <a:ext cx="1140363" cy="668073"/>
        </a:xfrm>
        <a:prstGeom prst="can">
          <a:avLst/>
        </a:prstGeom>
        <a:ln/>
      </xdr:spPr>
      <xdr:style>
        <a:lnRef idx="2">
          <a:schemeClr val="accent6">
            <a:shade val="50000"/>
          </a:schemeClr>
        </a:lnRef>
        <a:fillRef idx="1">
          <a:schemeClr val="accent6"/>
        </a:fillRef>
        <a:effectRef idx="0">
          <a:schemeClr val="accent6"/>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300" b="1"/>
            <a:t>Fermenter</a:t>
          </a:r>
        </a:p>
      </xdr:txBody>
    </xdr:sp>
    <xdr:clientData/>
  </xdr:twoCellAnchor>
  <xdr:twoCellAnchor>
    <xdr:from>
      <xdr:col>0</xdr:col>
      <xdr:colOff>937949</xdr:colOff>
      <xdr:row>18</xdr:row>
      <xdr:rowOff>152737</xdr:rowOff>
    </xdr:from>
    <xdr:to>
      <xdr:col>1</xdr:col>
      <xdr:colOff>463192</xdr:colOff>
      <xdr:row>21</xdr:row>
      <xdr:rowOff>28184</xdr:rowOff>
    </xdr:to>
    <xdr:sp macro="" textlink="">
      <xdr:nvSpPr>
        <xdr:cNvPr id="77" name="Ellipse 76">
          <a:extLst>
            <a:ext uri="{FF2B5EF4-FFF2-40B4-BE49-F238E27FC236}">
              <a16:creationId xmlns:a16="http://schemas.microsoft.com/office/drawing/2014/main" id="{00000000-0008-0000-0000-00004D000000}"/>
            </a:ext>
          </a:extLst>
        </xdr:cNvPr>
        <xdr:cNvSpPr/>
      </xdr:nvSpPr>
      <xdr:spPr>
        <a:xfrm>
          <a:off x="937949" y="4105612"/>
          <a:ext cx="501556" cy="339791"/>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2</a:t>
          </a:r>
        </a:p>
      </xdr:txBody>
    </xdr:sp>
    <xdr:clientData/>
  </xdr:twoCellAnchor>
  <xdr:twoCellAnchor>
    <xdr:from>
      <xdr:col>5</xdr:col>
      <xdr:colOff>262369</xdr:colOff>
      <xdr:row>16</xdr:row>
      <xdr:rowOff>109344</xdr:rowOff>
    </xdr:from>
    <xdr:to>
      <xdr:col>6</xdr:col>
      <xdr:colOff>254002</xdr:colOff>
      <xdr:row>18</xdr:row>
      <xdr:rowOff>128991</xdr:rowOff>
    </xdr:to>
    <xdr:sp macro="" textlink="">
      <xdr:nvSpPr>
        <xdr:cNvPr id="78" name="Ellipse 77">
          <a:extLst>
            <a:ext uri="{FF2B5EF4-FFF2-40B4-BE49-F238E27FC236}">
              <a16:creationId xmlns:a16="http://schemas.microsoft.com/office/drawing/2014/main" id="{00000000-0008-0000-0000-00004E000000}"/>
            </a:ext>
          </a:extLst>
        </xdr:cNvPr>
        <xdr:cNvSpPr/>
      </xdr:nvSpPr>
      <xdr:spPr>
        <a:xfrm>
          <a:off x="3543202" y="3686511"/>
          <a:ext cx="499633" cy="326563"/>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3</a:t>
          </a:r>
        </a:p>
      </xdr:txBody>
    </xdr:sp>
    <xdr:clientData/>
  </xdr:twoCellAnchor>
  <xdr:twoCellAnchor>
    <xdr:from>
      <xdr:col>0</xdr:col>
      <xdr:colOff>567126</xdr:colOff>
      <xdr:row>19</xdr:row>
      <xdr:rowOff>149578</xdr:rowOff>
    </xdr:from>
    <xdr:to>
      <xdr:col>0</xdr:col>
      <xdr:colOff>869156</xdr:colOff>
      <xdr:row>23</xdr:row>
      <xdr:rowOff>130969</xdr:rowOff>
    </xdr:to>
    <xdr:cxnSp macro="">
      <xdr:nvCxnSpPr>
        <xdr:cNvPr id="82" name="Gerade Verbindung mit Pfeil 81">
          <a:extLst>
            <a:ext uri="{FF2B5EF4-FFF2-40B4-BE49-F238E27FC236}">
              <a16:creationId xmlns:a16="http://schemas.microsoft.com/office/drawing/2014/main" id="{00000000-0008-0000-0000-000052000000}"/>
            </a:ext>
          </a:extLst>
        </xdr:cNvPr>
        <xdr:cNvCxnSpPr>
          <a:stCxn id="62" idx="5"/>
        </xdr:cNvCxnSpPr>
      </xdr:nvCxnSpPr>
      <xdr:spPr>
        <a:xfrm>
          <a:off x="567126" y="4257234"/>
          <a:ext cx="302030" cy="600516"/>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154781</xdr:colOff>
      <xdr:row>21</xdr:row>
      <xdr:rowOff>28184</xdr:rowOff>
    </xdr:from>
    <xdr:to>
      <xdr:col>1</xdr:col>
      <xdr:colOff>212414</xdr:colOff>
      <xdr:row>23</xdr:row>
      <xdr:rowOff>119064</xdr:rowOff>
    </xdr:to>
    <xdr:cxnSp macro="">
      <xdr:nvCxnSpPr>
        <xdr:cNvPr id="86" name="Gerade Verbindung mit Pfeil 85">
          <a:extLst>
            <a:ext uri="{FF2B5EF4-FFF2-40B4-BE49-F238E27FC236}">
              <a16:creationId xmlns:a16="http://schemas.microsoft.com/office/drawing/2014/main" id="{00000000-0008-0000-0000-000056000000}"/>
            </a:ext>
          </a:extLst>
        </xdr:cNvPr>
        <xdr:cNvCxnSpPr>
          <a:endCxn id="77" idx="4"/>
        </xdr:cNvCxnSpPr>
      </xdr:nvCxnSpPr>
      <xdr:spPr>
        <a:xfrm flipV="1">
          <a:off x="1131094" y="4445403"/>
          <a:ext cx="57633" cy="40044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5</xdr:col>
      <xdr:colOff>84667</xdr:colOff>
      <xdr:row>18</xdr:row>
      <xdr:rowOff>81167</xdr:rowOff>
    </xdr:from>
    <xdr:to>
      <xdr:col>5</xdr:col>
      <xdr:colOff>335539</xdr:colOff>
      <xdr:row>19</xdr:row>
      <xdr:rowOff>137583</xdr:rowOff>
    </xdr:to>
    <xdr:cxnSp macro="">
      <xdr:nvCxnSpPr>
        <xdr:cNvPr id="88" name="Gerade Verbindung mit Pfeil 87">
          <a:extLst>
            <a:ext uri="{FF2B5EF4-FFF2-40B4-BE49-F238E27FC236}">
              <a16:creationId xmlns:a16="http://schemas.microsoft.com/office/drawing/2014/main" id="{00000000-0008-0000-0000-000058000000}"/>
            </a:ext>
          </a:extLst>
        </xdr:cNvPr>
        <xdr:cNvCxnSpPr>
          <a:endCxn id="78" idx="3"/>
        </xdr:cNvCxnSpPr>
      </xdr:nvCxnSpPr>
      <xdr:spPr>
        <a:xfrm flipV="1">
          <a:off x="3365500" y="3965250"/>
          <a:ext cx="250872" cy="20458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261937</xdr:colOff>
      <xdr:row>22</xdr:row>
      <xdr:rowOff>146182</xdr:rowOff>
    </xdr:from>
    <xdr:to>
      <xdr:col>2</xdr:col>
      <xdr:colOff>1</xdr:colOff>
      <xdr:row>23</xdr:row>
      <xdr:rowOff>119063</xdr:rowOff>
    </xdr:to>
    <xdr:cxnSp macro="">
      <xdr:nvCxnSpPr>
        <xdr:cNvPr id="92" name="Gerade Verbindung mit Pfeil 91">
          <a:extLst>
            <a:ext uri="{FF2B5EF4-FFF2-40B4-BE49-F238E27FC236}">
              <a16:creationId xmlns:a16="http://schemas.microsoft.com/office/drawing/2014/main" id="{00000000-0008-0000-0000-00005C000000}"/>
            </a:ext>
          </a:extLst>
        </xdr:cNvPr>
        <xdr:cNvCxnSpPr>
          <a:endCxn id="73" idx="2"/>
        </xdr:cNvCxnSpPr>
      </xdr:nvCxnSpPr>
      <xdr:spPr>
        <a:xfrm flipV="1">
          <a:off x="1238250" y="4718182"/>
          <a:ext cx="666751" cy="12766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9525</xdr:colOff>
      <xdr:row>26</xdr:row>
      <xdr:rowOff>142875</xdr:rowOff>
    </xdr:from>
    <xdr:to>
      <xdr:col>5</xdr:col>
      <xdr:colOff>495300</xdr:colOff>
      <xdr:row>27</xdr:row>
      <xdr:rowOff>95250</xdr:rowOff>
    </xdr:to>
    <xdr:sp macro="" textlink="">
      <xdr:nvSpPr>
        <xdr:cNvPr id="224685" name="Mond 18">
          <a:extLst>
            <a:ext uri="{FF2B5EF4-FFF2-40B4-BE49-F238E27FC236}">
              <a16:creationId xmlns:a16="http://schemas.microsoft.com/office/drawing/2014/main" id="{00000000-0008-0000-0000-0000AD6D0300}"/>
            </a:ext>
          </a:extLst>
        </xdr:cNvPr>
        <xdr:cNvSpPr>
          <a:spLocks noChangeArrowheads="1"/>
        </xdr:cNvSpPr>
      </xdr:nvSpPr>
      <xdr:spPr bwMode="auto">
        <a:xfrm rot="-5400000">
          <a:off x="2800350" y="4391025"/>
          <a:ext cx="104775" cy="1857375"/>
        </a:xfrm>
        <a:prstGeom prst="moon">
          <a:avLst>
            <a:gd name="adj" fmla="val 87500"/>
          </a:avLst>
        </a:prstGeom>
        <a:solidFill>
          <a:srgbClr val="F79646"/>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6</xdr:col>
      <xdr:colOff>47625</xdr:colOff>
      <xdr:row>25</xdr:row>
      <xdr:rowOff>128696</xdr:rowOff>
    </xdr:from>
    <xdr:to>
      <xdr:col>7</xdr:col>
      <xdr:colOff>330102</xdr:colOff>
      <xdr:row>25</xdr:row>
      <xdr:rowOff>130969</xdr:rowOff>
    </xdr:to>
    <xdr:cxnSp macro="">
      <xdr:nvCxnSpPr>
        <xdr:cNvPr id="104" name="Gerade Verbindung mit Pfeil 103">
          <a:extLst>
            <a:ext uri="{FF2B5EF4-FFF2-40B4-BE49-F238E27FC236}">
              <a16:creationId xmlns:a16="http://schemas.microsoft.com/office/drawing/2014/main" id="{00000000-0008-0000-0000-000068000000}"/>
            </a:ext>
          </a:extLst>
        </xdr:cNvPr>
        <xdr:cNvCxnSpPr>
          <a:endCxn id="117" idx="2"/>
        </xdr:cNvCxnSpPr>
      </xdr:nvCxnSpPr>
      <xdr:spPr>
        <a:xfrm flipV="1">
          <a:off x="3810000" y="5165040"/>
          <a:ext cx="782540" cy="227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9525</xdr:colOff>
          <xdr:row>112</xdr:row>
          <xdr:rowOff>9525</xdr:rowOff>
        </xdr:from>
        <xdr:to>
          <xdr:col>2</xdr:col>
          <xdr:colOff>352425</xdr:colOff>
          <xdr:row>113</xdr:row>
          <xdr:rowOff>0</xdr:rowOff>
        </xdr:to>
        <xdr:sp macro="" textlink="">
          <xdr:nvSpPr>
            <xdr:cNvPr id="120435" name="Drop Down 8819" hidden="1">
              <a:extLst>
                <a:ext uri="{63B3BB69-23CF-44E3-9099-C40C66FF867C}">
                  <a14:compatExt spid="_x0000_s120435"/>
                </a:ext>
                <a:ext uri="{FF2B5EF4-FFF2-40B4-BE49-F238E27FC236}">
                  <a16:creationId xmlns:a16="http://schemas.microsoft.com/office/drawing/2014/main" id="{00000000-0008-0000-0000-000073D6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330102</xdr:colOff>
      <xdr:row>24</xdr:row>
      <xdr:rowOff>113581</xdr:rowOff>
    </xdr:from>
    <xdr:to>
      <xdr:col>9</xdr:col>
      <xdr:colOff>4235</xdr:colOff>
      <xdr:row>26</xdr:row>
      <xdr:rowOff>143811</xdr:rowOff>
    </xdr:to>
    <xdr:sp macro="" textlink="">
      <xdr:nvSpPr>
        <xdr:cNvPr id="117" name="Ellipse 116">
          <a:extLst>
            <a:ext uri="{FF2B5EF4-FFF2-40B4-BE49-F238E27FC236}">
              <a16:creationId xmlns:a16="http://schemas.microsoft.com/office/drawing/2014/main" id="{00000000-0008-0000-0000-000075000000}"/>
            </a:ext>
          </a:extLst>
        </xdr:cNvPr>
        <xdr:cNvSpPr/>
      </xdr:nvSpPr>
      <xdr:spPr>
        <a:xfrm>
          <a:off x="4626935" y="4780831"/>
          <a:ext cx="499633" cy="326563"/>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5</a:t>
          </a:r>
        </a:p>
      </xdr:txBody>
    </xdr:sp>
    <xdr:clientData/>
  </xdr:twoCellAnchor>
  <xdr:twoCellAnchor>
    <xdr:from>
      <xdr:col>10</xdr:col>
      <xdr:colOff>0</xdr:colOff>
      <xdr:row>18</xdr:row>
      <xdr:rowOff>76200</xdr:rowOff>
    </xdr:from>
    <xdr:to>
      <xdr:col>12</xdr:col>
      <xdr:colOff>323850</xdr:colOff>
      <xdr:row>23</xdr:row>
      <xdr:rowOff>28575</xdr:rowOff>
    </xdr:to>
    <xdr:grpSp>
      <xdr:nvGrpSpPr>
        <xdr:cNvPr id="224688" name="Gruppieren 6">
          <a:extLst>
            <a:ext uri="{FF2B5EF4-FFF2-40B4-BE49-F238E27FC236}">
              <a16:creationId xmlns:a16="http://schemas.microsoft.com/office/drawing/2014/main" id="{00000000-0008-0000-0000-0000B06D0300}"/>
            </a:ext>
          </a:extLst>
        </xdr:cNvPr>
        <xdr:cNvGrpSpPr>
          <a:grpSpLocks/>
        </xdr:cNvGrpSpPr>
      </xdr:nvGrpSpPr>
      <xdr:grpSpPr bwMode="auto">
        <a:xfrm>
          <a:off x="5569324" y="3998259"/>
          <a:ext cx="816908" cy="736787"/>
          <a:chOff x="5566833" y="3705565"/>
          <a:chExt cx="814916" cy="697101"/>
        </a:xfrm>
      </xdr:grpSpPr>
      <xdr:sp macro="" textlink="">
        <xdr:nvSpPr>
          <xdr:cNvPr id="118" name="Ellipse 117">
            <a:extLst>
              <a:ext uri="{FF2B5EF4-FFF2-40B4-BE49-F238E27FC236}">
                <a16:creationId xmlns:a16="http://schemas.microsoft.com/office/drawing/2014/main" id="{00000000-0008-0000-0000-000076000000}"/>
              </a:ext>
            </a:extLst>
          </xdr:cNvPr>
          <xdr:cNvSpPr/>
        </xdr:nvSpPr>
        <xdr:spPr>
          <a:xfrm>
            <a:off x="5633163" y="3705565"/>
            <a:ext cx="691731" cy="641333"/>
          </a:xfrm>
          <a:prstGeom prst="ellipse">
            <a:avLst/>
          </a:prstGeom>
          <a:solidFill>
            <a:srgbClr val="00B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sp macro="" textlink="">
        <xdr:nvSpPr>
          <xdr:cNvPr id="32" name="Textfeld 31">
            <a:extLst>
              <a:ext uri="{FF2B5EF4-FFF2-40B4-BE49-F238E27FC236}">
                <a16:creationId xmlns:a16="http://schemas.microsoft.com/office/drawing/2014/main" id="{00000000-0008-0000-0000-000020000000}"/>
              </a:ext>
            </a:extLst>
          </xdr:cNvPr>
          <xdr:cNvSpPr txBox="1"/>
        </xdr:nvSpPr>
        <xdr:spPr>
          <a:xfrm>
            <a:off x="5566833" y="3789217"/>
            <a:ext cx="814916" cy="613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900">
                <a:solidFill>
                  <a:schemeClr val="bg1"/>
                </a:solidFill>
                <a:latin typeface="Arial" panose="020B0604020202020204" pitchFamily="34" charset="0"/>
                <a:cs typeface="Arial" panose="020B0604020202020204" pitchFamily="34" charset="0"/>
              </a:rPr>
              <a:t>Nährstoff- flüsse:</a:t>
            </a:r>
            <a:br>
              <a:rPr lang="de-DE" sz="900">
                <a:solidFill>
                  <a:schemeClr val="bg1"/>
                </a:solidFill>
                <a:latin typeface="Arial" panose="020B0604020202020204" pitchFamily="34" charset="0"/>
                <a:cs typeface="Arial" panose="020B0604020202020204" pitchFamily="34" charset="0"/>
              </a:rPr>
            </a:br>
            <a:r>
              <a:rPr lang="de-DE" sz="1100" b="1">
                <a:solidFill>
                  <a:schemeClr val="bg1"/>
                </a:solidFill>
                <a:latin typeface="Arial" panose="020B0604020202020204" pitchFamily="34" charset="0"/>
                <a:cs typeface="Arial" panose="020B0604020202020204" pitchFamily="34" charset="0"/>
              </a:rPr>
              <a:t>WDüngV</a:t>
            </a:r>
          </a:p>
        </xdr:txBody>
      </xdr:sp>
    </xdr:grpSp>
    <xdr:clientData/>
  </xdr:twoCellAnchor>
  <xdr:twoCellAnchor>
    <xdr:from>
      <xdr:col>11</xdr:col>
      <xdr:colOff>172461</xdr:colOff>
      <xdr:row>22</xdr:row>
      <xdr:rowOff>126992</xdr:rowOff>
    </xdr:from>
    <xdr:to>
      <xdr:col>11</xdr:col>
      <xdr:colOff>180927</xdr:colOff>
      <xdr:row>24</xdr:row>
      <xdr:rowOff>113581</xdr:rowOff>
    </xdr:to>
    <xdr:cxnSp macro="">
      <xdr:nvCxnSpPr>
        <xdr:cNvPr id="125" name="Gerade Verbindung mit Pfeil 124">
          <a:extLst>
            <a:ext uri="{FF2B5EF4-FFF2-40B4-BE49-F238E27FC236}">
              <a16:creationId xmlns:a16="http://schemas.microsoft.com/office/drawing/2014/main" id="{00000000-0008-0000-0000-00007D000000}"/>
            </a:ext>
          </a:extLst>
        </xdr:cNvPr>
        <xdr:cNvCxnSpPr>
          <a:stCxn id="118" idx="4"/>
          <a:endCxn id="141" idx="0"/>
        </xdr:cNvCxnSpPr>
      </xdr:nvCxnSpPr>
      <xdr:spPr>
        <a:xfrm>
          <a:off x="5982711" y="4603742"/>
          <a:ext cx="8466" cy="282922"/>
        </a:xfrm>
        <a:prstGeom prst="straightConnector1">
          <a:avLst/>
        </a:prstGeom>
        <a:ln>
          <a:solidFill>
            <a:srgbClr val="00B050"/>
          </a:solidFill>
          <a:prstDash val="sys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10</xdr:col>
      <xdr:colOff>181936</xdr:colOff>
      <xdr:row>24</xdr:row>
      <xdr:rowOff>113581</xdr:rowOff>
    </xdr:from>
    <xdr:to>
      <xdr:col>12</xdr:col>
      <xdr:colOff>179918</xdr:colOff>
      <xdr:row>26</xdr:row>
      <xdr:rowOff>143811</xdr:rowOff>
    </xdr:to>
    <xdr:sp macro="" textlink="">
      <xdr:nvSpPr>
        <xdr:cNvPr id="141" name="Ellipse 140">
          <a:extLst>
            <a:ext uri="{FF2B5EF4-FFF2-40B4-BE49-F238E27FC236}">
              <a16:creationId xmlns:a16="http://schemas.microsoft.com/office/drawing/2014/main" id="{00000000-0008-0000-0000-00008D000000}"/>
            </a:ext>
          </a:extLst>
        </xdr:cNvPr>
        <xdr:cNvSpPr/>
      </xdr:nvSpPr>
      <xdr:spPr>
        <a:xfrm>
          <a:off x="5748769" y="4981914"/>
          <a:ext cx="484816" cy="326564"/>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clientData/>
  </xdr:twoCellAnchor>
  <xdr:twoCellAnchor>
    <xdr:from>
      <xdr:col>9</xdr:col>
      <xdr:colOff>4235</xdr:colOff>
      <xdr:row>25</xdr:row>
      <xdr:rowOff>128696</xdr:rowOff>
    </xdr:from>
    <xdr:to>
      <xdr:col>10</xdr:col>
      <xdr:colOff>181936</xdr:colOff>
      <xdr:row>25</xdr:row>
      <xdr:rowOff>128696</xdr:rowOff>
    </xdr:to>
    <xdr:cxnSp macro="">
      <xdr:nvCxnSpPr>
        <xdr:cNvPr id="150" name="Gerade Verbindung mit Pfeil 149">
          <a:extLst>
            <a:ext uri="{FF2B5EF4-FFF2-40B4-BE49-F238E27FC236}">
              <a16:creationId xmlns:a16="http://schemas.microsoft.com/office/drawing/2014/main" id="{00000000-0008-0000-0000-000096000000}"/>
            </a:ext>
          </a:extLst>
        </xdr:cNvPr>
        <xdr:cNvCxnSpPr>
          <a:stCxn id="117" idx="6"/>
          <a:endCxn id="141" idx="2"/>
        </xdr:cNvCxnSpPr>
      </xdr:nvCxnSpPr>
      <xdr:spPr>
        <a:xfrm>
          <a:off x="5126568" y="4944113"/>
          <a:ext cx="622201"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166111</xdr:colOff>
      <xdr:row>22</xdr:row>
      <xdr:rowOff>25401</xdr:rowOff>
    </xdr:from>
    <xdr:to>
      <xdr:col>8</xdr:col>
      <xdr:colOff>167169</xdr:colOff>
      <xdr:row>24</xdr:row>
      <xdr:rowOff>113581</xdr:rowOff>
    </xdr:to>
    <xdr:cxnSp macro="">
      <xdr:nvCxnSpPr>
        <xdr:cNvPr id="159" name="Gerade Verbindung mit Pfeil 158">
          <a:extLst>
            <a:ext uri="{FF2B5EF4-FFF2-40B4-BE49-F238E27FC236}">
              <a16:creationId xmlns:a16="http://schemas.microsoft.com/office/drawing/2014/main" id="{00000000-0008-0000-0000-00009F000000}"/>
            </a:ext>
          </a:extLst>
        </xdr:cNvPr>
        <xdr:cNvCxnSpPr>
          <a:endCxn id="117" idx="0"/>
        </xdr:cNvCxnSpPr>
      </xdr:nvCxnSpPr>
      <xdr:spPr>
        <a:xfrm>
          <a:off x="4875694" y="4396318"/>
          <a:ext cx="1058" cy="384513"/>
        </a:xfrm>
        <a:prstGeom prst="straightConnector1">
          <a:avLst/>
        </a:prstGeom>
        <a:ln>
          <a:solidFill>
            <a:srgbClr val="00B050"/>
          </a:solidFill>
          <a:prstDash val="sys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66675</xdr:colOff>
      <xdr:row>18</xdr:row>
      <xdr:rowOff>66675</xdr:rowOff>
    </xdr:from>
    <xdr:to>
      <xdr:col>9</xdr:col>
      <xdr:colOff>266700</xdr:colOff>
      <xdr:row>22</xdr:row>
      <xdr:rowOff>133350</xdr:rowOff>
    </xdr:to>
    <xdr:grpSp>
      <xdr:nvGrpSpPr>
        <xdr:cNvPr id="224693" name="Gruppieren 7">
          <a:extLst>
            <a:ext uri="{FF2B5EF4-FFF2-40B4-BE49-F238E27FC236}">
              <a16:creationId xmlns:a16="http://schemas.microsoft.com/office/drawing/2014/main" id="{00000000-0008-0000-0000-0000B56D0300}"/>
            </a:ext>
          </a:extLst>
        </xdr:cNvPr>
        <xdr:cNvGrpSpPr>
          <a:grpSpLocks/>
        </xdr:cNvGrpSpPr>
      </xdr:nvGrpSpPr>
      <xdr:grpSpPr bwMode="auto">
        <a:xfrm>
          <a:off x="4358528" y="3988734"/>
          <a:ext cx="1029260" cy="694204"/>
          <a:chOff x="4360333" y="3953213"/>
          <a:chExt cx="1026583" cy="661117"/>
        </a:xfrm>
      </xdr:grpSpPr>
      <xdr:sp macro="" textlink="">
        <xdr:nvSpPr>
          <xdr:cNvPr id="152" name="Ellipse 151">
            <a:extLst>
              <a:ext uri="{FF2B5EF4-FFF2-40B4-BE49-F238E27FC236}">
                <a16:creationId xmlns:a16="http://schemas.microsoft.com/office/drawing/2014/main" id="{00000000-0008-0000-0000-000098000000}"/>
              </a:ext>
            </a:extLst>
          </xdr:cNvPr>
          <xdr:cNvSpPr/>
        </xdr:nvSpPr>
        <xdr:spPr>
          <a:xfrm>
            <a:off x="4494652" y="3953213"/>
            <a:ext cx="719568" cy="642494"/>
          </a:xfrm>
          <a:prstGeom prst="ellipse">
            <a:avLst/>
          </a:prstGeom>
          <a:solidFill>
            <a:srgbClr val="00B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a:p>
            <a:pPr algn="ctr"/>
            <a:endParaRPr lang="de-DE" sz="1200">
              <a:latin typeface="Arial" panose="020B0604020202020204" pitchFamily="34" charset="0"/>
              <a:cs typeface="Arial" panose="020B0604020202020204" pitchFamily="34" charset="0"/>
            </a:endParaRPr>
          </a:p>
        </xdr:txBody>
      </xdr:sp>
      <xdr:sp macro="" textlink="">
        <xdr:nvSpPr>
          <xdr:cNvPr id="161" name="Textfeld 160">
            <a:extLst>
              <a:ext uri="{FF2B5EF4-FFF2-40B4-BE49-F238E27FC236}">
                <a16:creationId xmlns:a16="http://schemas.microsoft.com/office/drawing/2014/main" id="{00000000-0008-0000-0000-0000A1000000}"/>
              </a:ext>
            </a:extLst>
          </xdr:cNvPr>
          <xdr:cNvSpPr txBox="1"/>
        </xdr:nvSpPr>
        <xdr:spPr>
          <a:xfrm>
            <a:off x="4360333" y="4111509"/>
            <a:ext cx="1026583" cy="50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900">
                <a:solidFill>
                  <a:schemeClr val="bg1"/>
                </a:solidFill>
                <a:latin typeface="Arial" panose="020B0604020202020204" pitchFamily="34" charset="0"/>
                <a:cs typeface="Arial" panose="020B0604020202020204" pitchFamily="34" charset="0"/>
              </a:rPr>
              <a:t>Lagerraum:</a:t>
            </a:r>
            <a:br>
              <a:rPr lang="de-DE" sz="900">
                <a:solidFill>
                  <a:schemeClr val="bg1"/>
                </a:solidFill>
                <a:latin typeface="Arial" panose="020B0604020202020204" pitchFamily="34" charset="0"/>
                <a:cs typeface="Arial" panose="020B0604020202020204" pitchFamily="34" charset="0"/>
              </a:rPr>
            </a:br>
            <a:r>
              <a:rPr lang="de-DE" sz="1100" b="1">
                <a:solidFill>
                  <a:schemeClr val="bg1"/>
                </a:solidFill>
                <a:latin typeface="Arial" panose="020B0604020202020204" pitchFamily="34" charset="0"/>
                <a:cs typeface="Arial" panose="020B0604020202020204" pitchFamily="34" charset="0"/>
              </a:rPr>
              <a:t>DüV</a:t>
            </a:r>
          </a:p>
        </xdr:txBody>
      </xdr:sp>
    </xdr:grpSp>
    <xdr:clientData/>
  </xdr:twoCellAnchor>
  <xdr:twoCellAnchor>
    <xdr:from>
      <xdr:col>10</xdr:col>
      <xdr:colOff>84667</xdr:colOff>
      <xdr:row>25</xdr:row>
      <xdr:rowOff>10582</xdr:rowOff>
    </xdr:from>
    <xdr:to>
      <xdr:col>12</xdr:col>
      <xdr:colOff>306916</xdr:colOff>
      <xdr:row>26</xdr:row>
      <xdr:rowOff>137582</xdr:rowOff>
    </xdr:to>
    <xdr:sp macro="" textlink="">
      <xdr:nvSpPr>
        <xdr:cNvPr id="83" name="Textfeld 82">
          <a:extLst>
            <a:ext uri="{FF2B5EF4-FFF2-40B4-BE49-F238E27FC236}">
              <a16:creationId xmlns:a16="http://schemas.microsoft.com/office/drawing/2014/main" id="{00000000-0008-0000-0000-000053000000}"/>
            </a:ext>
          </a:extLst>
        </xdr:cNvPr>
        <xdr:cNvSpPr txBox="1"/>
      </xdr:nvSpPr>
      <xdr:spPr>
        <a:xfrm>
          <a:off x="5662084" y="4931832"/>
          <a:ext cx="709082"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200">
              <a:solidFill>
                <a:sysClr val="windowText" lastClr="000000"/>
              </a:solidFill>
              <a:latin typeface="Arial" panose="020B0604020202020204" pitchFamily="34" charset="0"/>
              <a:cs typeface="Arial" panose="020B0604020202020204" pitchFamily="34" charset="0"/>
            </a:rPr>
            <a:t>6/7</a:t>
          </a:r>
          <a:endParaRPr lang="de-DE" sz="12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233627</xdr:colOff>
      <xdr:row>18</xdr:row>
      <xdr:rowOff>114300</xdr:rowOff>
    </xdr:from>
    <xdr:to>
      <xdr:col>5</xdr:col>
      <xdr:colOff>47626</xdr:colOff>
      <xdr:row>20</xdr:row>
      <xdr:rowOff>83342</xdr:rowOff>
    </xdr:to>
    <xdr:sp macro="" textlink="">
      <xdr:nvSpPr>
        <xdr:cNvPr id="85" name="Textfeld 84">
          <a:extLst>
            <a:ext uri="{FF2B5EF4-FFF2-40B4-BE49-F238E27FC236}">
              <a16:creationId xmlns:a16="http://schemas.microsoft.com/office/drawing/2014/main" id="{00000000-0008-0000-0000-000055000000}"/>
            </a:ext>
          </a:extLst>
        </xdr:cNvPr>
        <xdr:cNvSpPr txBox="1"/>
      </xdr:nvSpPr>
      <xdr:spPr>
        <a:xfrm>
          <a:off x="2138627" y="4067175"/>
          <a:ext cx="1171312" cy="278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300" b="1" u="sng">
              <a:solidFill>
                <a:sysClr val="windowText" lastClr="000000"/>
              </a:solidFill>
              <a:latin typeface="Arial" panose="020B0604020202020204" pitchFamily="34" charset="0"/>
              <a:cs typeface="Arial" panose="020B0604020202020204" pitchFamily="34" charset="0"/>
            </a:rPr>
            <a:t>Jahresanfall</a:t>
          </a:r>
        </a:p>
      </xdr:txBody>
    </xdr:sp>
    <xdr:clientData/>
  </xdr:twoCellAnchor>
  <xdr:twoCellAnchor>
    <xdr:from>
      <xdr:col>6</xdr:col>
      <xdr:colOff>296334</xdr:colOff>
      <xdr:row>16</xdr:row>
      <xdr:rowOff>55724</xdr:rowOff>
    </xdr:from>
    <xdr:to>
      <xdr:col>12</xdr:col>
      <xdr:colOff>423334</xdr:colOff>
      <xdr:row>18</xdr:row>
      <xdr:rowOff>75949</xdr:rowOff>
    </xdr:to>
    <xdr:sp macro="" textlink="">
      <xdr:nvSpPr>
        <xdr:cNvPr id="89" name="Textfeld 18">
          <a:extLst>
            <a:ext uri="{FF2B5EF4-FFF2-40B4-BE49-F238E27FC236}">
              <a16:creationId xmlns:a16="http://schemas.microsoft.com/office/drawing/2014/main" id="{00000000-0008-0000-0000-000059000000}"/>
            </a:ext>
          </a:extLst>
        </xdr:cNvPr>
        <xdr:cNvSpPr txBox="1"/>
      </xdr:nvSpPr>
      <xdr:spPr>
        <a:xfrm>
          <a:off x="4095751" y="3632891"/>
          <a:ext cx="2391833" cy="32714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de-DE" sz="1500" b="1">
              <a:solidFill>
                <a:sysClr val="windowText" lastClr="000000"/>
              </a:solidFill>
            </a:rPr>
            <a:t>Vorgaben Verordnungen</a:t>
          </a:r>
        </a:p>
      </xdr:txBody>
    </xdr:sp>
    <xdr:clientData/>
  </xdr:twoCellAnchor>
  <xdr:twoCellAnchor>
    <xdr:from>
      <xdr:col>6</xdr:col>
      <xdr:colOff>317500</xdr:colOff>
      <xdr:row>16</xdr:row>
      <xdr:rowOff>62195</xdr:rowOff>
    </xdr:from>
    <xdr:to>
      <xdr:col>12</xdr:col>
      <xdr:colOff>402166</xdr:colOff>
      <xdr:row>28</xdr:row>
      <xdr:rowOff>10584</xdr:rowOff>
    </xdr:to>
    <xdr:sp macro="" textlink="">
      <xdr:nvSpPr>
        <xdr:cNvPr id="90" name="Rechteck 89">
          <a:extLst>
            <a:ext uri="{FF2B5EF4-FFF2-40B4-BE49-F238E27FC236}">
              <a16:creationId xmlns:a16="http://schemas.microsoft.com/office/drawing/2014/main" id="{00000000-0008-0000-0000-00005A000000}"/>
            </a:ext>
          </a:extLst>
        </xdr:cNvPr>
        <xdr:cNvSpPr/>
      </xdr:nvSpPr>
      <xdr:spPr>
        <a:xfrm>
          <a:off x="4079875" y="3693601"/>
          <a:ext cx="2346854" cy="1781952"/>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1</xdr:col>
      <xdr:colOff>704850</xdr:colOff>
      <xdr:row>205</xdr:row>
      <xdr:rowOff>0</xdr:rowOff>
    </xdr:from>
    <xdr:to>
      <xdr:col>4</xdr:col>
      <xdr:colOff>0</xdr:colOff>
      <xdr:row>211</xdr:row>
      <xdr:rowOff>19050</xdr:rowOff>
    </xdr:to>
    <xdr:cxnSp macro="">
      <xdr:nvCxnSpPr>
        <xdr:cNvPr id="224698" name="Gerade Verbindung mit Pfeil 28">
          <a:extLst>
            <a:ext uri="{FF2B5EF4-FFF2-40B4-BE49-F238E27FC236}">
              <a16:creationId xmlns:a16="http://schemas.microsoft.com/office/drawing/2014/main" id="{00000000-0008-0000-0000-0000BA6D0300}"/>
            </a:ext>
          </a:extLst>
        </xdr:cNvPr>
        <xdr:cNvCxnSpPr>
          <a:cxnSpLocks noChangeShapeType="1"/>
          <a:endCxn id="8" idx="0"/>
        </xdr:cNvCxnSpPr>
      </xdr:nvCxnSpPr>
      <xdr:spPr bwMode="auto">
        <a:xfrm>
          <a:off x="1685925" y="41986200"/>
          <a:ext cx="1095375" cy="1257300"/>
        </a:xfrm>
        <a:prstGeom prst="straightConnector1">
          <a:avLst/>
        </a:prstGeom>
        <a:noFill/>
        <a:ln w="9525" algn="ctr">
          <a:solidFill>
            <a:srgbClr val="000000"/>
          </a:solidFill>
          <a:prstDash val="dash"/>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4</xdr:col>
          <xdr:colOff>142875</xdr:colOff>
          <xdr:row>307</xdr:row>
          <xdr:rowOff>9525</xdr:rowOff>
        </xdr:from>
        <xdr:to>
          <xdr:col>4</xdr:col>
          <xdr:colOff>381000</xdr:colOff>
          <xdr:row>308</xdr:row>
          <xdr:rowOff>9525</xdr:rowOff>
        </xdr:to>
        <xdr:sp macro="" textlink="">
          <xdr:nvSpPr>
            <xdr:cNvPr id="129542" name="Check Box 11782" hidden="1">
              <a:extLst>
                <a:ext uri="{63B3BB69-23CF-44E3-9099-C40C66FF867C}">
                  <a14:compatExt spid="_x0000_s129542"/>
                </a:ext>
                <a:ext uri="{FF2B5EF4-FFF2-40B4-BE49-F238E27FC236}">
                  <a16:creationId xmlns:a16="http://schemas.microsoft.com/office/drawing/2014/main" id="{00000000-0008-0000-0000-00000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67</xdr:row>
          <xdr:rowOff>0</xdr:rowOff>
        </xdr:from>
        <xdr:to>
          <xdr:col>12</xdr:col>
          <xdr:colOff>342900</xdr:colOff>
          <xdr:row>67</xdr:row>
          <xdr:rowOff>200025</xdr:rowOff>
        </xdr:to>
        <xdr:sp macro="" textlink="">
          <xdr:nvSpPr>
            <xdr:cNvPr id="131405" name="Check Box 12621" hidden="1">
              <a:extLst>
                <a:ext uri="{63B3BB69-23CF-44E3-9099-C40C66FF867C}">
                  <a14:compatExt spid="_x0000_s131405"/>
                </a:ext>
                <a:ext uri="{FF2B5EF4-FFF2-40B4-BE49-F238E27FC236}">
                  <a16:creationId xmlns:a16="http://schemas.microsoft.com/office/drawing/2014/main" id="{00000000-0008-0000-0000-00004D0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70</xdr:row>
          <xdr:rowOff>9525</xdr:rowOff>
        </xdr:from>
        <xdr:to>
          <xdr:col>12</xdr:col>
          <xdr:colOff>342900</xdr:colOff>
          <xdr:row>70</xdr:row>
          <xdr:rowOff>209550</xdr:rowOff>
        </xdr:to>
        <xdr:sp macro="" textlink="">
          <xdr:nvSpPr>
            <xdr:cNvPr id="131702" name="Check Box 12918" hidden="1">
              <a:extLst>
                <a:ext uri="{63B3BB69-23CF-44E3-9099-C40C66FF867C}">
                  <a14:compatExt spid="_x0000_s131702"/>
                </a:ext>
                <a:ext uri="{FF2B5EF4-FFF2-40B4-BE49-F238E27FC236}">
                  <a16:creationId xmlns:a16="http://schemas.microsoft.com/office/drawing/2014/main" id="{00000000-0008-0000-0000-000076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73</xdr:row>
          <xdr:rowOff>0</xdr:rowOff>
        </xdr:from>
        <xdr:to>
          <xdr:col>12</xdr:col>
          <xdr:colOff>342900</xdr:colOff>
          <xdr:row>73</xdr:row>
          <xdr:rowOff>200025</xdr:rowOff>
        </xdr:to>
        <xdr:sp macro="" textlink="">
          <xdr:nvSpPr>
            <xdr:cNvPr id="131703" name="Check Box 12919" hidden="1">
              <a:extLst>
                <a:ext uri="{63B3BB69-23CF-44E3-9099-C40C66FF867C}">
                  <a14:compatExt spid="_x0000_s131703"/>
                </a:ext>
                <a:ext uri="{FF2B5EF4-FFF2-40B4-BE49-F238E27FC236}">
                  <a16:creationId xmlns:a16="http://schemas.microsoft.com/office/drawing/2014/main" id="{00000000-0008-0000-0000-000077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71</xdr:row>
          <xdr:rowOff>0</xdr:rowOff>
        </xdr:from>
        <xdr:to>
          <xdr:col>12</xdr:col>
          <xdr:colOff>352425</xdr:colOff>
          <xdr:row>71</xdr:row>
          <xdr:rowOff>200025</xdr:rowOff>
        </xdr:to>
        <xdr:sp macro="" textlink="">
          <xdr:nvSpPr>
            <xdr:cNvPr id="131705" name="Check Box 12921" hidden="1">
              <a:extLst>
                <a:ext uri="{63B3BB69-23CF-44E3-9099-C40C66FF867C}">
                  <a14:compatExt spid="_x0000_s131705"/>
                </a:ext>
                <a:ext uri="{FF2B5EF4-FFF2-40B4-BE49-F238E27FC236}">
                  <a16:creationId xmlns:a16="http://schemas.microsoft.com/office/drawing/2014/main" id="{00000000-0008-0000-0000-000079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72</xdr:row>
          <xdr:rowOff>0</xdr:rowOff>
        </xdr:from>
        <xdr:to>
          <xdr:col>12</xdr:col>
          <xdr:colOff>342900</xdr:colOff>
          <xdr:row>72</xdr:row>
          <xdr:rowOff>200025</xdr:rowOff>
        </xdr:to>
        <xdr:sp macro="" textlink="">
          <xdr:nvSpPr>
            <xdr:cNvPr id="131706" name="Check Box 12922" hidden="1">
              <a:extLst>
                <a:ext uri="{63B3BB69-23CF-44E3-9099-C40C66FF867C}">
                  <a14:compatExt spid="_x0000_s131706"/>
                </a:ext>
                <a:ext uri="{FF2B5EF4-FFF2-40B4-BE49-F238E27FC236}">
                  <a16:creationId xmlns:a16="http://schemas.microsoft.com/office/drawing/2014/main" id="{00000000-0008-0000-0000-00007A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74</xdr:row>
          <xdr:rowOff>0</xdr:rowOff>
        </xdr:from>
        <xdr:to>
          <xdr:col>12</xdr:col>
          <xdr:colOff>352425</xdr:colOff>
          <xdr:row>74</xdr:row>
          <xdr:rowOff>200025</xdr:rowOff>
        </xdr:to>
        <xdr:sp macro="" textlink="">
          <xdr:nvSpPr>
            <xdr:cNvPr id="131707" name="Check Box 12923" hidden="1">
              <a:extLst>
                <a:ext uri="{63B3BB69-23CF-44E3-9099-C40C66FF867C}">
                  <a14:compatExt spid="_x0000_s131707"/>
                </a:ext>
                <a:ext uri="{FF2B5EF4-FFF2-40B4-BE49-F238E27FC236}">
                  <a16:creationId xmlns:a16="http://schemas.microsoft.com/office/drawing/2014/main" id="{00000000-0008-0000-0000-00007B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75</xdr:row>
          <xdr:rowOff>0</xdr:rowOff>
        </xdr:from>
        <xdr:to>
          <xdr:col>12</xdr:col>
          <xdr:colOff>352425</xdr:colOff>
          <xdr:row>75</xdr:row>
          <xdr:rowOff>200025</xdr:rowOff>
        </xdr:to>
        <xdr:sp macro="" textlink="">
          <xdr:nvSpPr>
            <xdr:cNvPr id="131708" name="Check Box 12924" hidden="1">
              <a:extLst>
                <a:ext uri="{63B3BB69-23CF-44E3-9099-C40C66FF867C}">
                  <a14:compatExt spid="_x0000_s131708"/>
                </a:ext>
                <a:ext uri="{FF2B5EF4-FFF2-40B4-BE49-F238E27FC236}">
                  <a16:creationId xmlns:a16="http://schemas.microsoft.com/office/drawing/2014/main" id="{00000000-0008-0000-0000-00007C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78</xdr:row>
          <xdr:rowOff>0</xdr:rowOff>
        </xdr:from>
        <xdr:to>
          <xdr:col>12</xdr:col>
          <xdr:colOff>352425</xdr:colOff>
          <xdr:row>78</xdr:row>
          <xdr:rowOff>200025</xdr:rowOff>
        </xdr:to>
        <xdr:sp macro="" textlink="">
          <xdr:nvSpPr>
            <xdr:cNvPr id="131709" name="Check Box 12925" hidden="1">
              <a:extLst>
                <a:ext uri="{63B3BB69-23CF-44E3-9099-C40C66FF867C}">
                  <a14:compatExt spid="_x0000_s131709"/>
                </a:ext>
                <a:ext uri="{FF2B5EF4-FFF2-40B4-BE49-F238E27FC236}">
                  <a16:creationId xmlns:a16="http://schemas.microsoft.com/office/drawing/2014/main" id="{00000000-0008-0000-0000-00007D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79</xdr:row>
          <xdr:rowOff>0</xdr:rowOff>
        </xdr:from>
        <xdr:to>
          <xdr:col>12</xdr:col>
          <xdr:colOff>352425</xdr:colOff>
          <xdr:row>79</xdr:row>
          <xdr:rowOff>200025</xdr:rowOff>
        </xdr:to>
        <xdr:sp macro="" textlink="">
          <xdr:nvSpPr>
            <xdr:cNvPr id="131710" name="Check Box 12926" hidden="1">
              <a:extLst>
                <a:ext uri="{63B3BB69-23CF-44E3-9099-C40C66FF867C}">
                  <a14:compatExt spid="_x0000_s131710"/>
                </a:ext>
                <a:ext uri="{FF2B5EF4-FFF2-40B4-BE49-F238E27FC236}">
                  <a16:creationId xmlns:a16="http://schemas.microsoft.com/office/drawing/2014/main" id="{00000000-0008-0000-0000-00007E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80</xdr:row>
          <xdr:rowOff>0</xdr:rowOff>
        </xdr:from>
        <xdr:to>
          <xdr:col>12</xdr:col>
          <xdr:colOff>352425</xdr:colOff>
          <xdr:row>80</xdr:row>
          <xdr:rowOff>200025</xdr:rowOff>
        </xdr:to>
        <xdr:sp macro="" textlink="">
          <xdr:nvSpPr>
            <xdr:cNvPr id="131711" name="Check Box 12927" hidden="1">
              <a:extLst>
                <a:ext uri="{63B3BB69-23CF-44E3-9099-C40C66FF867C}">
                  <a14:compatExt spid="_x0000_s131711"/>
                </a:ext>
                <a:ext uri="{FF2B5EF4-FFF2-40B4-BE49-F238E27FC236}">
                  <a16:creationId xmlns:a16="http://schemas.microsoft.com/office/drawing/2014/main" id="{00000000-0008-0000-0000-00007F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82</xdr:row>
          <xdr:rowOff>0</xdr:rowOff>
        </xdr:from>
        <xdr:to>
          <xdr:col>12</xdr:col>
          <xdr:colOff>352425</xdr:colOff>
          <xdr:row>82</xdr:row>
          <xdr:rowOff>200025</xdr:rowOff>
        </xdr:to>
        <xdr:sp macro="" textlink="">
          <xdr:nvSpPr>
            <xdr:cNvPr id="131712" name="Check Box 12928" hidden="1">
              <a:extLst>
                <a:ext uri="{63B3BB69-23CF-44E3-9099-C40C66FF867C}">
                  <a14:compatExt spid="_x0000_s131712"/>
                </a:ext>
                <a:ext uri="{FF2B5EF4-FFF2-40B4-BE49-F238E27FC236}">
                  <a16:creationId xmlns:a16="http://schemas.microsoft.com/office/drawing/2014/main" id="{00000000-0008-0000-0000-000080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85</xdr:row>
          <xdr:rowOff>0</xdr:rowOff>
        </xdr:from>
        <xdr:to>
          <xdr:col>12</xdr:col>
          <xdr:colOff>352425</xdr:colOff>
          <xdr:row>85</xdr:row>
          <xdr:rowOff>200025</xdr:rowOff>
        </xdr:to>
        <xdr:sp macro="" textlink="">
          <xdr:nvSpPr>
            <xdr:cNvPr id="131713" name="Check Box 12929" hidden="1">
              <a:extLst>
                <a:ext uri="{63B3BB69-23CF-44E3-9099-C40C66FF867C}">
                  <a14:compatExt spid="_x0000_s131713"/>
                </a:ext>
                <a:ext uri="{FF2B5EF4-FFF2-40B4-BE49-F238E27FC236}">
                  <a16:creationId xmlns:a16="http://schemas.microsoft.com/office/drawing/2014/main" id="{00000000-0008-0000-0000-000081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86</xdr:row>
          <xdr:rowOff>0</xdr:rowOff>
        </xdr:from>
        <xdr:to>
          <xdr:col>12</xdr:col>
          <xdr:colOff>352425</xdr:colOff>
          <xdr:row>86</xdr:row>
          <xdr:rowOff>200025</xdr:rowOff>
        </xdr:to>
        <xdr:sp macro="" textlink="">
          <xdr:nvSpPr>
            <xdr:cNvPr id="131714" name="Check Box 12930" hidden="1">
              <a:extLst>
                <a:ext uri="{63B3BB69-23CF-44E3-9099-C40C66FF867C}">
                  <a14:compatExt spid="_x0000_s131714"/>
                </a:ext>
                <a:ext uri="{FF2B5EF4-FFF2-40B4-BE49-F238E27FC236}">
                  <a16:creationId xmlns:a16="http://schemas.microsoft.com/office/drawing/2014/main" id="{00000000-0008-0000-0000-000082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68</xdr:row>
          <xdr:rowOff>0</xdr:rowOff>
        </xdr:from>
        <xdr:to>
          <xdr:col>12</xdr:col>
          <xdr:colOff>342900</xdr:colOff>
          <xdr:row>68</xdr:row>
          <xdr:rowOff>200025</xdr:rowOff>
        </xdr:to>
        <xdr:sp macro="" textlink="">
          <xdr:nvSpPr>
            <xdr:cNvPr id="131848" name="Check Box 13064" hidden="1">
              <a:extLst>
                <a:ext uri="{63B3BB69-23CF-44E3-9099-C40C66FF867C}">
                  <a14:compatExt spid="_x0000_s131848"/>
                </a:ext>
                <a:ext uri="{FF2B5EF4-FFF2-40B4-BE49-F238E27FC236}">
                  <a16:creationId xmlns:a16="http://schemas.microsoft.com/office/drawing/2014/main" id="{00000000-0008-0000-0000-0000080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69</xdr:row>
          <xdr:rowOff>0</xdr:rowOff>
        </xdr:from>
        <xdr:to>
          <xdr:col>12</xdr:col>
          <xdr:colOff>342900</xdr:colOff>
          <xdr:row>69</xdr:row>
          <xdr:rowOff>200025</xdr:rowOff>
        </xdr:to>
        <xdr:sp macro="" textlink="">
          <xdr:nvSpPr>
            <xdr:cNvPr id="131849" name="Check Box 13065" hidden="1">
              <a:extLst>
                <a:ext uri="{63B3BB69-23CF-44E3-9099-C40C66FF867C}">
                  <a14:compatExt spid="_x0000_s131849"/>
                </a:ext>
                <a:ext uri="{FF2B5EF4-FFF2-40B4-BE49-F238E27FC236}">
                  <a16:creationId xmlns:a16="http://schemas.microsoft.com/office/drawing/2014/main" id="{00000000-0008-0000-0000-0000090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163</xdr:row>
          <xdr:rowOff>9525</xdr:rowOff>
        </xdr:from>
        <xdr:to>
          <xdr:col>12</xdr:col>
          <xdr:colOff>428625</xdr:colOff>
          <xdr:row>164</xdr:row>
          <xdr:rowOff>0</xdr:rowOff>
        </xdr:to>
        <xdr:sp macro="" textlink="">
          <xdr:nvSpPr>
            <xdr:cNvPr id="136820" name="Drop Down 14964" hidden="1">
              <a:extLst>
                <a:ext uri="{63B3BB69-23CF-44E3-9099-C40C66FF867C}">
                  <a14:compatExt spid="_x0000_s136820"/>
                </a:ext>
                <a:ext uri="{FF2B5EF4-FFF2-40B4-BE49-F238E27FC236}">
                  <a16:creationId xmlns:a16="http://schemas.microsoft.com/office/drawing/2014/main" id="{00000000-0008-0000-0000-00007416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308</xdr:row>
          <xdr:rowOff>9525</xdr:rowOff>
        </xdr:from>
        <xdr:to>
          <xdr:col>4</xdr:col>
          <xdr:colOff>381000</xdr:colOff>
          <xdr:row>309</xdr:row>
          <xdr:rowOff>0</xdr:rowOff>
        </xdr:to>
        <xdr:sp macro="" textlink="">
          <xdr:nvSpPr>
            <xdr:cNvPr id="139226" name="Check Box 16346" hidden="1">
              <a:extLst>
                <a:ext uri="{63B3BB69-23CF-44E3-9099-C40C66FF867C}">
                  <a14:compatExt spid="_x0000_s139226"/>
                </a:ext>
                <a:ext uri="{FF2B5EF4-FFF2-40B4-BE49-F238E27FC236}">
                  <a16:creationId xmlns:a16="http://schemas.microsoft.com/office/drawing/2014/main" id="{00000000-0008-0000-0000-0000DA1F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309</xdr:row>
          <xdr:rowOff>9525</xdr:rowOff>
        </xdr:from>
        <xdr:to>
          <xdr:col>4</xdr:col>
          <xdr:colOff>381000</xdr:colOff>
          <xdr:row>310</xdr:row>
          <xdr:rowOff>0</xdr:rowOff>
        </xdr:to>
        <xdr:sp macro="" textlink="">
          <xdr:nvSpPr>
            <xdr:cNvPr id="139227" name="Check Box 16347" hidden="1">
              <a:extLst>
                <a:ext uri="{63B3BB69-23CF-44E3-9099-C40C66FF867C}">
                  <a14:compatExt spid="_x0000_s139227"/>
                </a:ext>
                <a:ext uri="{FF2B5EF4-FFF2-40B4-BE49-F238E27FC236}">
                  <a16:creationId xmlns:a16="http://schemas.microsoft.com/office/drawing/2014/main" id="{00000000-0008-0000-0000-0000DB1F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113</xdr:row>
          <xdr:rowOff>9525</xdr:rowOff>
        </xdr:from>
        <xdr:to>
          <xdr:col>2</xdr:col>
          <xdr:colOff>352425</xdr:colOff>
          <xdr:row>114</xdr:row>
          <xdr:rowOff>0</xdr:rowOff>
        </xdr:to>
        <xdr:sp macro="" textlink="">
          <xdr:nvSpPr>
            <xdr:cNvPr id="150357" name="Drop Down 21333" hidden="1">
              <a:extLst>
                <a:ext uri="{63B3BB69-23CF-44E3-9099-C40C66FF867C}">
                  <a14:compatExt spid="_x0000_s150357"/>
                </a:ext>
                <a:ext uri="{FF2B5EF4-FFF2-40B4-BE49-F238E27FC236}">
                  <a16:creationId xmlns:a16="http://schemas.microsoft.com/office/drawing/2014/main" id="{00000000-0008-0000-0000-0000554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114</xdr:row>
          <xdr:rowOff>9525</xdr:rowOff>
        </xdr:from>
        <xdr:to>
          <xdr:col>2</xdr:col>
          <xdr:colOff>352425</xdr:colOff>
          <xdr:row>115</xdr:row>
          <xdr:rowOff>0</xdr:rowOff>
        </xdr:to>
        <xdr:sp macro="" textlink="">
          <xdr:nvSpPr>
            <xdr:cNvPr id="150359" name="Drop Down 21335" hidden="1">
              <a:extLst>
                <a:ext uri="{63B3BB69-23CF-44E3-9099-C40C66FF867C}">
                  <a14:compatExt spid="_x0000_s150359"/>
                </a:ext>
                <a:ext uri="{FF2B5EF4-FFF2-40B4-BE49-F238E27FC236}">
                  <a16:creationId xmlns:a16="http://schemas.microsoft.com/office/drawing/2014/main" id="{00000000-0008-0000-0000-0000574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164</xdr:row>
          <xdr:rowOff>0</xdr:rowOff>
        </xdr:from>
        <xdr:to>
          <xdr:col>12</xdr:col>
          <xdr:colOff>428625</xdr:colOff>
          <xdr:row>164</xdr:row>
          <xdr:rowOff>228600</xdr:rowOff>
        </xdr:to>
        <xdr:sp macro="" textlink="">
          <xdr:nvSpPr>
            <xdr:cNvPr id="153375" name="Drop Down 22303" hidden="1">
              <a:extLst>
                <a:ext uri="{63B3BB69-23CF-44E3-9099-C40C66FF867C}">
                  <a14:compatExt spid="_x0000_s153375"/>
                </a:ext>
                <a:ext uri="{FF2B5EF4-FFF2-40B4-BE49-F238E27FC236}">
                  <a16:creationId xmlns:a16="http://schemas.microsoft.com/office/drawing/2014/main" id="{00000000-0008-0000-0000-00001F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165</xdr:row>
          <xdr:rowOff>0</xdr:rowOff>
        </xdr:from>
        <xdr:to>
          <xdr:col>12</xdr:col>
          <xdr:colOff>428625</xdr:colOff>
          <xdr:row>165</xdr:row>
          <xdr:rowOff>228600</xdr:rowOff>
        </xdr:to>
        <xdr:sp macro="" textlink="">
          <xdr:nvSpPr>
            <xdr:cNvPr id="153376" name="Drop Down 22304" hidden="1">
              <a:extLst>
                <a:ext uri="{63B3BB69-23CF-44E3-9099-C40C66FF867C}">
                  <a14:compatExt spid="_x0000_s153376"/>
                </a:ext>
                <a:ext uri="{FF2B5EF4-FFF2-40B4-BE49-F238E27FC236}">
                  <a16:creationId xmlns:a16="http://schemas.microsoft.com/office/drawing/2014/main" id="{00000000-0008-0000-0000-000020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166</xdr:row>
          <xdr:rowOff>0</xdr:rowOff>
        </xdr:from>
        <xdr:to>
          <xdr:col>12</xdr:col>
          <xdr:colOff>428625</xdr:colOff>
          <xdr:row>166</xdr:row>
          <xdr:rowOff>228600</xdr:rowOff>
        </xdr:to>
        <xdr:sp macro="" textlink="">
          <xdr:nvSpPr>
            <xdr:cNvPr id="153378" name="Drop Down 22306" hidden="1">
              <a:extLst>
                <a:ext uri="{63B3BB69-23CF-44E3-9099-C40C66FF867C}">
                  <a14:compatExt spid="_x0000_s153378"/>
                </a:ext>
                <a:ext uri="{FF2B5EF4-FFF2-40B4-BE49-F238E27FC236}">
                  <a16:creationId xmlns:a16="http://schemas.microsoft.com/office/drawing/2014/main" id="{00000000-0008-0000-0000-000022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167</xdr:row>
          <xdr:rowOff>0</xdr:rowOff>
        </xdr:from>
        <xdr:to>
          <xdr:col>12</xdr:col>
          <xdr:colOff>428625</xdr:colOff>
          <xdr:row>167</xdr:row>
          <xdr:rowOff>228600</xdr:rowOff>
        </xdr:to>
        <xdr:sp macro="" textlink="">
          <xdr:nvSpPr>
            <xdr:cNvPr id="153379" name="Drop Down 22307" hidden="1">
              <a:extLst>
                <a:ext uri="{63B3BB69-23CF-44E3-9099-C40C66FF867C}">
                  <a14:compatExt spid="_x0000_s153379"/>
                </a:ext>
                <a:ext uri="{FF2B5EF4-FFF2-40B4-BE49-F238E27FC236}">
                  <a16:creationId xmlns:a16="http://schemas.microsoft.com/office/drawing/2014/main" id="{00000000-0008-0000-0000-000023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278</xdr:row>
          <xdr:rowOff>0</xdr:rowOff>
        </xdr:from>
        <xdr:to>
          <xdr:col>0</xdr:col>
          <xdr:colOff>962025</xdr:colOff>
          <xdr:row>279</xdr:row>
          <xdr:rowOff>0</xdr:rowOff>
        </xdr:to>
        <xdr:sp macro="" textlink="">
          <xdr:nvSpPr>
            <xdr:cNvPr id="154668" name="Drop Down 22572" hidden="1">
              <a:extLst>
                <a:ext uri="{63B3BB69-23CF-44E3-9099-C40C66FF867C}">
                  <a14:compatExt spid="_x0000_s154668"/>
                </a:ext>
                <a:ext uri="{FF2B5EF4-FFF2-40B4-BE49-F238E27FC236}">
                  <a16:creationId xmlns:a16="http://schemas.microsoft.com/office/drawing/2014/main" id="{00000000-0008-0000-0000-00002C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279</xdr:row>
          <xdr:rowOff>0</xdr:rowOff>
        </xdr:from>
        <xdr:to>
          <xdr:col>0</xdr:col>
          <xdr:colOff>962025</xdr:colOff>
          <xdr:row>280</xdr:row>
          <xdr:rowOff>0</xdr:rowOff>
        </xdr:to>
        <xdr:sp macro="" textlink="">
          <xdr:nvSpPr>
            <xdr:cNvPr id="154669" name="Drop Down 22573" hidden="1">
              <a:extLst>
                <a:ext uri="{63B3BB69-23CF-44E3-9099-C40C66FF867C}">
                  <a14:compatExt spid="_x0000_s154669"/>
                </a:ext>
                <a:ext uri="{FF2B5EF4-FFF2-40B4-BE49-F238E27FC236}">
                  <a16:creationId xmlns:a16="http://schemas.microsoft.com/office/drawing/2014/main" id="{00000000-0008-0000-0000-00002D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256</xdr:row>
          <xdr:rowOff>9525</xdr:rowOff>
        </xdr:from>
        <xdr:to>
          <xdr:col>2</xdr:col>
          <xdr:colOff>295275</xdr:colOff>
          <xdr:row>256</xdr:row>
          <xdr:rowOff>209550</xdr:rowOff>
        </xdr:to>
        <xdr:sp macro="" textlink="">
          <xdr:nvSpPr>
            <xdr:cNvPr id="154760" name="Check Box 22664" hidden="1">
              <a:extLst>
                <a:ext uri="{63B3BB69-23CF-44E3-9099-C40C66FF867C}">
                  <a14:compatExt spid="_x0000_s154760"/>
                </a:ext>
                <a:ext uri="{FF2B5EF4-FFF2-40B4-BE49-F238E27FC236}">
                  <a16:creationId xmlns:a16="http://schemas.microsoft.com/office/drawing/2014/main" id="{00000000-0008-0000-0000-00008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257</xdr:row>
          <xdr:rowOff>9525</xdr:rowOff>
        </xdr:from>
        <xdr:to>
          <xdr:col>2</xdr:col>
          <xdr:colOff>295275</xdr:colOff>
          <xdr:row>257</xdr:row>
          <xdr:rowOff>209550</xdr:rowOff>
        </xdr:to>
        <xdr:sp macro="" textlink="">
          <xdr:nvSpPr>
            <xdr:cNvPr id="154806" name="Check Box 22710" hidden="1">
              <a:extLst>
                <a:ext uri="{63B3BB69-23CF-44E3-9099-C40C66FF867C}">
                  <a14:compatExt spid="_x0000_s154806"/>
                </a:ext>
                <a:ext uri="{FF2B5EF4-FFF2-40B4-BE49-F238E27FC236}">
                  <a16:creationId xmlns:a16="http://schemas.microsoft.com/office/drawing/2014/main" id="{00000000-0008-0000-0000-0000B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258</xdr:row>
          <xdr:rowOff>9525</xdr:rowOff>
        </xdr:from>
        <xdr:to>
          <xdr:col>2</xdr:col>
          <xdr:colOff>295275</xdr:colOff>
          <xdr:row>258</xdr:row>
          <xdr:rowOff>209550</xdr:rowOff>
        </xdr:to>
        <xdr:sp macro="" textlink="">
          <xdr:nvSpPr>
            <xdr:cNvPr id="154807" name="Check Box 22711" hidden="1">
              <a:extLst>
                <a:ext uri="{63B3BB69-23CF-44E3-9099-C40C66FF867C}">
                  <a14:compatExt spid="_x0000_s154807"/>
                </a:ext>
                <a:ext uri="{FF2B5EF4-FFF2-40B4-BE49-F238E27FC236}">
                  <a16:creationId xmlns:a16="http://schemas.microsoft.com/office/drawing/2014/main" id="{00000000-0008-0000-0000-0000B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259</xdr:row>
          <xdr:rowOff>9525</xdr:rowOff>
        </xdr:from>
        <xdr:to>
          <xdr:col>2</xdr:col>
          <xdr:colOff>295275</xdr:colOff>
          <xdr:row>259</xdr:row>
          <xdr:rowOff>209550</xdr:rowOff>
        </xdr:to>
        <xdr:sp macro="" textlink="">
          <xdr:nvSpPr>
            <xdr:cNvPr id="154808" name="Check Box 22712" hidden="1">
              <a:extLst>
                <a:ext uri="{63B3BB69-23CF-44E3-9099-C40C66FF867C}">
                  <a14:compatExt spid="_x0000_s154808"/>
                </a:ext>
                <a:ext uri="{FF2B5EF4-FFF2-40B4-BE49-F238E27FC236}">
                  <a16:creationId xmlns:a16="http://schemas.microsoft.com/office/drawing/2014/main" id="{00000000-0008-0000-0000-0000B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260</xdr:row>
          <xdr:rowOff>9525</xdr:rowOff>
        </xdr:from>
        <xdr:to>
          <xdr:col>2</xdr:col>
          <xdr:colOff>295275</xdr:colOff>
          <xdr:row>260</xdr:row>
          <xdr:rowOff>209550</xdr:rowOff>
        </xdr:to>
        <xdr:sp macro="" textlink="">
          <xdr:nvSpPr>
            <xdr:cNvPr id="154809" name="Check Box 22713" hidden="1">
              <a:extLst>
                <a:ext uri="{63B3BB69-23CF-44E3-9099-C40C66FF867C}">
                  <a14:compatExt spid="_x0000_s154809"/>
                </a:ext>
                <a:ext uri="{FF2B5EF4-FFF2-40B4-BE49-F238E27FC236}">
                  <a16:creationId xmlns:a16="http://schemas.microsoft.com/office/drawing/2014/main" id="{00000000-0008-0000-0000-0000B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261</xdr:row>
          <xdr:rowOff>9525</xdr:rowOff>
        </xdr:from>
        <xdr:to>
          <xdr:col>2</xdr:col>
          <xdr:colOff>295275</xdr:colOff>
          <xdr:row>261</xdr:row>
          <xdr:rowOff>209550</xdr:rowOff>
        </xdr:to>
        <xdr:sp macro="" textlink="">
          <xdr:nvSpPr>
            <xdr:cNvPr id="154810" name="Check Box 22714" hidden="1">
              <a:extLst>
                <a:ext uri="{63B3BB69-23CF-44E3-9099-C40C66FF867C}">
                  <a14:compatExt spid="_x0000_s154810"/>
                </a:ext>
                <a:ext uri="{FF2B5EF4-FFF2-40B4-BE49-F238E27FC236}">
                  <a16:creationId xmlns:a16="http://schemas.microsoft.com/office/drawing/2014/main" id="{00000000-0008-0000-0000-0000B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262</xdr:row>
          <xdr:rowOff>9525</xdr:rowOff>
        </xdr:from>
        <xdr:to>
          <xdr:col>2</xdr:col>
          <xdr:colOff>295275</xdr:colOff>
          <xdr:row>262</xdr:row>
          <xdr:rowOff>209550</xdr:rowOff>
        </xdr:to>
        <xdr:sp macro="" textlink="">
          <xdr:nvSpPr>
            <xdr:cNvPr id="154811" name="Check Box 22715" hidden="1">
              <a:extLst>
                <a:ext uri="{63B3BB69-23CF-44E3-9099-C40C66FF867C}">
                  <a14:compatExt spid="_x0000_s154811"/>
                </a:ext>
                <a:ext uri="{FF2B5EF4-FFF2-40B4-BE49-F238E27FC236}">
                  <a16:creationId xmlns:a16="http://schemas.microsoft.com/office/drawing/2014/main" id="{00000000-0008-0000-0000-0000B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265</xdr:row>
          <xdr:rowOff>9525</xdr:rowOff>
        </xdr:from>
        <xdr:to>
          <xdr:col>2</xdr:col>
          <xdr:colOff>295275</xdr:colOff>
          <xdr:row>265</xdr:row>
          <xdr:rowOff>209550</xdr:rowOff>
        </xdr:to>
        <xdr:sp macro="" textlink="">
          <xdr:nvSpPr>
            <xdr:cNvPr id="154812" name="Check Box 22716" hidden="1">
              <a:extLst>
                <a:ext uri="{63B3BB69-23CF-44E3-9099-C40C66FF867C}">
                  <a14:compatExt spid="_x0000_s154812"/>
                </a:ext>
                <a:ext uri="{FF2B5EF4-FFF2-40B4-BE49-F238E27FC236}">
                  <a16:creationId xmlns:a16="http://schemas.microsoft.com/office/drawing/2014/main" id="{00000000-0008-0000-0000-0000B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266</xdr:row>
          <xdr:rowOff>9525</xdr:rowOff>
        </xdr:from>
        <xdr:to>
          <xdr:col>2</xdr:col>
          <xdr:colOff>295275</xdr:colOff>
          <xdr:row>266</xdr:row>
          <xdr:rowOff>209550</xdr:rowOff>
        </xdr:to>
        <xdr:sp macro="" textlink="">
          <xdr:nvSpPr>
            <xdr:cNvPr id="154813" name="Check Box 22717" hidden="1">
              <a:extLst>
                <a:ext uri="{63B3BB69-23CF-44E3-9099-C40C66FF867C}">
                  <a14:compatExt spid="_x0000_s154813"/>
                </a:ext>
                <a:ext uri="{FF2B5EF4-FFF2-40B4-BE49-F238E27FC236}">
                  <a16:creationId xmlns:a16="http://schemas.microsoft.com/office/drawing/2014/main" id="{00000000-0008-0000-0000-0000B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267</xdr:row>
          <xdr:rowOff>9525</xdr:rowOff>
        </xdr:from>
        <xdr:to>
          <xdr:col>2</xdr:col>
          <xdr:colOff>295275</xdr:colOff>
          <xdr:row>267</xdr:row>
          <xdr:rowOff>209550</xdr:rowOff>
        </xdr:to>
        <xdr:sp macro="" textlink="">
          <xdr:nvSpPr>
            <xdr:cNvPr id="154814" name="Check Box 22718" hidden="1">
              <a:extLst>
                <a:ext uri="{63B3BB69-23CF-44E3-9099-C40C66FF867C}">
                  <a14:compatExt spid="_x0000_s154814"/>
                </a:ext>
                <a:ext uri="{FF2B5EF4-FFF2-40B4-BE49-F238E27FC236}">
                  <a16:creationId xmlns:a16="http://schemas.microsoft.com/office/drawing/2014/main" id="{00000000-0008-0000-0000-0000B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268</xdr:row>
          <xdr:rowOff>9525</xdr:rowOff>
        </xdr:from>
        <xdr:to>
          <xdr:col>2</xdr:col>
          <xdr:colOff>295275</xdr:colOff>
          <xdr:row>268</xdr:row>
          <xdr:rowOff>209550</xdr:rowOff>
        </xdr:to>
        <xdr:sp macro="" textlink="">
          <xdr:nvSpPr>
            <xdr:cNvPr id="154815" name="Check Box 22719" hidden="1">
              <a:extLst>
                <a:ext uri="{63B3BB69-23CF-44E3-9099-C40C66FF867C}">
                  <a14:compatExt spid="_x0000_s154815"/>
                </a:ext>
                <a:ext uri="{FF2B5EF4-FFF2-40B4-BE49-F238E27FC236}">
                  <a16:creationId xmlns:a16="http://schemas.microsoft.com/office/drawing/2014/main" id="{00000000-0008-0000-0000-0000B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3</xdr:col>
      <xdr:colOff>0</xdr:colOff>
      <xdr:row>211</xdr:row>
      <xdr:rowOff>21167</xdr:rowOff>
    </xdr:from>
    <xdr:to>
      <xdr:col>5</xdr:col>
      <xdr:colOff>0</xdr:colOff>
      <xdr:row>213</xdr:row>
      <xdr:rowOff>0</xdr:rowOff>
    </xdr:to>
    <xdr:sp macro="" textlink="">
      <xdr:nvSpPr>
        <xdr:cNvPr id="8" name="Rechteck 7">
          <a:extLst>
            <a:ext uri="{FF2B5EF4-FFF2-40B4-BE49-F238E27FC236}">
              <a16:creationId xmlns:a16="http://schemas.microsoft.com/office/drawing/2014/main" id="{00000000-0008-0000-0000-000008000000}"/>
            </a:ext>
          </a:extLst>
        </xdr:cNvPr>
        <xdr:cNvSpPr/>
      </xdr:nvSpPr>
      <xdr:spPr bwMode="auto">
        <a:xfrm>
          <a:off x="2276475" y="43245617"/>
          <a:ext cx="1009650" cy="378883"/>
        </a:xfrm>
        <a:prstGeom prst="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indent="0" algn="ctr"/>
          <a:r>
            <a:rPr lang="de-DE" sz="1000" b="1">
              <a:latin typeface="Arial" panose="020B0604020202020204" pitchFamily="34" charset="0"/>
              <a:ea typeface="+mn-ea"/>
              <a:cs typeface="Arial" panose="020B0604020202020204" pitchFamily="34" charset="0"/>
            </a:rPr>
            <a:t>flüssig</a:t>
          </a:r>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83</xdr:row>
          <xdr:rowOff>28575</xdr:rowOff>
        </xdr:from>
        <xdr:to>
          <xdr:col>6</xdr:col>
          <xdr:colOff>495300</xdr:colOff>
          <xdr:row>83</xdr:row>
          <xdr:rowOff>209550</xdr:rowOff>
        </xdr:to>
        <xdr:sp macro="" textlink="">
          <xdr:nvSpPr>
            <xdr:cNvPr id="157041" name="Drop Down 23921" hidden="1">
              <a:extLst>
                <a:ext uri="{63B3BB69-23CF-44E3-9099-C40C66FF867C}">
                  <a14:compatExt spid="_x0000_s157041"/>
                </a:ext>
                <a:ext uri="{FF2B5EF4-FFF2-40B4-BE49-F238E27FC236}">
                  <a16:creationId xmlns:a16="http://schemas.microsoft.com/office/drawing/2014/main" id="{00000000-0008-0000-0000-000071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83</xdr:row>
          <xdr:rowOff>0</xdr:rowOff>
        </xdr:from>
        <xdr:to>
          <xdr:col>12</xdr:col>
          <xdr:colOff>352425</xdr:colOff>
          <xdr:row>83</xdr:row>
          <xdr:rowOff>200025</xdr:rowOff>
        </xdr:to>
        <xdr:sp macro="" textlink="">
          <xdr:nvSpPr>
            <xdr:cNvPr id="157042" name="Check Box 23922" hidden="1">
              <a:extLst>
                <a:ext uri="{63B3BB69-23CF-44E3-9099-C40C66FF867C}">
                  <a14:compatExt spid="_x0000_s157042"/>
                </a:ext>
                <a:ext uri="{FF2B5EF4-FFF2-40B4-BE49-F238E27FC236}">
                  <a16:creationId xmlns:a16="http://schemas.microsoft.com/office/drawing/2014/main" id="{00000000-0008-0000-0000-000072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84</xdr:row>
          <xdr:rowOff>0</xdr:rowOff>
        </xdr:from>
        <xdr:to>
          <xdr:col>6</xdr:col>
          <xdr:colOff>495300</xdr:colOff>
          <xdr:row>84</xdr:row>
          <xdr:rowOff>209550</xdr:rowOff>
        </xdr:to>
        <xdr:sp macro="" textlink="">
          <xdr:nvSpPr>
            <xdr:cNvPr id="157043" name="Drop Down 23923" hidden="1">
              <a:extLst>
                <a:ext uri="{63B3BB69-23CF-44E3-9099-C40C66FF867C}">
                  <a14:compatExt spid="_x0000_s157043"/>
                </a:ext>
                <a:ext uri="{FF2B5EF4-FFF2-40B4-BE49-F238E27FC236}">
                  <a16:creationId xmlns:a16="http://schemas.microsoft.com/office/drawing/2014/main" id="{00000000-0008-0000-0000-000073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84</xdr:row>
          <xdr:rowOff>0</xdr:rowOff>
        </xdr:from>
        <xdr:to>
          <xdr:col>12</xdr:col>
          <xdr:colOff>352425</xdr:colOff>
          <xdr:row>84</xdr:row>
          <xdr:rowOff>200025</xdr:rowOff>
        </xdr:to>
        <xdr:sp macro="" textlink="">
          <xdr:nvSpPr>
            <xdr:cNvPr id="157044" name="Check Box 23924" hidden="1">
              <a:extLst>
                <a:ext uri="{63B3BB69-23CF-44E3-9099-C40C66FF867C}">
                  <a14:compatExt spid="_x0000_s157044"/>
                </a:ext>
                <a:ext uri="{FF2B5EF4-FFF2-40B4-BE49-F238E27FC236}">
                  <a16:creationId xmlns:a16="http://schemas.microsoft.com/office/drawing/2014/main" id="{00000000-0008-0000-0000-000074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228600</xdr:rowOff>
        </xdr:from>
        <xdr:to>
          <xdr:col>3</xdr:col>
          <xdr:colOff>485775</xdr:colOff>
          <xdr:row>76</xdr:row>
          <xdr:rowOff>219075</xdr:rowOff>
        </xdr:to>
        <xdr:sp macro="" textlink="">
          <xdr:nvSpPr>
            <xdr:cNvPr id="157045" name="Drop Down 23925" hidden="1">
              <a:extLst>
                <a:ext uri="{63B3BB69-23CF-44E3-9099-C40C66FF867C}">
                  <a14:compatExt spid="_x0000_s157045"/>
                </a:ext>
                <a:ext uri="{FF2B5EF4-FFF2-40B4-BE49-F238E27FC236}">
                  <a16:creationId xmlns:a16="http://schemas.microsoft.com/office/drawing/2014/main" id="{00000000-0008-0000-0000-000075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76</xdr:row>
          <xdr:rowOff>28575</xdr:rowOff>
        </xdr:from>
        <xdr:to>
          <xdr:col>6</xdr:col>
          <xdr:colOff>485775</xdr:colOff>
          <xdr:row>77</xdr:row>
          <xdr:rowOff>9525</xdr:rowOff>
        </xdr:to>
        <xdr:sp macro="" textlink="">
          <xdr:nvSpPr>
            <xdr:cNvPr id="157046" name="Drop Down 23926" hidden="1">
              <a:extLst>
                <a:ext uri="{63B3BB69-23CF-44E3-9099-C40C66FF867C}">
                  <a14:compatExt spid="_x0000_s157046"/>
                </a:ext>
                <a:ext uri="{FF2B5EF4-FFF2-40B4-BE49-F238E27FC236}">
                  <a16:creationId xmlns:a16="http://schemas.microsoft.com/office/drawing/2014/main" id="{00000000-0008-0000-0000-000076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76</xdr:row>
          <xdr:rowOff>0</xdr:rowOff>
        </xdr:from>
        <xdr:to>
          <xdr:col>12</xdr:col>
          <xdr:colOff>352425</xdr:colOff>
          <xdr:row>76</xdr:row>
          <xdr:rowOff>200025</xdr:rowOff>
        </xdr:to>
        <xdr:sp macro="" textlink="">
          <xdr:nvSpPr>
            <xdr:cNvPr id="157047" name="Check Box 23927" hidden="1">
              <a:extLst>
                <a:ext uri="{63B3BB69-23CF-44E3-9099-C40C66FF867C}">
                  <a14:compatExt spid="_x0000_s157047"/>
                </a:ext>
                <a:ext uri="{FF2B5EF4-FFF2-40B4-BE49-F238E27FC236}">
                  <a16:creationId xmlns:a16="http://schemas.microsoft.com/office/drawing/2014/main" id="{00000000-0008-0000-0000-000077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9525</xdr:rowOff>
        </xdr:from>
        <xdr:to>
          <xdr:col>3</xdr:col>
          <xdr:colOff>485775</xdr:colOff>
          <xdr:row>77</xdr:row>
          <xdr:rowOff>219075</xdr:rowOff>
        </xdr:to>
        <xdr:sp macro="" textlink="">
          <xdr:nvSpPr>
            <xdr:cNvPr id="157048" name="Drop Down 23928" hidden="1">
              <a:extLst>
                <a:ext uri="{63B3BB69-23CF-44E3-9099-C40C66FF867C}">
                  <a14:compatExt spid="_x0000_s157048"/>
                </a:ext>
                <a:ext uri="{FF2B5EF4-FFF2-40B4-BE49-F238E27FC236}">
                  <a16:creationId xmlns:a16="http://schemas.microsoft.com/office/drawing/2014/main" id="{00000000-0008-0000-0000-00007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77</xdr:row>
          <xdr:rowOff>28575</xdr:rowOff>
        </xdr:from>
        <xdr:to>
          <xdr:col>6</xdr:col>
          <xdr:colOff>485775</xdr:colOff>
          <xdr:row>78</xdr:row>
          <xdr:rowOff>9525</xdr:rowOff>
        </xdr:to>
        <xdr:sp macro="" textlink="">
          <xdr:nvSpPr>
            <xdr:cNvPr id="157049" name="Drop Down 23929" hidden="1">
              <a:extLst>
                <a:ext uri="{63B3BB69-23CF-44E3-9099-C40C66FF867C}">
                  <a14:compatExt spid="_x0000_s157049"/>
                </a:ext>
                <a:ext uri="{FF2B5EF4-FFF2-40B4-BE49-F238E27FC236}">
                  <a16:creationId xmlns:a16="http://schemas.microsoft.com/office/drawing/2014/main" id="{00000000-0008-0000-0000-000079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77</xdr:row>
          <xdr:rowOff>0</xdr:rowOff>
        </xdr:from>
        <xdr:to>
          <xdr:col>12</xdr:col>
          <xdr:colOff>352425</xdr:colOff>
          <xdr:row>77</xdr:row>
          <xdr:rowOff>200025</xdr:rowOff>
        </xdr:to>
        <xdr:sp macro="" textlink="">
          <xdr:nvSpPr>
            <xdr:cNvPr id="157050" name="Check Box 23930" hidden="1">
              <a:extLst>
                <a:ext uri="{63B3BB69-23CF-44E3-9099-C40C66FF867C}">
                  <a14:compatExt spid="_x0000_s157050"/>
                </a:ext>
                <a:ext uri="{FF2B5EF4-FFF2-40B4-BE49-F238E27FC236}">
                  <a16:creationId xmlns:a16="http://schemas.microsoft.com/office/drawing/2014/main" id="{00000000-0008-0000-0000-00007A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0</xdr:rowOff>
        </xdr:from>
        <xdr:to>
          <xdr:col>6</xdr:col>
          <xdr:colOff>495300</xdr:colOff>
          <xdr:row>83</xdr:row>
          <xdr:rowOff>209550</xdr:rowOff>
        </xdr:to>
        <xdr:sp macro="" textlink="">
          <xdr:nvSpPr>
            <xdr:cNvPr id="157096" name="Drop Down 23976" hidden="1">
              <a:extLst>
                <a:ext uri="{63B3BB69-23CF-44E3-9099-C40C66FF867C}">
                  <a14:compatExt spid="_x0000_s157096"/>
                </a:ext>
                <a:ext uri="{FF2B5EF4-FFF2-40B4-BE49-F238E27FC236}">
                  <a16:creationId xmlns:a16="http://schemas.microsoft.com/office/drawing/2014/main" id="{00000000-0008-0000-0000-0000A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83</xdr:row>
          <xdr:rowOff>0</xdr:rowOff>
        </xdr:from>
        <xdr:to>
          <xdr:col>12</xdr:col>
          <xdr:colOff>352425</xdr:colOff>
          <xdr:row>83</xdr:row>
          <xdr:rowOff>200025</xdr:rowOff>
        </xdr:to>
        <xdr:sp macro="" textlink="">
          <xdr:nvSpPr>
            <xdr:cNvPr id="157097" name="Check Box 23977" hidden="1">
              <a:extLst>
                <a:ext uri="{63B3BB69-23CF-44E3-9099-C40C66FF867C}">
                  <a14:compatExt spid="_x0000_s157097"/>
                </a:ext>
                <a:ext uri="{FF2B5EF4-FFF2-40B4-BE49-F238E27FC236}">
                  <a16:creationId xmlns:a16="http://schemas.microsoft.com/office/drawing/2014/main" id="{00000000-0008-0000-0000-0000A9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115</xdr:row>
          <xdr:rowOff>9525</xdr:rowOff>
        </xdr:from>
        <xdr:to>
          <xdr:col>2</xdr:col>
          <xdr:colOff>352425</xdr:colOff>
          <xdr:row>116</xdr:row>
          <xdr:rowOff>0</xdr:rowOff>
        </xdr:to>
        <xdr:sp macro="" textlink="">
          <xdr:nvSpPr>
            <xdr:cNvPr id="157098" name="Drop Down 23978" hidden="1">
              <a:extLst>
                <a:ext uri="{63B3BB69-23CF-44E3-9099-C40C66FF867C}">
                  <a14:compatExt spid="_x0000_s157098"/>
                </a:ext>
                <a:ext uri="{FF2B5EF4-FFF2-40B4-BE49-F238E27FC236}">
                  <a16:creationId xmlns:a16="http://schemas.microsoft.com/office/drawing/2014/main" id="{00000000-0008-0000-0000-0000AA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116</xdr:row>
          <xdr:rowOff>9525</xdr:rowOff>
        </xdr:from>
        <xdr:to>
          <xdr:col>2</xdr:col>
          <xdr:colOff>352425</xdr:colOff>
          <xdr:row>117</xdr:row>
          <xdr:rowOff>0</xdr:rowOff>
        </xdr:to>
        <xdr:sp macro="" textlink="">
          <xdr:nvSpPr>
            <xdr:cNvPr id="157100" name="Drop Down 23980" hidden="1">
              <a:extLst>
                <a:ext uri="{63B3BB69-23CF-44E3-9099-C40C66FF867C}">
                  <a14:compatExt spid="_x0000_s157100"/>
                </a:ext>
                <a:ext uri="{FF2B5EF4-FFF2-40B4-BE49-F238E27FC236}">
                  <a16:creationId xmlns:a16="http://schemas.microsoft.com/office/drawing/2014/main" id="{00000000-0008-0000-0000-0000AC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117</xdr:row>
          <xdr:rowOff>9525</xdr:rowOff>
        </xdr:from>
        <xdr:to>
          <xdr:col>2</xdr:col>
          <xdr:colOff>352425</xdr:colOff>
          <xdr:row>118</xdr:row>
          <xdr:rowOff>0</xdr:rowOff>
        </xdr:to>
        <xdr:sp macro="" textlink="">
          <xdr:nvSpPr>
            <xdr:cNvPr id="157103" name="Drop Down 23983" hidden="1">
              <a:extLst>
                <a:ext uri="{63B3BB69-23CF-44E3-9099-C40C66FF867C}">
                  <a14:compatExt spid="_x0000_s157103"/>
                </a:ext>
                <a:ext uri="{FF2B5EF4-FFF2-40B4-BE49-F238E27FC236}">
                  <a16:creationId xmlns:a16="http://schemas.microsoft.com/office/drawing/2014/main" id="{00000000-0008-0000-0000-0000AF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118</xdr:row>
          <xdr:rowOff>9525</xdr:rowOff>
        </xdr:from>
        <xdr:to>
          <xdr:col>2</xdr:col>
          <xdr:colOff>352425</xdr:colOff>
          <xdr:row>119</xdr:row>
          <xdr:rowOff>0</xdr:rowOff>
        </xdr:to>
        <xdr:sp macro="" textlink="">
          <xdr:nvSpPr>
            <xdr:cNvPr id="157106" name="Drop Down 23986" hidden="1">
              <a:extLst>
                <a:ext uri="{63B3BB69-23CF-44E3-9099-C40C66FF867C}">
                  <a14:compatExt spid="_x0000_s157106"/>
                </a:ext>
                <a:ext uri="{FF2B5EF4-FFF2-40B4-BE49-F238E27FC236}">
                  <a16:creationId xmlns:a16="http://schemas.microsoft.com/office/drawing/2014/main" id="{00000000-0008-0000-0000-0000B2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119</xdr:row>
          <xdr:rowOff>9525</xdr:rowOff>
        </xdr:from>
        <xdr:to>
          <xdr:col>2</xdr:col>
          <xdr:colOff>352425</xdr:colOff>
          <xdr:row>120</xdr:row>
          <xdr:rowOff>0</xdr:rowOff>
        </xdr:to>
        <xdr:sp macro="" textlink="">
          <xdr:nvSpPr>
            <xdr:cNvPr id="157109" name="Drop Down 23989" hidden="1">
              <a:extLst>
                <a:ext uri="{63B3BB69-23CF-44E3-9099-C40C66FF867C}">
                  <a14:compatExt spid="_x0000_s157109"/>
                </a:ext>
                <a:ext uri="{FF2B5EF4-FFF2-40B4-BE49-F238E27FC236}">
                  <a16:creationId xmlns:a16="http://schemas.microsoft.com/office/drawing/2014/main" id="{00000000-0008-0000-0000-0000B5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120</xdr:row>
          <xdr:rowOff>9525</xdr:rowOff>
        </xdr:from>
        <xdr:to>
          <xdr:col>2</xdr:col>
          <xdr:colOff>352425</xdr:colOff>
          <xdr:row>121</xdr:row>
          <xdr:rowOff>0</xdr:rowOff>
        </xdr:to>
        <xdr:sp macro="" textlink="">
          <xdr:nvSpPr>
            <xdr:cNvPr id="157112" name="Drop Down 23992" hidden="1">
              <a:extLst>
                <a:ext uri="{63B3BB69-23CF-44E3-9099-C40C66FF867C}">
                  <a14:compatExt spid="_x0000_s157112"/>
                </a:ext>
                <a:ext uri="{FF2B5EF4-FFF2-40B4-BE49-F238E27FC236}">
                  <a16:creationId xmlns:a16="http://schemas.microsoft.com/office/drawing/2014/main" id="{00000000-0008-0000-0000-0000B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121</xdr:row>
          <xdr:rowOff>9525</xdr:rowOff>
        </xdr:from>
        <xdr:to>
          <xdr:col>2</xdr:col>
          <xdr:colOff>352425</xdr:colOff>
          <xdr:row>122</xdr:row>
          <xdr:rowOff>0</xdr:rowOff>
        </xdr:to>
        <xdr:sp macro="" textlink="">
          <xdr:nvSpPr>
            <xdr:cNvPr id="157115" name="Drop Down 23995" hidden="1">
              <a:extLst>
                <a:ext uri="{63B3BB69-23CF-44E3-9099-C40C66FF867C}">
                  <a14:compatExt spid="_x0000_s157115"/>
                </a:ext>
                <a:ext uri="{FF2B5EF4-FFF2-40B4-BE49-F238E27FC236}">
                  <a16:creationId xmlns:a16="http://schemas.microsoft.com/office/drawing/2014/main" id="{00000000-0008-0000-0000-0000BB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122</xdr:row>
          <xdr:rowOff>9525</xdr:rowOff>
        </xdr:from>
        <xdr:to>
          <xdr:col>2</xdr:col>
          <xdr:colOff>352425</xdr:colOff>
          <xdr:row>123</xdr:row>
          <xdr:rowOff>0</xdr:rowOff>
        </xdr:to>
        <xdr:sp macro="" textlink="">
          <xdr:nvSpPr>
            <xdr:cNvPr id="157118" name="Drop Down 23998" hidden="1">
              <a:extLst>
                <a:ext uri="{63B3BB69-23CF-44E3-9099-C40C66FF867C}">
                  <a14:compatExt spid="_x0000_s157118"/>
                </a:ext>
                <a:ext uri="{FF2B5EF4-FFF2-40B4-BE49-F238E27FC236}">
                  <a16:creationId xmlns:a16="http://schemas.microsoft.com/office/drawing/2014/main" id="{00000000-0008-0000-0000-0000BE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123</xdr:row>
          <xdr:rowOff>9525</xdr:rowOff>
        </xdr:from>
        <xdr:to>
          <xdr:col>2</xdr:col>
          <xdr:colOff>352425</xdr:colOff>
          <xdr:row>124</xdr:row>
          <xdr:rowOff>0</xdr:rowOff>
        </xdr:to>
        <xdr:sp macro="" textlink="">
          <xdr:nvSpPr>
            <xdr:cNvPr id="157121" name="Drop Down 24001" hidden="1">
              <a:extLst>
                <a:ext uri="{63B3BB69-23CF-44E3-9099-C40C66FF867C}">
                  <a14:compatExt spid="_x0000_s157121"/>
                </a:ext>
                <a:ext uri="{FF2B5EF4-FFF2-40B4-BE49-F238E27FC236}">
                  <a16:creationId xmlns:a16="http://schemas.microsoft.com/office/drawing/2014/main" id="{00000000-0008-0000-0000-0000C1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124</xdr:row>
          <xdr:rowOff>9525</xdr:rowOff>
        </xdr:from>
        <xdr:to>
          <xdr:col>2</xdr:col>
          <xdr:colOff>352425</xdr:colOff>
          <xdr:row>125</xdr:row>
          <xdr:rowOff>0</xdr:rowOff>
        </xdr:to>
        <xdr:sp macro="" textlink="">
          <xdr:nvSpPr>
            <xdr:cNvPr id="157124" name="Drop Down 24004" hidden="1">
              <a:extLst>
                <a:ext uri="{63B3BB69-23CF-44E3-9099-C40C66FF867C}">
                  <a14:compatExt spid="_x0000_s157124"/>
                </a:ext>
                <a:ext uri="{FF2B5EF4-FFF2-40B4-BE49-F238E27FC236}">
                  <a16:creationId xmlns:a16="http://schemas.microsoft.com/office/drawing/2014/main" id="{00000000-0008-0000-0000-0000C4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125</xdr:row>
          <xdr:rowOff>9525</xdr:rowOff>
        </xdr:from>
        <xdr:to>
          <xdr:col>2</xdr:col>
          <xdr:colOff>352425</xdr:colOff>
          <xdr:row>126</xdr:row>
          <xdr:rowOff>0</xdr:rowOff>
        </xdr:to>
        <xdr:sp macro="" textlink="">
          <xdr:nvSpPr>
            <xdr:cNvPr id="157127" name="Drop Down 24007" hidden="1">
              <a:extLst>
                <a:ext uri="{63B3BB69-23CF-44E3-9099-C40C66FF867C}">
                  <a14:compatExt spid="_x0000_s157127"/>
                </a:ext>
                <a:ext uri="{FF2B5EF4-FFF2-40B4-BE49-F238E27FC236}">
                  <a16:creationId xmlns:a16="http://schemas.microsoft.com/office/drawing/2014/main" id="{00000000-0008-0000-0000-0000C7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126</xdr:row>
          <xdr:rowOff>9525</xdr:rowOff>
        </xdr:from>
        <xdr:to>
          <xdr:col>2</xdr:col>
          <xdr:colOff>352425</xdr:colOff>
          <xdr:row>127</xdr:row>
          <xdr:rowOff>0</xdr:rowOff>
        </xdr:to>
        <xdr:sp macro="" textlink="">
          <xdr:nvSpPr>
            <xdr:cNvPr id="157130" name="Drop Down 24010" hidden="1">
              <a:extLst>
                <a:ext uri="{63B3BB69-23CF-44E3-9099-C40C66FF867C}">
                  <a14:compatExt spid="_x0000_s157130"/>
                </a:ext>
                <a:ext uri="{FF2B5EF4-FFF2-40B4-BE49-F238E27FC236}">
                  <a16:creationId xmlns:a16="http://schemas.microsoft.com/office/drawing/2014/main" id="{00000000-0008-0000-0000-0000CA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127</xdr:row>
          <xdr:rowOff>9525</xdr:rowOff>
        </xdr:from>
        <xdr:to>
          <xdr:col>2</xdr:col>
          <xdr:colOff>352425</xdr:colOff>
          <xdr:row>127</xdr:row>
          <xdr:rowOff>200025</xdr:rowOff>
        </xdr:to>
        <xdr:sp macro="" textlink="">
          <xdr:nvSpPr>
            <xdr:cNvPr id="157133" name="Drop Down 24013" hidden="1">
              <a:extLst>
                <a:ext uri="{63B3BB69-23CF-44E3-9099-C40C66FF867C}">
                  <a14:compatExt spid="_x0000_s157133"/>
                </a:ext>
                <a:ext uri="{FF2B5EF4-FFF2-40B4-BE49-F238E27FC236}">
                  <a16:creationId xmlns:a16="http://schemas.microsoft.com/office/drawing/2014/main" id="{00000000-0008-0000-0000-0000CD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128</xdr:row>
          <xdr:rowOff>9525</xdr:rowOff>
        </xdr:from>
        <xdr:to>
          <xdr:col>2</xdr:col>
          <xdr:colOff>352425</xdr:colOff>
          <xdr:row>129</xdr:row>
          <xdr:rowOff>0</xdr:rowOff>
        </xdr:to>
        <xdr:sp macro="" textlink="">
          <xdr:nvSpPr>
            <xdr:cNvPr id="157136" name="Drop Down 24016" hidden="1">
              <a:extLst>
                <a:ext uri="{63B3BB69-23CF-44E3-9099-C40C66FF867C}">
                  <a14:compatExt spid="_x0000_s157136"/>
                </a:ext>
                <a:ext uri="{FF2B5EF4-FFF2-40B4-BE49-F238E27FC236}">
                  <a16:creationId xmlns:a16="http://schemas.microsoft.com/office/drawing/2014/main" id="{00000000-0008-0000-0000-0000D0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129</xdr:row>
          <xdr:rowOff>9525</xdr:rowOff>
        </xdr:from>
        <xdr:to>
          <xdr:col>2</xdr:col>
          <xdr:colOff>352425</xdr:colOff>
          <xdr:row>130</xdr:row>
          <xdr:rowOff>0</xdr:rowOff>
        </xdr:to>
        <xdr:sp macro="" textlink="">
          <xdr:nvSpPr>
            <xdr:cNvPr id="157139" name="Drop Down 24019" hidden="1">
              <a:extLst>
                <a:ext uri="{63B3BB69-23CF-44E3-9099-C40C66FF867C}">
                  <a14:compatExt spid="_x0000_s157139"/>
                </a:ext>
                <a:ext uri="{FF2B5EF4-FFF2-40B4-BE49-F238E27FC236}">
                  <a16:creationId xmlns:a16="http://schemas.microsoft.com/office/drawing/2014/main" id="{00000000-0008-0000-0000-0000D3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309</xdr:row>
          <xdr:rowOff>9525</xdr:rowOff>
        </xdr:from>
        <xdr:to>
          <xdr:col>4</xdr:col>
          <xdr:colOff>381000</xdr:colOff>
          <xdr:row>310</xdr:row>
          <xdr:rowOff>0</xdr:rowOff>
        </xdr:to>
        <xdr:sp macro="" textlink="">
          <xdr:nvSpPr>
            <xdr:cNvPr id="157272" name="Check Box 24152" hidden="1">
              <a:extLst>
                <a:ext uri="{63B3BB69-23CF-44E3-9099-C40C66FF867C}">
                  <a14:compatExt spid="_x0000_s157272"/>
                </a:ext>
                <a:ext uri="{FF2B5EF4-FFF2-40B4-BE49-F238E27FC236}">
                  <a16:creationId xmlns:a16="http://schemas.microsoft.com/office/drawing/2014/main" id="{00000000-0008-0000-0000-00005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310</xdr:row>
          <xdr:rowOff>9525</xdr:rowOff>
        </xdr:from>
        <xdr:to>
          <xdr:col>4</xdr:col>
          <xdr:colOff>381000</xdr:colOff>
          <xdr:row>311</xdr:row>
          <xdr:rowOff>0</xdr:rowOff>
        </xdr:to>
        <xdr:sp macro="" textlink="">
          <xdr:nvSpPr>
            <xdr:cNvPr id="157273" name="Check Box 24153" hidden="1">
              <a:extLst>
                <a:ext uri="{63B3BB69-23CF-44E3-9099-C40C66FF867C}">
                  <a14:compatExt spid="_x0000_s157273"/>
                </a:ext>
                <a:ext uri="{FF2B5EF4-FFF2-40B4-BE49-F238E27FC236}">
                  <a16:creationId xmlns:a16="http://schemas.microsoft.com/office/drawing/2014/main" id="{00000000-0008-0000-0000-00005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310</xdr:row>
          <xdr:rowOff>9525</xdr:rowOff>
        </xdr:from>
        <xdr:to>
          <xdr:col>4</xdr:col>
          <xdr:colOff>381000</xdr:colOff>
          <xdr:row>311</xdr:row>
          <xdr:rowOff>0</xdr:rowOff>
        </xdr:to>
        <xdr:sp macro="" textlink="">
          <xdr:nvSpPr>
            <xdr:cNvPr id="157274" name="Check Box 24154" hidden="1">
              <a:extLst>
                <a:ext uri="{63B3BB69-23CF-44E3-9099-C40C66FF867C}">
                  <a14:compatExt spid="_x0000_s157274"/>
                </a:ext>
                <a:ext uri="{FF2B5EF4-FFF2-40B4-BE49-F238E27FC236}">
                  <a16:creationId xmlns:a16="http://schemas.microsoft.com/office/drawing/2014/main" id="{00000000-0008-0000-0000-00005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311</xdr:row>
          <xdr:rowOff>9525</xdr:rowOff>
        </xdr:from>
        <xdr:to>
          <xdr:col>4</xdr:col>
          <xdr:colOff>381000</xdr:colOff>
          <xdr:row>312</xdr:row>
          <xdr:rowOff>0</xdr:rowOff>
        </xdr:to>
        <xdr:sp macro="" textlink="">
          <xdr:nvSpPr>
            <xdr:cNvPr id="157275" name="Check Box 24155" hidden="1">
              <a:extLst>
                <a:ext uri="{63B3BB69-23CF-44E3-9099-C40C66FF867C}">
                  <a14:compatExt spid="_x0000_s157275"/>
                </a:ext>
                <a:ext uri="{FF2B5EF4-FFF2-40B4-BE49-F238E27FC236}">
                  <a16:creationId xmlns:a16="http://schemas.microsoft.com/office/drawing/2014/main" id="{00000000-0008-0000-0000-00005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311</xdr:row>
          <xdr:rowOff>9525</xdr:rowOff>
        </xdr:from>
        <xdr:to>
          <xdr:col>4</xdr:col>
          <xdr:colOff>381000</xdr:colOff>
          <xdr:row>312</xdr:row>
          <xdr:rowOff>0</xdr:rowOff>
        </xdr:to>
        <xdr:sp macro="" textlink="">
          <xdr:nvSpPr>
            <xdr:cNvPr id="157276" name="Check Box 24156" hidden="1">
              <a:extLst>
                <a:ext uri="{63B3BB69-23CF-44E3-9099-C40C66FF867C}">
                  <a14:compatExt spid="_x0000_s157276"/>
                </a:ext>
                <a:ext uri="{FF2B5EF4-FFF2-40B4-BE49-F238E27FC236}">
                  <a16:creationId xmlns:a16="http://schemas.microsoft.com/office/drawing/2014/main" id="{00000000-0008-0000-0000-00005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311</xdr:row>
          <xdr:rowOff>9525</xdr:rowOff>
        </xdr:from>
        <xdr:to>
          <xdr:col>4</xdr:col>
          <xdr:colOff>381000</xdr:colOff>
          <xdr:row>312</xdr:row>
          <xdr:rowOff>0</xdr:rowOff>
        </xdr:to>
        <xdr:sp macro="" textlink="">
          <xdr:nvSpPr>
            <xdr:cNvPr id="157277" name="Check Box 24157" hidden="1">
              <a:extLst>
                <a:ext uri="{63B3BB69-23CF-44E3-9099-C40C66FF867C}">
                  <a14:compatExt spid="_x0000_s157277"/>
                </a:ext>
                <a:ext uri="{FF2B5EF4-FFF2-40B4-BE49-F238E27FC236}">
                  <a16:creationId xmlns:a16="http://schemas.microsoft.com/office/drawing/2014/main" id="{00000000-0008-0000-0000-00005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312</xdr:row>
          <xdr:rowOff>9525</xdr:rowOff>
        </xdr:from>
        <xdr:to>
          <xdr:col>4</xdr:col>
          <xdr:colOff>381000</xdr:colOff>
          <xdr:row>313</xdr:row>
          <xdr:rowOff>0</xdr:rowOff>
        </xdr:to>
        <xdr:sp macro="" textlink="">
          <xdr:nvSpPr>
            <xdr:cNvPr id="157278" name="Check Box 24158" hidden="1">
              <a:extLst>
                <a:ext uri="{63B3BB69-23CF-44E3-9099-C40C66FF867C}">
                  <a14:compatExt spid="_x0000_s157278"/>
                </a:ext>
                <a:ext uri="{FF2B5EF4-FFF2-40B4-BE49-F238E27FC236}">
                  <a16:creationId xmlns:a16="http://schemas.microsoft.com/office/drawing/2014/main" id="{00000000-0008-0000-0000-00005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312</xdr:row>
          <xdr:rowOff>9525</xdr:rowOff>
        </xdr:from>
        <xdr:to>
          <xdr:col>4</xdr:col>
          <xdr:colOff>381000</xdr:colOff>
          <xdr:row>313</xdr:row>
          <xdr:rowOff>0</xdr:rowOff>
        </xdr:to>
        <xdr:sp macro="" textlink="">
          <xdr:nvSpPr>
            <xdr:cNvPr id="157279" name="Check Box 24159" hidden="1">
              <a:extLst>
                <a:ext uri="{63B3BB69-23CF-44E3-9099-C40C66FF867C}">
                  <a14:compatExt spid="_x0000_s157279"/>
                </a:ext>
                <a:ext uri="{FF2B5EF4-FFF2-40B4-BE49-F238E27FC236}">
                  <a16:creationId xmlns:a16="http://schemas.microsoft.com/office/drawing/2014/main" id="{00000000-0008-0000-0000-00005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312</xdr:row>
          <xdr:rowOff>9525</xdr:rowOff>
        </xdr:from>
        <xdr:to>
          <xdr:col>4</xdr:col>
          <xdr:colOff>381000</xdr:colOff>
          <xdr:row>313</xdr:row>
          <xdr:rowOff>0</xdr:rowOff>
        </xdr:to>
        <xdr:sp macro="" textlink="">
          <xdr:nvSpPr>
            <xdr:cNvPr id="157280" name="Check Box 24160" hidden="1">
              <a:extLst>
                <a:ext uri="{63B3BB69-23CF-44E3-9099-C40C66FF867C}">
                  <a14:compatExt spid="_x0000_s157280"/>
                </a:ext>
                <a:ext uri="{FF2B5EF4-FFF2-40B4-BE49-F238E27FC236}">
                  <a16:creationId xmlns:a16="http://schemas.microsoft.com/office/drawing/2014/main" id="{00000000-0008-0000-0000-00006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313</xdr:row>
          <xdr:rowOff>9525</xdr:rowOff>
        </xdr:from>
        <xdr:to>
          <xdr:col>4</xdr:col>
          <xdr:colOff>381000</xdr:colOff>
          <xdr:row>314</xdr:row>
          <xdr:rowOff>0</xdr:rowOff>
        </xdr:to>
        <xdr:sp macro="" textlink="">
          <xdr:nvSpPr>
            <xdr:cNvPr id="157281" name="Check Box 24161" hidden="1">
              <a:extLst>
                <a:ext uri="{63B3BB69-23CF-44E3-9099-C40C66FF867C}">
                  <a14:compatExt spid="_x0000_s157281"/>
                </a:ext>
                <a:ext uri="{FF2B5EF4-FFF2-40B4-BE49-F238E27FC236}">
                  <a16:creationId xmlns:a16="http://schemas.microsoft.com/office/drawing/2014/main" id="{00000000-0008-0000-0000-00006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313</xdr:row>
          <xdr:rowOff>9525</xdr:rowOff>
        </xdr:from>
        <xdr:to>
          <xdr:col>4</xdr:col>
          <xdr:colOff>381000</xdr:colOff>
          <xdr:row>314</xdr:row>
          <xdr:rowOff>0</xdr:rowOff>
        </xdr:to>
        <xdr:sp macro="" textlink="">
          <xdr:nvSpPr>
            <xdr:cNvPr id="157282" name="Check Box 24162" hidden="1">
              <a:extLst>
                <a:ext uri="{63B3BB69-23CF-44E3-9099-C40C66FF867C}">
                  <a14:compatExt spid="_x0000_s157282"/>
                </a:ext>
                <a:ext uri="{FF2B5EF4-FFF2-40B4-BE49-F238E27FC236}">
                  <a16:creationId xmlns:a16="http://schemas.microsoft.com/office/drawing/2014/main" id="{00000000-0008-0000-0000-00006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313</xdr:row>
          <xdr:rowOff>9525</xdr:rowOff>
        </xdr:from>
        <xdr:to>
          <xdr:col>4</xdr:col>
          <xdr:colOff>381000</xdr:colOff>
          <xdr:row>314</xdr:row>
          <xdr:rowOff>0</xdr:rowOff>
        </xdr:to>
        <xdr:sp macro="" textlink="">
          <xdr:nvSpPr>
            <xdr:cNvPr id="157283" name="Check Box 24163" hidden="1">
              <a:extLst>
                <a:ext uri="{63B3BB69-23CF-44E3-9099-C40C66FF867C}">
                  <a14:compatExt spid="_x0000_s157283"/>
                </a:ext>
                <a:ext uri="{FF2B5EF4-FFF2-40B4-BE49-F238E27FC236}">
                  <a16:creationId xmlns:a16="http://schemas.microsoft.com/office/drawing/2014/main" id="{00000000-0008-0000-0000-00006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314</xdr:row>
          <xdr:rowOff>9525</xdr:rowOff>
        </xdr:from>
        <xdr:to>
          <xdr:col>4</xdr:col>
          <xdr:colOff>381000</xdr:colOff>
          <xdr:row>315</xdr:row>
          <xdr:rowOff>0</xdr:rowOff>
        </xdr:to>
        <xdr:sp macro="" textlink="">
          <xdr:nvSpPr>
            <xdr:cNvPr id="157284" name="Check Box 24164" hidden="1">
              <a:extLst>
                <a:ext uri="{63B3BB69-23CF-44E3-9099-C40C66FF867C}">
                  <a14:compatExt spid="_x0000_s157284"/>
                </a:ext>
                <a:ext uri="{FF2B5EF4-FFF2-40B4-BE49-F238E27FC236}">
                  <a16:creationId xmlns:a16="http://schemas.microsoft.com/office/drawing/2014/main" id="{00000000-0008-0000-0000-00006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314</xdr:row>
          <xdr:rowOff>9525</xdr:rowOff>
        </xdr:from>
        <xdr:to>
          <xdr:col>4</xdr:col>
          <xdr:colOff>381000</xdr:colOff>
          <xdr:row>315</xdr:row>
          <xdr:rowOff>0</xdr:rowOff>
        </xdr:to>
        <xdr:sp macro="" textlink="">
          <xdr:nvSpPr>
            <xdr:cNvPr id="157285" name="Check Box 24165" hidden="1">
              <a:extLst>
                <a:ext uri="{63B3BB69-23CF-44E3-9099-C40C66FF867C}">
                  <a14:compatExt spid="_x0000_s157285"/>
                </a:ext>
                <a:ext uri="{FF2B5EF4-FFF2-40B4-BE49-F238E27FC236}">
                  <a16:creationId xmlns:a16="http://schemas.microsoft.com/office/drawing/2014/main" id="{00000000-0008-0000-0000-00006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314</xdr:row>
          <xdr:rowOff>9525</xdr:rowOff>
        </xdr:from>
        <xdr:to>
          <xdr:col>4</xdr:col>
          <xdr:colOff>381000</xdr:colOff>
          <xdr:row>315</xdr:row>
          <xdr:rowOff>0</xdr:rowOff>
        </xdr:to>
        <xdr:sp macro="" textlink="">
          <xdr:nvSpPr>
            <xdr:cNvPr id="157286" name="Check Box 24166" hidden="1">
              <a:extLst>
                <a:ext uri="{63B3BB69-23CF-44E3-9099-C40C66FF867C}">
                  <a14:compatExt spid="_x0000_s157286"/>
                </a:ext>
                <a:ext uri="{FF2B5EF4-FFF2-40B4-BE49-F238E27FC236}">
                  <a16:creationId xmlns:a16="http://schemas.microsoft.com/office/drawing/2014/main" id="{00000000-0008-0000-0000-00006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315</xdr:row>
          <xdr:rowOff>9525</xdr:rowOff>
        </xdr:from>
        <xdr:to>
          <xdr:col>4</xdr:col>
          <xdr:colOff>381000</xdr:colOff>
          <xdr:row>316</xdr:row>
          <xdr:rowOff>0</xdr:rowOff>
        </xdr:to>
        <xdr:sp macro="" textlink="">
          <xdr:nvSpPr>
            <xdr:cNvPr id="157287" name="Check Box 24167" hidden="1">
              <a:extLst>
                <a:ext uri="{63B3BB69-23CF-44E3-9099-C40C66FF867C}">
                  <a14:compatExt spid="_x0000_s157287"/>
                </a:ext>
                <a:ext uri="{FF2B5EF4-FFF2-40B4-BE49-F238E27FC236}">
                  <a16:creationId xmlns:a16="http://schemas.microsoft.com/office/drawing/2014/main" id="{00000000-0008-0000-0000-00006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315</xdr:row>
          <xdr:rowOff>9525</xdr:rowOff>
        </xdr:from>
        <xdr:to>
          <xdr:col>4</xdr:col>
          <xdr:colOff>381000</xdr:colOff>
          <xdr:row>316</xdr:row>
          <xdr:rowOff>0</xdr:rowOff>
        </xdr:to>
        <xdr:sp macro="" textlink="">
          <xdr:nvSpPr>
            <xdr:cNvPr id="157288" name="Check Box 24168" hidden="1">
              <a:extLst>
                <a:ext uri="{63B3BB69-23CF-44E3-9099-C40C66FF867C}">
                  <a14:compatExt spid="_x0000_s157288"/>
                </a:ext>
                <a:ext uri="{FF2B5EF4-FFF2-40B4-BE49-F238E27FC236}">
                  <a16:creationId xmlns:a16="http://schemas.microsoft.com/office/drawing/2014/main" id="{00000000-0008-0000-0000-00006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315</xdr:row>
          <xdr:rowOff>9525</xdr:rowOff>
        </xdr:from>
        <xdr:to>
          <xdr:col>4</xdr:col>
          <xdr:colOff>381000</xdr:colOff>
          <xdr:row>316</xdr:row>
          <xdr:rowOff>0</xdr:rowOff>
        </xdr:to>
        <xdr:sp macro="" textlink="">
          <xdr:nvSpPr>
            <xdr:cNvPr id="157289" name="Check Box 24169" hidden="1">
              <a:extLst>
                <a:ext uri="{63B3BB69-23CF-44E3-9099-C40C66FF867C}">
                  <a14:compatExt spid="_x0000_s157289"/>
                </a:ext>
                <a:ext uri="{FF2B5EF4-FFF2-40B4-BE49-F238E27FC236}">
                  <a16:creationId xmlns:a16="http://schemas.microsoft.com/office/drawing/2014/main" id="{00000000-0008-0000-0000-00006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316</xdr:row>
          <xdr:rowOff>9525</xdr:rowOff>
        </xdr:from>
        <xdr:to>
          <xdr:col>4</xdr:col>
          <xdr:colOff>381000</xdr:colOff>
          <xdr:row>317</xdr:row>
          <xdr:rowOff>0</xdr:rowOff>
        </xdr:to>
        <xdr:sp macro="" textlink="">
          <xdr:nvSpPr>
            <xdr:cNvPr id="157290" name="Check Box 24170" hidden="1">
              <a:extLst>
                <a:ext uri="{63B3BB69-23CF-44E3-9099-C40C66FF867C}">
                  <a14:compatExt spid="_x0000_s157290"/>
                </a:ext>
                <a:ext uri="{FF2B5EF4-FFF2-40B4-BE49-F238E27FC236}">
                  <a16:creationId xmlns:a16="http://schemas.microsoft.com/office/drawing/2014/main" id="{00000000-0008-0000-0000-00006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316</xdr:row>
          <xdr:rowOff>9525</xdr:rowOff>
        </xdr:from>
        <xdr:to>
          <xdr:col>4</xdr:col>
          <xdr:colOff>381000</xdr:colOff>
          <xdr:row>317</xdr:row>
          <xdr:rowOff>0</xdr:rowOff>
        </xdr:to>
        <xdr:sp macro="" textlink="">
          <xdr:nvSpPr>
            <xdr:cNvPr id="157291" name="Check Box 24171" hidden="1">
              <a:extLst>
                <a:ext uri="{63B3BB69-23CF-44E3-9099-C40C66FF867C}">
                  <a14:compatExt spid="_x0000_s157291"/>
                </a:ext>
                <a:ext uri="{FF2B5EF4-FFF2-40B4-BE49-F238E27FC236}">
                  <a16:creationId xmlns:a16="http://schemas.microsoft.com/office/drawing/2014/main" id="{00000000-0008-0000-0000-00006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316</xdr:row>
          <xdr:rowOff>9525</xdr:rowOff>
        </xdr:from>
        <xdr:to>
          <xdr:col>4</xdr:col>
          <xdr:colOff>381000</xdr:colOff>
          <xdr:row>317</xdr:row>
          <xdr:rowOff>0</xdr:rowOff>
        </xdr:to>
        <xdr:sp macro="" textlink="">
          <xdr:nvSpPr>
            <xdr:cNvPr id="157292" name="Check Box 24172" hidden="1">
              <a:extLst>
                <a:ext uri="{63B3BB69-23CF-44E3-9099-C40C66FF867C}">
                  <a14:compatExt spid="_x0000_s157292"/>
                </a:ext>
                <a:ext uri="{FF2B5EF4-FFF2-40B4-BE49-F238E27FC236}">
                  <a16:creationId xmlns:a16="http://schemas.microsoft.com/office/drawing/2014/main" id="{00000000-0008-0000-0000-00006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317</xdr:row>
          <xdr:rowOff>9525</xdr:rowOff>
        </xdr:from>
        <xdr:to>
          <xdr:col>4</xdr:col>
          <xdr:colOff>381000</xdr:colOff>
          <xdr:row>318</xdr:row>
          <xdr:rowOff>0</xdr:rowOff>
        </xdr:to>
        <xdr:sp macro="" textlink="">
          <xdr:nvSpPr>
            <xdr:cNvPr id="157293" name="Check Box 24173" hidden="1">
              <a:extLst>
                <a:ext uri="{63B3BB69-23CF-44E3-9099-C40C66FF867C}">
                  <a14:compatExt spid="_x0000_s157293"/>
                </a:ext>
                <a:ext uri="{FF2B5EF4-FFF2-40B4-BE49-F238E27FC236}">
                  <a16:creationId xmlns:a16="http://schemas.microsoft.com/office/drawing/2014/main" id="{00000000-0008-0000-0000-00006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317</xdr:row>
          <xdr:rowOff>9525</xdr:rowOff>
        </xdr:from>
        <xdr:to>
          <xdr:col>4</xdr:col>
          <xdr:colOff>381000</xdr:colOff>
          <xdr:row>318</xdr:row>
          <xdr:rowOff>0</xdr:rowOff>
        </xdr:to>
        <xdr:sp macro="" textlink="">
          <xdr:nvSpPr>
            <xdr:cNvPr id="157294" name="Check Box 24174" hidden="1">
              <a:extLst>
                <a:ext uri="{63B3BB69-23CF-44E3-9099-C40C66FF867C}">
                  <a14:compatExt spid="_x0000_s157294"/>
                </a:ext>
                <a:ext uri="{FF2B5EF4-FFF2-40B4-BE49-F238E27FC236}">
                  <a16:creationId xmlns:a16="http://schemas.microsoft.com/office/drawing/2014/main" id="{00000000-0008-0000-0000-00006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317</xdr:row>
          <xdr:rowOff>9525</xdr:rowOff>
        </xdr:from>
        <xdr:to>
          <xdr:col>4</xdr:col>
          <xdr:colOff>381000</xdr:colOff>
          <xdr:row>318</xdr:row>
          <xdr:rowOff>0</xdr:rowOff>
        </xdr:to>
        <xdr:sp macro="" textlink="">
          <xdr:nvSpPr>
            <xdr:cNvPr id="157295" name="Check Box 24175" hidden="1">
              <a:extLst>
                <a:ext uri="{63B3BB69-23CF-44E3-9099-C40C66FF867C}">
                  <a14:compatExt spid="_x0000_s157295"/>
                </a:ext>
                <a:ext uri="{FF2B5EF4-FFF2-40B4-BE49-F238E27FC236}">
                  <a16:creationId xmlns:a16="http://schemas.microsoft.com/office/drawing/2014/main" id="{00000000-0008-0000-0000-00006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318</xdr:row>
          <xdr:rowOff>9525</xdr:rowOff>
        </xdr:from>
        <xdr:to>
          <xdr:col>4</xdr:col>
          <xdr:colOff>381000</xdr:colOff>
          <xdr:row>319</xdr:row>
          <xdr:rowOff>0</xdr:rowOff>
        </xdr:to>
        <xdr:sp macro="" textlink="">
          <xdr:nvSpPr>
            <xdr:cNvPr id="157296" name="Check Box 24176" hidden="1">
              <a:extLst>
                <a:ext uri="{63B3BB69-23CF-44E3-9099-C40C66FF867C}">
                  <a14:compatExt spid="_x0000_s157296"/>
                </a:ext>
                <a:ext uri="{FF2B5EF4-FFF2-40B4-BE49-F238E27FC236}">
                  <a16:creationId xmlns:a16="http://schemas.microsoft.com/office/drawing/2014/main" id="{00000000-0008-0000-0000-00007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318</xdr:row>
          <xdr:rowOff>9525</xdr:rowOff>
        </xdr:from>
        <xdr:to>
          <xdr:col>4</xdr:col>
          <xdr:colOff>381000</xdr:colOff>
          <xdr:row>319</xdr:row>
          <xdr:rowOff>0</xdr:rowOff>
        </xdr:to>
        <xdr:sp macro="" textlink="">
          <xdr:nvSpPr>
            <xdr:cNvPr id="157297" name="Check Box 24177" hidden="1">
              <a:extLst>
                <a:ext uri="{63B3BB69-23CF-44E3-9099-C40C66FF867C}">
                  <a14:compatExt spid="_x0000_s157297"/>
                </a:ext>
                <a:ext uri="{FF2B5EF4-FFF2-40B4-BE49-F238E27FC236}">
                  <a16:creationId xmlns:a16="http://schemas.microsoft.com/office/drawing/2014/main" id="{00000000-0008-0000-0000-00007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318</xdr:row>
          <xdr:rowOff>9525</xdr:rowOff>
        </xdr:from>
        <xdr:to>
          <xdr:col>4</xdr:col>
          <xdr:colOff>381000</xdr:colOff>
          <xdr:row>319</xdr:row>
          <xdr:rowOff>0</xdr:rowOff>
        </xdr:to>
        <xdr:sp macro="" textlink="">
          <xdr:nvSpPr>
            <xdr:cNvPr id="157298" name="Check Box 24178" hidden="1">
              <a:extLst>
                <a:ext uri="{63B3BB69-23CF-44E3-9099-C40C66FF867C}">
                  <a14:compatExt spid="_x0000_s157298"/>
                </a:ext>
                <a:ext uri="{FF2B5EF4-FFF2-40B4-BE49-F238E27FC236}">
                  <a16:creationId xmlns:a16="http://schemas.microsoft.com/office/drawing/2014/main" id="{00000000-0008-0000-0000-00007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319</xdr:row>
          <xdr:rowOff>9525</xdr:rowOff>
        </xdr:from>
        <xdr:to>
          <xdr:col>4</xdr:col>
          <xdr:colOff>381000</xdr:colOff>
          <xdr:row>320</xdr:row>
          <xdr:rowOff>0</xdr:rowOff>
        </xdr:to>
        <xdr:sp macro="" textlink="">
          <xdr:nvSpPr>
            <xdr:cNvPr id="157299" name="Check Box 24179" hidden="1">
              <a:extLst>
                <a:ext uri="{63B3BB69-23CF-44E3-9099-C40C66FF867C}">
                  <a14:compatExt spid="_x0000_s157299"/>
                </a:ext>
                <a:ext uri="{FF2B5EF4-FFF2-40B4-BE49-F238E27FC236}">
                  <a16:creationId xmlns:a16="http://schemas.microsoft.com/office/drawing/2014/main" id="{00000000-0008-0000-0000-00007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319</xdr:row>
          <xdr:rowOff>9525</xdr:rowOff>
        </xdr:from>
        <xdr:to>
          <xdr:col>4</xdr:col>
          <xdr:colOff>381000</xdr:colOff>
          <xdr:row>320</xdr:row>
          <xdr:rowOff>0</xdr:rowOff>
        </xdr:to>
        <xdr:sp macro="" textlink="">
          <xdr:nvSpPr>
            <xdr:cNvPr id="157300" name="Check Box 24180" hidden="1">
              <a:extLst>
                <a:ext uri="{63B3BB69-23CF-44E3-9099-C40C66FF867C}">
                  <a14:compatExt spid="_x0000_s157300"/>
                </a:ext>
                <a:ext uri="{FF2B5EF4-FFF2-40B4-BE49-F238E27FC236}">
                  <a16:creationId xmlns:a16="http://schemas.microsoft.com/office/drawing/2014/main" id="{00000000-0008-0000-0000-00007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319</xdr:row>
          <xdr:rowOff>9525</xdr:rowOff>
        </xdr:from>
        <xdr:to>
          <xdr:col>4</xdr:col>
          <xdr:colOff>381000</xdr:colOff>
          <xdr:row>320</xdr:row>
          <xdr:rowOff>0</xdr:rowOff>
        </xdr:to>
        <xdr:sp macro="" textlink="">
          <xdr:nvSpPr>
            <xdr:cNvPr id="157301" name="Check Box 24181" hidden="1">
              <a:extLst>
                <a:ext uri="{63B3BB69-23CF-44E3-9099-C40C66FF867C}">
                  <a14:compatExt spid="_x0000_s157301"/>
                </a:ext>
                <a:ext uri="{FF2B5EF4-FFF2-40B4-BE49-F238E27FC236}">
                  <a16:creationId xmlns:a16="http://schemas.microsoft.com/office/drawing/2014/main" id="{00000000-0008-0000-0000-00007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320</xdr:row>
          <xdr:rowOff>9525</xdr:rowOff>
        </xdr:from>
        <xdr:to>
          <xdr:col>4</xdr:col>
          <xdr:colOff>381000</xdr:colOff>
          <xdr:row>321</xdr:row>
          <xdr:rowOff>0</xdr:rowOff>
        </xdr:to>
        <xdr:sp macro="" textlink="">
          <xdr:nvSpPr>
            <xdr:cNvPr id="157302" name="Check Box 24182" hidden="1">
              <a:extLst>
                <a:ext uri="{63B3BB69-23CF-44E3-9099-C40C66FF867C}">
                  <a14:compatExt spid="_x0000_s157302"/>
                </a:ext>
                <a:ext uri="{FF2B5EF4-FFF2-40B4-BE49-F238E27FC236}">
                  <a16:creationId xmlns:a16="http://schemas.microsoft.com/office/drawing/2014/main" id="{00000000-0008-0000-0000-00007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320</xdr:row>
          <xdr:rowOff>9525</xdr:rowOff>
        </xdr:from>
        <xdr:to>
          <xdr:col>4</xdr:col>
          <xdr:colOff>381000</xdr:colOff>
          <xdr:row>321</xdr:row>
          <xdr:rowOff>0</xdr:rowOff>
        </xdr:to>
        <xdr:sp macro="" textlink="">
          <xdr:nvSpPr>
            <xdr:cNvPr id="157303" name="Check Box 24183" hidden="1">
              <a:extLst>
                <a:ext uri="{63B3BB69-23CF-44E3-9099-C40C66FF867C}">
                  <a14:compatExt spid="_x0000_s157303"/>
                </a:ext>
                <a:ext uri="{FF2B5EF4-FFF2-40B4-BE49-F238E27FC236}">
                  <a16:creationId xmlns:a16="http://schemas.microsoft.com/office/drawing/2014/main" id="{00000000-0008-0000-0000-00007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320</xdr:row>
          <xdr:rowOff>9525</xdr:rowOff>
        </xdr:from>
        <xdr:to>
          <xdr:col>4</xdr:col>
          <xdr:colOff>381000</xdr:colOff>
          <xdr:row>321</xdr:row>
          <xdr:rowOff>0</xdr:rowOff>
        </xdr:to>
        <xdr:sp macro="" textlink="">
          <xdr:nvSpPr>
            <xdr:cNvPr id="157304" name="Check Box 24184" hidden="1">
              <a:extLst>
                <a:ext uri="{63B3BB69-23CF-44E3-9099-C40C66FF867C}">
                  <a14:compatExt spid="_x0000_s157304"/>
                </a:ext>
                <a:ext uri="{FF2B5EF4-FFF2-40B4-BE49-F238E27FC236}">
                  <a16:creationId xmlns:a16="http://schemas.microsoft.com/office/drawing/2014/main" id="{00000000-0008-0000-0000-00007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321</xdr:row>
          <xdr:rowOff>9525</xdr:rowOff>
        </xdr:from>
        <xdr:to>
          <xdr:col>4</xdr:col>
          <xdr:colOff>381000</xdr:colOff>
          <xdr:row>322</xdr:row>
          <xdr:rowOff>0</xdr:rowOff>
        </xdr:to>
        <xdr:sp macro="" textlink="">
          <xdr:nvSpPr>
            <xdr:cNvPr id="157305" name="Check Box 24185" hidden="1">
              <a:extLst>
                <a:ext uri="{63B3BB69-23CF-44E3-9099-C40C66FF867C}">
                  <a14:compatExt spid="_x0000_s157305"/>
                </a:ext>
                <a:ext uri="{FF2B5EF4-FFF2-40B4-BE49-F238E27FC236}">
                  <a16:creationId xmlns:a16="http://schemas.microsoft.com/office/drawing/2014/main" id="{00000000-0008-0000-0000-00007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321</xdr:row>
          <xdr:rowOff>9525</xdr:rowOff>
        </xdr:from>
        <xdr:to>
          <xdr:col>4</xdr:col>
          <xdr:colOff>381000</xdr:colOff>
          <xdr:row>322</xdr:row>
          <xdr:rowOff>0</xdr:rowOff>
        </xdr:to>
        <xdr:sp macro="" textlink="">
          <xdr:nvSpPr>
            <xdr:cNvPr id="157306" name="Check Box 24186" hidden="1">
              <a:extLst>
                <a:ext uri="{63B3BB69-23CF-44E3-9099-C40C66FF867C}">
                  <a14:compatExt spid="_x0000_s157306"/>
                </a:ext>
                <a:ext uri="{FF2B5EF4-FFF2-40B4-BE49-F238E27FC236}">
                  <a16:creationId xmlns:a16="http://schemas.microsoft.com/office/drawing/2014/main" id="{00000000-0008-0000-0000-00007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321</xdr:row>
          <xdr:rowOff>9525</xdr:rowOff>
        </xdr:from>
        <xdr:to>
          <xdr:col>4</xdr:col>
          <xdr:colOff>381000</xdr:colOff>
          <xdr:row>322</xdr:row>
          <xdr:rowOff>0</xdr:rowOff>
        </xdr:to>
        <xdr:sp macro="" textlink="">
          <xdr:nvSpPr>
            <xdr:cNvPr id="157307" name="Check Box 24187" hidden="1">
              <a:extLst>
                <a:ext uri="{63B3BB69-23CF-44E3-9099-C40C66FF867C}">
                  <a14:compatExt spid="_x0000_s157307"/>
                </a:ext>
                <a:ext uri="{FF2B5EF4-FFF2-40B4-BE49-F238E27FC236}">
                  <a16:creationId xmlns:a16="http://schemas.microsoft.com/office/drawing/2014/main" id="{00000000-0008-0000-0000-00007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322</xdr:row>
          <xdr:rowOff>9525</xdr:rowOff>
        </xdr:from>
        <xdr:to>
          <xdr:col>4</xdr:col>
          <xdr:colOff>381000</xdr:colOff>
          <xdr:row>323</xdr:row>
          <xdr:rowOff>0</xdr:rowOff>
        </xdr:to>
        <xdr:sp macro="" textlink="">
          <xdr:nvSpPr>
            <xdr:cNvPr id="157308" name="Check Box 24188" hidden="1">
              <a:extLst>
                <a:ext uri="{63B3BB69-23CF-44E3-9099-C40C66FF867C}">
                  <a14:compatExt spid="_x0000_s157308"/>
                </a:ext>
                <a:ext uri="{FF2B5EF4-FFF2-40B4-BE49-F238E27FC236}">
                  <a16:creationId xmlns:a16="http://schemas.microsoft.com/office/drawing/2014/main" id="{00000000-0008-0000-0000-00007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322</xdr:row>
          <xdr:rowOff>9525</xdr:rowOff>
        </xdr:from>
        <xdr:to>
          <xdr:col>4</xdr:col>
          <xdr:colOff>381000</xdr:colOff>
          <xdr:row>323</xdr:row>
          <xdr:rowOff>0</xdr:rowOff>
        </xdr:to>
        <xdr:sp macro="" textlink="">
          <xdr:nvSpPr>
            <xdr:cNvPr id="157309" name="Check Box 24189" hidden="1">
              <a:extLst>
                <a:ext uri="{63B3BB69-23CF-44E3-9099-C40C66FF867C}">
                  <a14:compatExt spid="_x0000_s157309"/>
                </a:ext>
                <a:ext uri="{FF2B5EF4-FFF2-40B4-BE49-F238E27FC236}">
                  <a16:creationId xmlns:a16="http://schemas.microsoft.com/office/drawing/2014/main" id="{00000000-0008-0000-0000-00007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322</xdr:row>
          <xdr:rowOff>9525</xdr:rowOff>
        </xdr:from>
        <xdr:to>
          <xdr:col>4</xdr:col>
          <xdr:colOff>381000</xdr:colOff>
          <xdr:row>323</xdr:row>
          <xdr:rowOff>0</xdr:rowOff>
        </xdr:to>
        <xdr:sp macro="" textlink="">
          <xdr:nvSpPr>
            <xdr:cNvPr id="157310" name="Check Box 24190" hidden="1">
              <a:extLst>
                <a:ext uri="{63B3BB69-23CF-44E3-9099-C40C66FF867C}">
                  <a14:compatExt spid="_x0000_s157310"/>
                </a:ext>
                <a:ext uri="{FF2B5EF4-FFF2-40B4-BE49-F238E27FC236}">
                  <a16:creationId xmlns:a16="http://schemas.microsoft.com/office/drawing/2014/main" id="{00000000-0008-0000-0000-00007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323</xdr:row>
          <xdr:rowOff>9525</xdr:rowOff>
        </xdr:from>
        <xdr:to>
          <xdr:col>4</xdr:col>
          <xdr:colOff>381000</xdr:colOff>
          <xdr:row>324</xdr:row>
          <xdr:rowOff>0</xdr:rowOff>
        </xdr:to>
        <xdr:sp macro="" textlink="">
          <xdr:nvSpPr>
            <xdr:cNvPr id="157311" name="Check Box 24191" hidden="1">
              <a:extLst>
                <a:ext uri="{63B3BB69-23CF-44E3-9099-C40C66FF867C}">
                  <a14:compatExt spid="_x0000_s157311"/>
                </a:ext>
                <a:ext uri="{FF2B5EF4-FFF2-40B4-BE49-F238E27FC236}">
                  <a16:creationId xmlns:a16="http://schemas.microsoft.com/office/drawing/2014/main" id="{00000000-0008-0000-0000-00007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323</xdr:row>
          <xdr:rowOff>9525</xdr:rowOff>
        </xdr:from>
        <xdr:to>
          <xdr:col>4</xdr:col>
          <xdr:colOff>381000</xdr:colOff>
          <xdr:row>324</xdr:row>
          <xdr:rowOff>0</xdr:rowOff>
        </xdr:to>
        <xdr:sp macro="" textlink="">
          <xdr:nvSpPr>
            <xdr:cNvPr id="157312" name="Check Box 24192" hidden="1">
              <a:extLst>
                <a:ext uri="{63B3BB69-23CF-44E3-9099-C40C66FF867C}">
                  <a14:compatExt spid="_x0000_s157312"/>
                </a:ext>
                <a:ext uri="{FF2B5EF4-FFF2-40B4-BE49-F238E27FC236}">
                  <a16:creationId xmlns:a16="http://schemas.microsoft.com/office/drawing/2014/main" id="{00000000-0008-0000-0000-00008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323</xdr:row>
          <xdr:rowOff>9525</xdr:rowOff>
        </xdr:from>
        <xdr:to>
          <xdr:col>4</xdr:col>
          <xdr:colOff>381000</xdr:colOff>
          <xdr:row>324</xdr:row>
          <xdr:rowOff>0</xdr:rowOff>
        </xdr:to>
        <xdr:sp macro="" textlink="">
          <xdr:nvSpPr>
            <xdr:cNvPr id="157313" name="Check Box 24193" hidden="1">
              <a:extLst>
                <a:ext uri="{63B3BB69-23CF-44E3-9099-C40C66FF867C}">
                  <a14:compatExt spid="_x0000_s157313"/>
                </a:ext>
                <a:ext uri="{FF2B5EF4-FFF2-40B4-BE49-F238E27FC236}">
                  <a16:creationId xmlns:a16="http://schemas.microsoft.com/office/drawing/2014/main" id="{00000000-0008-0000-0000-00008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324</xdr:row>
          <xdr:rowOff>9525</xdr:rowOff>
        </xdr:from>
        <xdr:to>
          <xdr:col>4</xdr:col>
          <xdr:colOff>381000</xdr:colOff>
          <xdr:row>325</xdr:row>
          <xdr:rowOff>0</xdr:rowOff>
        </xdr:to>
        <xdr:sp macro="" textlink="">
          <xdr:nvSpPr>
            <xdr:cNvPr id="157314" name="Check Box 24194" hidden="1">
              <a:extLst>
                <a:ext uri="{63B3BB69-23CF-44E3-9099-C40C66FF867C}">
                  <a14:compatExt spid="_x0000_s157314"/>
                </a:ext>
                <a:ext uri="{FF2B5EF4-FFF2-40B4-BE49-F238E27FC236}">
                  <a16:creationId xmlns:a16="http://schemas.microsoft.com/office/drawing/2014/main" id="{00000000-0008-0000-0000-00008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324</xdr:row>
          <xdr:rowOff>9525</xdr:rowOff>
        </xdr:from>
        <xdr:to>
          <xdr:col>4</xdr:col>
          <xdr:colOff>381000</xdr:colOff>
          <xdr:row>325</xdr:row>
          <xdr:rowOff>0</xdr:rowOff>
        </xdr:to>
        <xdr:sp macro="" textlink="">
          <xdr:nvSpPr>
            <xdr:cNvPr id="157315" name="Check Box 24195" hidden="1">
              <a:extLst>
                <a:ext uri="{63B3BB69-23CF-44E3-9099-C40C66FF867C}">
                  <a14:compatExt spid="_x0000_s157315"/>
                </a:ext>
                <a:ext uri="{FF2B5EF4-FFF2-40B4-BE49-F238E27FC236}">
                  <a16:creationId xmlns:a16="http://schemas.microsoft.com/office/drawing/2014/main" id="{00000000-0008-0000-0000-00008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324</xdr:row>
          <xdr:rowOff>9525</xdr:rowOff>
        </xdr:from>
        <xdr:to>
          <xdr:col>4</xdr:col>
          <xdr:colOff>381000</xdr:colOff>
          <xdr:row>325</xdr:row>
          <xdr:rowOff>0</xdr:rowOff>
        </xdr:to>
        <xdr:sp macro="" textlink="">
          <xdr:nvSpPr>
            <xdr:cNvPr id="157316" name="Check Box 24196" hidden="1">
              <a:extLst>
                <a:ext uri="{63B3BB69-23CF-44E3-9099-C40C66FF867C}">
                  <a14:compatExt spid="_x0000_s157316"/>
                </a:ext>
                <a:ext uri="{FF2B5EF4-FFF2-40B4-BE49-F238E27FC236}">
                  <a16:creationId xmlns:a16="http://schemas.microsoft.com/office/drawing/2014/main" id="{00000000-0008-0000-0000-00008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325</xdr:row>
          <xdr:rowOff>9525</xdr:rowOff>
        </xdr:from>
        <xdr:to>
          <xdr:col>4</xdr:col>
          <xdr:colOff>381000</xdr:colOff>
          <xdr:row>326</xdr:row>
          <xdr:rowOff>0</xdr:rowOff>
        </xdr:to>
        <xdr:sp macro="" textlink="">
          <xdr:nvSpPr>
            <xdr:cNvPr id="157317" name="Check Box 24197" hidden="1">
              <a:extLst>
                <a:ext uri="{63B3BB69-23CF-44E3-9099-C40C66FF867C}">
                  <a14:compatExt spid="_x0000_s157317"/>
                </a:ext>
                <a:ext uri="{FF2B5EF4-FFF2-40B4-BE49-F238E27FC236}">
                  <a16:creationId xmlns:a16="http://schemas.microsoft.com/office/drawing/2014/main" id="{00000000-0008-0000-0000-00008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325</xdr:row>
          <xdr:rowOff>9525</xdr:rowOff>
        </xdr:from>
        <xdr:to>
          <xdr:col>4</xdr:col>
          <xdr:colOff>381000</xdr:colOff>
          <xdr:row>326</xdr:row>
          <xdr:rowOff>0</xdr:rowOff>
        </xdr:to>
        <xdr:sp macro="" textlink="">
          <xdr:nvSpPr>
            <xdr:cNvPr id="157318" name="Check Box 24198" hidden="1">
              <a:extLst>
                <a:ext uri="{63B3BB69-23CF-44E3-9099-C40C66FF867C}">
                  <a14:compatExt spid="_x0000_s157318"/>
                </a:ext>
                <a:ext uri="{FF2B5EF4-FFF2-40B4-BE49-F238E27FC236}">
                  <a16:creationId xmlns:a16="http://schemas.microsoft.com/office/drawing/2014/main" id="{00000000-0008-0000-0000-00008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325</xdr:row>
          <xdr:rowOff>9525</xdr:rowOff>
        </xdr:from>
        <xdr:to>
          <xdr:col>4</xdr:col>
          <xdr:colOff>381000</xdr:colOff>
          <xdr:row>326</xdr:row>
          <xdr:rowOff>0</xdr:rowOff>
        </xdr:to>
        <xdr:sp macro="" textlink="">
          <xdr:nvSpPr>
            <xdr:cNvPr id="157319" name="Check Box 24199" hidden="1">
              <a:extLst>
                <a:ext uri="{63B3BB69-23CF-44E3-9099-C40C66FF867C}">
                  <a14:compatExt spid="_x0000_s157319"/>
                </a:ext>
                <a:ext uri="{FF2B5EF4-FFF2-40B4-BE49-F238E27FC236}">
                  <a16:creationId xmlns:a16="http://schemas.microsoft.com/office/drawing/2014/main" id="{00000000-0008-0000-0000-00008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326</xdr:row>
          <xdr:rowOff>9525</xdr:rowOff>
        </xdr:from>
        <xdr:to>
          <xdr:col>4</xdr:col>
          <xdr:colOff>381000</xdr:colOff>
          <xdr:row>327</xdr:row>
          <xdr:rowOff>0</xdr:rowOff>
        </xdr:to>
        <xdr:sp macro="" textlink="">
          <xdr:nvSpPr>
            <xdr:cNvPr id="157320" name="Check Box 24200" hidden="1">
              <a:extLst>
                <a:ext uri="{63B3BB69-23CF-44E3-9099-C40C66FF867C}">
                  <a14:compatExt spid="_x0000_s157320"/>
                </a:ext>
                <a:ext uri="{FF2B5EF4-FFF2-40B4-BE49-F238E27FC236}">
                  <a16:creationId xmlns:a16="http://schemas.microsoft.com/office/drawing/2014/main" id="{00000000-0008-0000-0000-00008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326</xdr:row>
          <xdr:rowOff>9525</xdr:rowOff>
        </xdr:from>
        <xdr:to>
          <xdr:col>4</xdr:col>
          <xdr:colOff>381000</xdr:colOff>
          <xdr:row>327</xdr:row>
          <xdr:rowOff>0</xdr:rowOff>
        </xdr:to>
        <xdr:sp macro="" textlink="">
          <xdr:nvSpPr>
            <xdr:cNvPr id="157321" name="Check Box 24201" hidden="1">
              <a:extLst>
                <a:ext uri="{63B3BB69-23CF-44E3-9099-C40C66FF867C}">
                  <a14:compatExt spid="_x0000_s157321"/>
                </a:ext>
                <a:ext uri="{FF2B5EF4-FFF2-40B4-BE49-F238E27FC236}">
                  <a16:creationId xmlns:a16="http://schemas.microsoft.com/office/drawing/2014/main" id="{00000000-0008-0000-0000-00008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326</xdr:row>
          <xdr:rowOff>9525</xdr:rowOff>
        </xdr:from>
        <xdr:to>
          <xdr:col>4</xdr:col>
          <xdr:colOff>381000</xdr:colOff>
          <xdr:row>327</xdr:row>
          <xdr:rowOff>0</xdr:rowOff>
        </xdr:to>
        <xdr:sp macro="" textlink="">
          <xdr:nvSpPr>
            <xdr:cNvPr id="157322" name="Check Box 24202" hidden="1">
              <a:extLst>
                <a:ext uri="{63B3BB69-23CF-44E3-9099-C40C66FF867C}">
                  <a14:compatExt spid="_x0000_s157322"/>
                </a:ext>
                <a:ext uri="{FF2B5EF4-FFF2-40B4-BE49-F238E27FC236}">
                  <a16:creationId xmlns:a16="http://schemas.microsoft.com/office/drawing/2014/main" id="{00000000-0008-0000-0000-00008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327</xdr:row>
          <xdr:rowOff>9525</xdr:rowOff>
        </xdr:from>
        <xdr:to>
          <xdr:col>4</xdr:col>
          <xdr:colOff>381000</xdr:colOff>
          <xdr:row>328</xdr:row>
          <xdr:rowOff>0</xdr:rowOff>
        </xdr:to>
        <xdr:sp macro="" textlink="">
          <xdr:nvSpPr>
            <xdr:cNvPr id="157323" name="Check Box 24203" hidden="1">
              <a:extLst>
                <a:ext uri="{63B3BB69-23CF-44E3-9099-C40C66FF867C}">
                  <a14:compatExt spid="_x0000_s157323"/>
                </a:ext>
                <a:ext uri="{FF2B5EF4-FFF2-40B4-BE49-F238E27FC236}">
                  <a16:creationId xmlns:a16="http://schemas.microsoft.com/office/drawing/2014/main" id="{00000000-0008-0000-0000-00008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327</xdr:row>
          <xdr:rowOff>9525</xdr:rowOff>
        </xdr:from>
        <xdr:to>
          <xdr:col>4</xdr:col>
          <xdr:colOff>381000</xdr:colOff>
          <xdr:row>328</xdr:row>
          <xdr:rowOff>0</xdr:rowOff>
        </xdr:to>
        <xdr:sp macro="" textlink="">
          <xdr:nvSpPr>
            <xdr:cNvPr id="157324" name="Check Box 24204" hidden="1">
              <a:extLst>
                <a:ext uri="{63B3BB69-23CF-44E3-9099-C40C66FF867C}">
                  <a14:compatExt spid="_x0000_s157324"/>
                </a:ext>
                <a:ext uri="{FF2B5EF4-FFF2-40B4-BE49-F238E27FC236}">
                  <a16:creationId xmlns:a16="http://schemas.microsoft.com/office/drawing/2014/main" id="{00000000-0008-0000-0000-00008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327</xdr:row>
          <xdr:rowOff>9525</xdr:rowOff>
        </xdr:from>
        <xdr:to>
          <xdr:col>4</xdr:col>
          <xdr:colOff>381000</xdr:colOff>
          <xdr:row>328</xdr:row>
          <xdr:rowOff>0</xdr:rowOff>
        </xdr:to>
        <xdr:sp macro="" textlink="">
          <xdr:nvSpPr>
            <xdr:cNvPr id="157325" name="Check Box 24205" hidden="1">
              <a:extLst>
                <a:ext uri="{63B3BB69-23CF-44E3-9099-C40C66FF867C}">
                  <a14:compatExt spid="_x0000_s157325"/>
                </a:ext>
                <a:ext uri="{FF2B5EF4-FFF2-40B4-BE49-F238E27FC236}">
                  <a16:creationId xmlns:a16="http://schemas.microsoft.com/office/drawing/2014/main" id="{00000000-0008-0000-0000-00008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328</xdr:row>
          <xdr:rowOff>9525</xdr:rowOff>
        </xdr:from>
        <xdr:to>
          <xdr:col>4</xdr:col>
          <xdr:colOff>381000</xdr:colOff>
          <xdr:row>329</xdr:row>
          <xdr:rowOff>0</xdr:rowOff>
        </xdr:to>
        <xdr:sp macro="" textlink="">
          <xdr:nvSpPr>
            <xdr:cNvPr id="157326" name="Check Box 24206" hidden="1">
              <a:extLst>
                <a:ext uri="{63B3BB69-23CF-44E3-9099-C40C66FF867C}">
                  <a14:compatExt spid="_x0000_s157326"/>
                </a:ext>
                <a:ext uri="{FF2B5EF4-FFF2-40B4-BE49-F238E27FC236}">
                  <a16:creationId xmlns:a16="http://schemas.microsoft.com/office/drawing/2014/main" id="{00000000-0008-0000-0000-00008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328</xdr:row>
          <xdr:rowOff>9525</xdr:rowOff>
        </xdr:from>
        <xdr:to>
          <xdr:col>4</xdr:col>
          <xdr:colOff>381000</xdr:colOff>
          <xdr:row>329</xdr:row>
          <xdr:rowOff>0</xdr:rowOff>
        </xdr:to>
        <xdr:sp macro="" textlink="">
          <xdr:nvSpPr>
            <xdr:cNvPr id="157327" name="Check Box 24207" hidden="1">
              <a:extLst>
                <a:ext uri="{63B3BB69-23CF-44E3-9099-C40C66FF867C}">
                  <a14:compatExt spid="_x0000_s157327"/>
                </a:ext>
                <a:ext uri="{FF2B5EF4-FFF2-40B4-BE49-F238E27FC236}">
                  <a16:creationId xmlns:a16="http://schemas.microsoft.com/office/drawing/2014/main" id="{00000000-0008-0000-0000-00008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328</xdr:row>
          <xdr:rowOff>9525</xdr:rowOff>
        </xdr:from>
        <xdr:to>
          <xdr:col>4</xdr:col>
          <xdr:colOff>381000</xdr:colOff>
          <xdr:row>329</xdr:row>
          <xdr:rowOff>0</xdr:rowOff>
        </xdr:to>
        <xdr:sp macro="" textlink="">
          <xdr:nvSpPr>
            <xdr:cNvPr id="157328" name="Check Box 24208" hidden="1">
              <a:extLst>
                <a:ext uri="{63B3BB69-23CF-44E3-9099-C40C66FF867C}">
                  <a14:compatExt spid="_x0000_s157328"/>
                </a:ext>
                <a:ext uri="{FF2B5EF4-FFF2-40B4-BE49-F238E27FC236}">
                  <a16:creationId xmlns:a16="http://schemas.microsoft.com/office/drawing/2014/main" id="{00000000-0008-0000-0000-00009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329</xdr:row>
          <xdr:rowOff>9525</xdr:rowOff>
        </xdr:from>
        <xdr:to>
          <xdr:col>4</xdr:col>
          <xdr:colOff>381000</xdr:colOff>
          <xdr:row>330</xdr:row>
          <xdr:rowOff>0</xdr:rowOff>
        </xdr:to>
        <xdr:sp macro="" textlink="">
          <xdr:nvSpPr>
            <xdr:cNvPr id="157329" name="Check Box 24209" hidden="1">
              <a:extLst>
                <a:ext uri="{63B3BB69-23CF-44E3-9099-C40C66FF867C}">
                  <a14:compatExt spid="_x0000_s157329"/>
                </a:ext>
                <a:ext uri="{FF2B5EF4-FFF2-40B4-BE49-F238E27FC236}">
                  <a16:creationId xmlns:a16="http://schemas.microsoft.com/office/drawing/2014/main" id="{00000000-0008-0000-0000-00009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329</xdr:row>
          <xdr:rowOff>9525</xdr:rowOff>
        </xdr:from>
        <xdr:to>
          <xdr:col>4</xdr:col>
          <xdr:colOff>381000</xdr:colOff>
          <xdr:row>330</xdr:row>
          <xdr:rowOff>0</xdr:rowOff>
        </xdr:to>
        <xdr:sp macro="" textlink="">
          <xdr:nvSpPr>
            <xdr:cNvPr id="157330" name="Check Box 24210" hidden="1">
              <a:extLst>
                <a:ext uri="{63B3BB69-23CF-44E3-9099-C40C66FF867C}">
                  <a14:compatExt spid="_x0000_s157330"/>
                </a:ext>
                <a:ext uri="{FF2B5EF4-FFF2-40B4-BE49-F238E27FC236}">
                  <a16:creationId xmlns:a16="http://schemas.microsoft.com/office/drawing/2014/main" id="{00000000-0008-0000-0000-00009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329</xdr:row>
          <xdr:rowOff>9525</xdr:rowOff>
        </xdr:from>
        <xdr:to>
          <xdr:col>4</xdr:col>
          <xdr:colOff>381000</xdr:colOff>
          <xdr:row>330</xdr:row>
          <xdr:rowOff>0</xdr:rowOff>
        </xdr:to>
        <xdr:sp macro="" textlink="">
          <xdr:nvSpPr>
            <xdr:cNvPr id="157331" name="Check Box 24211" hidden="1">
              <a:extLst>
                <a:ext uri="{63B3BB69-23CF-44E3-9099-C40C66FF867C}">
                  <a14:compatExt spid="_x0000_s157331"/>
                </a:ext>
                <a:ext uri="{FF2B5EF4-FFF2-40B4-BE49-F238E27FC236}">
                  <a16:creationId xmlns:a16="http://schemas.microsoft.com/office/drawing/2014/main" id="{00000000-0008-0000-0000-00009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330</xdr:row>
          <xdr:rowOff>9525</xdr:rowOff>
        </xdr:from>
        <xdr:to>
          <xdr:col>4</xdr:col>
          <xdr:colOff>381000</xdr:colOff>
          <xdr:row>331</xdr:row>
          <xdr:rowOff>0</xdr:rowOff>
        </xdr:to>
        <xdr:sp macro="" textlink="">
          <xdr:nvSpPr>
            <xdr:cNvPr id="157332" name="Check Box 24212" hidden="1">
              <a:extLst>
                <a:ext uri="{63B3BB69-23CF-44E3-9099-C40C66FF867C}">
                  <a14:compatExt spid="_x0000_s157332"/>
                </a:ext>
                <a:ext uri="{FF2B5EF4-FFF2-40B4-BE49-F238E27FC236}">
                  <a16:creationId xmlns:a16="http://schemas.microsoft.com/office/drawing/2014/main" id="{00000000-0008-0000-0000-00009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330</xdr:row>
          <xdr:rowOff>9525</xdr:rowOff>
        </xdr:from>
        <xdr:to>
          <xdr:col>4</xdr:col>
          <xdr:colOff>381000</xdr:colOff>
          <xdr:row>331</xdr:row>
          <xdr:rowOff>0</xdr:rowOff>
        </xdr:to>
        <xdr:sp macro="" textlink="">
          <xdr:nvSpPr>
            <xdr:cNvPr id="157333" name="Check Box 24213" hidden="1">
              <a:extLst>
                <a:ext uri="{63B3BB69-23CF-44E3-9099-C40C66FF867C}">
                  <a14:compatExt spid="_x0000_s157333"/>
                </a:ext>
                <a:ext uri="{FF2B5EF4-FFF2-40B4-BE49-F238E27FC236}">
                  <a16:creationId xmlns:a16="http://schemas.microsoft.com/office/drawing/2014/main" id="{00000000-0008-0000-0000-00009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330</xdr:row>
          <xdr:rowOff>9525</xdr:rowOff>
        </xdr:from>
        <xdr:to>
          <xdr:col>4</xdr:col>
          <xdr:colOff>381000</xdr:colOff>
          <xdr:row>331</xdr:row>
          <xdr:rowOff>0</xdr:rowOff>
        </xdr:to>
        <xdr:sp macro="" textlink="">
          <xdr:nvSpPr>
            <xdr:cNvPr id="157334" name="Check Box 24214" hidden="1">
              <a:extLst>
                <a:ext uri="{63B3BB69-23CF-44E3-9099-C40C66FF867C}">
                  <a14:compatExt spid="_x0000_s157334"/>
                </a:ext>
                <a:ext uri="{FF2B5EF4-FFF2-40B4-BE49-F238E27FC236}">
                  <a16:creationId xmlns:a16="http://schemas.microsoft.com/office/drawing/2014/main" id="{00000000-0008-0000-0000-00009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331</xdr:row>
          <xdr:rowOff>9525</xdr:rowOff>
        </xdr:from>
        <xdr:to>
          <xdr:col>4</xdr:col>
          <xdr:colOff>381000</xdr:colOff>
          <xdr:row>332</xdr:row>
          <xdr:rowOff>0</xdr:rowOff>
        </xdr:to>
        <xdr:sp macro="" textlink="">
          <xdr:nvSpPr>
            <xdr:cNvPr id="157335" name="Check Box 24215" hidden="1">
              <a:extLst>
                <a:ext uri="{63B3BB69-23CF-44E3-9099-C40C66FF867C}">
                  <a14:compatExt spid="_x0000_s157335"/>
                </a:ext>
                <a:ext uri="{FF2B5EF4-FFF2-40B4-BE49-F238E27FC236}">
                  <a16:creationId xmlns:a16="http://schemas.microsoft.com/office/drawing/2014/main" id="{00000000-0008-0000-0000-00009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331</xdr:row>
          <xdr:rowOff>9525</xdr:rowOff>
        </xdr:from>
        <xdr:to>
          <xdr:col>4</xdr:col>
          <xdr:colOff>381000</xdr:colOff>
          <xdr:row>332</xdr:row>
          <xdr:rowOff>0</xdr:rowOff>
        </xdr:to>
        <xdr:sp macro="" textlink="">
          <xdr:nvSpPr>
            <xdr:cNvPr id="157336" name="Check Box 24216" hidden="1">
              <a:extLst>
                <a:ext uri="{63B3BB69-23CF-44E3-9099-C40C66FF867C}">
                  <a14:compatExt spid="_x0000_s157336"/>
                </a:ext>
                <a:ext uri="{FF2B5EF4-FFF2-40B4-BE49-F238E27FC236}">
                  <a16:creationId xmlns:a16="http://schemas.microsoft.com/office/drawing/2014/main" id="{00000000-0008-0000-0000-00009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331</xdr:row>
          <xdr:rowOff>9525</xdr:rowOff>
        </xdr:from>
        <xdr:to>
          <xdr:col>4</xdr:col>
          <xdr:colOff>381000</xdr:colOff>
          <xdr:row>332</xdr:row>
          <xdr:rowOff>0</xdr:rowOff>
        </xdr:to>
        <xdr:sp macro="" textlink="">
          <xdr:nvSpPr>
            <xdr:cNvPr id="157337" name="Check Box 24217" hidden="1">
              <a:extLst>
                <a:ext uri="{63B3BB69-23CF-44E3-9099-C40C66FF867C}">
                  <a14:compatExt spid="_x0000_s157337"/>
                </a:ext>
                <a:ext uri="{FF2B5EF4-FFF2-40B4-BE49-F238E27FC236}">
                  <a16:creationId xmlns:a16="http://schemas.microsoft.com/office/drawing/2014/main" id="{00000000-0008-0000-0000-00009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332</xdr:row>
          <xdr:rowOff>9525</xdr:rowOff>
        </xdr:from>
        <xdr:to>
          <xdr:col>4</xdr:col>
          <xdr:colOff>381000</xdr:colOff>
          <xdr:row>333</xdr:row>
          <xdr:rowOff>0</xdr:rowOff>
        </xdr:to>
        <xdr:sp macro="" textlink="">
          <xdr:nvSpPr>
            <xdr:cNvPr id="157338" name="Check Box 24218" hidden="1">
              <a:extLst>
                <a:ext uri="{63B3BB69-23CF-44E3-9099-C40C66FF867C}">
                  <a14:compatExt spid="_x0000_s157338"/>
                </a:ext>
                <a:ext uri="{FF2B5EF4-FFF2-40B4-BE49-F238E27FC236}">
                  <a16:creationId xmlns:a16="http://schemas.microsoft.com/office/drawing/2014/main" id="{00000000-0008-0000-0000-00009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332</xdr:row>
          <xdr:rowOff>9525</xdr:rowOff>
        </xdr:from>
        <xdr:to>
          <xdr:col>4</xdr:col>
          <xdr:colOff>381000</xdr:colOff>
          <xdr:row>333</xdr:row>
          <xdr:rowOff>0</xdr:rowOff>
        </xdr:to>
        <xdr:sp macro="" textlink="">
          <xdr:nvSpPr>
            <xdr:cNvPr id="157339" name="Check Box 24219" hidden="1">
              <a:extLst>
                <a:ext uri="{63B3BB69-23CF-44E3-9099-C40C66FF867C}">
                  <a14:compatExt spid="_x0000_s157339"/>
                </a:ext>
                <a:ext uri="{FF2B5EF4-FFF2-40B4-BE49-F238E27FC236}">
                  <a16:creationId xmlns:a16="http://schemas.microsoft.com/office/drawing/2014/main" id="{00000000-0008-0000-0000-00009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332</xdr:row>
          <xdr:rowOff>9525</xdr:rowOff>
        </xdr:from>
        <xdr:to>
          <xdr:col>4</xdr:col>
          <xdr:colOff>381000</xdr:colOff>
          <xdr:row>333</xdr:row>
          <xdr:rowOff>0</xdr:rowOff>
        </xdr:to>
        <xdr:sp macro="" textlink="">
          <xdr:nvSpPr>
            <xdr:cNvPr id="157340" name="Check Box 24220" hidden="1">
              <a:extLst>
                <a:ext uri="{63B3BB69-23CF-44E3-9099-C40C66FF867C}">
                  <a14:compatExt spid="_x0000_s157340"/>
                </a:ext>
                <a:ext uri="{FF2B5EF4-FFF2-40B4-BE49-F238E27FC236}">
                  <a16:creationId xmlns:a16="http://schemas.microsoft.com/office/drawing/2014/main" id="{00000000-0008-0000-0000-00009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333</xdr:row>
          <xdr:rowOff>9525</xdr:rowOff>
        </xdr:from>
        <xdr:to>
          <xdr:col>4</xdr:col>
          <xdr:colOff>381000</xdr:colOff>
          <xdr:row>334</xdr:row>
          <xdr:rowOff>0</xdr:rowOff>
        </xdr:to>
        <xdr:sp macro="" textlink="">
          <xdr:nvSpPr>
            <xdr:cNvPr id="157341" name="Check Box 24221" hidden="1">
              <a:extLst>
                <a:ext uri="{63B3BB69-23CF-44E3-9099-C40C66FF867C}">
                  <a14:compatExt spid="_x0000_s157341"/>
                </a:ext>
                <a:ext uri="{FF2B5EF4-FFF2-40B4-BE49-F238E27FC236}">
                  <a16:creationId xmlns:a16="http://schemas.microsoft.com/office/drawing/2014/main" id="{00000000-0008-0000-0000-00009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333</xdr:row>
          <xdr:rowOff>9525</xdr:rowOff>
        </xdr:from>
        <xdr:to>
          <xdr:col>4</xdr:col>
          <xdr:colOff>381000</xdr:colOff>
          <xdr:row>334</xdr:row>
          <xdr:rowOff>0</xdr:rowOff>
        </xdr:to>
        <xdr:sp macro="" textlink="">
          <xdr:nvSpPr>
            <xdr:cNvPr id="157342" name="Check Box 24222" hidden="1">
              <a:extLst>
                <a:ext uri="{63B3BB69-23CF-44E3-9099-C40C66FF867C}">
                  <a14:compatExt spid="_x0000_s157342"/>
                </a:ext>
                <a:ext uri="{FF2B5EF4-FFF2-40B4-BE49-F238E27FC236}">
                  <a16:creationId xmlns:a16="http://schemas.microsoft.com/office/drawing/2014/main" id="{00000000-0008-0000-0000-00009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333</xdr:row>
          <xdr:rowOff>9525</xdr:rowOff>
        </xdr:from>
        <xdr:to>
          <xdr:col>4</xdr:col>
          <xdr:colOff>381000</xdr:colOff>
          <xdr:row>334</xdr:row>
          <xdr:rowOff>0</xdr:rowOff>
        </xdr:to>
        <xdr:sp macro="" textlink="">
          <xdr:nvSpPr>
            <xdr:cNvPr id="157343" name="Check Box 24223" hidden="1">
              <a:extLst>
                <a:ext uri="{63B3BB69-23CF-44E3-9099-C40C66FF867C}">
                  <a14:compatExt spid="_x0000_s157343"/>
                </a:ext>
                <a:ext uri="{FF2B5EF4-FFF2-40B4-BE49-F238E27FC236}">
                  <a16:creationId xmlns:a16="http://schemas.microsoft.com/office/drawing/2014/main" id="{00000000-0008-0000-0000-00009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334</xdr:row>
          <xdr:rowOff>9525</xdr:rowOff>
        </xdr:from>
        <xdr:to>
          <xdr:col>4</xdr:col>
          <xdr:colOff>381000</xdr:colOff>
          <xdr:row>335</xdr:row>
          <xdr:rowOff>0</xdr:rowOff>
        </xdr:to>
        <xdr:sp macro="" textlink="">
          <xdr:nvSpPr>
            <xdr:cNvPr id="157344" name="Check Box 24224" hidden="1">
              <a:extLst>
                <a:ext uri="{63B3BB69-23CF-44E3-9099-C40C66FF867C}">
                  <a14:compatExt spid="_x0000_s157344"/>
                </a:ext>
                <a:ext uri="{FF2B5EF4-FFF2-40B4-BE49-F238E27FC236}">
                  <a16:creationId xmlns:a16="http://schemas.microsoft.com/office/drawing/2014/main" id="{00000000-0008-0000-0000-0000A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334</xdr:row>
          <xdr:rowOff>9525</xdr:rowOff>
        </xdr:from>
        <xdr:to>
          <xdr:col>4</xdr:col>
          <xdr:colOff>381000</xdr:colOff>
          <xdr:row>335</xdr:row>
          <xdr:rowOff>0</xdr:rowOff>
        </xdr:to>
        <xdr:sp macro="" textlink="">
          <xdr:nvSpPr>
            <xdr:cNvPr id="157345" name="Check Box 24225" hidden="1">
              <a:extLst>
                <a:ext uri="{63B3BB69-23CF-44E3-9099-C40C66FF867C}">
                  <a14:compatExt spid="_x0000_s157345"/>
                </a:ext>
                <a:ext uri="{FF2B5EF4-FFF2-40B4-BE49-F238E27FC236}">
                  <a16:creationId xmlns:a16="http://schemas.microsoft.com/office/drawing/2014/main" id="{00000000-0008-0000-0000-0000A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334</xdr:row>
          <xdr:rowOff>9525</xdr:rowOff>
        </xdr:from>
        <xdr:to>
          <xdr:col>4</xdr:col>
          <xdr:colOff>381000</xdr:colOff>
          <xdr:row>335</xdr:row>
          <xdr:rowOff>0</xdr:rowOff>
        </xdr:to>
        <xdr:sp macro="" textlink="">
          <xdr:nvSpPr>
            <xdr:cNvPr id="157346" name="Check Box 24226" hidden="1">
              <a:extLst>
                <a:ext uri="{63B3BB69-23CF-44E3-9099-C40C66FF867C}">
                  <a14:compatExt spid="_x0000_s157346"/>
                </a:ext>
                <a:ext uri="{FF2B5EF4-FFF2-40B4-BE49-F238E27FC236}">
                  <a16:creationId xmlns:a16="http://schemas.microsoft.com/office/drawing/2014/main" id="{00000000-0008-0000-0000-0000A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335</xdr:row>
          <xdr:rowOff>9525</xdr:rowOff>
        </xdr:from>
        <xdr:to>
          <xdr:col>4</xdr:col>
          <xdr:colOff>381000</xdr:colOff>
          <xdr:row>336</xdr:row>
          <xdr:rowOff>0</xdr:rowOff>
        </xdr:to>
        <xdr:sp macro="" textlink="">
          <xdr:nvSpPr>
            <xdr:cNvPr id="157347" name="Check Box 24227" hidden="1">
              <a:extLst>
                <a:ext uri="{63B3BB69-23CF-44E3-9099-C40C66FF867C}">
                  <a14:compatExt spid="_x0000_s157347"/>
                </a:ext>
                <a:ext uri="{FF2B5EF4-FFF2-40B4-BE49-F238E27FC236}">
                  <a16:creationId xmlns:a16="http://schemas.microsoft.com/office/drawing/2014/main" id="{00000000-0008-0000-0000-0000A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335</xdr:row>
          <xdr:rowOff>9525</xdr:rowOff>
        </xdr:from>
        <xdr:to>
          <xdr:col>4</xdr:col>
          <xdr:colOff>381000</xdr:colOff>
          <xdr:row>336</xdr:row>
          <xdr:rowOff>0</xdr:rowOff>
        </xdr:to>
        <xdr:sp macro="" textlink="">
          <xdr:nvSpPr>
            <xdr:cNvPr id="157348" name="Check Box 24228" hidden="1">
              <a:extLst>
                <a:ext uri="{63B3BB69-23CF-44E3-9099-C40C66FF867C}">
                  <a14:compatExt spid="_x0000_s157348"/>
                </a:ext>
                <a:ext uri="{FF2B5EF4-FFF2-40B4-BE49-F238E27FC236}">
                  <a16:creationId xmlns:a16="http://schemas.microsoft.com/office/drawing/2014/main" id="{00000000-0008-0000-0000-0000A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335</xdr:row>
          <xdr:rowOff>9525</xdr:rowOff>
        </xdr:from>
        <xdr:to>
          <xdr:col>4</xdr:col>
          <xdr:colOff>381000</xdr:colOff>
          <xdr:row>336</xdr:row>
          <xdr:rowOff>0</xdr:rowOff>
        </xdr:to>
        <xdr:sp macro="" textlink="">
          <xdr:nvSpPr>
            <xdr:cNvPr id="157349" name="Check Box 24229" hidden="1">
              <a:extLst>
                <a:ext uri="{63B3BB69-23CF-44E3-9099-C40C66FF867C}">
                  <a14:compatExt spid="_x0000_s157349"/>
                </a:ext>
                <a:ext uri="{FF2B5EF4-FFF2-40B4-BE49-F238E27FC236}">
                  <a16:creationId xmlns:a16="http://schemas.microsoft.com/office/drawing/2014/main" id="{00000000-0008-0000-0000-0000A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336</xdr:row>
          <xdr:rowOff>9525</xdr:rowOff>
        </xdr:from>
        <xdr:to>
          <xdr:col>4</xdr:col>
          <xdr:colOff>381000</xdr:colOff>
          <xdr:row>337</xdr:row>
          <xdr:rowOff>0</xdr:rowOff>
        </xdr:to>
        <xdr:sp macro="" textlink="">
          <xdr:nvSpPr>
            <xdr:cNvPr id="157350" name="Check Box 24230" hidden="1">
              <a:extLst>
                <a:ext uri="{63B3BB69-23CF-44E3-9099-C40C66FF867C}">
                  <a14:compatExt spid="_x0000_s157350"/>
                </a:ext>
                <a:ext uri="{FF2B5EF4-FFF2-40B4-BE49-F238E27FC236}">
                  <a16:creationId xmlns:a16="http://schemas.microsoft.com/office/drawing/2014/main" id="{00000000-0008-0000-0000-0000A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336</xdr:row>
          <xdr:rowOff>9525</xdr:rowOff>
        </xdr:from>
        <xdr:to>
          <xdr:col>4</xdr:col>
          <xdr:colOff>381000</xdr:colOff>
          <xdr:row>337</xdr:row>
          <xdr:rowOff>0</xdr:rowOff>
        </xdr:to>
        <xdr:sp macro="" textlink="">
          <xdr:nvSpPr>
            <xdr:cNvPr id="157351" name="Check Box 24231" hidden="1">
              <a:extLst>
                <a:ext uri="{63B3BB69-23CF-44E3-9099-C40C66FF867C}">
                  <a14:compatExt spid="_x0000_s157351"/>
                </a:ext>
                <a:ext uri="{FF2B5EF4-FFF2-40B4-BE49-F238E27FC236}">
                  <a16:creationId xmlns:a16="http://schemas.microsoft.com/office/drawing/2014/main" id="{00000000-0008-0000-0000-0000A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6880</xdr:colOff>
      <xdr:row>21</xdr:row>
      <xdr:rowOff>138449</xdr:rowOff>
    </xdr:from>
    <xdr:to>
      <xdr:col>3</xdr:col>
      <xdr:colOff>151248</xdr:colOff>
      <xdr:row>24</xdr:row>
      <xdr:rowOff>13896</xdr:rowOff>
    </xdr:to>
    <xdr:sp macro="" textlink="">
      <xdr:nvSpPr>
        <xdr:cNvPr id="301" name="Ellipse 300">
          <a:extLst>
            <a:ext uri="{FF2B5EF4-FFF2-40B4-BE49-F238E27FC236}">
              <a16:creationId xmlns:a16="http://schemas.microsoft.com/office/drawing/2014/main" id="{00000000-0008-0000-0000-00002D010000}"/>
            </a:ext>
          </a:extLst>
        </xdr:cNvPr>
        <xdr:cNvSpPr/>
      </xdr:nvSpPr>
      <xdr:spPr>
        <a:xfrm>
          <a:off x="1911880" y="4555668"/>
          <a:ext cx="501556" cy="339791"/>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4</a:t>
          </a:r>
        </a:p>
      </xdr:txBody>
    </xdr:sp>
    <xdr:clientData/>
  </xdr:twoCellAnchor>
  <mc:AlternateContent xmlns:mc="http://schemas.openxmlformats.org/markup-compatibility/2006">
    <mc:Choice xmlns:a14="http://schemas.microsoft.com/office/drawing/2010/main" Requires="a14">
      <xdr:twoCellAnchor editAs="oneCell">
        <xdr:from>
          <xdr:col>3</xdr:col>
          <xdr:colOff>19050</xdr:colOff>
          <xdr:row>307</xdr:row>
          <xdr:rowOff>19050</xdr:rowOff>
        </xdr:from>
        <xdr:to>
          <xdr:col>3</xdr:col>
          <xdr:colOff>504825</xdr:colOff>
          <xdr:row>308</xdr:row>
          <xdr:rowOff>0</xdr:rowOff>
        </xdr:to>
        <xdr:sp macro="" textlink="">
          <xdr:nvSpPr>
            <xdr:cNvPr id="183268" name="Drop Down 35812" hidden="1">
              <a:extLst>
                <a:ext uri="{63B3BB69-23CF-44E3-9099-C40C66FF867C}">
                  <a14:compatExt spid="_x0000_s183268"/>
                </a:ext>
                <a:ext uri="{FF2B5EF4-FFF2-40B4-BE49-F238E27FC236}">
                  <a16:creationId xmlns:a16="http://schemas.microsoft.com/office/drawing/2014/main" id="{00000000-0008-0000-0000-0000E4C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308</xdr:row>
          <xdr:rowOff>19050</xdr:rowOff>
        </xdr:from>
        <xdr:to>
          <xdr:col>3</xdr:col>
          <xdr:colOff>504825</xdr:colOff>
          <xdr:row>309</xdr:row>
          <xdr:rowOff>0</xdr:rowOff>
        </xdr:to>
        <xdr:sp macro="" textlink="">
          <xdr:nvSpPr>
            <xdr:cNvPr id="186470" name="Drop Down 35942" hidden="1">
              <a:extLst>
                <a:ext uri="{63B3BB69-23CF-44E3-9099-C40C66FF867C}">
                  <a14:compatExt spid="_x0000_s186470"/>
                </a:ext>
                <a:ext uri="{FF2B5EF4-FFF2-40B4-BE49-F238E27FC236}">
                  <a16:creationId xmlns:a16="http://schemas.microsoft.com/office/drawing/2014/main" id="{00000000-0008-0000-0000-000066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309</xdr:row>
          <xdr:rowOff>19050</xdr:rowOff>
        </xdr:from>
        <xdr:to>
          <xdr:col>3</xdr:col>
          <xdr:colOff>504825</xdr:colOff>
          <xdr:row>310</xdr:row>
          <xdr:rowOff>0</xdr:rowOff>
        </xdr:to>
        <xdr:sp macro="" textlink="">
          <xdr:nvSpPr>
            <xdr:cNvPr id="186471" name="Drop Down 35943" hidden="1">
              <a:extLst>
                <a:ext uri="{63B3BB69-23CF-44E3-9099-C40C66FF867C}">
                  <a14:compatExt spid="_x0000_s186471"/>
                </a:ext>
                <a:ext uri="{FF2B5EF4-FFF2-40B4-BE49-F238E27FC236}">
                  <a16:creationId xmlns:a16="http://schemas.microsoft.com/office/drawing/2014/main" id="{00000000-0008-0000-0000-000067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310</xdr:row>
          <xdr:rowOff>19050</xdr:rowOff>
        </xdr:from>
        <xdr:to>
          <xdr:col>3</xdr:col>
          <xdr:colOff>504825</xdr:colOff>
          <xdr:row>311</xdr:row>
          <xdr:rowOff>0</xdr:rowOff>
        </xdr:to>
        <xdr:sp macro="" textlink="">
          <xdr:nvSpPr>
            <xdr:cNvPr id="186472" name="Drop Down 35944" hidden="1">
              <a:extLst>
                <a:ext uri="{63B3BB69-23CF-44E3-9099-C40C66FF867C}">
                  <a14:compatExt spid="_x0000_s186472"/>
                </a:ext>
                <a:ext uri="{FF2B5EF4-FFF2-40B4-BE49-F238E27FC236}">
                  <a16:creationId xmlns:a16="http://schemas.microsoft.com/office/drawing/2014/main" id="{00000000-0008-0000-0000-000068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311</xdr:row>
          <xdr:rowOff>19050</xdr:rowOff>
        </xdr:from>
        <xdr:to>
          <xdr:col>3</xdr:col>
          <xdr:colOff>504825</xdr:colOff>
          <xdr:row>312</xdr:row>
          <xdr:rowOff>0</xdr:rowOff>
        </xdr:to>
        <xdr:sp macro="" textlink="">
          <xdr:nvSpPr>
            <xdr:cNvPr id="186473" name="Drop Down 35945" hidden="1">
              <a:extLst>
                <a:ext uri="{63B3BB69-23CF-44E3-9099-C40C66FF867C}">
                  <a14:compatExt spid="_x0000_s186473"/>
                </a:ext>
                <a:ext uri="{FF2B5EF4-FFF2-40B4-BE49-F238E27FC236}">
                  <a16:creationId xmlns:a16="http://schemas.microsoft.com/office/drawing/2014/main" id="{00000000-0008-0000-0000-000069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312</xdr:row>
          <xdr:rowOff>19050</xdr:rowOff>
        </xdr:from>
        <xdr:to>
          <xdr:col>3</xdr:col>
          <xdr:colOff>504825</xdr:colOff>
          <xdr:row>313</xdr:row>
          <xdr:rowOff>0</xdr:rowOff>
        </xdr:to>
        <xdr:sp macro="" textlink="">
          <xdr:nvSpPr>
            <xdr:cNvPr id="186474" name="Drop Down 35946" hidden="1">
              <a:extLst>
                <a:ext uri="{63B3BB69-23CF-44E3-9099-C40C66FF867C}">
                  <a14:compatExt spid="_x0000_s186474"/>
                </a:ext>
                <a:ext uri="{FF2B5EF4-FFF2-40B4-BE49-F238E27FC236}">
                  <a16:creationId xmlns:a16="http://schemas.microsoft.com/office/drawing/2014/main" id="{00000000-0008-0000-0000-00006A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313</xdr:row>
          <xdr:rowOff>19050</xdr:rowOff>
        </xdr:from>
        <xdr:to>
          <xdr:col>3</xdr:col>
          <xdr:colOff>504825</xdr:colOff>
          <xdr:row>314</xdr:row>
          <xdr:rowOff>0</xdr:rowOff>
        </xdr:to>
        <xdr:sp macro="" textlink="">
          <xdr:nvSpPr>
            <xdr:cNvPr id="186475" name="Drop Down 35947" hidden="1">
              <a:extLst>
                <a:ext uri="{63B3BB69-23CF-44E3-9099-C40C66FF867C}">
                  <a14:compatExt spid="_x0000_s186475"/>
                </a:ext>
                <a:ext uri="{FF2B5EF4-FFF2-40B4-BE49-F238E27FC236}">
                  <a16:creationId xmlns:a16="http://schemas.microsoft.com/office/drawing/2014/main" id="{00000000-0008-0000-0000-00006B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314</xdr:row>
          <xdr:rowOff>19050</xdr:rowOff>
        </xdr:from>
        <xdr:to>
          <xdr:col>3</xdr:col>
          <xdr:colOff>504825</xdr:colOff>
          <xdr:row>315</xdr:row>
          <xdr:rowOff>0</xdr:rowOff>
        </xdr:to>
        <xdr:sp macro="" textlink="">
          <xdr:nvSpPr>
            <xdr:cNvPr id="186476" name="Drop Down 35948" hidden="1">
              <a:extLst>
                <a:ext uri="{63B3BB69-23CF-44E3-9099-C40C66FF867C}">
                  <a14:compatExt spid="_x0000_s186476"/>
                </a:ext>
                <a:ext uri="{FF2B5EF4-FFF2-40B4-BE49-F238E27FC236}">
                  <a16:creationId xmlns:a16="http://schemas.microsoft.com/office/drawing/2014/main" id="{00000000-0008-0000-0000-00006C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315</xdr:row>
          <xdr:rowOff>19050</xdr:rowOff>
        </xdr:from>
        <xdr:to>
          <xdr:col>3</xdr:col>
          <xdr:colOff>504825</xdr:colOff>
          <xdr:row>316</xdr:row>
          <xdr:rowOff>0</xdr:rowOff>
        </xdr:to>
        <xdr:sp macro="" textlink="">
          <xdr:nvSpPr>
            <xdr:cNvPr id="186477" name="Drop Down 35949" hidden="1">
              <a:extLst>
                <a:ext uri="{63B3BB69-23CF-44E3-9099-C40C66FF867C}">
                  <a14:compatExt spid="_x0000_s186477"/>
                </a:ext>
                <a:ext uri="{FF2B5EF4-FFF2-40B4-BE49-F238E27FC236}">
                  <a16:creationId xmlns:a16="http://schemas.microsoft.com/office/drawing/2014/main" id="{00000000-0008-0000-0000-00006D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316</xdr:row>
          <xdr:rowOff>19050</xdr:rowOff>
        </xdr:from>
        <xdr:to>
          <xdr:col>3</xdr:col>
          <xdr:colOff>504825</xdr:colOff>
          <xdr:row>317</xdr:row>
          <xdr:rowOff>0</xdr:rowOff>
        </xdr:to>
        <xdr:sp macro="" textlink="">
          <xdr:nvSpPr>
            <xdr:cNvPr id="186478" name="Drop Down 35950" hidden="1">
              <a:extLst>
                <a:ext uri="{63B3BB69-23CF-44E3-9099-C40C66FF867C}">
                  <a14:compatExt spid="_x0000_s186478"/>
                </a:ext>
                <a:ext uri="{FF2B5EF4-FFF2-40B4-BE49-F238E27FC236}">
                  <a16:creationId xmlns:a16="http://schemas.microsoft.com/office/drawing/2014/main" id="{00000000-0008-0000-0000-00006E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317</xdr:row>
          <xdr:rowOff>19050</xdr:rowOff>
        </xdr:from>
        <xdr:to>
          <xdr:col>3</xdr:col>
          <xdr:colOff>504825</xdr:colOff>
          <xdr:row>318</xdr:row>
          <xdr:rowOff>0</xdr:rowOff>
        </xdr:to>
        <xdr:sp macro="" textlink="">
          <xdr:nvSpPr>
            <xdr:cNvPr id="186479" name="Drop Down 35951" hidden="1">
              <a:extLst>
                <a:ext uri="{63B3BB69-23CF-44E3-9099-C40C66FF867C}">
                  <a14:compatExt spid="_x0000_s186479"/>
                </a:ext>
                <a:ext uri="{FF2B5EF4-FFF2-40B4-BE49-F238E27FC236}">
                  <a16:creationId xmlns:a16="http://schemas.microsoft.com/office/drawing/2014/main" id="{00000000-0008-0000-0000-00006F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318</xdr:row>
          <xdr:rowOff>19050</xdr:rowOff>
        </xdr:from>
        <xdr:to>
          <xdr:col>3</xdr:col>
          <xdr:colOff>504825</xdr:colOff>
          <xdr:row>319</xdr:row>
          <xdr:rowOff>0</xdr:rowOff>
        </xdr:to>
        <xdr:sp macro="" textlink="">
          <xdr:nvSpPr>
            <xdr:cNvPr id="186480" name="Drop Down 35952" hidden="1">
              <a:extLst>
                <a:ext uri="{63B3BB69-23CF-44E3-9099-C40C66FF867C}">
                  <a14:compatExt spid="_x0000_s186480"/>
                </a:ext>
                <a:ext uri="{FF2B5EF4-FFF2-40B4-BE49-F238E27FC236}">
                  <a16:creationId xmlns:a16="http://schemas.microsoft.com/office/drawing/2014/main" id="{00000000-0008-0000-0000-000070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319</xdr:row>
          <xdr:rowOff>19050</xdr:rowOff>
        </xdr:from>
        <xdr:to>
          <xdr:col>3</xdr:col>
          <xdr:colOff>504825</xdr:colOff>
          <xdr:row>320</xdr:row>
          <xdr:rowOff>0</xdr:rowOff>
        </xdr:to>
        <xdr:sp macro="" textlink="">
          <xdr:nvSpPr>
            <xdr:cNvPr id="186481" name="Drop Down 35953" hidden="1">
              <a:extLst>
                <a:ext uri="{63B3BB69-23CF-44E3-9099-C40C66FF867C}">
                  <a14:compatExt spid="_x0000_s186481"/>
                </a:ext>
                <a:ext uri="{FF2B5EF4-FFF2-40B4-BE49-F238E27FC236}">
                  <a16:creationId xmlns:a16="http://schemas.microsoft.com/office/drawing/2014/main" id="{00000000-0008-0000-0000-000071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320</xdr:row>
          <xdr:rowOff>19050</xdr:rowOff>
        </xdr:from>
        <xdr:to>
          <xdr:col>3</xdr:col>
          <xdr:colOff>504825</xdr:colOff>
          <xdr:row>321</xdr:row>
          <xdr:rowOff>0</xdr:rowOff>
        </xdr:to>
        <xdr:sp macro="" textlink="">
          <xdr:nvSpPr>
            <xdr:cNvPr id="186482" name="Drop Down 35954" hidden="1">
              <a:extLst>
                <a:ext uri="{63B3BB69-23CF-44E3-9099-C40C66FF867C}">
                  <a14:compatExt spid="_x0000_s186482"/>
                </a:ext>
                <a:ext uri="{FF2B5EF4-FFF2-40B4-BE49-F238E27FC236}">
                  <a16:creationId xmlns:a16="http://schemas.microsoft.com/office/drawing/2014/main" id="{00000000-0008-0000-0000-000072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321</xdr:row>
          <xdr:rowOff>19050</xdr:rowOff>
        </xdr:from>
        <xdr:to>
          <xdr:col>3</xdr:col>
          <xdr:colOff>504825</xdr:colOff>
          <xdr:row>322</xdr:row>
          <xdr:rowOff>0</xdr:rowOff>
        </xdr:to>
        <xdr:sp macro="" textlink="">
          <xdr:nvSpPr>
            <xdr:cNvPr id="186483" name="Drop Down 35955" hidden="1">
              <a:extLst>
                <a:ext uri="{63B3BB69-23CF-44E3-9099-C40C66FF867C}">
                  <a14:compatExt spid="_x0000_s186483"/>
                </a:ext>
                <a:ext uri="{FF2B5EF4-FFF2-40B4-BE49-F238E27FC236}">
                  <a16:creationId xmlns:a16="http://schemas.microsoft.com/office/drawing/2014/main" id="{00000000-0008-0000-0000-000073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322</xdr:row>
          <xdr:rowOff>19050</xdr:rowOff>
        </xdr:from>
        <xdr:to>
          <xdr:col>3</xdr:col>
          <xdr:colOff>504825</xdr:colOff>
          <xdr:row>323</xdr:row>
          <xdr:rowOff>0</xdr:rowOff>
        </xdr:to>
        <xdr:sp macro="" textlink="">
          <xdr:nvSpPr>
            <xdr:cNvPr id="186484" name="Drop Down 35956" hidden="1">
              <a:extLst>
                <a:ext uri="{63B3BB69-23CF-44E3-9099-C40C66FF867C}">
                  <a14:compatExt spid="_x0000_s186484"/>
                </a:ext>
                <a:ext uri="{FF2B5EF4-FFF2-40B4-BE49-F238E27FC236}">
                  <a16:creationId xmlns:a16="http://schemas.microsoft.com/office/drawing/2014/main" id="{00000000-0008-0000-0000-000074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323</xdr:row>
          <xdr:rowOff>19050</xdr:rowOff>
        </xdr:from>
        <xdr:to>
          <xdr:col>3</xdr:col>
          <xdr:colOff>504825</xdr:colOff>
          <xdr:row>324</xdr:row>
          <xdr:rowOff>0</xdr:rowOff>
        </xdr:to>
        <xdr:sp macro="" textlink="">
          <xdr:nvSpPr>
            <xdr:cNvPr id="186485" name="Drop Down 35957" hidden="1">
              <a:extLst>
                <a:ext uri="{63B3BB69-23CF-44E3-9099-C40C66FF867C}">
                  <a14:compatExt spid="_x0000_s186485"/>
                </a:ext>
                <a:ext uri="{FF2B5EF4-FFF2-40B4-BE49-F238E27FC236}">
                  <a16:creationId xmlns:a16="http://schemas.microsoft.com/office/drawing/2014/main" id="{00000000-0008-0000-0000-000075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324</xdr:row>
          <xdr:rowOff>19050</xdr:rowOff>
        </xdr:from>
        <xdr:to>
          <xdr:col>3</xdr:col>
          <xdr:colOff>504825</xdr:colOff>
          <xdr:row>325</xdr:row>
          <xdr:rowOff>0</xdr:rowOff>
        </xdr:to>
        <xdr:sp macro="" textlink="">
          <xdr:nvSpPr>
            <xdr:cNvPr id="186486" name="Drop Down 35958" hidden="1">
              <a:extLst>
                <a:ext uri="{63B3BB69-23CF-44E3-9099-C40C66FF867C}">
                  <a14:compatExt spid="_x0000_s186486"/>
                </a:ext>
                <a:ext uri="{FF2B5EF4-FFF2-40B4-BE49-F238E27FC236}">
                  <a16:creationId xmlns:a16="http://schemas.microsoft.com/office/drawing/2014/main" id="{00000000-0008-0000-0000-000076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325</xdr:row>
          <xdr:rowOff>19050</xdr:rowOff>
        </xdr:from>
        <xdr:to>
          <xdr:col>3</xdr:col>
          <xdr:colOff>504825</xdr:colOff>
          <xdr:row>326</xdr:row>
          <xdr:rowOff>0</xdr:rowOff>
        </xdr:to>
        <xdr:sp macro="" textlink="">
          <xdr:nvSpPr>
            <xdr:cNvPr id="186487" name="Drop Down 35959" hidden="1">
              <a:extLst>
                <a:ext uri="{63B3BB69-23CF-44E3-9099-C40C66FF867C}">
                  <a14:compatExt spid="_x0000_s186487"/>
                </a:ext>
                <a:ext uri="{FF2B5EF4-FFF2-40B4-BE49-F238E27FC236}">
                  <a16:creationId xmlns:a16="http://schemas.microsoft.com/office/drawing/2014/main" id="{00000000-0008-0000-0000-000077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326</xdr:row>
          <xdr:rowOff>19050</xdr:rowOff>
        </xdr:from>
        <xdr:to>
          <xdr:col>3</xdr:col>
          <xdr:colOff>504825</xdr:colOff>
          <xdr:row>327</xdr:row>
          <xdr:rowOff>0</xdr:rowOff>
        </xdr:to>
        <xdr:sp macro="" textlink="">
          <xdr:nvSpPr>
            <xdr:cNvPr id="186488" name="Drop Down 35960" hidden="1">
              <a:extLst>
                <a:ext uri="{63B3BB69-23CF-44E3-9099-C40C66FF867C}">
                  <a14:compatExt spid="_x0000_s186488"/>
                </a:ext>
                <a:ext uri="{FF2B5EF4-FFF2-40B4-BE49-F238E27FC236}">
                  <a16:creationId xmlns:a16="http://schemas.microsoft.com/office/drawing/2014/main" id="{00000000-0008-0000-0000-000078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327</xdr:row>
          <xdr:rowOff>19050</xdr:rowOff>
        </xdr:from>
        <xdr:to>
          <xdr:col>3</xdr:col>
          <xdr:colOff>504825</xdr:colOff>
          <xdr:row>328</xdr:row>
          <xdr:rowOff>0</xdr:rowOff>
        </xdr:to>
        <xdr:sp macro="" textlink="">
          <xdr:nvSpPr>
            <xdr:cNvPr id="186489" name="Drop Down 35961" hidden="1">
              <a:extLst>
                <a:ext uri="{63B3BB69-23CF-44E3-9099-C40C66FF867C}">
                  <a14:compatExt spid="_x0000_s186489"/>
                </a:ext>
                <a:ext uri="{FF2B5EF4-FFF2-40B4-BE49-F238E27FC236}">
                  <a16:creationId xmlns:a16="http://schemas.microsoft.com/office/drawing/2014/main" id="{00000000-0008-0000-0000-000079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328</xdr:row>
          <xdr:rowOff>19050</xdr:rowOff>
        </xdr:from>
        <xdr:to>
          <xdr:col>3</xdr:col>
          <xdr:colOff>504825</xdr:colOff>
          <xdr:row>329</xdr:row>
          <xdr:rowOff>0</xdr:rowOff>
        </xdr:to>
        <xdr:sp macro="" textlink="">
          <xdr:nvSpPr>
            <xdr:cNvPr id="186490" name="Drop Down 35962" hidden="1">
              <a:extLst>
                <a:ext uri="{63B3BB69-23CF-44E3-9099-C40C66FF867C}">
                  <a14:compatExt spid="_x0000_s186490"/>
                </a:ext>
                <a:ext uri="{FF2B5EF4-FFF2-40B4-BE49-F238E27FC236}">
                  <a16:creationId xmlns:a16="http://schemas.microsoft.com/office/drawing/2014/main" id="{00000000-0008-0000-0000-00007A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329</xdr:row>
          <xdr:rowOff>19050</xdr:rowOff>
        </xdr:from>
        <xdr:to>
          <xdr:col>3</xdr:col>
          <xdr:colOff>504825</xdr:colOff>
          <xdr:row>330</xdr:row>
          <xdr:rowOff>0</xdr:rowOff>
        </xdr:to>
        <xdr:sp macro="" textlink="">
          <xdr:nvSpPr>
            <xdr:cNvPr id="186491" name="Drop Down 35963" hidden="1">
              <a:extLst>
                <a:ext uri="{63B3BB69-23CF-44E3-9099-C40C66FF867C}">
                  <a14:compatExt spid="_x0000_s186491"/>
                </a:ext>
                <a:ext uri="{FF2B5EF4-FFF2-40B4-BE49-F238E27FC236}">
                  <a16:creationId xmlns:a16="http://schemas.microsoft.com/office/drawing/2014/main" id="{00000000-0008-0000-0000-00007B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330</xdr:row>
          <xdr:rowOff>19050</xdr:rowOff>
        </xdr:from>
        <xdr:to>
          <xdr:col>3</xdr:col>
          <xdr:colOff>504825</xdr:colOff>
          <xdr:row>331</xdr:row>
          <xdr:rowOff>0</xdr:rowOff>
        </xdr:to>
        <xdr:sp macro="" textlink="">
          <xdr:nvSpPr>
            <xdr:cNvPr id="186492" name="Drop Down 35964" hidden="1">
              <a:extLst>
                <a:ext uri="{63B3BB69-23CF-44E3-9099-C40C66FF867C}">
                  <a14:compatExt spid="_x0000_s186492"/>
                </a:ext>
                <a:ext uri="{FF2B5EF4-FFF2-40B4-BE49-F238E27FC236}">
                  <a16:creationId xmlns:a16="http://schemas.microsoft.com/office/drawing/2014/main" id="{00000000-0008-0000-0000-00007C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331</xdr:row>
          <xdr:rowOff>19050</xdr:rowOff>
        </xdr:from>
        <xdr:to>
          <xdr:col>3</xdr:col>
          <xdr:colOff>504825</xdr:colOff>
          <xdr:row>332</xdr:row>
          <xdr:rowOff>0</xdr:rowOff>
        </xdr:to>
        <xdr:sp macro="" textlink="">
          <xdr:nvSpPr>
            <xdr:cNvPr id="186493" name="Drop Down 35965" hidden="1">
              <a:extLst>
                <a:ext uri="{63B3BB69-23CF-44E3-9099-C40C66FF867C}">
                  <a14:compatExt spid="_x0000_s186493"/>
                </a:ext>
                <a:ext uri="{FF2B5EF4-FFF2-40B4-BE49-F238E27FC236}">
                  <a16:creationId xmlns:a16="http://schemas.microsoft.com/office/drawing/2014/main" id="{00000000-0008-0000-0000-00007D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332</xdr:row>
          <xdr:rowOff>19050</xdr:rowOff>
        </xdr:from>
        <xdr:to>
          <xdr:col>3</xdr:col>
          <xdr:colOff>504825</xdr:colOff>
          <xdr:row>333</xdr:row>
          <xdr:rowOff>0</xdr:rowOff>
        </xdr:to>
        <xdr:sp macro="" textlink="">
          <xdr:nvSpPr>
            <xdr:cNvPr id="186494" name="Drop Down 35966" hidden="1">
              <a:extLst>
                <a:ext uri="{63B3BB69-23CF-44E3-9099-C40C66FF867C}">
                  <a14:compatExt spid="_x0000_s186494"/>
                </a:ext>
                <a:ext uri="{FF2B5EF4-FFF2-40B4-BE49-F238E27FC236}">
                  <a16:creationId xmlns:a16="http://schemas.microsoft.com/office/drawing/2014/main" id="{00000000-0008-0000-0000-00007E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333</xdr:row>
          <xdr:rowOff>19050</xdr:rowOff>
        </xdr:from>
        <xdr:to>
          <xdr:col>3</xdr:col>
          <xdr:colOff>504825</xdr:colOff>
          <xdr:row>334</xdr:row>
          <xdr:rowOff>0</xdr:rowOff>
        </xdr:to>
        <xdr:sp macro="" textlink="">
          <xdr:nvSpPr>
            <xdr:cNvPr id="186495" name="Drop Down 35967" hidden="1">
              <a:extLst>
                <a:ext uri="{63B3BB69-23CF-44E3-9099-C40C66FF867C}">
                  <a14:compatExt spid="_x0000_s186495"/>
                </a:ext>
                <a:ext uri="{FF2B5EF4-FFF2-40B4-BE49-F238E27FC236}">
                  <a16:creationId xmlns:a16="http://schemas.microsoft.com/office/drawing/2014/main" id="{00000000-0008-0000-0000-00007F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334</xdr:row>
          <xdr:rowOff>19050</xdr:rowOff>
        </xdr:from>
        <xdr:to>
          <xdr:col>3</xdr:col>
          <xdr:colOff>504825</xdr:colOff>
          <xdr:row>335</xdr:row>
          <xdr:rowOff>0</xdr:rowOff>
        </xdr:to>
        <xdr:sp macro="" textlink="">
          <xdr:nvSpPr>
            <xdr:cNvPr id="186496" name="Drop Down 35968" hidden="1">
              <a:extLst>
                <a:ext uri="{63B3BB69-23CF-44E3-9099-C40C66FF867C}">
                  <a14:compatExt spid="_x0000_s186496"/>
                </a:ext>
                <a:ext uri="{FF2B5EF4-FFF2-40B4-BE49-F238E27FC236}">
                  <a16:creationId xmlns:a16="http://schemas.microsoft.com/office/drawing/2014/main" id="{00000000-0008-0000-0000-000080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335</xdr:row>
          <xdr:rowOff>19050</xdr:rowOff>
        </xdr:from>
        <xdr:to>
          <xdr:col>3</xdr:col>
          <xdr:colOff>504825</xdr:colOff>
          <xdr:row>336</xdr:row>
          <xdr:rowOff>0</xdr:rowOff>
        </xdr:to>
        <xdr:sp macro="" textlink="">
          <xdr:nvSpPr>
            <xdr:cNvPr id="186497" name="Drop Down 35969" hidden="1">
              <a:extLst>
                <a:ext uri="{63B3BB69-23CF-44E3-9099-C40C66FF867C}">
                  <a14:compatExt spid="_x0000_s186497"/>
                </a:ext>
                <a:ext uri="{FF2B5EF4-FFF2-40B4-BE49-F238E27FC236}">
                  <a16:creationId xmlns:a16="http://schemas.microsoft.com/office/drawing/2014/main" id="{00000000-0008-0000-0000-000081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336</xdr:row>
          <xdr:rowOff>19050</xdr:rowOff>
        </xdr:from>
        <xdr:to>
          <xdr:col>3</xdr:col>
          <xdr:colOff>504825</xdr:colOff>
          <xdr:row>337</xdr:row>
          <xdr:rowOff>0</xdr:rowOff>
        </xdr:to>
        <xdr:sp macro="" textlink="">
          <xdr:nvSpPr>
            <xdr:cNvPr id="186498" name="Drop Down 35970" hidden="1">
              <a:extLst>
                <a:ext uri="{63B3BB69-23CF-44E3-9099-C40C66FF867C}">
                  <a14:compatExt spid="_x0000_s186498"/>
                </a:ext>
                <a:ext uri="{FF2B5EF4-FFF2-40B4-BE49-F238E27FC236}">
                  <a16:creationId xmlns:a16="http://schemas.microsoft.com/office/drawing/2014/main" id="{00000000-0008-0000-0000-000082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xdr:colOff>
      <xdr:row>234</xdr:row>
      <xdr:rowOff>0</xdr:rowOff>
    </xdr:from>
    <xdr:to>
      <xdr:col>3</xdr:col>
      <xdr:colOff>23232</xdr:colOff>
      <xdr:row>234</xdr:row>
      <xdr:rowOff>181208</xdr:rowOff>
    </xdr:to>
    <xdr:cxnSp macro="">
      <xdr:nvCxnSpPr>
        <xdr:cNvPr id="3" name="Gerader Verbinder 2">
          <a:extLst>
            <a:ext uri="{FF2B5EF4-FFF2-40B4-BE49-F238E27FC236}">
              <a16:creationId xmlns:a16="http://schemas.microsoft.com/office/drawing/2014/main" id="{00000000-0008-0000-0000-000003000000}"/>
            </a:ext>
          </a:extLst>
        </xdr:cNvPr>
        <xdr:cNvCxnSpPr/>
      </xdr:nvCxnSpPr>
      <xdr:spPr bwMode="auto">
        <a:xfrm>
          <a:off x="989903" y="47369451"/>
          <a:ext cx="1310036" cy="181208"/>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27878</xdr:colOff>
      <xdr:row>234</xdr:row>
      <xdr:rowOff>0</xdr:rowOff>
    </xdr:from>
    <xdr:to>
      <xdr:col>5</xdr:col>
      <xdr:colOff>0</xdr:colOff>
      <xdr:row>234</xdr:row>
      <xdr:rowOff>181208</xdr:rowOff>
    </xdr:to>
    <xdr:cxnSp macro="">
      <xdr:nvCxnSpPr>
        <xdr:cNvPr id="5" name="Gerader Verbinder 4">
          <a:extLst>
            <a:ext uri="{FF2B5EF4-FFF2-40B4-BE49-F238E27FC236}">
              <a16:creationId xmlns:a16="http://schemas.microsoft.com/office/drawing/2014/main" id="{00000000-0008-0000-0000-000005000000}"/>
            </a:ext>
          </a:extLst>
        </xdr:cNvPr>
        <xdr:cNvCxnSpPr/>
      </xdr:nvCxnSpPr>
      <xdr:spPr bwMode="auto">
        <a:xfrm flipV="1">
          <a:off x="2303852" y="47609961"/>
          <a:ext cx="984780" cy="181208"/>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28576</xdr:colOff>
      <xdr:row>234</xdr:row>
      <xdr:rowOff>180975</xdr:rowOff>
    </xdr:from>
    <xdr:to>
      <xdr:col>3</xdr:col>
      <xdr:colOff>34018</xdr:colOff>
      <xdr:row>236</xdr:row>
      <xdr:rowOff>170089</xdr:rowOff>
    </xdr:to>
    <xdr:cxnSp macro="">
      <xdr:nvCxnSpPr>
        <xdr:cNvPr id="7" name="Gerade Verbindung mit Pfeil 6">
          <a:extLst>
            <a:ext uri="{FF2B5EF4-FFF2-40B4-BE49-F238E27FC236}">
              <a16:creationId xmlns:a16="http://schemas.microsoft.com/office/drawing/2014/main" id="{00000000-0008-0000-0000-000007000000}"/>
            </a:ext>
          </a:extLst>
        </xdr:cNvPr>
        <xdr:cNvCxnSpPr/>
      </xdr:nvCxnSpPr>
      <xdr:spPr bwMode="auto">
        <a:xfrm>
          <a:off x="2307772" y="48018587"/>
          <a:ext cx="5442" cy="39732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0</xdr:col>
          <xdr:colOff>9525</xdr:colOff>
          <xdr:row>136</xdr:row>
          <xdr:rowOff>9525</xdr:rowOff>
        </xdr:from>
        <xdr:to>
          <xdr:col>2</xdr:col>
          <xdr:colOff>0</xdr:colOff>
          <xdr:row>137</xdr:row>
          <xdr:rowOff>0</xdr:rowOff>
        </xdr:to>
        <xdr:sp macro="" textlink="">
          <xdr:nvSpPr>
            <xdr:cNvPr id="217918" name="Drop Down 45886" hidden="1">
              <a:extLst>
                <a:ext uri="{63B3BB69-23CF-44E3-9099-C40C66FF867C}">
                  <a14:compatExt spid="_x0000_s217918"/>
                </a:ext>
                <a:ext uri="{FF2B5EF4-FFF2-40B4-BE49-F238E27FC236}">
                  <a16:creationId xmlns:a16="http://schemas.microsoft.com/office/drawing/2014/main" id="{00000000-0008-0000-0000-00003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137</xdr:row>
          <xdr:rowOff>9525</xdr:rowOff>
        </xdr:from>
        <xdr:to>
          <xdr:col>2</xdr:col>
          <xdr:colOff>0</xdr:colOff>
          <xdr:row>138</xdr:row>
          <xdr:rowOff>0</xdr:rowOff>
        </xdr:to>
        <xdr:sp macro="" textlink="">
          <xdr:nvSpPr>
            <xdr:cNvPr id="217919" name="Drop Down 45887" hidden="1">
              <a:extLst>
                <a:ext uri="{63B3BB69-23CF-44E3-9099-C40C66FF867C}">
                  <a14:compatExt spid="_x0000_s217919"/>
                </a:ext>
                <a:ext uri="{FF2B5EF4-FFF2-40B4-BE49-F238E27FC236}">
                  <a16:creationId xmlns:a16="http://schemas.microsoft.com/office/drawing/2014/main" id="{00000000-0008-0000-0000-00003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138</xdr:row>
          <xdr:rowOff>9525</xdr:rowOff>
        </xdr:from>
        <xdr:to>
          <xdr:col>2</xdr:col>
          <xdr:colOff>0</xdr:colOff>
          <xdr:row>139</xdr:row>
          <xdr:rowOff>0</xdr:rowOff>
        </xdr:to>
        <xdr:sp macro="" textlink="">
          <xdr:nvSpPr>
            <xdr:cNvPr id="217920" name="Drop Down 45888" hidden="1">
              <a:extLst>
                <a:ext uri="{63B3BB69-23CF-44E3-9099-C40C66FF867C}">
                  <a14:compatExt spid="_x0000_s217920"/>
                </a:ext>
                <a:ext uri="{FF2B5EF4-FFF2-40B4-BE49-F238E27FC236}">
                  <a16:creationId xmlns:a16="http://schemas.microsoft.com/office/drawing/2014/main" id="{00000000-0008-0000-0000-00004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139</xdr:row>
          <xdr:rowOff>9525</xdr:rowOff>
        </xdr:from>
        <xdr:to>
          <xdr:col>2</xdr:col>
          <xdr:colOff>0</xdr:colOff>
          <xdr:row>140</xdr:row>
          <xdr:rowOff>0</xdr:rowOff>
        </xdr:to>
        <xdr:sp macro="" textlink="">
          <xdr:nvSpPr>
            <xdr:cNvPr id="217921" name="Drop Down 45889" hidden="1">
              <a:extLst>
                <a:ext uri="{63B3BB69-23CF-44E3-9099-C40C66FF867C}">
                  <a14:compatExt spid="_x0000_s217921"/>
                </a:ext>
                <a:ext uri="{FF2B5EF4-FFF2-40B4-BE49-F238E27FC236}">
                  <a16:creationId xmlns:a16="http://schemas.microsoft.com/office/drawing/2014/main" id="{00000000-0008-0000-0000-00004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140</xdr:row>
          <xdr:rowOff>9525</xdr:rowOff>
        </xdr:from>
        <xdr:to>
          <xdr:col>2</xdr:col>
          <xdr:colOff>0</xdr:colOff>
          <xdr:row>141</xdr:row>
          <xdr:rowOff>0</xdr:rowOff>
        </xdr:to>
        <xdr:sp macro="" textlink="">
          <xdr:nvSpPr>
            <xdr:cNvPr id="217922" name="Drop Down 45890" hidden="1">
              <a:extLst>
                <a:ext uri="{63B3BB69-23CF-44E3-9099-C40C66FF867C}">
                  <a14:compatExt spid="_x0000_s217922"/>
                </a:ext>
                <a:ext uri="{FF2B5EF4-FFF2-40B4-BE49-F238E27FC236}">
                  <a16:creationId xmlns:a16="http://schemas.microsoft.com/office/drawing/2014/main" id="{00000000-0008-0000-0000-00004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141</xdr:row>
          <xdr:rowOff>9525</xdr:rowOff>
        </xdr:from>
        <xdr:to>
          <xdr:col>2</xdr:col>
          <xdr:colOff>0</xdr:colOff>
          <xdr:row>142</xdr:row>
          <xdr:rowOff>0</xdr:rowOff>
        </xdr:to>
        <xdr:sp macro="" textlink="">
          <xdr:nvSpPr>
            <xdr:cNvPr id="217923" name="Drop Down 45891" hidden="1">
              <a:extLst>
                <a:ext uri="{63B3BB69-23CF-44E3-9099-C40C66FF867C}">
                  <a14:compatExt spid="_x0000_s217923"/>
                </a:ext>
                <a:ext uri="{FF2B5EF4-FFF2-40B4-BE49-F238E27FC236}">
                  <a16:creationId xmlns:a16="http://schemas.microsoft.com/office/drawing/2014/main" id="{00000000-0008-0000-0000-00004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142</xdr:row>
          <xdr:rowOff>9525</xdr:rowOff>
        </xdr:from>
        <xdr:to>
          <xdr:col>2</xdr:col>
          <xdr:colOff>0</xdr:colOff>
          <xdr:row>143</xdr:row>
          <xdr:rowOff>0</xdr:rowOff>
        </xdr:to>
        <xdr:sp macro="" textlink="">
          <xdr:nvSpPr>
            <xdr:cNvPr id="217924" name="Drop Down 45892" hidden="1">
              <a:extLst>
                <a:ext uri="{63B3BB69-23CF-44E3-9099-C40C66FF867C}">
                  <a14:compatExt spid="_x0000_s217924"/>
                </a:ext>
                <a:ext uri="{FF2B5EF4-FFF2-40B4-BE49-F238E27FC236}">
                  <a16:creationId xmlns:a16="http://schemas.microsoft.com/office/drawing/2014/main" id="{00000000-0008-0000-0000-000044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143</xdr:row>
          <xdr:rowOff>9525</xdr:rowOff>
        </xdr:from>
        <xdr:to>
          <xdr:col>2</xdr:col>
          <xdr:colOff>0</xdr:colOff>
          <xdr:row>144</xdr:row>
          <xdr:rowOff>0</xdr:rowOff>
        </xdr:to>
        <xdr:sp macro="" textlink="">
          <xdr:nvSpPr>
            <xdr:cNvPr id="217925" name="Drop Down 45893" hidden="1">
              <a:extLst>
                <a:ext uri="{63B3BB69-23CF-44E3-9099-C40C66FF867C}">
                  <a14:compatExt spid="_x0000_s217925"/>
                </a:ext>
                <a:ext uri="{FF2B5EF4-FFF2-40B4-BE49-F238E27FC236}">
                  <a16:creationId xmlns:a16="http://schemas.microsoft.com/office/drawing/2014/main" id="{00000000-0008-0000-0000-000045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144</xdr:row>
          <xdr:rowOff>9525</xdr:rowOff>
        </xdr:from>
        <xdr:to>
          <xdr:col>2</xdr:col>
          <xdr:colOff>0</xdr:colOff>
          <xdr:row>145</xdr:row>
          <xdr:rowOff>0</xdr:rowOff>
        </xdr:to>
        <xdr:sp macro="" textlink="">
          <xdr:nvSpPr>
            <xdr:cNvPr id="217926" name="Drop Down 45894" hidden="1">
              <a:extLst>
                <a:ext uri="{63B3BB69-23CF-44E3-9099-C40C66FF867C}">
                  <a14:compatExt spid="_x0000_s217926"/>
                </a:ext>
                <a:ext uri="{FF2B5EF4-FFF2-40B4-BE49-F238E27FC236}">
                  <a16:creationId xmlns:a16="http://schemas.microsoft.com/office/drawing/2014/main" id="{00000000-0008-0000-0000-000046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145</xdr:row>
          <xdr:rowOff>9525</xdr:rowOff>
        </xdr:from>
        <xdr:to>
          <xdr:col>2</xdr:col>
          <xdr:colOff>0</xdr:colOff>
          <xdr:row>146</xdr:row>
          <xdr:rowOff>0</xdr:rowOff>
        </xdr:to>
        <xdr:sp macro="" textlink="">
          <xdr:nvSpPr>
            <xdr:cNvPr id="217927" name="Drop Down 45895" hidden="1">
              <a:extLst>
                <a:ext uri="{63B3BB69-23CF-44E3-9099-C40C66FF867C}">
                  <a14:compatExt spid="_x0000_s217927"/>
                </a:ext>
                <a:ext uri="{FF2B5EF4-FFF2-40B4-BE49-F238E27FC236}">
                  <a16:creationId xmlns:a16="http://schemas.microsoft.com/office/drawing/2014/main" id="{00000000-0008-0000-0000-000047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146</xdr:row>
          <xdr:rowOff>9525</xdr:rowOff>
        </xdr:from>
        <xdr:to>
          <xdr:col>2</xdr:col>
          <xdr:colOff>0</xdr:colOff>
          <xdr:row>147</xdr:row>
          <xdr:rowOff>0</xdr:rowOff>
        </xdr:to>
        <xdr:sp macro="" textlink="">
          <xdr:nvSpPr>
            <xdr:cNvPr id="217928" name="Drop Down 45896" hidden="1">
              <a:extLst>
                <a:ext uri="{63B3BB69-23CF-44E3-9099-C40C66FF867C}">
                  <a14:compatExt spid="_x0000_s217928"/>
                </a:ext>
                <a:ext uri="{FF2B5EF4-FFF2-40B4-BE49-F238E27FC236}">
                  <a16:creationId xmlns:a16="http://schemas.microsoft.com/office/drawing/2014/main" id="{00000000-0008-0000-0000-000048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147</xdr:row>
          <xdr:rowOff>9525</xdr:rowOff>
        </xdr:from>
        <xdr:to>
          <xdr:col>2</xdr:col>
          <xdr:colOff>0</xdr:colOff>
          <xdr:row>148</xdr:row>
          <xdr:rowOff>0</xdr:rowOff>
        </xdr:to>
        <xdr:sp macro="" textlink="">
          <xdr:nvSpPr>
            <xdr:cNvPr id="217929" name="Drop Down 45897" hidden="1">
              <a:extLst>
                <a:ext uri="{63B3BB69-23CF-44E3-9099-C40C66FF867C}">
                  <a14:compatExt spid="_x0000_s217929"/>
                </a:ext>
                <a:ext uri="{FF2B5EF4-FFF2-40B4-BE49-F238E27FC236}">
                  <a16:creationId xmlns:a16="http://schemas.microsoft.com/office/drawing/2014/main" id="{00000000-0008-0000-0000-000049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148</xdr:row>
          <xdr:rowOff>9525</xdr:rowOff>
        </xdr:from>
        <xdr:to>
          <xdr:col>2</xdr:col>
          <xdr:colOff>0</xdr:colOff>
          <xdr:row>149</xdr:row>
          <xdr:rowOff>0</xdr:rowOff>
        </xdr:to>
        <xdr:sp macro="" textlink="">
          <xdr:nvSpPr>
            <xdr:cNvPr id="217930" name="Drop Down 45898" hidden="1">
              <a:extLst>
                <a:ext uri="{63B3BB69-23CF-44E3-9099-C40C66FF867C}">
                  <a14:compatExt spid="_x0000_s217930"/>
                </a:ext>
                <a:ext uri="{FF2B5EF4-FFF2-40B4-BE49-F238E27FC236}">
                  <a16:creationId xmlns:a16="http://schemas.microsoft.com/office/drawing/2014/main" id="{00000000-0008-0000-0000-00004A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149</xdr:row>
          <xdr:rowOff>9525</xdr:rowOff>
        </xdr:from>
        <xdr:to>
          <xdr:col>2</xdr:col>
          <xdr:colOff>0</xdr:colOff>
          <xdr:row>150</xdr:row>
          <xdr:rowOff>0</xdr:rowOff>
        </xdr:to>
        <xdr:sp macro="" textlink="">
          <xdr:nvSpPr>
            <xdr:cNvPr id="217931" name="Drop Down 45899" hidden="1">
              <a:extLst>
                <a:ext uri="{63B3BB69-23CF-44E3-9099-C40C66FF867C}">
                  <a14:compatExt spid="_x0000_s217931"/>
                </a:ext>
                <a:ext uri="{FF2B5EF4-FFF2-40B4-BE49-F238E27FC236}">
                  <a16:creationId xmlns:a16="http://schemas.microsoft.com/office/drawing/2014/main" id="{00000000-0008-0000-0000-00004B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150</xdr:row>
          <xdr:rowOff>9525</xdr:rowOff>
        </xdr:from>
        <xdr:to>
          <xdr:col>2</xdr:col>
          <xdr:colOff>0</xdr:colOff>
          <xdr:row>151</xdr:row>
          <xdr:rowOff>0</xdr:rowOff>
        </xdr:to>
        <xdr:sp macro="" textlink="">
          <xdr:nvSpPr>
            <xdr:cNvPr id="217932" name="Drop Down 45900" hidden="1">
              <a:extLst>
                <a:ext uri="{63B3BB69-23CF-44E3-9099-C40C66FF867C}">
                  <a14:compatExt spid="_x0000_s217932"/>
                </a:ext>
                <a:ext uri="{FF2B5EF4-FFF2-40B4-BE49-F238E27FC236}">
                  <a16:creationId xmlns:a16="http://schemas.microsoft.com/office/drawing/2014/main" id="{00000000-0008-0000-0000-00004C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151</xdr:row>
          <xdr:rowOff>9525</xdr:rowOff>
        </xdr:from>
        <xdr:to>
          <xdr:col>2</xdr:col>
          <xdr:colOff>0</xdr:colOff>
          <xdr:row>152</xdr:row>
          <xdr:rowOff>0</xdr:rowOff>
        </xdr:to>
        <xdr:sp macro="" textlink="">
          <xdr:nvSpPr>
            <xdr:cNvPr id="217933" name="Drop Down 45901" hidden="1">
              <a:extLst>
                <a:ext uri="{63B3BB69-23CF-44E3-9099-C40C66FF867C}">
                  <a14:compatExt spid="_x0000_s217933"/>
                </a:ext>
                <a:ext uri="{FF2B5EF4-FFF2-40B4-BE49-F238E27FC236}">
                  <a16:creationId xmlns:a16="http://schemas.microsoft.com/office/drawing/2014/main" id="{00000000-0008-0000-0000-00004D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152</xdr:row>
          <xdr:rowOff>9525</xdr:rowOff>
        </xdr:from>
        <xdr:to>
          <xdr:col>2</xdr:col>
          <xdr:colOff>0</xdr:colOff>
          <xdr:row>153</xdr:row>
          <xdr:rowOff>0</xdr:rowOff>
        </xdr:to>
        <xdr:sp macro="" textlink="">
          <xdr:nvSpPr>
            <xdr:cNvPr id="217934" name="Drop Down 45902" hidden="1">
              <a:extLst>
                <a:ext uri="{63B3BB69-23CF-44E3-9099-C40C66FF867C}">
                  <a14:compatExt spid="_x0000_s217934"/>
                </a:ext>
                <a:ext uri="{FF2B5EF4-FFF2-40B4-BE49-F238E27FC236}">
                  <a16:creationId xmlns:a16="http://schemas.microsoft.com/office/drawing/2014/main" id="{00000000-0008-0000-0000-00004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153</xdr:row>
          <xdr:rowOff>0</xdr:rowOff>
        </xdr:from>
        <xdr:to>
          <xdr:col>2</xdr:col>
          <xdr:colOff>0</xdr:colOff>
          <xdr:row>153</xdr:row>
          <xdr:rowOff>190500</xdr:rowOff>
        </xdr:to>
        <xdr:sp macro="" textlink="">
          <xdr:nvSpPr>
            <xdr:cNvPr id="217935" name="Drop Down 45903" hidden="1">
              <a:extLst>
                <a:ext uri="{63B3BB69-23CF-44E3-9099-C40C66FF867C}">
                  <a14:compatExt spid="_x0000_s217935"/>
                </a:ext>
                <a:ext uri="{FF2B5EF4-FFF2-40B4-BE49-F238E27FC236}">
                  <a16:creationId xmlns:a16="http://schemas.microsoft.com/office/drawing/2014/main" id="{00000000-0008-0000-0000-00004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136</xdr:row>
          <xdr:rowOff>9525</xdr:rowOff>
        </xdr:from>
        <xdr:to>
          <xdr:col>2</xdr:col>
          <xdr:colOff>0</xdr:colOff>
          <xdr:row>137</xdr:row>
          <xdr:rowOff>0</xdr:rowOff>
        </xdr:to>
        <xdr:sp macro="" textlink="">
          <xdr:nvSpPr>
            <xdr:cNvPr id="217936" name="Drop Down 45904" hidden="1">
              <a:extLst>
                <a:ext uri="{63B3BB69-23CF-44E3-9099-C40C66FF867C}">
                  <a14:compatExt spid="_x0000_s217936"/>
                </a:ext>
                <a:ext uri="{FF2B5EF4-FFF2-40B4-BE49-F238E27FC236}">
                  <a16:creationId xmlns:a16="http://schemas.microsoft.com/office/drawing/2014/main" id="{00000000-0008-0000-0000-00005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137</xdr:row>
          <xdr:rowOff>9525</xdr:rowOff>
        </xdr:from>
        <xdr:to>
          <xdr:col>2</xdr:col>
          <xdr:colOff>0</xdr:colOff>
          <xdr:row>138</xdr:row>
          <xdr:rowOff>0</xdr:rowOff>
        </xdr:to>
        <xdr:sp macro="" textlink="">
          <xdr:nvSpPr>
            <xdr:cNvPr id="217937" name="Drop Down 45905" hidden="1">
              <a:extLst>
                <a:ext uri="{63B3BB69-23CF-44E3-9099-C40C66FF867C}">
                  <a14:compatExt spid="_x0000_s217937"/>
                </a:ext>
                <a:ext uri="{FF2B5EF4-FFF2-40B4-BE49-F238E27FC236}">
                  <a16:creationId xmlns:a16="http://schemas.microsoft.com/office/drawing/2014/main" id="{00000000-0008-0000-0000-00005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138</xdr:row>
          <xdr:rowOff>9525</xdr:rowOff>
        </xdr:from>
        <xdr:to>
          <xdr:col>2</xdr:col>
          <xdr:colOff>0</xdr:colOff>
          <xdr:row>139</xdr:row>
          <xdr:rowOff>0</xdr:rowOff>
        </xdr:to>
        <xdr:sp macro="" textlink="">
          <xdr:nvSpPr>
            <xdr:cNvPr id="217938" name="Drop Down 45906" hidden="1">
              <a:extLst>
                <a:ext uri="{63B3BB69-23CF-44E3-9099-C40C66FF867C}">
                  <a14:compatExt spid="_x0000_s217938"/>
                </a:ext>
                <a:ext uri="{FF2B5EF4-FFF2-40B4-BE49-F238E27FC236}">
                  <a16:creationId xmlns:a16="http://schemas.microsoft.com/office/drawing/2014/main" id="{00000000-0008-0000-0000-00005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139</xdr:row>
          <xdr:rowOff>9525</xdr:rowOff>
        </xdr:from>
        <xdr:to>
          <xdr:col>2</xdr:col>
          <xdr:colOff>0</xdr:colOff>
          <xdr:row>140</xdr:row>
          <xdr:rowOff>0</xdr:rowOff>
        </xdr:to>
        <xdr:sp macro="" textlink="">
          <xdr:nvSpPr>
            <xdr:cNvPr id="217939" name="Drop Down 45907" hidden="1">
              <a:extLst>
                <a:ext uri="{63B3BB69-23CF-44E3-9099-C40C66FF867C}">
                  <a14:compatExt spid="_x0000_s217939"/>
                </a:ext>
                <a:ext uri="{FF2B5EF4-FFF2-40B4-BE49-F238E27FC236}">
                  <a16:creationId xmlns:a16="http://schemas.microsoft.com/office/drawing/2014/main" id="{00000000-0008-0000-0000-00005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140</xdr:row>
          <xdr:rowOff>9525</xdr:rowOff>
        </xdr:from>
        <xdr:to>
          <xdr:col>2</xdr:col>
          <xdr:colOff>0</xdr:colOff>
          <xdr:row>141</xdr:row>
          <xdr:rowOff>0</xdr:rowOff>
        </xdr:to>
        <xdr:sp macro="" textlink="">
          <xdr:nvSpPr>
            <xdr:cNvPr id="217940" name="Drop Down 45908" hidden="1">
              <a:extLst>
                <a:ext uri="{63B3BB69-23CF-44E3-9099-C40C66FF867C}">
                  <a14:compatExt spid="_x0000_s217940"/>
                </a:ext>
                <a:ext uri="{FF2B5EF4-FFF2-40B4-BE49-F238E27FC236}">
                  <a16:creationId xmlns:a16="http://schemas.microsoft.com/office/drawing/2014/main" id="{00000000-0008-0000-0000-000054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141</xdr:row>
          <xdr:rowOff>9525</xdr:rowOff>
        </xdr:from>
        <xdr:to>
          <xdr:col>2</xdr:col>
          <xdr:colOff>0</xdr:colOff>
          <xdr:row>142</xdr:row>
          <xdr:rowOff>0</xdr:rowOff>
        </xdr:to>
        <xdr:sp macro="" textlink="">
          <xdr:nvSpPr>
            <xdr:cNvPr id="217941" name="Drop Down 45909" hidden="1">
              <a:extLst>
                <a:ext uri="{63B3BB69-23CF-44E3-9099-C40C66FF867C}">
                  <a14:compatExt spid="_x0000_s217941"/>
                </a:ext>
                <a:ext uri="{FF2B5EF4-FFF2-40B4-BE49-F238E27FC236}">
                  <a16:creationId xmlns:a16="http://schemas.microsoft.com/office/drawing/2014/main" id="{00000000-0008-0000-0000-000055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142</xdr:row>
          <xdr:rowOff>9525</xdr:rowOff>
        </xdr:from>
        <xdr:to>
          <xdr:col>2</xdr:col>
          <xdr:colOff>0</xdr:colOff>
          <xdr:row>143</xdr:row>
          <xdr:rowOff>0</xdr:rowOff>
        </xdr:to>
        <xdr:sp macro="" textlink="">
          <xdr:nvSpPr>
            <xdr:cNvPr id="217942" name="Drop Down 45910" hidden="1">
              <a:extLst>
                <a:ext uri="{63B3BB69-23CF-44E3-9099-C40C66FF867C}">
                  <a14:compatExt spid="_x0000_s217942"/>
                </a:ext>
                <a:ext uri="{FF2B5EF4-FFF2-40B4-BE49-F238E27FC236}">
                  <a16:creationId xmlns:a16="http://schemas.microsoft.com/office/drawing/2014/main" id="{00000000-0008-0000-0000-000056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143</xdr:row>
          <xdr:rowOff>9525</xdr:rowOff>
        </xdr:from>
        <xdr:to>
          <xdr:col>2</xdr:col>
          <xdr:colOff>0</xdr:colOff>
          <xdr:row>144</xdr:row>
          <xdr:rowOff>0</xdr:rowOff>
        </xdr:to>
        <xdr:sp macro="" textlink="">
          <xdr:nvSpPr>
            <xdr:cNvPr id="217943" name="Drop Down 45911" hidden="1">
              <a:extLst>
                <a:ext uri="{63B3BB69-23CF-44E3-9099-C40C66FF867C}">
                  <a14:compatExt spid="_x0000_s217943"/>
                </a:ext>
                <a:ext uri="{FF2B5EF4-FFF2-40B4-BE49-F238E27FC236}">
                  <a16:creationId xmlns:a16="http://schemas.microsoft.com/office/drawing/2014/main" id="{00000000-0008-0000-0000-000057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144</xdr:row>
          <xdr:rowOff>9525</xdr:rowOff>
        </xdr:from>
        <xdr:to>
          <xdr:col>2</xdr:col>
          <xdr:colOff>0</xdr:colOff>
          <xdr:row>145</xdr:row>
          <xdr:rowOff>0</xdr:rowOff>
        </xdr:to>
        <xdr:sp macro="" textlink="">
          <xdr:nvSpPr>
            <xdr:cNvPr id="217944" name="Drop Down 45912" hidden="1">
              <a:extLst>
                <a:ext uri="{63B3BB69-23CF-44E3-9099-C40C66FF867C}">
                  <a14:compatExt spid="_x0000_s217944"/>
                </a:ext>
                <a:ext uri="{FF2B5EF4-FFF2-40B4-BE49-F238E27FC236}">
                  <a16:creationId xmlns:a16="http://schemas.microsoft.com/office/drawing/2014/main" id="{00000000-0008-0000-0000-000058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145</xdr:row>
          <xdr:rowOff>9525</xdr:rowOff>
        </xdr:from>
        <xdr:to>
          <xdr:col>2</xdr:col>
          <xdr:colOff>0</xdr:colOff>
          <xdr:row>146</xdr:row>
          <xdr:rowOff>0</xdr:rowOff>
        </xdr:to>
        <xdr:sp macro="" textlink="">
          <xdr:nvSpPr>
            <xdr:cNvPr id="217945" name="Drop Down 45913" hidden="1">
              <a:extLst>
                <a:ext uri="{63B3BB69-23CF-44E3-9099-C40C66FF867C}">
                  <a14:compatExt spid="_x0000_s217945"/>
                </a:ext>
                <a:ext uri="{FF2B5EF4-FFF2-40B4-BE49-F238E27FC236}">
                  <a16:creationId xmlns:a16="http://schemas.microsoft.com/office/drawing/2014/main" id="{00000000-0008-0000-0000-000059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146</xdr:row>
          <xdr:rowOff>9525</xdr:rowOff>
        </xdr:from>
        <xdr:to>
          <xdr:col>2</xdr:col>
          <xdr:colOff>0</xdr:colOff>
          <xdr:row>147</xdr:row>
          <xdr:rowOff>0</xdr:rowOff>
        </xdr:to>
        <xdr:sp macro="" textlink="">
          <xdr:nvSpPr>
            <xdr:cNvPr id="217946" name="Drop Down 45914" hidden="1">
              <a:extLst>
                <a:ext uri="{63B3BB69-23CF-44E3-9099-C40C66FF867C}">
                  <a14:compatExt spid="_x0000_s217946"/>
                </a:ext>
                <a:ext uri="{FF2B5EF4-FFF2-40B4-BE49-F238E27FC236}">
                  <a16:creationId xmlns:a16="http://schemas.microsoft.com/office/drawing/2014/main" id="{00000000-0008-0000-0000-00005A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147</xdr:row>
          <xdr:rowOff>9525</xdr:rowOff>
        </xdr:from>
        <xdr:to>
          <xdr:col>2</xdr:col>
          <xdr:colOff>0</xdr:colOff>
          <xdr:row>148</xdr:row>
          <xdr:rowOff>0</xdr:rowOff>
        </xdr:to>
        <xdr:sp macro="" textlink="">
          <xdr:nvSpPr>
            <xdr:cNvPr id="217947" name="Drop Down 45915" hidden="1">
              <a:extLst>
                <a:ext uri="{63B3BB69-23CF-44E3-9099-C40C66FF867C}">
                  <a14:compatExt spid="_x0000_s217947"/>
                </a:ext>
                <a:ext uri="{FF2B5EF4-FFF2-40B4-BE49-F238E27FC236}">
                  <a16:creationId xmlns:a16="http://schemas.microsoft.com/office/drawing/2014/main" id="{00000000-0008-0000-0000-00005B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148</xdr:row>
          <xdr:rowOff>9525</xdr:rowOff>
        </xdr:from>
        <xdr:to>
          <xdr:col>2</xdr:col>
          <xdr:colOff>0</xdr:colOff>
          <xdr:row>149</xdr:row>
          <xdr:rowOff>0</xdr:rowOff>
        </xdr:to>
        <xdr:sp macro="" textlink="">
          <xdr:nvSpPr>
            <xdr:cNvPr id="217948" name="Drop Down 45916" hidden="1">
              <a:extLst>
                <a:ext uri="{63B3BB69-23CF-44E3-9099-C40C66FF867C}">
                  <a14:compatExt spid="_x0000_s217948"/>
                </a:ext>
                <a:ext uri="{FF2B5EF4-FFF2-40B4-BE49-F238E27FC236}">
                  <a16:creationId xmlns:a16="http://schemas.microsoft.com/office/drawing/2014/main" id="{00000000-0008-0000-0000-00005C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149</xdr:row>
          <xdr:rowOff>9525</xdr:rowOff>
        </xdr:from>
        <xdr:to>
          <xdr:col>2</xdr:col>
          <xdr:colOff>0</xdr:colOff>
          <xdr:row>150</xdr:row>
          <xdr:rowOff>0</xdr:rowOff>
        </xdr:to>
        <xdr:sp macro="" textlink="">
          <xdr:nvSpPr>
            <xdr:cNvPr id="217949" name="Drop Down 45917" hidden="1">
              <a:extLst>
                <a:ext uri="{63B3BB69-23CF-44E3-9099-C40C66FF867C}">
                  <a14:compatExt spid="_x0000_s217949"/>
                </a:ext>
                <a:ext uri="{FF2B5EF4-FFF2-40B4-BE49-F238E27FC236}">
                  <a16:creationId xmlns:a16="http://schemas.microsoft.com/office/drawing/2014/main" id="{00000000-0008-0000-0000-00005D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150</xdr:row>
          <xdr:rowOff>9525</xdr:rowOff>
        </xdr:from>
        <xdr:to>
          <xdr:col>2</xdr:col>
          <xdr:colOff>0</xdr:colOff>
          <xdr:row>151</xdr:row>
          <xdr:rowOff>0</xdr:rowOff>
        </xdr:to>
        <xdr:sp macro="" textlink="">
          <xdr:nvSpPr>
            <xdr:cNvPr id="217950" name="Drop Down 45918" hidden="1">
              <a:extLst>
                <a:ext uri="{63B3BB69-23CF-44E3-9099-C40C66FF867C}">
                  <a14:compatExt spid="_x0000_s217950"/>
                </a:ext>
                <a:ext uri="{FF2B5EF4-FFF2-40B4-BE49-F238E27FC236}">
                  <a16:creationId xmlns:a16="http://schemas.microsoft.com/office/drawing/2014/main" id="{00000000-0008-0000-0000-00005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151</xdr:row>
          <xdr:rowOff>9525</xdr:rowOff>
        </xdr:from>
        <xdr:to>
          <xdr:col>2</xdr:col>
          <xdr:colOff>0</xdr:colOff>
          <xdr:row>152</xdr:row>
          <xdr:rowOff>0</xdr:rowOff>
        </xdr:to>
        <xdr:sp macro="" textlink="">
          <xdr:nvSpPr>
            <xdr:cNvPr id="217951" name="Drop Down 45919" hidden="1">
              <a:extLst>
                <a:ext uri="{63B3BB69-23CF-44E3-9099-C40C66FF867C}">
                  <a14:compatExt spid="_x0000_s217951"/>
                </a:ext>
                <a:ext uri="{FF2B5EF4-FFF2-40B4-BE49-F238E27FC236}">
                  <a16:creationId xmlns:a16="http://schemas.microsoft.com/office/drawing/2014/main" id="{00000000-0008-0000-0000-00005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152</xdr:row>
          <xdr:rowOff>9525</xdr:rowOff>
        </xdr:from>
        <xdr:to>
          <xdr:col>2</xdr:col>
          <xdr:colOff>0</xdr:colOff>
          <xdr:row>153</xdr:row>
          <xdr:rowOff>0</xdr:rowOff>
        </xdr:to>
        <xdr:sp macro="" textlink="">
          <xdr:nvSpPr>
            <xdr:cNvPr id="217952" name="Drop Down 45920" hidden="1">
              <a:extLst>
                <a:ext uri="{63B3BB69-23CF-44E3-9099-C40C66FF867C}">
                  <a14:compatExt spid="_x0000_s217952"/>
                </a:ext>
                <a:ext uri="{FF2B5EF4-FFF2-40B4-BE49-F238E27FC236}">
                  <a16:creationId xmlns:a16="http://schemas.microsoft.com/office/drawing/2014/main" id="{00000000-0008-0000-0000-00006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153</xdr:row>
          <xdr:rowOff>9525</xdr:rowOff>
        </xdr:from>
        <xdr:to>
          <xdr:col>2</xdr:col>
          <xdr:colOff>0</xdr:colOff>
          <xdr:row>154</xdr:row>
          <xdr:rowOff>0</xdr:rowOff>
        </xdr:to>
        <xdr:sp macro="" textlink="">
          <xdr:nvSpPr>
            <xdr:cNvPr id="217953" name="Drop Down 45921" hidden="1">
              <a:extLst>
                <a:ext uri="{63B3BB69-23CF-44E3-9099-C40C66FF867C}">
                  <a14:compatExt spid="_x0000_s217953"/>
                </a:ext>
                <a:ext uri="{FF2B5EF4-FFF2-40B4-BE49-F238E27FC236}">
                  <a16:creationId xmlns:a16="http://schemas.microsoft.com/office/drawing/2014/main" id="{00000000-0008-0000-0000-00006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154</xdr:row>
          <xdr:rowOff>0</xdr:rowOff>
        </xdr:from>
        <xdr:to>
          <xdr:col>2</xdr:col>
          <xdr:colOff>0</xdr:colOff>
          <xdr:row>154</xdr:row>
          <xdr:rowOff>190500</xdr:rowOff>
        </xdr:to>
        <xdr:sp macro="" textlink="">
          <xdr:nvSpPr>
            <xdr:cNvPr id="217954" name="Drop Down 45922" hidden="1">
              <a:extLst>
                <a:ext uri="{63B3BB69-23CF-44E3-9099-C40C66FF867C}">
                  <a14:compatExt spid="_x0000_s217954"/>
                </a:ext>
                <a:ext uri="{FF2B5EF4-FFF2-40B4-BE49-F238E27FC236}">
                  <a16:creationId xmlns:a16="http://schemas.microsoft.com/office/drawing/2014/main" id="{00000000-0008-0000-0000-00006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154</xdr:row>
          <xdr:rowOff>9525</xdr:rowOff>
        </xdr:from>
        <xdr:to>
          <xdr:col>2</xdr:col>
          <xdr:colOff>0</xdr:colOff>
          <xdr:row>155</xdr:row>
          <xdr:rowOff>0</xdr:rowOff>
        </xdr:to>
        <xdr:sp macro="" textlink="">
          <xdr:nvSpPr>
            <xdr:cNvPr id="217955" name="Drop Down 45923" hidden="1">
              <a:extLst>
                <a:ext uri="{63B3BB69-23CF-44E3-9099-C40C66FF867C}">
                  <a14:compatExt spid="_x0000_s217955"/>
                </a:ext>
                <a:ext uri="{FF2B5EF4-FFF2-40B4-BE49-F238E27FC236}">
                  <a16:creationId xmlns:a16="http://schemas.microsoft.com/office/drawing/2014/main" id="{00000000-0008-0000-0000-00006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12</xdr:row>
          <xdr:rowOff>161925</xdr:rowOff>
        </xdr:from>
        <xdr:to>
          <xdr:col>5</xdr:col>
          <xdr:colOff>0</xdr:colOff>
          <xdr:row>14</xdr:row>
          <xdr:rowOff>9525</xdr:rowOff>
        </xdr:to>
        <xdr:sp macro="" textlink="">
          <xdr:nvSpPr>
            <xdr:cNvPr id="245779" name="Drop Down 19" hidden="1">
              <a:extLst>
                <a:ext uri="{63B3BB69-23CF-44E3-9099-C40C66FF867C}">
                  <a14:compatExt spid="_x0000_s245779"/>
                </a:ext>
                <a:ext uri="{FF2B5EF4-FFF2-40B4-BE49-F238E27FC236}">
                  <a16:creationId xmlns:a16="http://schemas.microsoft.com/office/drawing/2014/main" id="{00000000-0008-0000-0100-00001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190500</xdr:rowOff>
        </xdr:from>
        <xdr:to>
          <xdr:col>5</xdr:col>
          <xdr:colOff>0</xdr:colOff>
          <xdr:row>15</xdr:row>
          <xdr:rowOff>9525</xdr:rowOff>
        </xdr:to>
        <xdr:sp macro="" textlink="">
          <xdr:nvSpPr>
            <xdr:cNvPr id="245780" name="Drop Down 20" hidden="1">
              <a:extLst>
                <a:ext uri="{63B3BB69-23CF-44E3-9099-C40C66FF867C}">
                  <a14:compatExt spid="_x0000_s245780"/>
                </a:ext>
                <a:ext uri="{FF2B5EF4-FFF2-40B4-BE49-F238E27FC236}">
                  <a16:creationId xmlns:a16="http://schemas.microsoft.com/office/drawing/2014/main" id="{00000000-0008-0000-0100-00001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190500</xdr:rowOff>
        </xdr:from>
        <xdr:to>
          <xdr:col>5</xdr:col>
          <xdr:colOff>0</xdr:colOff>
          <xdr:row>16</xdr:row>
          <xdr:rowOff>9525</xdr:rowOff>
        </xdr:to>
        <xdr:sp macro="" textlink="">
          <xdr:nvSpPr>
            <xdr:cNvPr id="245781" name="Drop Down 21" hidden="1">
              <a:extLst>
                <a:ext uri="{63B3BB69-23CF-44E3-9099-C40C66FF867C}">
                  <a14:compatExt spid="_x0000_s245781"/>
                </a:ext>
                <a:ext uri="{FF2B5EF4-FFF2-40B4-BE49-F238E27FC236}">
                  <a16:creationId xmlns:a16="http://schemas.microsoft.com/office/drawing/2014/main" id="{00000000-0008-0000-0100-000015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190500</xdr:rowOff>
        </xdr:from>
        <xdr:to>
          <xdr:col>5</xdr:col>
          <xdr:colOff>0</xdr:colOff>
          <xdr:row>17</xdr:row>
          <xdr:rowOff>9525</xdr:rowOff>
        </xdr:to>
        <xdr:sp macro="" textlink="">
          <xdr:nvSpPr>
            <xdr:cNvPr id="245782" name="Drop Down 22" hidden="1">
              <a:extLst>
                <a:ext uri="{63B3BB69-23CF-44E3-9099-C40C66FF867C}">
                  <a14:compatExt spid="_x0000_s245782"/>
                </a:ext>
                <a:ext uri="{FF2B5EF4-FFF2-40B4-BE49-F238E27FC236}">
                  <a16:creationId xmlns:a16="http://schemas.microsoft.com/office/drawing/2014/main" id="{00000000-0008-0000-0100-000016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190500</xdr:rowOff>
        </xdr:from>
        <xdr:to>
          <xdr:col>5</xdr:col>
          <xdr:colOff>0</xdr:colOff>
          <xdr:row>18</xdr:row>
          <xdr:rowOff>9525</xdr:rowOff>
        </xdr:to>
        <xdr:sp macro="" textlink="">
          <xdr:nvSpPr>
            <xdr:cNvPr id="245783" name="Drop Down 23" hidden="1">
              <a:extLst>
                <a:ext uri="{63B3BB69-23CF-44E3-9099-C40C66FF867C}">
                  <a14:compatExt spid="_x0000_s245783"/>
                </a:ext>
                <a:ext uri="{FF2B5EF4-FFF2-40B4-BE49-F238E27FC236}">
                  <a16:creationId xmlns:a16="http://schemas.microsoft.com/office/drawing/2014/main" id="{00000000-0008-0000-0100-000017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190500</xdr:rowOff>
        </xdr:from>
        <xdr:to>
          <xdr:col>5</xdr:col>
          <xdr:colOff>0</xdr:colOff>
          <xdr:row>19</xdr:row>
          <xdr:rowOff>9525</xdr:rowOff>
        </xdr:to>
        <xdr:sp macro="" textlink="">
          <xdr:nvSpPr>
            <xdr:cNvPr id="245784" name="Drop Down 24" hidden="1">
              <a:extLst>
                <a:ext uri="{63B3BB69-23CF-44E3-9099-C40C66FF867C}">
                  <a14:compatExt spid="_x0000_s245784"/>
                </a:ext>
                <a:ext uri="{FF2B5EF4-FFF2-40B4-BE49-F238E27FC236}">
                  <a16:creationId xmlns:a16="http://schemas.microsoft.com/office/drawing/2014/main" id="{00000000-0008-0000-0100-000018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190500</xdr:rowOff>
        </xdr:from>
        <xdr:to>
          <xdr:col>5</xdr:col>
          <xdr:colOff>0</xdr:colOff>
          <xdr:row>20</xdr:row>
          <xdr:rowOff>9525</xdr:rowOff>
        </xdr:to>
        <xdr:sp macro="" textlink="">
          <xdr:nvSpPr>
            <xdr:cNvPr id="245785" name="Drop Down 25" hidden="1">
              <a:extLst>
                <a:ext uri="{63B3BB69-23CF-44E3-9099-C40C66FF867C}">
                  <a14:compatExt spid="_x0000_s245785"/>
                </a:ext>
                <a:ext uri="{FF2B5EF4-FFF2-40B4-BE49-F238E27FC236}">
                  <a16:creationId xmlns:a16="http://schemas.microsoft.com/office/drawing/2014/main" id="{00000000-0008-0000-0100-000019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190500</xdr:rowOff>
        </xdr:from>
        <xdr:to>
          <xdr:col>5</xdr:col>
          <xdr:colOff>0</xdr:colOff>
          <xdr:row>21</xdr:row>
          <xdr:rowOff>9525</xdr:rowOff>
        </xdr:to>
        <xdr:sp macro="" textlink="">
          <xdr:nvSpPr>
            <xdr:cNvPr id="245786" name="Drop Down 26" hidden="1">
              <a:extLst>
                <a:ext uri="{63B3BB69-23CF-44E3-9099-C40C66FF867C}">
                  <a14:compatExt spid="_x0000_s245786"/>
                </a:ext>
                <a:ext uri="{FF2B5EF4-FFF2-40B4-BE49-F238E27FC236}">
                  <a16:creationId xmlns:a16="http://schemas.microsoft.com/office/drawing/2014/main" id="{00000000-0008-0000-0100-00001A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190500</xdr:rowOff>
        </xdr:from>
        <xdr:to>
          <xdr:col>5</xdr:col>
          <xdr:colOff>0</xdr:colOff>
          <xdr:row>22</xdr:row>
          <xdr:rowOff>9525</xdr:rowOff>
        </xdr:to>
        <xdr:sp macro="" textlink="">
          <xdr:nvSpPr>
            <xdr:cNvPr id="245787" name="Drop Down 27" hidden="1">
              <a:extLst>
                <a:ext uri="{63B3BB69-23CF-44E3-9099-C40C66FF867C}">
                  <a14:compatExt spid="_x0000_s245787"/>
                </a:ext>
                <a:ext uri="{FF2B5EF4-FFF2-40B4-BE49-F238E27FC236}">
                  <a16:creationId xmlns:a16="http://schemas.microsoft.com/office/drawing/2014/main" id="{00000000-0008-0000-0100-00001B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190500</xdr:rowOff>
        </xdr:from>
        <xdr:to>
          <xdr:col>5</xdr:col>
          <xdr:colOff>0</xdr:colOff>
          <xdr:row>23</xdr:row>
          <xdr:rowOff>9525</xdr:rowOff>
        </xdr:to>
        <xdr:sp macro="" textlink="">
          <xdr:nvSpPr>
            <xdr:cNvPr id="245789" name="Drop Down 29" hidden="1">
              <a:extLst>
                <a:ext uri="{63B3BB69-23CF-44E3-9099-C40C66FF867C}">
                  <a14:compatExt spid="_x0000_s245789"/>
                </a:ext>
                <a:ext uri="{FF2B5EF4-FFF2-40B4-BE49-F238E27FC236}">
                  <a16:creationId xmlns:a16="http://schemas.microsoft.com/office/drawing/2014/main" id="{00000000-0008-0000-0100-00001D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190500</xdr:rowOff>
        </xdr:from>
        <xdr:to>
          <xdr:col>5</xdr:col>
          <xdr:colOff>0</xdr:colOff>
          <xdr:row>24</xdr:row>
          <xdr:rowOff>9525</xdr:rowOff>
        </xdr:to>
        <xdr:sp macro="" textlink="">
          <xdr:nvSpPr>
            <xdr:cNvPr id="245790" name="Drop Down 30" hidden="1">
              <a:extLst>
                <a:ext uri="{63B3BB69-23CF-44E3-9099-C40C66FF867C}">
                  <a14:compatExt spid="_x0000_s245790"/>
                </a:ext>
                <a:ext uri="{FF2B5EF4-FFF2-40B4-BE49-F238E27FC236}">
                  <a16:creationId xmlns:a16="http://schemas.microsoft.com/office/drawing/2014/main" id="{00000000-0008-0000-0100-00001E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190500</xdr:rowOff>
        </xdr:from>
        <xdr:to>
          <xdr:col>5</xdr:col>
          <xdr:colOff>0</xdr:colOff>
          <xdr:row>25</xdr:row>
          <xdr:rowOff>9525</xdr:rowOff>
        </xdr:to>
        <xdr:sp macro="" textlink="">
          <xdr:nvSpPr>
            <xdr:cNvPr id="245791" name="Drop Down 31" hidden="1">
              <a:extLst>
                <a:ext uri="{63B3BB69-23CF-44E3-9099-C40C66FF867C}">
                  <a14:compatExt spid="_x0000_s245791"/>
                </a:ext>
                <a:ext uri="{FF2B5EF4-FFF2-40B4-BE49-F238E27FC236}">
                  <a16:creationId xmlns:a16="http://schemas.microsoft.com/office/drawing/2014/main" id="{00000000-0008-0000-0100-00001F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190500</xdr:rowOff>
        </xdr:from>
        <xdr:to>
          <xdr:col>5</xdr:col>
          <xdr:colOff>0</xdr:colOff>
          <xdr:row>26</xdr:row>
          <xdr:rowOff>9525</xdr:rowOff>
        </xdr:to>
        <xdr:sp macro="" textlink="">
          <xdr:nvSpPr>
            <xdr:cNvPr id="245792" name="Drop Down 32" hidden="1">
              <a:extLst>
                <a:ext uri="{63B3BB69-23CF-44E3-9099-C40C66FF867C}">
                  <a14:compatExt spid="_x0000_s245792"/>
                </a:ext>
                <a:ext uri="{FF2B5EF4-FFF2-40B4-BE49-F238E27FC236}">
                  <a16:creationId xmlns:a16="http://schemas.microsoft.com/office/drawing/2014/main" id="{00000000-0008-0000-0100-000020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190500</xdr:rowOff>
        </xdr:from>
        <xdr:to>
          <xdr:col>5</xdr:col>
          <xdr:colOff>0</xdr:colOff>
          <xdr:row>27</xdr:row>
          <xdr:rowOff>9525</xdr:rowOff>
        </xdr:to>
        <xdr:sp macro="" textlink="">
          <xdr:nvSpPr>
            <xdr:cNvPr id="245793" name="Drop Down 33" hidden="1">
              <a:extLst>
                <a:ext uri="{63B3BB69-23CF-44E3-9099-C40C66FF867C}">
                  <a14:compatExt spid="_x0000_s245793"/>
                </a:ext>
                <a:ext uri="{FF2B5EF4-FFF2-40B4-BE49-F238E27FC236}">
                  <a16:creationId xmlns:a16="http://schemas.microsoft.com/office/drawing/2014/main" id="{00000000-0008-0000-0100-000021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190500</xdr:rowOff>
        </xdr:from>
        <xdr:to>
          <xdr:col>5</xdr:col>
          <xdr:colOff>0</xdr:colOff>
          <xdr:row>28</xdr:row>
          <xdr:rowOff>9525</xdr:rowOff>
        </xdr:to>
        <xdr:sp macro="" textlink="">
          <xdr:nvSpPr>
            <xdr:cNvPr id="245794" name="Drop Down 34" hidden="1">
              <a:extLst>
                <a:ext uri="{63B3BB69-23CF-44E3-9099-C40C66FF867C}">
                  <a14:compatExt spid="_x0000_s245794"/>
                </a:ext>
                <a:ext uri="{FF2B5EF4-FFF2-40B4-BE49-F238E27FC236}">
                  <a16:creationId xmlns:a16="http://schemas.microsoft.com/office/drawing/2014/main" id="{00000000-0008-0000-0100-00002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190500</xdr:rowOff>
        </xdr:from>
        <xdr:to>
          <xdr:col>5</xdr:col>
          <xdr:colOff>0</xdr:colOff>
          <xdr:row>29</xdr:row>
          <xdr:rowOff>9525</xdr:rowOff>
        </xdr:to>
        <xdr:sp macro="" textlink="">
          <xdr:nvSpPr>
            <xdr:cNvPr id="245795" name="Drop Down 35" hidden="1">
              <a:extLst>
                <a:ext uri="{63B3BB69-23CF-44E3-9099-C40C66FF867C}">
                  <a14:compatExt spid="_x0000_s245795"/>
                </a:ext>
                <a:ext uri="{FF2B5EF4-FFF2-40B4-BE49-F238E27FC236}">
                  <a16:creationId xmlns:a16="http://schemas.microsoft.com/office/drawing/2014/main" id="{00000000-0008-0000-0100-00002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190500</xdr:rowOff>
        </xdr:from>
        <xdr:to>
          <xdr:col>5</xdr:col>
          <xdr:colOff>0</xdr:colOff>
          <xdr:row>30</xdr:row>
          <xdr:rowOff>9525</xdr:rowOff>
        </xdr:to>
        <xdr:sp macro="" textlink="">
          <xdr:nvSpPr>
            <xdr:cNvPr id="245796" name="Drop Down 36" hidden="1">
              <a:extLst>
                <a:ext uri="{63B3BB69-23CF-44E3-9099-C40C66FF867C}">
                  <a14:compatExt spid="_x0000_s245796"/>
                </a:ext>
                <a:ext uri="{FF2B5EF4-FFF2-40B4-BE49-F238E27FC236}">
                  <a16:creationId xmlns:a16="http://schemas.microsoft.com/office/drawing/2014/main" id="{00000000-0008-0000-0100-00002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5</xdr:col>
          <xdr:colOff>0</xdr:colOff>
          <xdr:row>44</xdr:row>
          <xdr:rowOff>9525</xdr:rowOff>
        </xdr:to>
        <xdr:sp macro="" textlink="">
          <xdr:nvSpPr>
            <xdr:cNvPr id="245986" name="Drop Down 226" hidden="1">
              <a:extLst>
                <a:ext uri="{63B3BB69-23CF-44E3-9099-C40C66FF867C}">
                  <a14:compatExt spid="_x0000_s245986"/>
                </a:ext>
                <a:ext uri="{FF2B5EF4-FFF2-40B4-BE49-F238E27FC236}">
                  <a16:creationId xmlns:a16="http://schemas.microsoft.com/office/drawing/2014/main" id="{00000000-0008-0000-0100-0000E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190500</xdr:rowOff>
        </xdr:from>
        <xdr:to>
          <xdr:col>5</xdr:col>
          <xdr:colOff>0</xdr:colOff>
          <xdr:row>45</xdr:row>
          <xdr:rowOff>9525</xdr:rowOff>
        </xdr:to>
        <xdr:sp macro="" textlink="">
          <xdr:nvSpPr>
            <xdr:cNvPr id="245987" name="Drop Down 227" hidden="1">
              <a:extLst>
                <a:ext uri="{63B3BB69-23CF-44E3-9099-C40C66FF867C}">
                  <a14:compatExt spid="_x0000_s245987"/>
                </a:ext>
                <a:ext uri="{FF2B5EF4-FFF2-40B4-BE49-F238E27FC236}">
                  <a16:creationId xmlns:a16="http://schemas.microsoft.com/office/drawing/2014/main" id="{00000000-0008-0000-0100-0000E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190500</xdr:rowOff>
        </xdr:from>
        <xdr:to>
          <xdr:col>5</xdr:col>
          <xdr:colOff>0</xdr:colOff>
          <xdr:row>46</xdr:row>
          <xdr:rowOff>9525</xdr:rowOff>
        </xdr:to>
        <xdr:sp macro="" textlink="">
          <xdr:nvSpPr>
            <xdr:cNvPr id="245988" name="Drop Down 228" hidden="1">
              <a:extLst>
                <a:ext uri="{63B3BB69-23CF-44E3-9099-C40C66FF867C}">
                  <a14:compatExt spid="_x0000_s245988"/>
                </a:ext>
                <a:ext uri="{FF2B5EF4-FFF2-40B4-BE49-F238E27FC236}">
                  <a16:creationId xmlns:a16="http://schemas.microsoft.com/office/drawing/2014/main" id="{00000000-0008-0000-0100-0000E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190500</xdr:rowOff>
        </xdr:from>
        <xdr:to>
          <xdr:col>5</xdr:col>
          <xdr:colOff>0</xdr:colOff>
          <xdr:row>47</xdr:row>
          <xdr:rowOff>9525</xdr:rowOff>
        </xdr:to>
        <xdr:sp macro="" textlink="">
          <xdr:nvSpPr>
            <xdr:cNvPr id="245989" name="Drop Down 229" hidden="1">
              <a:extLst>
                <a:ext uri="{63B3BB69-23CF-44E3-9099-C40C66FF867C}">
                  <a14:compatExt spid="_x0000_s245989"/>
                </a:ext>
                <a:ext uri="{FF2B5EF4-FFF2-40B4-BE49-F238E27FC236}">
                  <a16:creationId xmlns:a16="http://schemas.microsoft.com/office/drawing/2014/main" id="{00000000-0008-0000-0100-0000E5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xdr:row>
          <xdr:rowOff>190500</xdr:rowOff>
        </xdr:from>
        <xdr:to>
          <xdr:col>5</xdr:col>
          <xdr:colOff>0</xdr:colOff>
          <xdr:row>48</xdr:row>
          <xdr:rowOff>9525</xdr:rowOff>
        </xdr:to>
        <xdr:sp macro="" textlink="">
          <xdr:nvSpPr>
            <xdr:cNvPr id="245990" name="Drop Down 230" hidden="1">
              <a:extLst>
                <a:ext uri="{63B3BB69-23CF-44E3-9099-C40C66FF867C}">
                  <a14:compatExt spid="_x0000_s245990"/>
                </a:ext>
                <a:ext uri="{FF2B5EF4-FFF2-40B4-BE49-F238E27FC236}">
                  <a16:creationId xmlns:a16="http://schemas.microsoft.com/office/drawing/2014/main" id="{00000000-0008-0000-0100-0000E6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190500</xdr:rowOff>
        </xdr:from>
        <xdr:to>
          <xdr:col>5</xdr:col>
          <xdr:colOff>0</xdr:colOff>
          <xdr:row>49</xdr:row>
          <xdr:rowOff>9525</xdr:rowOff>
        </xdr:to>
        <xdr:sp macro="" textlink="">
          <xdr:nvSpPr>
            <xdr:cNvPr id="245991" name="Drop Down 231" hidden="1">
              <a:extLst>
                <a:ext uri="{63B3BB69-23CF-44E3-9099-C40C66FF867C}">
                  <a14:compatExt spid="_x0000_s245991"/>
                </a:ext>
                <a:ext uri="{FF2B5EF4-FFF2-40B4-BE49-F238E27FC236}">
                  <a16:creationId xmlns:a16="http://schemas.microsoft.com/office/drawing/2014/main" id="{00000000-0008-0000-0100-0000E7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190500</xdr:rowOff>
        </xdr:from>
        <xdr:to>
          <xdr:col>5</xdr:col>
          <xdr:colOff>0</xdr:colOff>
          <xdr:row>50</xdr:row>
          <xdr:rowOff>9525</xdr:rowOff>
        </xdr:to>
        <xdr:sp macro="" textlink="">
          <xdr:nvSpPr>
            <xdr:cNvPr id="245992" name="Drop Down 232" hidden="1">
              <a:extLst>
                <a:ext uri="{63B3BB69-23CF-44E3-9099-C40C66FF867C}">
                  <a14:compatExt spid="_x0000_s245992"/>
                </a:ext>
                <a:ext uri="{FF2B5EF4-FFF2-40B4-BE49-F238E27FC236}">
                  <a16:creationId xmlns:a16="http://schemas.microsoft.com/office/drawing/2014/main" id="{00000000-0008-0000-0100-0000E8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190500</xdr:rowOff>
        </xdr:from>
        <xdr:to>
          <xdr:col>5</xdr:col>
          <xdr:colOff>0</xdr:colOff>
          <xdr:row>51</xdr:row>
          <xdr:rowOff>9525</xdr:rowOff>
        </xdr:to>
        <xdr:sp macro="" textlink="">
          <xdr:nvSpPr>
            <xdr:cNvPr id="245993" name="Drop Down 233" hidden="1">
              <a:extLst>
                <a:ext uri="{63B3BB69-23CF-44E3-9099-C40C66FF867C}">
                  <a14:compatExt spid="_x0000_s245993"/>
                </a:ext>
                <a:ext uri="{FF2B5EF4-FFF2-40B4-BE49-F238E27FC236}">
                  <a16:creationId xmlns:a16="http://schemas.microsoft.com/office/drawing/2014/main" id="{00000000-0008-0000-0100-0000E9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190500</xdr:rowOff>
        </xdr:from>
        <xdr:to>
          <xdr:col>5</xdr:col>
          <xdr:colOff>0</xdr:colOff>
          <xdr:row>52</xdr:row>
          <xdr:rowOff>9525</xdr:rowOff>
        </xdr:to>
        <xdr:sp macro="" textlink="">
          <xdr:nvSpPr>
            <xdr:cNvPr id="245994" name="Drop Down 234" hidden="1">
              <a:extLst>
                <a:ext uri="{63B3BB69-23CF-44E3-9099-C40C66FF867C}">
                  <a14:compatExt spid="_x0000_s245994"/>
                </a:ext>
                <a:ext uri="{FF2B5EF4-FFF2-40B4-BE49-F238E27FC236}">
                  <a16:creationId xmlns:a16="http://schemas.microsoft.com/office/drawing/2014/main" id="{00000000-0008-0000-0100-0000EA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190500</xdr:rowOff>
        </xdr:from>
        <xdr:to>
          <xdr:col>5</xdr:col>
          <xdr:colOff>0</xdr:colOff>
          <xdr:row>53</xdr:row>
          <xdr:rowOff>9525</xdr:rowOff>
        </xdr:to>
        <xdr:sp macro="" textlink="">
          <xdr:nvSpPr>
            <xdr:cNvPr id="245996" name="Drop Down 236" hidden="1">
              <a:extLst>
                <a:ext uri="{63B3BB69-23CF-44E3-9099-C40C66FF867C}">
                  <a14:compatExt spid="_x0000_s245996"/>
                </a:ext>
                <a:ext uri="{FF2B5EF4-FFF2-40B4-BE49-F238E27FC236}">
                  <a16:creationId xmlns:a16="http://schemas.microsoft.com/office/drawing/2014/main" id="{00000000-0008-0000-0100-0000EC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xdr:row>
          <xdr:rowOff>190500</xdr:rowOff>
        </xdr:from>
        <xdr:to>
          <xdr:col>5</xdr:col>
          <xdr:colOff>0</xdr:colOff>
          <xdr:row>54</xdr:row>
          <xdr:rowOff>9525</xdr:rowOff>
        </xdr:to>
        <xdr:sp macro="" textlink="">
          <xdr:nvSpPr>
            <xdr:cNvPr id="245997" name="Drop Down 237" hidden="1">
              <a:extLst>
                <a:ext uri="{63B3BB69-23CF-44E3-9099-C40C66FF867C}">
                  <a14:compatExt spid="_x0000_s245997"/>
                </a:ext>
                <a:ext uri="{FF2B5EF4-FFF2-40B4-BE49-F238E27FC236}">
                  <a16:creationId xmlns:a16="http://schemas.microsoft.com/office/drawing/2014/main" id="{00000000-0008-0000-0100-0000ED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190500</xdr:rowOff>
        </xdr:from>
        <xdr:to>
          <xdr:col>5</xdr:col>
          <xdr:colOff>0</xdr:colOff>
          <xdr:row>55</xdr:row>
          <xdr:rowOff>9525</xdr:rowOff>
        </xdr:to>
        <xdr:sp macro="" textlink="">
          <xdr:nvSpPr>
            <xdr:cNvPr id="245998" name="Drop Down 238" hidden="1">
              <a:extLst>
                <a:ext uri="{63B3BB69-23CF-44E3-9099-C40C66FF867C}">
                  <a14:compatExt spid="_x0000_s245998"/>
                </a:ext>
                <a:ext uri="{FF2B5EF4-FFF2-40B4-BE49-F238E27FC236}">
                  <a16:creationId xmlns:a16="http://schemas.microsoft.com/office/drawing/2014/main" id="{00000000-0008-0000-0100-0000EE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xdr:row>
          <xdr:rowOff>190500</xdr:rowOff>
        </xdr:from>
        <xdr:to>
          <xdr:col>5</xdr:col>
          <xdr:colOff>0</xdr:colOff>
          <xdr:row>56</xdr:row>
          <xdr:rowOff>9525</xdr:rowOff>
        </xdr:to>
        <xdr:sp macro="" textlink="">
          <xdr:nvSpPr>
            <xdr:cNvPr id="245999" name="Drop Down 239" hidden="1">
              <a:extLst>
                <a:ext uri="{63B3BB69-23CF-44E3-9099-C40C66FF867C}">
                  <a14:compatExt spid="_x0000_s245999"/>
                </a:ext>
                <a:ext uri="{FF2B5EF4-FFF2-40B4-BE49-F238E27FC236}">
                  <a16:creationId xmlns:a16="http://schemas.microsoft.com/office/drawing/2014/main" id="{00000000-0008-0000-0100-0000EF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xdr:row>
          <xdr:rowOff>190500</xdr:rowOff>
        </xdr:from>
        <xdr:to>
          <xdr:col>5</xdr:col>
          <xdr:colOff>0</xdr:colOff>
          <xdr:row>57</xdr:row>
          <xdr:rowOff>9525</xdr:rowOff>
        </xdr:to>
        <xdr:sp macro="" textlink="">
          <xdr:nvSpPr>
            <xdr:cNvPr id="246000" name="Drop Down 240" hidden="1">
              <a:extLst>
                <a:ext uri="{63B3BB69-23CF-44E3-9099-C40C66FF867C}">
                  <a14:compatExt spid="_x0000_s246000"/>
                </a:ext>
                <a:ext uri="{FF2B5EF4-FFF2-40B4-BE49-F238E27FC236}">
                  <a16:creationId xmlns:a16="http://schemas.microsoft.com/office/drawing/2014/main" id="{00000000-0008-0000-0100-0000F0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xdr:row>
          <xdr:rowOff>190500</xdr:rowOff>
        </xdr:from>
        <xdr:to>
          <xdr:col>5</xdr:col>
          <xdr:colOff>0</xdr:colOff>
          <xdr:row>58</xdr:row>
          <xdr:rowOff>9525</xdr:rowOff>
        </xdr:to>
        <xdr:sp macro="" textlink="">
          <xdr:nvSpPr>
            <xdr:cNvPr id="246001" name="Drop Down 241" hidden="1">
              <a:extLst>
                <a:ext uri="{63B3BB69-23CF-44E3-9099-C40C66FF867C}">
                  <a14:compatExt spid="_x0000_s246001"/>
                </a:ext>
                <a:ext uri="{FF2B5EF4-FFF2-40B4-BE49-F238E27FC236}">
                  <a16:creationId xmlns:a16="http://schemas.microsoft.com/office/drawing/2014/main" id="{00000000-0008-0000-0100-0000F1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190500</xdr:rowOff>
        </xdr:from>
        <xdr:to>
          <xdr:col>5</xdr:col>
          <xdr:colOff>0</xdr:colOff>
          <xdr:row>59</xdr:row>
          <xdr:rowOff>9525</xdr:rowOff>
        </xdr:to>
        <xdr:sp macro="" textlink="">
          <xdr:nvSpPr>
            <xdr:cNvPr id="246002" name="Drop Down 242" hidden="1">
              <a:extLst>
                <a:ext uri="{63B3BB69-23CF-44E3-9099-C40C66FF867C}">
                  <a14:compatExt spid="_x0000_s246002"/>
                </a:ext>
                <a:ext uri="{FF2B5EF4-FFF2-40B4-BE49-F238E27FC236}">
                  <a16:creationId xmlns:a16="http://schemas.microsoft.com/office/drawing/2014/main" id="{00000000-0008-0000-0100-0000F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xdr:row>
          <xdr:rowOff>190500</xdr:rowOff>
        </xdr:from>
        <xdr:to>
          <xdr:col>5</xdr:col>
          <xdr:colOff>0</xdr:colOff>
          <xdr:row>60</xdr:row>
          <xdr:rowOff>9525</xdr:rowOff>
        </xdr:to>
        <xdr:sp macro="" textlink="">
          <xdr:nvSpPr>
            <xdr:cNvPr id="246003" name="Drop Down 243" hidden="1">
              <a:extLst>
                <a:ext uri="{63B3BB69-23CF-44E3-9099-C40C66FF867C}">
                  <a14:compatExt spid="_x0000_s246003"/>
                </a:ext>
                <a:ext uri="{FF2B5EF4-FFF2-40B4-BE49-F238E27FC236}">
                  <a16:creationId xmlns:a16="http://schemas.microsoft.com/office/drawing/2014/main" id="{00000000-0008-0000-0100-0000F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97</xdr:row>
          <xdr:rowOff>0</xdr:rowOff>
        </xdr:from>
        <xdr:to>
          <xdr:col>5</xdr:col>
          <xdr:colOff>0</xdr:colOff>
          <xdr:row>98</xdr:row>
          <xdr:rowOff>9525</xdr:rowOff>
        </xdr:to>
        <xdr:sp macro="" textlink="">
          <xdr:nvSpPr>
            <xdr:cNvPr id="246374" name="Drop Down 614" hidden="1">
              <a:extLst>
                <a:ext uri="{63B3BB69-23CF-44E3-9099-C40C66FF867C}">
                  <a14:compatExt spid="_x0000_s246374"/>
                </a:ext>
                <a:ext uri="{FF2B5EF4-FFF2-40B4-BE49-F238E27FC236}">
                  <a16:creationId xmlns:a16="http://schemas.microsoft.com/office/drawing/2014/main" id="{00000000-0008-0000-0100-000066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98</xdr:row>
          <xdr:rowOff>0</xdr:rowOff>
        </xdr:from>
        <xdr:to>
          <xdr:col>5</xdr:col>
          <xdr:colOff>0</xdr:colOff>
          <xdr:row>99</xdr:row>
          <xdr:rowOff>9525</xdr:rowOff>
        </xdr:to>
        <xdr:sp macro="" textlink="">
          <xdr:nvSpPr>
            <xdr:cNvPr id="246377" name="Drop Down 617" hidden="1">
              <a:extLst>
                <a:ext uri="{63B3BB69-23CF-44E3-9099-C40C66FF867C}">
                  <a14:compatExt spid="_x0000_s246377"/>
                </a:ext>
                <a:ext uri="{FF2B5EF4-FFF2-40B4-BE49-F238E27FC236}">
                  <a16:creationId xmlns:a16="http://schemas.microsoft.com/office/drawing/2014/main" id="{00000000-0008-0000-0100-000069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99</xdr:row>
          <xdr:rowOff>0</xdr:rowOff>
        </xdr:from>
        <xdr:to>
          <xdr:col>5</xdr:col>
          <xdr:colOff>0</xdr:colOff>
          <xdr:row>100</xdr:row>
          <xdr:rowOff>9525</xdr:rowOff>
        </xdr:to>
        <xdr:sp macro="" textlink="">
          <xdr:nvSpPr>
            <xdr:cNvPr id="246379" name="Drop Down 619" hidden="1">
              <a:extLst>
                <a:ext uri="{63B3BB69-23CF-44E3-9099-C40C66FF867C}">
                  <a14:compatExt spid="_x0000_s246379"/>
                </a:ext>
                <a:ext uri="{FF2B5EF4-FFF2-40B4-BE49-F238E27FC236}">
                  <a16:creationId xmlns:a16="http://schemas.microsoft.com/office/drawing/2014/main" id="{00000000-0008-0000-0100-00006B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56</xdr:col>
      <xdr:colOff>54609</xdr:colOff>
      <xdr:row>2</xdr:row>
      <xdr:rowOff>33313</xdr:rowOff>
    </xdr:from>
    <xdr:to>
      <xdr:col>62</xdr:col>
      <xdr:colOff>271097</xdr:colOff>
      <xdr:row>21</xdr:row>
      <xdr:rowOff>0</xdr:rowOff>
    </xdr:to>
    <xdr:graphicFrame macro="">
      <xdr:nvGraphicFramePr>
        <xdr:cNvPr id="3" name="Diagramm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140558</xdr:colOff>
      <xdr:row>0</xdr:row>
      <xdr:rowOff>205955</xdr:rowOff>
    </xdr:from>
    <xdr:to>
      <xdr:col>20</xdr:col>
      <xdr:colOff>16026</xdr:colOff>
      <xdr:row>5</xdr:row>
      <xdr:rowOff>139118</xdr:rowOff>
    </xdr:to>
    <xdr:pic>
      <xdr:nvPicPr>
        <xdr:cNvPr id="409" name="Grafik 15" descr="C:\Users\msbo\AppData\Local\Microsoft\Windows\Temporary Internet Files\Content.Outlook\ZLX39RCH\Logo IAB 2.jpg">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03383" y="205955"/>
          <a:ext cx="1047043" cy="72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62</xdr:col>
      <xdr:colOff>289811</xdr:colOff>
      <xdr:row>17</xdr:row>
      <xdr:rowOff>137072</xdr:rowOff>
    </xdr:from>
    <xdr:to>
      <xdr:col>66</xdr:col>
      <xdr:colOff>733424</xdr:colOff>
      <xdr:row>35</xdr:row>
      <xdr:rowOff>38099</xdr:rowOff>
    </xdr:to>
    <xdr:graphicFrame macro="">
      <xdr:nvGraphicFramePr>
        <xdr:cNvPr id="7" name="Diagramm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56</xdr:col>
      <xdr:colOff>105590</xdr:colOff>
      <xdr:row>37</xdr:row>
      <xdr:rowOff>47625</xdr:rowOff>
    </xdr:from>
    <xdr:to>
      <xdr:col>62</xdr:col>
      <xdr:colOff>613932</xdr:colOff>
      <xdr:row>53</xdr:row>
      <xdr:rowOff>95250</xdr:rowOff>
    </xdr:to>
    <xdr:graphicFrame macro="">
      <xdr:nvGraphicFramePr>
        <xdr:cNvPr id="2" name="Diagram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5</xdr:col>
          <xdr:colOff>0</xdr:colOff>
          <xdr:row>31</xdr:row>
          <xdr:rowOff>9525</xdr:rowOff>
        </xdr:to>
        <xdr:sp macro="" textlink="">
          <xdr:nvSpPr>
            <xdr:cNvPr id="246455" name="Drop Down 695" hidden="1">
              <a:extLst>
                <a:ext uri="{63B3BB69-23CF-44E3-9099-C40C66FF867C}">
                  <a14:compatExt spid="_x0000_s246455"/>
                </a:ext>
                <a:ext uri="{FF2B5EF4-FFF2-40B4-BE49-F238E27FC236}">
                  <a16:creationId xmlns:a16="http://schemas.microsoft.com/office/drawing/2014/main" id="{00000000-0008-0000-0100-0000B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45</xdr:col>
      <xdr:colOff>96493</xdr:colOff>
      <xdr:row>0</xdr:row>
      <xdr:rowOff>26091</xdr:rowOff>
    </xdr:from>
    <xdr:to>
      <xdr:col>48</xdr:col>
      <xdr:colOff>1853</xdr:colOff>
      <xdr:row>4</xdr:row>
      <xdr:rowOff>103841</xdr:rowOff>
    </xdr:to>
    <xdr:pic>
      <xdr:nvPicPr>
        <xdr:cNvPr id="396" name="Grafik 15" descr="C:\Users\msbo\AppData\Local\Microsoft\Windows\Temporary Internet Files\Content.Outlook\ZLX39RCH\Logo IAB 2.jpg">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089093" y="26091"/>
          <a:ext cx="1038835" cy="71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74</xdr:row>
          <xdr:rowOff>0</xdr:rowOff>
        </xdr:from>
        <xdr:to>
          <xdr:col>5</xdr:col>
          <xdr:colOff>0</xdr:colOff>
          <xdr:row>75</xdr:row>
          <xdr:rowOff>9525</xdr:rowOff>
        </xdr:to>
        <xdr:sp macro="" textlink="">
          <xdr:nvSpPr>
            <xdr:cNvPr id="246488" name="Drop Down 728" hidden="1">
              <a:extLst>
                <a:ext uri="{63B3BB69-23CF-44E3-9099-C40C66FF867C}">
                  <a14:compatExt spid="_x0000_s246488"/>
                </a:ext>
                <a:ext uri="{FF2B5EF4-FFF2-40B4-BE49-F238E27FC236}">
                  <a16:creationId xmlns:a16="http://schemas.microsoft.com/office/drawing/2014/main" id="{00000000-0008-0000-0100-0000D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5</xdr:col>
          <xdr:colOff>0</xdr:colOff>
          <xdr:row>76</xdr:row>
          <xdr:rowOff>9525</xdr:rowOff>
        </xdr:to>
        <xdr:sp macro="" textlink="">
          <xdr:nvSpPr>
            <xdr:cNvPr id="246490" name="Drop Down 730" hidden="1">
              <a:extLst>
                <a:ext uri="{63B3BB69-23CF-44E3-9099-C40C66FF867C}">
                  <a14:compatExt spid="_x0000_s246490"/>
                </a:ext>
                <a:ext uri="{FF2B5EF4-FFF2-40B4-BE49-F238E27FC236}">
                  <a16:creationId xmlns:a16="http://schemas.microsoft.com/office/drawing/2014/main" id="{00000000-0008-0000-0100-0000DA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xdr:row>
          <xdr:rowOff>0</xdr:rowOff>
        </xdr:from>
        <xdr:to>
          <xdr:col>5</xdr:col>
          <xdr:colOff>0</xdr:colOff>
          <xdr:row>77</xdr:row>
          <xdr:rowOff>9525</xdr:rowOff>
        </xdr:to>
        <xdr:sp macro="" textlink="">
          <xdr:nvSpPr>
            <xdr:cNvPr id="246491" name="Drop Down 731" hidden="1">
              <a:extLst>
                <a:ext uri="{63B3BB69-23CF-44E3-9099-C40C66FF867C}">
                  <a14:compatExt spid="_x0000_s246491"/>
                </a:ext>
                <a:ext uri="{FF2B5EF4-FFF2-40B4-BE49-F238E27FC236}">
                  <a16:creationId xmlns:a16="http://schemas.microsoft.com/office/drawing/2014/main" id="{00000000-0008-0000-0100-0000DB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xdr:row>
          <xdr:rowOff>0</xdr:rowOff>
        </xdr:from>
        <xdr:to>
          <xdr:col>5</xdr:col>
          <xdr:colOff>0</xdr:colOff>
          <xdr:row>78</xdr:row>
          <xdr:rowOff>9525</xdr:rowOff>
        </xdr:to>
        <xdr:sp macro="" textlink="">
          <xdr:nvSpPr>
            <xdr:cNvPr id="246492" name="Drop Down 732" hidden="1">
              <a:extLst>
                <a:ext uri="{63B3BB69-23CF-44E3-9099-C40C66FF867C}">
                  <a14:compatExt spid="_x0000_s246492"/>
                </a:ext>
                <a:ext uri="{FF2B5EF4-FFF2-40B4-BE49-F238E27FC236}">
                  <a16:creationId xmlns:a16="http://schemas.microsoft.com/office/drawing/2014/main" id="{00000000-0008-0000-0100-0000DC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0</xdr:rowOff>
        </xdr:from>
        <xdr:to>
          <xdr:col>5</xdr:col>
          <xdr:colOff>0</xdr:colOff>
          <xdr:row>79</xdr:row>
          <xdr:rowOff>9525</xdr:rowOff>
        </xdr:to>
        <xdr:sp macro="" textlink="">
          <xdr:nvSpPr>
            <xdr:cNvPr id="246493" name="Drop Down 733" hidden="1">
              <a:extLst>
                <a:ext uri="{63B3BB69-23CF-44E3-9099-C40C66FF867C}">
                  <a14:compatExt spid="_x0000_s246493"/>
                </a:ext>
                <a:ext uri="{FF2B5EF4-FFF2-40B4-BE49-F238E27FC236}">
                  <a16:creationId xmlns:a16="http://schemas.microsoft.com/office/drawing/2014/main" id="{00000000-0008-0000-0100-0000DD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98</xdr:row>
          <xdr:rowOff>0</xdr:rowOff>
        </xdr:from>
        <xdr:to>
          <xdr:col>10</xdr:col>
          <xdr:colOff>228600</xdr:colOff>
          <xdr:row>99</xdr:row>
          <xdr:rowOff>0</xdr:rowOff>
        </xdr:to>
        <xdr:sp macro="" textlink="">
          <xdr:nvSpPr>
            <xdr:cNvPr id="246519" name="Drop Down 759" hidden="1">
              <a:extLst>
                <a:ext uri="{63B3BB69-23CF-44E3-9099-C40C66FF867C}">
                  <a14:compatExt spid="_x0000_s246519"/>
                </a:ext>
                <a:ext uri="{FF2B5EF4-FFF2-40B4-BE49-F238E27FC236}">
                  <a16:creationId xmlns:a16="http://schemas.microsoft.com/office/drawing/2014/main" id="{00000000-0008-0000-0100-0000F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13</xdr:row>
          <xdr:rowOff>19050</xdr:rowOff>
        </xdr:from>
        <xdr:to>
          <xdr:col>15</xdr:col>
          <xdr:colOff>266700</xdr:colOff>
          <xdr:row>13</xdr:row>
          <xdr:rowOff>180975</xdr:rowOff>
        </xdr:to>
        <xdr:sp macro="" textlink="">
          <xdr:nvSpPr>
            <xdr:cNvPr id="246652" name="Check Box 892" hidden="1">
              <a:extLst>
                <a:ext uri="{63B3BB69-23CF-44E3-9099-C40C66FF867C}">
                  <a14:compatExt spid="_x0000_s246652"/>
                </a:ext>
                <a:ext uri="{FF2B5EF4-FFF2-40B4-BE49-F238E27FC236}">
                  <a16:creationId xmlns:a16="http://schemas.microsoft.com/office/drawing/2014/main" id="{00000000-0008-0000-0100-00007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14</xdr:row>
          <xdr:rowOff>19050</xdr:rowOff>
        </xdr:from>
        <xdr:to>
          <xdr:col>15</xdr:col>
          <xdr:colOff>266700</xdr:colOff>
          <xdr:row>14</xdr:row>
          <xdr:rowOff>180975</xdr:rowOff>
        </xdr:to>
        <xdr:sp macro="" textlink="">
          <xdr:nvSpPr>
            <xdr:cNvPr id="246653" name="Check Box 893" hidden="1">
              <a:extLst>
                <a:ext uri="{63B3BB69-23CF-44E3-9099-C40C66FF867C}">
                  <a14:compatExt spid="_x0000_s246653"/>
                </a:ext>
                <a:ext uri="{FF2B5EF4-FFF2-40B4-BE49-F238E27FC236}">
                  <a16:creationId xmlns:a16="http://schemas.microsoft.com/office/drawing/2014/main" id="{00000000-0008-0000-0100-00007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15</xdr:row>
          <xdr:rowOff>28575</xdr:rowOff>
        </xdr:from>
        <xdr:to>
          <xdr:col>15</xdr:col>
          <xdr:colOff>266700</xdr:colOff>
          <xdr:row>16</xdr:row>
          <xdr:rowOff>0</xdr:rowOff>
        </xdr:to>
        <xdr:sp macro="" textlink="">
          <xdr:nvSpPr>
            <xdr:cNvPr id="246654" name="Check Box 894" hidden="1">
              <a:extLst>
                <a:ext uri="{63B3BB69-23CF-44E3-9099-C40C66FF867C}">
                  <a14:compatExt spid="_x0000_s246654"/>
                </a:ext>
                <a:ext uri="{FF2B5EF4-FFF2-40B4-BE49-F238E27FC236}">
                  <a16:creationId xmlns:a16="http://schemas.microsoft.com/office/drawing/2014/main" id="{00000000-0008-0000-0100-00007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17</xdr:row>
          <xdr:rowOff>19050</xdr:rowOff>
        </xdr:from>
        <xdr:to>
          <xdr:col>15</xdr:col>
          <xdr:colOff>266700</xdr:colOff>
          <xdr:row>17</xdr:row>
          <xdr:rowOff>180975</xdr:rowOff>
        </xdr:to>
        <xdr:sp macro="" textlink="">
          <xdr:nvSpPr>
            <xdr:cNvPr id="246656" name="Check Box 896" hidden="1">
              <a:extLst>
                <a:ext uri="{63B3BB69-23CF-44E3-9099-C40C66FF867C}">
                  <a14:compatExt spid="_x0000_s246656"/>
                </a:ext>
                <a:ext uri="{FF2B5EF4-FFF2-40B4-BE49-F238E27FC236}">
                  <a16:creationId xmlns:a16="http://schemas.microsoft.com/office/drawing/2014/main" id="{00000000-0008-0000-0100-00008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18</xdr:row>
          <xdr:rowOff>19050</xdr:rowOff>
        </xdr:from>
        <xdr:to>
          <xdr:col>15</xdr:col>
          <xdr:colOff>266700</xdr:colOff>
          <xdr:row>18</xdr:row>
          <xdr:rowOff>180975</xdr:rowOff>
        </xdr:to>
        <xdr:sp macro="" textlink="">
          <xdr:nvSpPr>
            <xdr:cNvPr id="246657" name="Check Box 897" hidden="1">
              <a:extLst>
                <a:ext uri="{63B3BB69-23CF-44E3-9099-C40C66FF867C}">
                  <a14:compatExt spid="_x0000_s246657"/>
                </a:ext>
                <a:ext uri="{FF2B5EF4-FFF2-40B4-BE49-F238E27FC236}">
                  <a16:creationId xmlns:a16="http://schemas.microsoft.com/office/drawing/2014/main" id="{00000000-0008-0000-0100-00008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19</xdr:row>
          <xdr:rowOff>19050</xdr:rowOff>
        </xdr:from>
        <xdr:to>
          <xdr:col>15</xdr:col>
          <xdr:colOff>266700</xdr:colOff>
          <xdr:row>19</xdr:row>
          <xdr:rowOff>180975</xdr:rowOff>
        </xdr:to>
        <xdr:sp macro="" textlink="">
          <xdr:nvSpPr>
            <xdr:cNvPr id="246658" name="Check Box 898" hidden="1">
              <a:extLst>
                <a:ext uri="{63B3BB69-23CF-44E3-9099-C40C66FF867C}">
                  <a14:compatExt spid="_x0000_s246658"/>
                </a:ext>
                <a:ext uri="{FF2B5EF4-FFF2-40B4-BE49-F238E27FC236}">
                  <a16:creationId xmlns:a16="http://schemas.microsoft.com/office/drawing/2014/main" id="{00000000-0008-0000-0100-00008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20</xdr:row>
          <xdr:rowOff>19050</xdr:rowOff>
        </xdr:from>
        <xdr:to>
          <xdr:col>15</xdr:col>
          <xdr:colOff>266700</xdr:colOff>
          <xdr:row>20</xdr:row>
          <xdr:rowOff>180975</xdr:rowOff>
        </xdr:to>
        <xdr:sp macro="" textlink="">
          <xdr:nvSpPr>
            <xdr:cNvPr id="246659" name="Check Box 899" hidden="1">
              <a:extLst>
                <a:ext uri="{63B3BB69-23CF-44E3-9099-C40C66FF867C}">
                  <a14:compatExt spid="_x0000_s246659"/>
                </a:ext>
                <a:ext uri="{FF2B5EF4-FFF2-40B4-BE49-F238E27FC236}">
                  <a16:creationId xmlns:a16="http://schemas.microsoft.com/office/drawing/2014/main" id="{00000000-0008-0000-0100-00008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21</xdr:row>
          <xdr:rowOff>19050</xdr:rowOff>
        </xdr:from>
        <xdr:to>
          <xdr:col>15</xdr:col>
          <xdr:colOff>266700</xdr:colOff>
          <xdr:row>21</xdr:row>
          <xdr:rowOff>180975</xdr:rowOff>
        </xdr:to>
        <xdr:sp macro="" textlink="">
          <xdr:nvSpPr>
            <xdr:cNvPr id="246660" name="Check Box 900" hidden="1">
              <a:extLst>
                <a:ext uri="{63B3BB69-23CF-44E3-9099-C40C66FF867C}">
                  <a14:compatExt spid="_x0000_s246660"/>
                </a:ext>
                <a:ext uri="{FF2B5EF4-FFF2-40B4-BE49-F238E27FC236}">
                  <a16:creationId xmlns:a16="http://schemas.microsoft.com/office/drawing/2014/main" id="{00000000-0008-0000-0100-00008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22</xdr:row>
          <xdr:rowOff>19050</xdr:rowOff>
        </xdr:from>
        <xdr:to>
          <xdr:col>15</xdr:col>
          <xdr:colOff>266700</xdr:colOff>
          <xdr:row>22</xdr:row>
          <xdr:rowOff>180975</xdr:rowOff>
        </xdr:to>
        <xdr:sp macro="" textlink="">
          <xdr:nvSpPr>
            <xdr:cNvPr id="246661" name="Check Box 901" hidden="1">
              <a:extLst>
                <a:ext uri="{63B3BB69-23CF-44E3-9099-C40C66FF867C}">
                  <a14:compatExt spid="_x0000_s246661"/>
                </a:ext>
                <a:ext uri="{FF2B5EF4-FFF2-40B4-BE49-F238E27FC236}">
                  <a16:creationId xmlns:a16="http://schemas.microsoft.com/office/drawing/2014/main" id="{00000000-0008-0000-0100-00008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19050</xdr:rowOff>
        </xdr:from>
        <xdr:to>
          <xdr:col>15</xdr:col>
          <xdr:colOff>266700</xdr:colOff>
          <xdr:row>23</xdr:row>
          <xdr:rowOff>180975</xdr:rowOff>
        </xdr:to>
        <xdr:sp macro="" textlink="">
          <xdr:nvSpPr>
            <xdr:cNvPr id="246662" name="Check Box 902" hidden="1">
              <a:extLst>
                <a:ext uri="{63B3BB69-23CF-44E3-9099-C40C66FF867C}">
                  <a14:compatExt spid="_x0000_s246662"/>
                </a:ext>
                <a:ext uri="{FF2B5EF4-FFF2-40B4-BE49-F238E27FC236}">
                  <a16:creationId xmlns:a16="http://schemas.microsoft.com/office/drawing/2014/main" id="{00000000-0008-0000-0100-00008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19050</xdr:rowOff>
        </xdr:from>
        <xdr:to>
          <xdr:col>15</xdr:col>
          <xdr:colOff>266700</xdr:colOff>
          <xdr:row>24</xdr:row>
          <xdr:rowOff>180975</xdr:rowOff>
        </xdr:to>
        <xdr:sp macro="" textlink="">
          <xdr:nvSpPr>
            <xdr:cNvPr id="246663" name="Check Box 903" hidden="1">
              <a:extLst>
                <a:ext uri="{63B3BB69-23CF-44E3-9099-C40C66FF867C}">
                  <a14:compatExt spid="_x0000_s246663"/>
                </a:ext>
                <a:ext uri="{FF2B5EF4-FFF2-40B4-BE49-F238E27FC236}">
                  <a16:creationId xmlns:a16="http://schemas.microsoft.com/office/drawing/2014/main" id="{00000000-0008-0000-0100-000087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25</xdr:row>
          <xdr:rowOff>19050</xdr:rowOff>
        </xdr:from>
        <xdr:to>
          <xdr:col>15</xdr:col>
          <xdr:colOff>266700</xdr:colOff>
          <xdr:row>25</xdr:row>
          <xdr:rowOff>180975</xdr:rowOff>
        </xdr:to>
        <xdr:sp macro="" textlink="">
          <xdr:nvSpPr>
            <xdr:cNvPr id="246664" name="Check Box 904" hidden="1">
              <a:extLst>
                <a:ext uri="{63B3BB69-23CF-44E3-9099-C40C66FF867C}">
                  <a14:compatExt spid="_x0000_s246664"/>
                </a:ext>
                <a:ext uri="{FF2B5EF4-FFF2-40B4-BE49-F238E27FC236}">
                  <a16:creationId xmlns:a16="http://schemas.microsoft.com/office/drawing/2014/main" id="{00000000-0008-0000-0100-000088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26</xdr:row>
          <xdr:rowOff>19050</xdr:rowOff>
        </xdr:from>
        <xdr:to>
          <xdr:col>15</xdr:col>
          <xdr:colOff>266700</xdr:colOff>
          <xdr:row>26</xdr:row>
          <xdr:rowOff>180975</xdr:rowOff>
        </xdr:to>
        <xdr:sp macro="" textlink="">
          <xdr:nvSpPr>
            <xdr:cNvPr id="246665" name="Check Box 905" hidden="1">
              <a:extLst>
                <a:ext uri="{63B3BB69-23CF-44E3-9099-C40C66FF867C}">
                  <a14:compatExt spid="_x0000_s246665"/>
                </a:ext>
                <a:ext uri="{FF2B5EF4-FFF2-40B4-BE49-F238E27FC236}">
                  <a16:creationId xmlns:a16="http://schemas.microsoft.com/office/drawing/2014/main" id="{00000000-0008-0000-0100-000089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27</xdr:row>
          <xdr:rowOff>19050</xdr:rowOff>
        </xdr:from>
        <xdr:to>
          <xdr:col>15</xdr:col>
          <xdr:colOff>266700</xdr:colOff>
          <xdr:row>27</xdr:row>
          <xdr:rowOff>180975</xdr:rowOff>
        </xdr:to>
        <xdr:sp macro="" textlink="">
          <xdr:nvSpPr>
            <xdr:cNvPr id="246666" name="Check Box 906" hidden="1">
              <a:extLst>
                <a:ext uri="{63B3BB69-23CF-44E3-9099-C40C66FF867C}">
                  <a14:compatExt spid="_x0000_s246666"/>
                </a:ext>
                <a:ext uri="{FF2B5EF4-FFF2-40B4-BE49-F238E27FC236}">
                  <a16:creationId xmlns:a16="http://schemas.microsoft.com/office/drawing/2014/main" id="{00000000-0008-0000-0100-00008A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28</xdr:row>
          <xdr:rowOff>19050</xdr:rowOff>
        </xdr:from>
        <xdr:to>
          <xdr:col>15</xdr:col>
          <xdr:colOff>266700</xdr:colOff>
          <xdr:row>28</xdr:row>
          <xdr:rowOff>180975</xdr:rowOff>
        </xdr:to>
        <xdr:sp macro="" textlink="">
          <xdr:nvSpPr>
            <xdr:cNvPr id="246667" name="Check Box 907" hidden="1">
              <a:extLst>
                <a:ext uri="{63B3BB69-23CF-44E3-9099-C40C66FF867C}">
                  <a14:compatExt spid="_x0000_s246667"/>
                </a:ext>
                <a:ext uri="{FF2B5EF4-FFF2-40B4-BE49-F238E27FC236}">
                  <a16:creationId xmlns:a16="http://schemas.microsoft.com/office/drawing/2014/main" id="{00000000-0008-0000-0100-00008B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29</xdr:row>
          <xdr:rowOff>19050</xdr:rowOff>
        </xdr:from>
        <xdr:to>
          <xdr:col>15</xdr:col>
          <xdr:colOff>266700</xdr:colOff>
          <xdr:row>29</xdr:row>
          <xdr:rowOff>180975</xdr:rowOff>
        </xdr:to>
        <xdr:sp macro="" textlink="">
          <xdr:nvSpPr>
            <xdr:cNvPr id="246668" name="Check Box 908" hidden="1">
              <a:extLst>
                <a:ext uri="{63B3BB69-23CF-44E3-9099-C40C66FF867C}">
                  <a14:compatExt spid="_x0000_s246668"/>
                </a:ext>
                <a:ext uri="{FF2B5EF4-FFF2-40B4-BE49-F238E27FC236}">
                  <a16:creationId xmlns:a16="http://schemas.microsoft.com/office/drawing/2014/main" id="{00000000-0008-0000-0100-00008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30</xdr:row>
          <xdr:rowOff>19050</xdr:rowOff>
        </xdr:from>
        <xdr:to>
          <xdr:col>15</xdr:col>
          <xdr:colOff>266700</xdr:colOff>
          <xdr:row>30</xdr:row>
          <xdr:rowOff>180975</xdr:rowOff>
        </xdr:to>
        <xdr:sp macro="" textlink="">
          <xdr:nvSpPr>
            <xdr:cNvPr id="246669" name="Check Box 909" hidden="1">
              <a:extLst>
                <a:ext uri="{63B3BB69-23CF-44E3-9099-C40C66FF867C}">
                  <a14:compatExt spid="_x0000_s246669"/>
                </a:ext>
                <a:ext uri="{FF2B5EF4-FFF2-40B4-BE49-F238E27FC236}">
                  <a16:creationId xmlns:a16="http://schemas.microsoft.com/office/drawing/2014/main" id="{00000000-0008-0000-0100-00008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31</xdr:row>
          <xdr:rowOff>19050</xdr:rowOff>
        </xdr:from>
        <xdr:to>
          <xdr:col>15</xdr:col>
          <xdr:colOff>266700</xdr:colOff>
          <xdr:row>31</xdr:row>
          <xdr:rowOff>180975</xdr:rowOff>
        </xdr:to>
        <xdr:sp macro="" textlink="">
          <xdr:nvSpPr>
            <xdr:cNvPr id="246670" name="Check Box 910" hidden="1">
              <a:extLst>
                <a:ext uri="{63B3BB69-23CF-44E3-9099-C40C66FF867C}">
                  <a14:compatExt spid="_x0000_s246670"/>
                </a:ext>
                <a:ext uri="{FF2B5EF4-FFF2-40B4-BE49-F238E27FC236}">
                  <a16:creationId xmlns:a16="http://schemas.microsoft.com/office/drawing/2014/main" id="{00000000-0008-0000-0100-00008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32</xdr:row>
          <xdr:rowOff>19050</xdr:rowOff>
        </xdr:from>
        <xdr:to>
          <xdr:col>15</xdr:col>
          <xdr:colOff>266700</xdr:colOff>
          <xdr:row>32</xdr:row>
          <xdr:rowOff>180975</xdr:rowOff>
        </xdr:to>
        <xdr:sp macro="" textlink="">
          <xdr:nvSpPr>
            <xdr:cNvPr id="246671" name="Check Box 911" hidden="1">
              <a:extLst>
                <a:ext uri="{63B3BB69-23CF-44E3-9099-C40C66FF867C}">
                  <a14:compatExt spid="_x0000_s246671"/>
                </a:ext>
                <a:ext uri="{FF2B5EF4-FFF2-40B4-BE49-F238E27FC236}">
                  <a16:creationId xmlns:a16="http://schemas.microsoft.com/office/drawing/2014/main" id="{00000000-0008-0000-0100-00008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33</xdr:row>
          <xdr:rowOff>19050</xdr:rowOff>
        </xdr:from>
        <xdr:to>
          <xdr:col>15</xdr:col>
          <xdr:colOff>266700</xdr:colOff>
          <xdr:row>33</xdr:row>
          <xdr:rowOff>180975</xdr:rowOff>
        </xdr:to>
        <xdr:sp macro="" textlink="">
          <xdr:nvSpPr>
            <xdr:cNvPr id="246672" name="Check Box 912" hidden="1">
              <a:extLst>
                <a:ext uri="{63B3BB69-23CF-44E3-9099-C40C66FF867C}">
                  <a14:compatExt spid="_x0000_s246672"/>
                </a:ext>
                <a:ext uri="{FF2B5EF4-FFF2-40B4-BE49-F238E27FC236}">
                  <a16:creationId xmlns:a16="http://schemas.microsoft.com/office/drawing/2014/main" id="{00000000-0008-0000-0100-00009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34</xdr:row>
          <xdr:rowOff>19050</xdr:rowOff>
        </xdr:from>
        <xdr:to>
          <xdr:col>15</xdr:col>
          <xdr:colOff>266700</xdr:colOff>
          <xdr:row>34</xdr:row>
          <xdr:rowOff>180975</xdr:rowOff>
        </xdr:to>
        <xdr:sp macro="" textlink="">
          <xdr:nvSpPr>
            <xdr:cNvPr id="246673" name="Check Box 913" hidden="1">
              <a:extLst>
                <a:ext uri="{63B3BB69-23CF-44E3-9099-C40C66FF867C}">
                  <a14:compatExt spid="_x0000_s246673"/>
                </a:ext>
                <a:ext uri="{FF2B5EF4-FFF2-40B4-BE49-F238E27FC236}">
                  <a16:creationId xmlns:a16="http://schemas.microsoft.com/office/drawing/2014/main" id="{00000000-0008-0000-0100-00009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35</xdr:row>
          <xdr:rowOff>19050</xdr:rowOff>
        </xdr:from>
        <xdr:to>
          <xdr:col>15</xdr:col>
          <xdr:colOff>266700</xdr:colOff>
          <xdr:row>35</xdr:row>
          <xdr:rowOff>180975</xdr:rowOff>
        </xdr:to>
        <xdr:sp macro="" textlink="">
          <xdr:nvSpPr>
            <xdr:cNvPr id="246674" name="Check Box 914" hidden="1">
              <a:extLst>
                <a:ext uri="{63B3BB69-23CF-44E3-9099-C40C66FF867C}">
                  <a14:compatExt spid="_x0000_s246674"/>
                </a:ext>
                <a:ext uri="{FF2B5EF4-FFF2-40B4-BE49-F238E27FC236}">
                  <a16:creationId xmlns:a16="http://schemas.microsoft.com/office/drawing/2014/main" id="{00000000-0008-0000-0100-00009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16</xdr:row>
          <xdr:rowOff>28575</xdr:rowOff>
        </xdr:from>
        <xdr:to>
          <xdr:col>15</xdr:col>
          <xdr:colOff>266700</xdr:colOff>
          <xdr:row>17</xdr:row>
          <xdr:rowOff>0</xdr:rowOff>
        </xdr:to>
        <xdr:sp macro="" textlink="">
          <xdr:nvSpPr>
            <xdr:cNvPr id="246700" name="Check Box 940" hidden="1">
              <a:extLst>
                <a:ext uri="{63B3BB69-23CF-44E3-9099-C40C66FF867C}">
                  <a14:compatExt spid="_x0000_s246700"/>
                </a:ext>
                <a:ext uri="{FF2B5EF4-FFF2-40B4-BE49-F238E27FC236}">
                  <a16:creationId xmlns:a16="http://schemas.microsoft.com/office/drawing/2014/main" id="{00000000-0008-0000-0100-0000A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43</xdr:row>
          <xdr:rowOff>19050</xdr:rowOff>
        </xdr:from>
        <xdr:to>
          <xdr:col>15</xdr:col>
          <xdr:colOff>266700</xdr:colOff>
          <xdr:row>43</xdr:row>
          <xdr:rowOff>180975</xdr:rowOff>
        </xdr:to>
        <xdr:sp macro="" textlink="">
          <xdr:nvSpPr>
            <xdr:cNvPr id="246701" name="Check Box 941" hidden="1">
              <a:extLst>
                <a:ext uri="{63B3BB69-23CF-44E3-9099-C40C66FF867C}">
                  <a14:compatExt spid="_x0000_s246701"/>
                </a:ext>
                <a:ext uri="{FF2B5EF4-FFF2-40B4-BE49-F238E27FC236}">
                  <a16:creationId xmlns:a16="http://schemas.microsoft.com/office/drawing/2014/main" id="{00000000-0008-0000-0100-0000A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44</xdr:row>
          <xdr:rowOff>19050</xdr:rowOff>
        </xdr:from>
        <xdr:to>
          <xdr:col>15</xdr:col>
          <xdr:colOff>266700</xdr:colOff>
          <xdr:row>44</xdr:row>
          <xdr:rowOff>180975</xdr:rowOff>
        </xdr:to>
        <xdr:sp macro="" textlink="">
          <xdr:nvSpPr>
            <xdr:cNvPr id="246702" name="Check Box 942" hidden="1">
              <a:extLst>
                <a:ext uri="{63B3BB69-23CF-44E3-9099-C40C66FF867C}">
                  <a14:compatExt spid="_x0000_s246702"/>
                </a:ext>
                <a:ext uri="{FF2B5EF4-FFF2-40B4-BE49-F238E27FC236}">
                  <a16:creationId xmlns:a16="http://schemas.microsoft.com/office/drawing/2014/main" id="{00000000-0008-0000-0100-0000A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45</xdr:row>
          <xdr:rowOff>19050</xdr:rowOff>
        </xdr:from>
        <xdr:to>
          <xdr:col>15</xdr:col>
          <xdr:colOff>266700</xdr:colOff>
          <xdr:row>45</xdr:row>
          <xdr:rowOff>180975</xdr:rowOff>
        </xdr:to>
        <xdr:sp macro="" textlink="">
          <xdr:nvSpPr>
            <xdr:cNvPr id="246703" name="Check Box 943" hidden="1">
              <a:extLst>
                <a:ext uri="{63B3BB69-23CF-44E3-9099-C40C66FF867C}">
                  <a14:compatExt spid="_x0000_s246703"/>
                </a:ext>
                <a:ext uri="{FF2B5EF4-FFF2-40B4-BE49-F238E27FC236}">
                  <a16:creationId xmlns:a16="http://schemas.microsoft.com/office/drawing/2014/main" id="{00000000-0008-0000-0100-0000A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46</xdr:row>
          <xdr:rowOff>19050</xdr:rowOff>
        </xdr:from>
        <xdr:to>
          <xdr:col>15</xdr:col>
          <xdr:colOff>266700</xdr:colOff>
          <xdr:row>46</xdr:row>
          <xdr:rowOff>180975</xdr:rowOff>
        </xdr:to>
        <xdr:sp macro="" textlink="">
          <xdr:nvSpPr>
            <xdr:cNvPr id="246704" name="Check Box 944" hidden="1">
              <a:extLst>
                <a:ext uri="{63B3BB69-23CF-44E3-9099-C40C66FF867C}">
                  <a14:compatExt spid="_x0000_s246704"/>
                </a:ext>
                <a:ext uri="{FF2B5EF4-FFF2-40B4-BE49-F238E27FC236}">
                  <a16:creationId xmlns:a16="http://schemas.microsoft.com/office/drawing/2014/main" id="{00000000-0008-0000-0100-0000B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19050</xdr:rowOff>
        </xdr:from>
        <xdr:to>
          <xdr:col>15</xdr:col>
          <xdr:colOff>266700</xdr:colOff>
          <xdr:row>47</xdr:row>
          <xdr:rowOff>180975</xdr:rowOff>
        </xdr:to>
        <xdr:sp macro="" textlink="">
          <xdr:nvSpPr>
            <xdr:cNvPr id="246705" name="Check Box 945" hidden="1">
              <a:extLst>
                <a:ext uri="{63B3BB69-23CF-44E3-9099-C40C66FF867C}">
                  <a14:compatExt spid="_x0000_s246705"/>
                </a:ext>
                <a:ext uri="{FF2B5EF4-FFF2-40B4-BE49-F238E27FC236}">
                  <a16:creationId xmlns:a16="http://schemas.microsoft.com/office/drawing/2014/main" id="{00000000-0008-0000-0100-0000B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19050</xdr:rowOff>
        </xdr:from>
        <xdr:to>
          <xdr:col>15</xdr:col>
          <xdr:colOff>266700</xdr:colOff>
          <xdr:row>47</xdr:row>
          <xdr:rowOff>180975</xdr:rowOff>
        </xdr:to>
        <xdr:sp macro="" textlink="">
          <xdr:nvSpPr>
            <xdr:cNvPr id="246706" name="Check Box 946" hidden="1">
              <a:extLst>
                <a:ext uri="{63B3BB69-23CF-44E3-9099-C40C66FF867C}">
                  <a14:compatExt spid="_x0000_s246706"/>
                </a:ext>
                <a:ext uri="{FF2B5EF4-FFF2-40B4-BE49-F238E27FC236}">
                  <a16:creationId xmlns:a16="http://schemas.microsoft.com/office/drawing/2014/main" id="{00000000-0008-0000-0100-0000B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48</xdr:row>
          <xdr:rowOff>19050</xdr:rowOff>
        </xdr:from>
        <xdr:to>
          <xdr:col>15</xdr:col>
          <xdr:colOff>266700</xdr:colOff>
          <xdr:row>48</xdr:row>
          <xdr:rowOff>180975</xdr:rowOff>
        </xdr:to>
        <xdr:sp macro="" textlink="">
          <xdr:nvSpPr>
            <xdr:cNvPr id="246707" name="Check Box 947" hidden="1">
              <a:extLst>
                <a:ext uri="{63B3BB69-23CF-44E3-9099-C40C66FF867C}">
                  <a14:compatExt spid="_x0000_s246707"/>
                </a:ext>
                <a:ext uri="{FF2B5EF4-FFF2-40B4-BE49-F238E27FC236}">
                  <a16:creationId xmlns:a16="http://schemas.microsoft.com/office/drawing/2014/main" id="{00000000-0008-0000-0100-0000B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49</xdr:row>
          <xdr:rowOff>19050</xdr:rowOff>
        </xdr:from>
        <xdr:to>
          <xdr:col>15</xdr:col>
          <xdr:colOff>266700</xdr:colOff>
          <xdr:row>49</xdr:row>
          <xdr:rowOff>180975</xdr:rowOff>
        </xdr:to>
        <xdr:sp macro="" textlink="">
          <xdr:nvSpPr>
            <xdr:cNvPr id="246708" name="Check Box 948" hidden="1">
              <a:extLst>
                <a:ext uri="{63B3BB69-23CF-44E3-9099-C40C66FF867C}">
                  <a14:compatExt spid="_x0000_s246708"/>
                </a:ext>
                <a:ext uri="{FF2B5EF4-FFF2-40B4-BE49-F238E27FC236}">
                  <a16:creationId xmlns:a16="http://schemas.microsoft.com/office/drawing/2014/main" id="{00000000-0008-0000-0100-0000B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50</xdr:row>
          <xdr:rowOff>19050</xdr:rowOff>
        </xdr:from>
        <xdr:to>
          <xdr:col>15</xdr:col>
          <xdr:colOff>266700</xdr:colOff>
          <xdr:row>50</xdr:row>
          <xdr:rowOff>180975</xdr:rowOff>
        </xdr:to>
        <xdr:sp macro="" textlink="">
          <xdr:nvSpPr>
            <xdr:cNvPr id="246709" name="Check Box 949" hidden="1">
              <a:extLst>
                <a:ext uri="{63B3BB69-23CF-44E3-9099-C40C66FF867C}">
                  <a14:compatExt spid="_x0000_s246709"/>
                </a:ext>
                <a:ext uri="{FF2B5EF4-FFF2-40B4-BE49-F238E27FC236}">
                  <a16:creationId xmlns:a16="http://schemas.microsoft.com/office/drawing/2014/main" id="{00000000-0008-0000-0100-0000B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51</xdr:row>
          <xdr:rowOff>19050</xdr:rowOff>
        </xdr:from>
        <xdr:to>
          <xdr:col>15</xdr:col>
          <xdr:colOff>266700</xdr:colOff>
          <xdr:row>51</xdr:row>
          <xdr:rowOff>180975</xdr:rowOff>
        </xdr:to>
        <xdr:sp macro="" textlink="">
          <xdr:nvSpPr>
            <xdr:cNvPr id="246710" name="Check Box 950" hidden="1">
              <a:extLst>
                <a:ext uri="{63B3BB69-23CF-44E3-9099-C40C66FF867C}">
                  <a14:compatExt spid="_x0000_s246710"/>
                </a:ext>
                <a:ext uri="{FF2B5EF4-FFF2-40B4-BE49-F238E27FC236}">
                  <a16:creationId xmlns:a16="http://schemas.microsoft.com/office/drawing/2014/main" id="{00000000-0008-0000-0100-0000B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52</xdr:row>
          <xdr:rowOff>19050</xdr:rowOff>
        </xdr:from>
        <xdr:to>
          <xdr:col>15</xdr:col>
          <xdr:colOff>266700</xdr:colOff>
          <xdr:row>52</xdr:row>
          <xdr:rowOff>180975</xdr:rowOff>
        </xdr:to>
        <xdr:sp macro="" textlink="">
          <xdr:nvSpPr>
            <xdr:cNvPr id="246711" name="Check Box 951" hidden="1">
              <a:extLst>
                <a:ext uri="{63B3BB69-23CF-44E3-9099-C40C66FF867C}">
                  <a14:compatExt spid="_x0000_s246711"/>
                </a:ext>
                <a:ext uri="{FF2B5EF4-FFF2-40B4-BE49-F238E27FC236}">
                  <a16:creationId xmlns:a16="http://schemas.microsoft.com/office/drawing/2014/main" id="{00000000-0008-0000-0100-0000B7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53</xdr:row>
          <xdr:rowOff>19050</xdr:rowOff>
        </xdr:from>
        <xdr:to>
          <xdr:col>15</xdr:col>
          <xdr:colOff>266700</xdr:colOff>
          <xdr:row>53</xdr:row>
          <xdr:rowOff>180975</xdr:rowOff>
        </xdr:to>
        <xdr:sp macro="" textlink="">
          <xdr:nvSpPr>
            <xdr:cNvPr id="246712" name="Check Box 952" hidden="1">
              <a:extLst>
                <a:ext uri="{63B3BB69-23CF-44E3-9099-C40C66FF867C}">
                  <a14:compatExt spid="_x0000_s246712"/>
                </a:ext>
                <a:ext uri="{FF2B5EF4-FFF2-40B4-BE49-F238E27FC236}">
                  <a16:creationId xmlns:a16="http://schemas.microsoft.com/office/drawing/2014/main" id="{00000000-0008-0000-0100-0000B8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54</xdr:row>
          <xdr:rowOff>19050</xdr:rowOff>
        </xdr:from>
        <xdr:to>
          <xdr:col>15</xdr:col>
          <xdr:colOff>266700</xdr:colOff>
          <xdr:row>54</xdr:row>
          <xdr:rowOff>180975</xdr:rowOff>
        </xdr:to>
        <xdr:sp macro="" textlink="">
          <xdr:nvSpPr>
            <xdr:cNvPr id="246713" name="Check Box 953" hidden="1">
              <a:extLst>
                <a:ext uri="{63B3BB69-23CF-44E3-9099-C40C66FF867C}">
                  <a14:compatExt spid="_x0000_s246713"/>
                </a:ext>
                <a:ext uri="{FF2B5EF4-FFF2-40B4-BE49-F238E27FC236}">
                  <a16:creationId xmlns:a16="http://schemas.microsoft.com/office/drawing/2014/main" id="{00000000-0008-0000-0100-0000B9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xdr:row>
          <xdr:rowOff>19050</xdr:rowOff>
        </xdr:from>
        <xdr:to>
          <xdr:col>15</xdr:col>
          <xdr:colOff>266700</xdr:colOff>
          <xdr:row>55</xdr:row>
          <xdr:rowOff>180975</xdr:rowOff>
        </xdr:to>
        <xdr:sp macro="" textlink="">
          <xdr:nvSpPr>
            <xdr:cNvPr id="246714" name="Check Box 954" hidden="1">
              <a:extLst>
                <a:ext uri="{63B3BB69-23CF-44E3-9099-C40C66FF867C}">
                  <a14:compatExt spid="_x0000_s246714"/>
                </a:ext>
                <a:ext uri="{FF2B5EF4-FFF2-40B4-BE49-F238E27FC236}">
                  <a16:creationId xmlns:a16="http://schemas.microsoft.com/office/drawing/2014/main" id="{00000000-0008-0000-0100-0000BA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56</xdr:row>
          <xdr:rowOff>19050</xdr:rowOff>
        </xdr:from>
        <xdr:to>
          <xdr:col>15</xdr:col>
          <xdr:colOff>266700</xdr:colOff>
          <xdr:row>56</xdr:row>
          <xdr:rowOff>180975</xdr:rowOff>
        </xdr:to>
        <xdr:sp macro="" textlink="">
          <xdr:nvSpPr>
            <xdr:cNvPr id="246715" name="Check Box 955" hidden="1">
              <a:extLst>
                <a:ext uri="{63B3BB69-23CF-44E3-9099-C40C66FF867C}">
                  <a14:compatExt spid="_x0000_s246715"/>
                </a:ext>
                <a:ext uri="{FF2B5EF4-FFF2-40B4-BE49-F238E27FC236}">
                  <a16:creationId xmlns:a16="http://schemas.microsoft.com/office/drawing/2014/main" id="{00000000-0008-0000-0100-0000BB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57</xdr:row>
          <xdr:rowOff>19050</xdr:rowOff>
        </xdr:from>
        <xdr:to>
          <xdr:col>15</xdr:col>
          <xdr:colOff>266700</xdr:colOff>
          <xdr:row>57</xdr:row>
          <xdr:rowOff>180975</xdr:rowOff>
        </xdr:to>
        <xdr:sp macro="" textlink="">
          <xdr:nvSpPr>
            <xdr:cNvPr id="246716" name="Check Box 956" hidden="1">
              <a:extLst>
                <a:ext uri="{63B3BB69-23CF-44E3-9099-C40C66FF867C}">
                  <a14:compatExt spid="_x0000_s246716"/>
                </a:ext>
                <a:ext uri="{FF2B5EF4-FFF2-40B4-BE49-F238E27FC236}">
                  <a16:creationId xmlns:a16="http://schemas.microsoft.com/office/drawing/2014/main" id="{00000000-0008-0000-0100-0000B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58</xdr:row>
          <xdr:rowOff>19050</xdr:rowOff>
        </xdr:from>
        <xdr:to>
          <xdr:col>15</xdr:col>
          <xdr:colOff>266700</xdr:colOff>
          <xdr:row>58</xdr:row>
          <xdr:rowOff>180975</xdr:rowOff>
        </xdr:to>
        <xdr:sp macro="" textlink="">
          <xdr:nvSpPr>
            <xdr:cNvPr id="246717" name="Check Box 957" hidden="1">
              <a:extLst>
                <a:ext uri="{63B3BB69-23CF-44E3-9099-C40C66FF867C}">
                  <a14:compatExt spid="_x0000_s246717"/>
                </a:ext>
                <a:ext uri="{FF2B5EF4-FFF2-40B4-BE49-F238E27FC236}">
                  <a16:creationId xmlns:a16="http://schemas.microsoft.com/office/drawing/2014/main" id="{00000000-0008-0000-0100-0000B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59</xdr:row>
          <xdr:rowOff>19050</xdr:rowOff>
        </xdr:from>
        <xdr:to>
          <xdr:col>15</xdr:col>
          <xdr:colOff>266700</xdr:colOff>
          <xdr:row>59</xdr:row>
          <xdr:rowOff>180975</xdr:rowOff>
        </xdr:to>
        <xdr:sp macro="" textlink="">
          <xdr:nvSpPr>
            <xdr:cNvPr id="246718" name="Check Box 958" hidden="1">
              <a:extLst>
                <a:ext uri="{63B3BB69-23CF-44E3-9099-C40C66FF867C}">
                  <a14:compatExt spid="_x0000_s246718"/>
                </a:ext>
                <a:ext uri="{FF2B5EF4-FFF2-40B4-BE49-F238E27FC236}">
                  <a16:creationId xmlns:a16="http://schemas.microsoft.com/office/drawing/2014/main" id="{00000000-0008-0000-0100-0000B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60</xdr:row>
          <xdr:rowOff>19050</xdr:rowOff>
        </xdr:from>
        <xdr:to>
          <xdr:col>15</xdr:col>
          <xdr:colOff>266700</xdr:colOff>
          <xdr:row>60</xdr:row>
          <xdr:rowOff>180975</xdr:rowOff>
        </xdr:to>
        <xdr:sp macro="" textlink="">
          <xdr:nvSpPr>
            <xdr:cNvPr id="246719" name="Check Box 959" hidden="1">
              <a:extLst>
                <a:ext uri="{63B3BB69-23CF-44E3-9099-C40C66FF867C}">
                  <a14:compatExt spid="_x0000_s246719"/>
                </a:ext>
                <a:ext uri="{FF2B5EF4-FFF2-40B4-BE49-F238E27FC236}">
                  <a16:creationId xmlns:a16="http://schemas.microsoft.com/office/drawing/2014/main" id="{00000000-0008-0000-0100-0000B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61</xdr:row>
          <xdr:rowOff>19050</xdr:rowOff>
        </xdr:from>
        <xdr:to>
          <xdr:col>15</xdr:col>
          <xdr:colOff>266700</xdr:colOff>
          <xdr:row>61</xdr:row>
          <xdr:rowOff>180975</xdr:rowOff>
        </xdr:to>
        <xdr:sp macro="" textlink="">
          <xdr:nvSpPr>
            <xdr:cNvPr id="246720" name="Check Box 960" hidden="1">
              <a:extLst>
                <a:ext uri="{63B3BB69-23CF-44E3-9099-C40C66FF867C}">
                  <a14:compatExt spid="_x0000_s246720"/>
                </a:ext>
                <a:ext uri="{FF2B5EF4-FFF2-40B4-BE49-F238E27FC236}">
                  <a16:creationId xmlns:a16="http://schemas.microsoft.com/office/drawing/2014/main" id="{00000000-0008-0000-0100-0000C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62</xdr:row>
          <xdr:rowOff>19050</xdr:rowOff>
        </xdr:from>
        <xdr:to>
          <xdr:col>15</xdr:col>
          <xdr:colOff>266700</xdr:colOff>
          <xdr:row>62</xdr:row>
          <xdr:rowOff>180975</xdr:rowOff>
        </xdr:to>
        <xdr:sp macro="" textlink="">
          <xdr:nvSpPr>
            <xdr:cNvPr id="246721" name="Check Box 961" hidden="1">
              <a:extLst>
                <a:ext uri="{63B3BB69-23CF-44E3-9099-C40C66FF867C}">
                  <a14:compatExt spid="_x0000_s246721"/>
                </a:ext>
                <a:ext uri="{FF2B5EF4-FFF2-40B4-BE49-F238E27FC236}">
                  <a16:creationId xmlns:a16="http://schemas.microsoft.com/office/drawing/2014/main" id="{00000000-0008-0000-0100-0000C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63</xdr:row>
          <xdr:rowOff>19050</xdr:rowOff>
        </xdr:from>
        <xdr:to>
          <xdr:col>15</xdr:col>
          <xdr:colOff>266700</xdr:colOff>
          <xdr:row>63</xdr:row>
          <xdr:rowOff>180975</xdr:rowOff>
        </xdr:to>
        <xdr:sp macro="" textlink="">
          <xdr:nvSpPr>
            <xdr:cNvPr id="246722" name="Check Box 962" hidden="1">
              <a:extLst>
                <a:ext uri="{63B3BB69-23CF-44E3-9099-C40C66FF867C}">
                  <a14:compatExt spid="_x0000_s246722"/>
                </a:ext>
                <a:ext uri="{FF2B5EF4-FFF2-40B4-BE49-F238E27FC236}">
                  <a16:creationId xmlns:a16="http://schemas.microsoft.com/office/drawing/2014/main" id="{00000000-0008-0000-0100-0000C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64</xdr:row>
          <xdr:rowOff>19050</xdr:rowOff>
        </xdr:from>
        <xdr:to>
          <xdr:col>15</xdr:col>
          <xdr:colOff>266700</xdr:colOff>
          <xdr:row>64</xdr:row>
          <xdr:rowOff>180975</xdr:rowOff>
        </xdr:to>
        <xdr:sp macro="" textlink="">
          <xdr:nvSpPr>
            <xdr:cNvPr id="246723" name="Check Box 963" hidden="1">
              <a:extLst>
                <a:ext uri="{63B3BB69-23CF-44E3-9099-C40C66FF867C}">
                  <a14:compatExt spid="_x0000_s246723"/>
                </a:ext>
                <a:ext uri="{FF2B5EF4-FFF2-40B4-BE49-F238E27FC236}">
                  <a16:creationId xmlns:a16="http://schemas.microsoft.com/office/drawing/2014/main" id="{00000000-0008-0000-0100-0000C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65</xdr:row>
          <xdr:rowOff>19050</xdr:rowOff>
        </xdr:from>
        <xdr:to>
          <xdr:col>15</xdr:col>
          <xdr:colOff>266700</xdr:colOff>
          <xdr:row>65</xdr:row>
          <xdr:rowOff>180975</xdr:rowOff>
        </xdr:to>
        <xdr:sp macro="" textlink="">
          <xdr:nvSpPr>
            <xdr:cNvPr id="246724" name="Check Box 964" hidden="1">
              <a:extLst>
                <a:ext uri="{63B3BB69-23CF-44E3-9099-C40C66FF867C}">
                  <a14:compatExt spid="_x0000_s246724"/>
                </a:ext>
                <a:ext uri="{FF2B5EF4-FFF2-40B4-BE49-F238E27FC236}">
                  <a16:creationId xmlns:a16="http://schemas.microsoft.com/office/drawing/2014/main" id="{00000000-0008-0000-0100-0000C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66</xdr:row>
          <xdr:rowOff>19050</xdr:rowOff>
        </xdr:from>
        <xdr:to>
          <xdr:col>15</xdr:col>
          <xdr:colOff>266700</xdr:colOff>
          <xdr:row>66</xdr:row>
          <xdr:rowOff>180975</xdr:rowOff>
        </xdr:to>
        <xdr:sp macro="" textlink="">
          <xdr:nvSpPr>
            <xdr:cNvPr id="246725" name="Check Box 965" hidden="1">
              <a:extLst>
                <a:ext uri="{63B3BB69-23CF-44E3-9099-C40C66FF867C}">
                  <a14:compatExt spid="_x0000_s246725"/>
                </a:ext>
                <a:ext uri="{FF2B5EF4-FFF2-40B4-BE49-F238E27FC236}">
                  <a16:creationId xmlns:a16="http://schemas.microsoft.com/office/drawing/2014/main" id="{00000000-0008-0000-0100-0000C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67</xdr:row>
          <xdr:rowOff>19050</xdr:rowOff>
        </xdr:from>
        <xdr:to>
          <xdr:col>15</xdr:col>
          <xdr:colOff>266700</xdr:colOff>
          <xdr:row>67</xdr:row>
          <xdr:rowOff>180975</xdr:rowOff>
        </xdr:to>
        <xdr:sp macro="" textlink="">
          <xdr:nvSpPr>
            <xdr:cNvPr id="246726" name="Check Box 966" hidden="1">
              <a:extLst>
                <a:ext uri="{63B3BB69-23CF-44E3-9099-C40C66FF867C}">
                  <a14:compatExt spid="_x0000_s246726"/>
                </a:ext>
                <a:ext uri="{FF2B5EF4-FFF2-40B4-BE49-F238E27FC236}">
                  <a16:creationId xmlns:a16="http://schemas.microsoft.com/office/drawing/2014/main" id="{00000000-0008-0000-0100-0000C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60</xdr:col>
      <xdr:colOff>206374</xdr:colOff>
      <xdr:row>53</xdr:row>
      <xdr:rowOff>95250</xdr:rowOff>
    </xdr:from>
    <xdr:to>
      <xdr:col>66</xdr:col>
      <xdr:colOff>692491</xdr:colOff>
      <xdr:row>68</xdr:row>
      <xdr:rowOff>82265</xdr:rowOff>
    </xdr:to>
    <xdr:graphicFrame macro="">
      <xdr:nvGraphicFramePr>
        <xdr:cNvPr id="119" name="Diagramm 118">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31</xdr:row>
          <xdr:rowOff>0</xdr:rowOff>
        </xdr:from>
        <xdr:to>
          <xdr:col>5</xdr:col>
          <xdr:colOff>0</xdr:colOff>
          <xdr:row>32</xdr:row>
          <xdr:rowOff>9525</xdr:rowOff>
        </xdr:to>
        <xdr:sp macro="" textlink="">
          <xdr:nvSpPr>
            <xdr:cNvPr id="246257" name="Drop Down 497" hidden="1">
              <a:extLst>
                <a:ext uri="{63B3BB69-23CF-44E3-9099-C40C66FF867C}">
                  <a14:compatExt spid="_x0000_s246257"/>
                </a:ext>
                <a:ext uri="{FF2B5EF4-FFF2-40B4-BE49-F238E27FC236}">
                  <a16:creationId xmlns:a16="http://schemas.microsoft.com/office/drawing/2014/main" id="{00000000-0008-0000-0100-0000F1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5</xdr:col>
          <xdr:colOff>0</xdr:colOff>
          <xdr:row>33</xdr:row>
          <xdr:rowOff>9525</xdr:rowOff>
        </xdr:to>
        <xdr:sp macro="" textlink="">
          <xdr:nvSpPr>
            <xdr:cNvPr id="246258" name="Drop Down 498" hidden="1">
              <a:extLst>
                <a:ext uri="{63B3BB69-23CF-44E3-9099-C40C66FF867C}">
                  <a14:compatExt spid="_x0000_s246258"/>
                </a:ext>
                <a:ext uri="{FF2B5EF4-FFF2-40B4-BE49-F238E27FC236}">
                  <a16:creationId xmlns:a16="http://schemas.microsoft.com/office/drawing/2014/main" id="{00000000-0008-0000-0100-0000F2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0</xdr:rowOff>
        </xdr:from>
        <xdr:to>
          <xdr:col>5</xdr:col>
          <xdr:colOff>0</xdr:colOff>
          <xdr:row>34</xdr:row>
          <xdr:rowOff>9525</xdr:rowOff>
        </xdr:to>
        <xdr:sp macro="" textlink="">
          <xdr:nvSpPr>
            <xdr:cNvPr id="246259" name="Drop Down 499" hidden="1">
              <a:extLst>
                <a:ext uri="{63B3BB69-23CF-44E3-9099-C40C66FF867C}">
                  <a14:compatExt spid="_x0000_s246259"/>
                </a:ext>
                <a:ext uri="{FF2B5EF4-FFF2-40B4-BE49-F238E27FC236}">
                  <a16:creationId xmlns:a16="http://schemas.microsoft.com/office/drawing/2014/main" id="{00000000-0008-0000-0100-0000F3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0</xdr:rowOff>
        </xdr:from>
        <xdr:to>
          <xdr:col>5</xdr:col>
          <xdr:colOff>0</xdr:colOff>
          <xdr:row>35</xdr:row>
          <xdr:rowOff>9525</xdr:rowOff>
        </xdr:to>
        <xdr:sp macro="" textlink="">
          <xdr:nvSpPr>
            <xdr:cNvPr id="246260" name="Drop Down 500" hidden="1">
              <a:extLst>
                <a:ext uri="{63B3BB69-23CF-44E3-9099-C40C66FF867C}">
                  <a14:compatExt spid="_x0000_s246260"/>
                </a:ext>
                <a:ext uri="{FF2B5EF4-FFF2-40B4-BE49-F238E27FC236}">
                  <a16:creationId xmlns:a16="http://schemas.microsoft.com/office/drawing/2014/main" id="{00000000-0008-0000-0100-0000F4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190500</xdr:rowOff>
        </xdr:from>
        <xdr:to>
          <xdr:col>5</xdr:col>
          <xdr:colOff>0</xdr:colOff>
          <xdr:row>36</xdr:row>
          <xdr:rowOff>9525</xdr:rowOff>
        </xdr:to>
        <xdr:sp macro="" textlink="">
          <xdr:nvSpPr>
            <xdr:cNvPr id="246272" name="Drop Down 512" hidden="1">
              <a:extLst>
                <a:ext uri="{63B3BB69-23CF-44E3-9099-C40C66FF867C}">
                  <a14:compatExt spid="_x0000_s246272"/>
                </a:ext>
                <a:ext uri="{FF2B5EF4-FFF2-40B4-BE49-F238E27FC236}">
                  <a16:creationId xmlns:a16="http://schemas.microsoft.com/office/drawing/2014/main" id="{00000000-0008-0000-0100-000000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xdr:row>
          <xdr:rowOff>190500</xdr:rowOff>
        </xdr:from>
        <xdr:to>
          <xdr:col>5</xdr:col>
          <xdr:colOff>0</xdr:colOff>
          <xdr:row>61</xdr:row>
          <xdr:rowOff>9525</xdr:rowOff>
        </xdr:to>
        <xdr:sp macro="" textlink="">
          <xdr:nvSpPr>
            <xdr:cNvPr id="245995" name="Drop Down 235" hidden="1">
              <a:extLst>
                <a:ext uri="{63B3BB69-23CF-44E3-9099-C40C66FF867C}">
                  <a14:compatExt spid="_x0000_s245995"/>
                </a:ext>
                <a:ext uri="{FF2B5EF4-FFF2-40B4-BE49-F238E27FC236}">
                  <a16:creationId xmlns:a16="http://schemas.microsoft.com/office/drawing/2014/main" id="{00000000-0008-0000-0100-0000EB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xdr:row>
          <xdr:rowOff>0</xdr:rowOff>
        </xdr:from>
        <xdr:to>
          <xdr:col>5</xdr:col>
          <xdr:colOff>0</xdr:colOff>
          <xdr:row>62</xdr:row>
          <xdr:rowOff>9525</xdr:rowOff>
        </xdr:to>
        <xdr:sp macro="" textlink="">
          <xdr:nvSpPr>
            <xdr:cNvPr id="246480" name="Drop Down 720" hidden="1">
              <a:extLst>
                <a:ext uri="{63B3BB69-23CF-44E3-9099-C40C66FF867C}">
                  <a14:compatExt spid="_x0000_s246480"/>
                </a:ext>
                <a:ext uri="{FF2B5EF4-FFF2-40B4-BE49-F238E27FC236}">
                  <a16:creationId xmlns:a16="http://schemas.microsoft.com/office/drawing/2014/main" id="{00000000-0008-0000-0100-0000D0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xdr:row>
          <xdr:rowOff>0</xdr:rowOff>
        </xdr:from>
        <xdr:to>
          <xdr:col>5</xdr:col>
          <xdr:colOff>0</xdr:colOff>
          <xdr:row>63</xdr:row>
          <xdr:rowOff>9525</xdr:rowOff>
        </xdr:to>
        <xdr:sp macro="" textlink="">
          <xdr:nvSpPr>
            <xdr:cNvPr id="246293" name="Drop Down 533" hidden="1">
              <a:extLst>
                <a:ext uri="{63B3BB69-23CF-44E3-9099-C40C66FF867C}">
                  <a14:compatExt spid="_x0000_s246293"/>
                </a:ext>
                <a:ext uri="{FF2B5EF4-FFF2-40B4-BE49-F238E27FC236}">
                  <a16:creationId xmlns:a16="http://schemas.microsoft.com/office/drawing/2014/main" id="{00000000-0008-0000-0100-000015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xdr:row>
          <xdr:rowOff>0</xdr:rowOff>
        </xdr:from>
        <xdr:to>
          <xdr:col>5</xdr:col>
          <xdr:colOff>0</xdr:colOff>
          <xdr:row>64</xdr:row>
          <xdr:rowOff>9525</xdr:rowOff>
        </xdr:to>
        <xdr:sp macro="" textlink="">
          <xdr:nvSpPr>
            <xdr:cNvPr id="246294" name="Drop Down 534" hidden="1">
              <a:extLst>
                <a:ext uri="{63B3BB69-23CF-44E3-9099-C40C66FF867C}">
                  <a14:compatExt spid="_x0000_s246294"/>
                </a:ext>
                <a:ext uri="{FF2B5EF4-FFF2-40B4-BE49-F238E27FC236}">
                  <a16:creationId xmlns:a16="http://schemas.microsoft.com/office/drawing/2014/main" id="{00000000-0008-0000-0100-000016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0</xdr:rowOff>
        </xdr:from>
        <xdr:to>
          <xdr:col>5</xdr:col>
          <xdr:colOff>0</xdr:colOff>
          <xdr:row>65</xdr:row>
          <xdr:rowOff>9525</xdr:rowOff>
        </xdr:to>
        <xdr:sp macro="" textlink="">
          <xdr:nvSpPr>
            <xdr:cNvPr id="246295" name="Drop Down 535" hidden="1">
              <a:extLst>
                <a:ext uri="{63B3BB69-23CF-44E3-9099-C40C66FF867C}">
                  <a14:compatExt spid="_x0000_s246295"/>
                </a:ext>
                <a:ext uri="{FF2B5EF4-FFF2-40B4-BE49-F238E27FC236}">
                  <a16:creationId xmlns:a16="http://schemas.microsoft.com/office/drawing/2014/main" id="{00000000-0008-0000-0100-00001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0</xdr:rowOff>
        </xdr:from>
        <xdr:to>
          <xdr:col>5</xdr:col>
          <xdr:colOff>0</xdr:colOff>
          <xdr:row>66</xdr:row>
          <xdr:rowOff>9525</xdr:rowOff>
        </xdr:to>
        <xdr:sp macro="" textlink="">
          <xdr:nvSpPr>
            <xdr:cNvPr id="246296" name="Drop Down 536" hidden="1">
              <a:extLst>
                <a:ext uri="{63B3BB69-23CF-44E3-9099-C40C66FF867C}">
                  <a14:compatExt spid="_x0000_s246296"/>
                </a:ext>
                <a:ext uri="{FF2B5EF4-FFF2-40B4-BE49-F238E27FC236}">
                  <a16:creationId xmlns:a16="http://schemas.microsoft.com/office/drawing/2014/main" id="{00000000-0008-0000-0100-00001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200025</xdr:rowOff>
        </xdr:from>
        <xdr:to>
          <xdr:col>5</xdr:col>
          <xdr:colOff>0</xdr:colOff>
          <xdr:row>67</xdr:row>
          <xdr:rowOff>9525</xdr:rowOff>
        </xdr:to>
        <xdr:sp macro="" textlink="">
          <xdr:nvSpPr>
            <xdr:cNvPr id="246308" name="Drop Down 548" hidden="1">
              <a:extLst>
                <a:ext uri="{63B3BB69-23CF-44E3-9099-C40C66FF867C}">
                  <a14:compatExt spid="_x0000_s246308"/>
                </a:ext>
                <a:ext uri="{FF2B5EF4-FFF2-40B4-BE49-F238E27FC236}">
                  <a16:creationId xmlns:a16="http://schemas.microsoft.com/office/drawing/2014/main" id="{00000000-0008-0000-0100-000024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190500</xdr:rowOff>
        </xdr:from>
        <xdr:to>
          <xdr:col>5</xdr:col>
          <xdr:colOff>0</xdr:colOff>
          <xdr:row>68</xdr:row>
          <xdr:rowOff>9525</xdr:rowOff>
        </xdr:to>
        <xdr:sp macro="" textlink="">
          <xdr:nvSpPr>
            <xdr:cNvPr id="246307" name="Drop Down 547" hidden="1">
              <a:extLst>
                <a:ext uri="{63B3BB69-23CF-44E3-9099-C40C66FF867C}">
                  <a14:compatExt spid="_x0000_s246307"/>
                </a:ext>
                <a:ext uri="{FF2B5EF4-FFF2-40B4-BE49-F238E27FC236}">
                  <a16:creationId xmlns:a16="http://schemas.microsoft.com/office/drawing/2014/main" id="{00000000-0008-0000-0100-000023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100</xdr:row>
          <xdr:rowOff>0</xdr:rowOff>
        </xdr:from>
        <xdr:to>
          <xdr:col>5</xdr:col>
          <xdr:colOff>0</xdr:colOff>
          <xdr:row>101</xdr:row>
          <xdr:rowOff>9525</xdr:rowOff>
        </xdr:to>
        <xdr:sp macro="" textlink="">
          <xdr:nvSpPr>
            <xdr:cNvPr id="246378" name="Drop Down 618" hidden="1">
              <a:extLst>
                <a:ext uri="{63B3BB69-23CF-44E3-9099-C40C66FF867C}">
                  <a14:compatExt spid="_x0000_s246378"/>
                </a:ext>
                <a:ext uri="{FF2B5EF4-FFF2-40B4-BE49-F238E27FC236}">
                  <a16:creationId xmlns:a16="http://schemas.microsoft.com/office/drawing/2014/main" id="{00000000-0008-0000-0100-00006A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101</xdr:row>
          <xdr:rowOff>0</xdr:rowOff>
        </xdr:from>
        <xdr:to>
          <xdr:col>5</xdr:col>
          <xdr:colOff>0</xdr:colOff>
          <xdr:row>102</xdr:row>
          <xdr:rowOff>9525</xdr:rowOff>
        </xdr:to>
        <xdr:sp macro="" textlink="">
          <xdr:nvSpPr>
            <xdr:cNvPr id="246375" name="Drop Down 615" hidden="1">
              <a:extLst>
                <a:ext uri="{63B3BB69-23CF-44E3-9099-C40C66FF867C}">
                  <a14:compatExt spid="_x0000_s246375"/>
                </a:ext>
                <a:ext uri="{FF2B5EF4-FFF2-40B4-BE49-F238E27FC236}">
                  <a16:creationId xmlns:a16="http://schemas.microsoft.com/office/drawing/2014/main" id="{00000000-0008-0000-0100-00006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101</xdr:row>
          <xdr:rowOff>190500</xdr:rowOff>
        </xdr:from>
        <xdr:to>
          <xdr:col>5</xdr:col>
          <xdr:colOff>0</xdr:colOff>
          <xdr:row>103</xdr:row>
          <xdr:rowOff>9525</xdr:rowOff>
        </xdr:to>
        <xdr:sp macro="" textlink="">
          <xdr:nvSpPr>
            <xdr:cNvPr id="246376" name="Drop Down 616" hidden="1">
              <a:extLst>
                <a:ext uri="{63B3BB69-23CF-44E3-9099-C40C66FF867C}">
                  <a14:compatExt spid="_x0000_s246376"/>
                </a:ext>
                <a:ext uri="{FF2B5EF4-FFF2-40B4-BE49-F238E27FC236}">
                  <a16:creationId xmlns:a16="http://schemas.microsoft.com/office/drawing/2014/main" id="{00000000-0008-0000-0100-00006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98</xdr:row>
          <xdr:rowOff>190500</xdr:rowOff>
        </xdr:from>
        <xdr:to>
          <xdr:col>10</xdr:col>
          <xdr:colOff>228600</xdr:colOff>
          <xdr:row>100</xdr:row>
          <xdr:rowOff>0</xdr:rowOff>
        </xdr:to>
        <xdr:sp macro="" textlink="">
          <xdr:nvSpPr>
            <xdr:cNvPr id="246521" name="Drop Down 761" hidden="1">
              <a:extLst>
                <a:ext uri="{63B3BB69-23CF-44E3-9099-C40C66FF867C}">
                  <a14:compatExt spid="_x0000_s246521"/>
                </a:ext>
                <a:ext uri="{FF2B5EF4-FFF2-40B4-BE49-F238E27FC236}">
                  <a16:creationId xmlns:a16="http://schemas.microsoft.com/office/drawing/2014/main" id="{00000000-0008-0000-0100-0000F9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99</xdr:row>
          <xdr:rowOff>190500</xdr:rowOff>
        </xdr:from>
        <xdr:to>
          <xdr:col>10</xdr:col>
          <xdr:colOff>228600</xdr:colOff>
          <xdr:row>101</xdr:row>
          <xdr:rowOff>0</xdr:rowOff>
        </xdr:to>
        <xdr:sp macro="" textlink="">
          <xdr:nvSpPr>
            <xdr:cNvPr id="246520" name="Drop Down 760" hidden="1">
              <a:extLst>
                <a:ext uri="{63B3BB69-23CF-44E3-9099-C40C66FF867C}">
                  <a14:compatExt spid="_x0000_s246520"/>
                </a:ext>
                <a:ext uri="{FF2B5EF4-FFF2-40B4-BE49-F238E27FC236}">
                  <a16:creationId xmlns:a16="http://schemas.microsoft.com/office/drawing/2014/main" id="{00000000-0008-0000-0100-0000F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6</xdr:row>
          <xdr:rowOff>19050</xdr:rowOff>
        </xdr:from>
        <xdr:to>
          <xdr:col>0</xdr:col>
          <xdr:colOff>971550</xdr:colOff>
          <xdr:row>6</xdr:row>
          <xdr:rowOff>190500</xdr:rowOff>
        </xdr:to>
        <xdr:sp macro="" textlink="">
          <xdr:nvSpPr>
            <xdr:cNvPr id="14361" name="Drop Down 25" hidden="1">
              <a:extLst>
                <a:ext uri="{63B3BB69-23CF-44E3-9099-C40C66FF867C}">
                  <a14:compatExt spid="_x0000_s14361"/>
                </a:ext>
                <a:ext uri="{FF2B5EF4-FFF2-40B4-BE49-F238E27FC236}">
                  <a16:creationId xmlns:a16="http://schemas.microsoft.com/office/drawing/2014/main" id="{00000000-0008-0000-0200-00001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19050</xdr:rowOff>
        </xdr:from>
        <xdr:to>
          <xdr:col>0</xdr:col>
          <xdr:colOff>971550</xdr:colOff>
          <xdr:row>7</xdr:row>
          <xdr:rowOff>190500</xdr:rowOff>
        </xdr:to>
        <xdr:sp macro="" textlink="">
          <xdr:nvSpPr>
            <xdr:cNvPr id="14362" name="Drop Down 26" hidden="1">
              <a:extLst>
                <a:ext uri="{63B3BB69-23CF-44E3-9099-C40C66FF867C}">
                  <a14:compatExt spid="_x0000_s14362"/>
                </a:ext>
                <a:ext uri="{FF2B5EF4-FFF2-40B4-BE49-F238E27FC236}">
                  <a16:creationId xmlns:a16="http://schemas.microsoft.com/office/drawing/2014/main" id="{00000000-0008-0000-0200-00001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xdr:row>
          <xdr:rowOff>19050</xdr:rowOff>
        </xdr:from>
        <xdr:to>
          <xdr:col>0</xdr:col>
          <xdr:colOff>962025</xdr:colOff>
          <xdr:row>8</xdr:row>
          <xdr:rowOff>190500</xdr:rowOff>
        </xdr:to>
        <xdr:sp macro="" textlink="">
          <xdr:nvSpPr>
            <xdr:cNvPr id="14364" name="Drop Down 28" hidden="1">
              <a:extLst>
                <a:ext uri="{63B3BB69-23CF-44E3-9099-C40C66FF867C}">
                  <a14:compatExt spid="_x0000_s14364"/>
                </a:ext>
                <a:ext uri="{FF2B5EF4-FFF2-40B4-BE49-F238E27FC236}">
                  <a16:creationId xmlns:a16="http://schemas.microsoft.com/office/drawing/2014/main" id="{00000000-0008-0000-0200-00001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22</xdr:col>
      <xdr:colOff>117475</xdr:colOff>
      <xdr:row>1</xdr:row>
      <xdr:rowOff>12700</xdr:rowOff>
    </xdr:from>
    <xdr:to>
      <xdr:col>23</xdr:col>
      <xdr:colOff>549275</xdr:colOff>
      <xdr:row>1</xdr:row>
      <xdr:rowOff>798830</xdr:rowOff>
    </xdr:to>
    <xdr:pic>
      <xdr:nvPicPr>
        <xdr:cNvPr id="185635" name="Grafik 15" descr="C:\Users\msbo\AppData\Local\Microsoft\Windows\Temporary Internet Files\Content.Outlook\ZLX39RCH\Logo IAB 2.jpg">
          <a:extLst>
            <a:ext uri="{FF2B5EF4-FFF2-40B4-BE49-F238E27FC236}">
              <a16:creationId xmlns:a16="http://schemas.microsoft.com/office/drawing/2014/main" id="{00000000-0008-0000-0200-000023D5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52450" y="212725"/>
          <a:ext cx="1165225" cy="786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0</xdr:col>
          <xdr:colOff>962025</xdr:colOff>
          <xdr:row>9</xdr:row>
          <xdr:rowOff>190500</xdr:rowOff>
        </xdr:to>
        <xdr:sp macro="" textlink="">
          <xdr:nvSpPr>
            <xdr:cNvPr id="15172" name="Drop Down 836" hidden="1">
              <a:extLst>
                <a:ext uri="{63B3BB69-23CF-44E3-9099-C40C66FF867C}">
                  <a14:compatExt spid="_x0000_s15172"/>
                </a:ext>
                <a:ext uri="{FF2B5EF4-FFF2-40B4-BE49-F238E27FC236}">
                  <a16:creationId xmlns:a16="http://schemas.microsoft.com/office/drawing/2014/main" id="{00000000-0008-0000-0200-0000443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10</xdr:row>
          <xdr:rowOff>19050</xdr:rowOff>
        </xdr:from>
        <xdr:to>
          <xdr:col>0</xdr:col>
          <xdr:colOff>962025</xdr:colOff>
          <xdr:row>10</xdr:row>
          <xdr:rowOff>190500</xdr:rowOff>
        </xdr:to>
        <xdr:sp macro="" textlink="">
          <xdr:nvSpPr>
            <xdr:cNvPr id="15173" name="Drop Down 837" hidden="1">
              <a:extLst>
                <a:ext uri="{63B3BB69-23CF-44E3-9099-C40C66FF867C}">
                  <a14:compatExt spid="_x0000_s15173"/>
                </a:ext>
                <a:ext uri="{FF2B5EF4-FFF2-40B4-BE49-F238E27FC236}">
                  <a16:creationId xmlns:a16="http://schemas.microsoft.com/office/drawing/2014/main" id="{00000000-0008-0000-0200-0000453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98425</xdr:colOff>
      <xdr:row>1</xdr:row>
      <xdr:rowOff>22225</xdr:rowOff>
    </xdr:from>
    <xdr:to>
      <xdr:col>13</xdr:col>
      <xdr:colOff>330200</xdr:colOff>
      <xdr:row>1</xdr:row>
      <xdr:rowOff>808355</xdr:rowOff>
    </xdr:to>
    <xdr:pic>
      <xdr:nvPicPr>
        <xdr:cNvPr id="8" name="Grafik 15" descr="C:\Users\msbo\AppData\Local\Microsoft\Windows\Temporary Internet Files\Content.Outlook\ZLX39RCH\Logo IAB 2.jpg">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5925" y="222250"/>
          <a:ext cx="1165225" cy="786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4</xdr:row>
      <xdr:rowOff>51434</xdr:rowOff>
    </xdr:from>
    <xdr:to>
      <xdr:col>14</xdr:col>
      <xdr:colOff>0</xdr:colOff>
      <xdr:row>41</xdr:row>
      <xdr:rowOff>156209</xdr:rowOff>
    </xdr:to>
    <xdr:grpSp>
      <xdr:nvGrpSpPr>
        <xdr:cNvPr id="2" name="Gruppieren 1">
          <a:extLst>
            <a:ext uri="{FF2B5EF4-FFF2-40B4-BE49-F238E27FC236}">
              <a16:creationId xmlns:a16="http://schemas.microsoft.com/office/drawing/2014/main" id="{00000000-0008-0000-0400-000002000000}"/>
            </a:ext>
          </a:extLst>
        </xdr:cNvPr>
        <xdr:cNvGrpSpPr/>
      </xdr:nvGrpSpPr>
      <xdr:grpSpPr>
        <a:xfrm>
          <a:off x="11630025" y="1556384"/>
          <a:ext cx="0" cy="6505575"/>
          <a:chOff x="10906125" y="2326003"/>
          <a:chExt cx="3764280" cy="6854045"/>
        </a:xfrm>
      </xdr:grpSpPr>
      <xdr:sp macro="" textlink="">
        <xdr:nvSpPr>
          <xdr:cNvPr id="3" name="Textfeld 2">
            <a:extLst>
              <a:ext uri="{FF2B5EF4-FFF2-40B4-BE49-F238E27FC236}">
                <a16:creationId xmlns:a16="http://schemas.microsoft.com/office/drawing/2014/main" id="{00000000-0008-0000-0400-000003000000}"/>
              </a:ext>
            </a:extLst>
          </xdr:cNvPr>
          <xdr:cNvSpPr txBox="1"/>
        </xdr:nvSpPr>
        <xdr:spPr>
          <a:xfrm>
            <a:off x="10906125" y="2326003"/>
            <a:ext cx="3764280" cy="685404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e-DE" sz="1100" b="1"/>
              <a:t>Hinweis:</a:t>
            </a:r>
            <a:r>
              <a:rPr lang="de-DE" sz="1100" b="1" baseline="0"/>
              <a:t> Zum schnelleren Auffinden Ihrer Gemarkung nutzen Sie die Filterfunktion von Excel:</a:t>
            </a:r>
          </a:p>
          <a:p>
            <a:endParaRPr lang="de-DE" sz="1100" b="1" baseline="0"/>
          </a:p>
          <a:p>
            <a:r>
              <a:rPr lang="de-DE" sz="1100" b="0" baseline="0"/>
              <a:t>1. Wählen Sie aus, ob Sie den Gemarkungsnamen oder die Gemarkungsnummer suchen möchten.</a:t>
            </a:r>
          </a:p>
          <a:p>
            <a:endParaRPr lang="de-DE" sz="1100" b="0" baseline="0"/>
          </a:p>
          <a:p>
            <a:endParaRPr lang="de-DE" sz="1100" b="0" baseline="0"/>
          </a:p>
          <a:p>
            <a:endParaRPr lang="de-DE" sz="1100" b="0" baseline="0"/>
          </a:p>
          <a:p>
            <a:endParaRPr lang="de-DE" sz="1100" b="0" baseline="0"/>
          </a:p>
          <a:p>
            <a:r>
              <a:rPr lang="de-DE" sz="1100" b="0" baseline="0"/>
              <a:t>2. In der Suchleiste können Sie den gesuchten Namen, die gesuchte Nummer oder Teile davon eingeben.</a:t>
            </a:r>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r>
              <a:rPr lang="de-DE" sz="1100" b="0" baseline="0"/>
              <a:t>3. Über "Filter löschen aus..." setzen Sie Ihre Suche zurück.</a:t>
            </a:r>
            <a:endParaRPr lang="de-DE" sz="1100" b="0"/>
          </a:p>
        </xdr:txBody>
      </xdr:sp>
      <xdr:grpSp>
        <xdr:nvGrpSpPr>
          <xdr:cNvPr id="4" name="Gruppieren 3">
            <a:extLst>
              <a:ext uri="{FF2B5EF4-FFF2-40B4-BE49-F238E27FC236}">
                <a16:creationId xmlns:a16="http://schemas.microsoft.com/office/drawing/2014/main" id="{00000000-0008-0000-0400-000004000000}"/>
              </a:ext>
            </a:extLst>
          </xdr:cNvPr>
          <xdr:cNvGrpSpPr/>
        </xdr:nvGrpSpPr>
        <xdr:grpSpPr>
          <a:xfrm>
            <a:off x="11193781" y="4324348"/>
            <a:ext cx="2275162" cy="4267199"/>
            <a:chOff x="7909560" y="2446020"/>
            <a:chExt cx="2282782" cy="4183380"/>
          </a:xfrm>
        </xdr:grpSpPr>
        <xdr:pic>
          <xdr:nvPicPr>
            <xdr:cNvPr id="9" name="Grafik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1"/>
            <a:srcRect l="3291" t="30152" r="78290" b="9841"/>
            <a:stretch/>
          </xdr:blipFill>
          <xdr:spPr>
            <a:xfrm>
              <a:off x="7909560" y="2446020"/>
              <a:ext cx="2282782" cy="4183380"/>
            </a:xfrm>
            <a:prstGeom prst="rect">
              <a:avLst/>
            </a:prstGeom>
          </xdr:spPr>
        </xdr:pic>
        <xdr:sp macro="" textlink="">
          <xdr:nvSpPr>
            <xdr:cNvPr id="10" name="Ellipse 9">
              <a:extLst>
                <a:ext uri="{FF2B5EF4-FFF2-40B4-BE49-F238E27FC236}">
                  <a16:creationId xmlns:a16="http://schemas.microsoft.com/office/drawing/2014/main" id="{00000000-0008-0000-0400-00000A000000}"/>
                </a:ext>
              </a:extLst>
            </xdr:cNvPr>
            <xdr:cNvSpPr/>
          </xdr:nvSpPr>
          <xdr:spPr bwMode="auto">
            <a:xfrm>
              <a:off x="8016240" y="4526280"/>
              <a:ext cx="2110740" cy="304800"/>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nvGrpSpPr>
          <xdr:cNvPr id="5" name="Gruppieren 4">
            <a:extLst>
              <a:ext uri="{FF2B5EF4-FFF2-40B4-BE49-F238E27FC236}">
                <a16:creationId xmlns:a16="http://schemas.microsoft.com/office/drawing/2014/main" id="{00000000-0008-0000-0400-000005000000}"/>
              </a:ext>
            </a:extLst>
          </xdr:cNvPr>
          <xdr:cNvGrpSpPr/>
        </xdr:nvGrpSpPr>
        <xdr:grpSpPr>
          <a:xfrm>
            <a:off x="11114514" y="3291841"/>
            <a:ext cx="2016652" cy="520799"/>
            <a:chOff x="5572869" y="2491741"/>
            <a:chExt cx="2018557" cy="530324"/>
          </a:xfrm>
        </xdr:grpSpPr>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5572869" y="2491741"/>
              <a:ext cx="2018557" cy="514350"/>
            </a:xfrm>
            <a:prstGeom prst="rect">
              <a:avLst/>
            </a:prstGeom>
          </xdr:spPr>
        </xdr:pic>
        <xdr:sp macro="" textlink="">
          <xdr:nvSpPr>
            <xdr:cNvPr id="7" name="Ellipse 6">
              <a:extLst>
                <a:ext uri="{FF2B5EF4-FFF2-40B4-BE49-F238E27FC236}">
                  <a16:creationId xmlns:a16="http://schemas.microsoft.com/office/drawing/2014/main" id="{00000000-0008-0000-0400-000007000000}"/>
                </a:ext>
              </a:extLst>
            </xdr:cNvPr>
            <xdr:cNvSpPr/>
          </xdr:nvSpPr>
          <xdr:spPr bwMode="auto">
            <a:xfrm>
              <a:off x="6134100" y="2790825"/>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sp macro="" textlink="">
          <xdr:nvSpPr>
            <xdr:cNvPr id="8" name="Ellipse 7">
              <a:extLst>
                <a:ext uri="{FF2B5EF4-FFF2-40B4-BE49-F238E27FC236}">
                  <a16:creationId xmlns:a16="http://schemas.microsoft.com/office/drawing/2014/main" id="{00000000-0008-0000-0400-000008000000}"/>
                </a:ext>
              </a:extLst>
            </xdr:cNvPr>
            <xdr:cNvSpPr/>
          </xdr:nvSpPr>
          <xdr:spPr bwMode="auto">
            <a:xfrm>
              <a:off x="7286625" y="2800350"/>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clientData/>
  </xdr:twoCellAnchor>
  <xdr:twoCellAnchor editAs="oneCell">
    <xdr:from>
      <xdr:col>6</xdr:col>
      <xdr:colOff>24765</xdr:colOff>
      <xdr:row>4</xdr:row>
      <xdr:rowOff>5715</xdr:rowOff>
    </xdr:from>
    <xdr:to>
      <xdr:col>10</xdr:col>
      <xdr:colOff>588181</xdr:colOff>
      <xdr:row>41</xdr:row>
      <xdr:rowOff>60109</xdr:rowOff>
    </xdr:to>
    <xdr:pic>
      <xdr:nvPicPr>
        <xdr:cNvPr id="11" name="Grafik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a:stretch>
          <a:fillRect/>
        </a:stretch>
      </xdr:blipFill>
      <xdr:spPr>
        <a:xfrm>
          <a:off x="5688330" y="1769745"/>
          <a:ext cx="3729526" cy="6805714"/>
        </a:xfrm>
        <a:prstGeom prst="rect">
          <a:avLst/>
        </a:prstGeom>
        <a:ln w="12700">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69363</xdr:colOff>
      <xdr:row>28</xdr:row>
      <xdr:rowOff>94627</xdr:rowOff>
    </xdr:from>
    <xdr:ext cx="412491" cy="516167"/>
    <xdr:sp macro="" textlink="">
      <xdr:nvSpPr>
        <xdr:cNvPr id="2" name="Textfeld 1">
          <a:extLst>
            <a:ext uri="{FF2B5EF4-FFF2-40B4-BE49-F238E27FC236}">
              <a16:creationId xmlns:a16="http://schemas.microsoft.com/office/drawing/2014/main" id="{00000000-0008-0000-0B00-000002000000}"/>
            </a:ext>
          </a:extLst>
        </xdr:cNvPr>
        <xdr:cNvSpPr txBox="1">
          <a:spLocks/>
        </xdr:cNvSpPr>
      </xdr:nvSpPr>
      <xdr:spPr>
        <a:xfrm>
          <a:off x="3126888" y="3885577"/>
          <a:ext cx="412491" cy="516167"/>
        </a:xfrm>
        <a:prstGeom prst="rect">
          <a:avLst/>
        </a:prstGeom>
        <a:pattFill prst="pct50">
          <a:fgClr>
            <a:srgbClr val="FFFF99"/>
          </a:fgClr>
          <a:bgClr>
            <a:sysClr val="window" lastClr="FFFFFF">
              <a:lumMod val="75000"/>
            </a:sysClr>
          </a:bgClr>
        </a:pattFill>
        <a:ln w="6350" cmpd="sng">
          <a:solidFill>
            <a:sysClr val="windowText" lastClr="000000"/>
          </a:solidFill>
        </a:ln>
        <a:effectLst/>
      </xdr:spPr>
      <xdr:txBody>
        <a:bodyPr vertOverflow="clip" horzOverflow="clip" wrap="square" lIns="10800" tIns="0" rIns="10800" bIns="0" rtlCol="0" anchor="ctr" anchorCtr="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Nicht </a:t>
          </a: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wenn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Zuchtsau</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mit Ferkel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bis 28 kg</a:t>
          </a:r>
        </a:p>
      </xdr:txBody>
    </xdr:sp>
    <xdr:clientData/>
  </xdr:oneCellAnchor>
  <xdr:twoCellAnchor>
    <xdr:from>
      <xdr:col>1</xdr:col>
      <xdr:colOff>2543175</xdr:colOff>
      <xdr:row>29</xdr:row>
      <xdr:rowOff>161925</xdr:rowOff>
    </xdr:from>
    <xdr:to>
      <xdr:col>2</xdr:col>
      <xdr:colOff>76200</xdr:colOff>
      <xdr:row>29</xdr:row>
      <xdr:rowOff>161925</xdr:rowOff>
    </xdr:to>
    <xdr:cxnSp macro="">
      <xdr:nvCxnSpPr>
        <xdr:cNvPr id="223983" name="Gerade Verbindung mit Pfeil 200">
          <a:extLst>
            <a:ext uri="{FF2B5EF4-FFF2-40B4-BE49-F238E27FC236}">
              <a16:creationId xmlns:a16="http://schemas.microsoft.com/office/drawing/2014/main" id="{00000000-0008-0000-0B00-0000EF6A0300}"/>
            </a:ext>
          </a:extLst>
        </xdr:cNvPr>
        <xdr:cNvCxnSpPr>
          <a:cxnSpLocks noChangeShapeType="1"/>
        </xdr:cNvCxnSpPr>
      </xdr:nvCxnSpPr>
      <xdr:spPr bwMode="auto">
        <a:xfrm flipH="1">
          <a:off x="2828925" y="4048125"/>
          <a:ext cx="30480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95250</xdr:colOff>
      <xdr:row>5</xdr:row>
      <xdr:rowOff>66675</xdr:rowOff>
    </xdr:from>
    <xdr:to>
      <xdr:col>3</xdr:col>
      <xdr:colOff>285750</xdr:colOff>
      <xdr:row>5</xdr:row>
      <xdr:rowOff>104775</xdr:rowOff>
    </xdr:to>
    <xdr:sp macro="" textlink="">
      <xdr:nvSpPr>
        <xdr:cNvPr id="223984" name="Eingekerbter Pfeil nach rechts 201">
          <a:extLst>
            <a:ext uri="{FF2B5EF4-FFF2-40B4-BE49-F238E27FC236}">
              <a16:creationId xmlns:a16="http://schemas.microsoft.com/office/drawing/2014/main" id="{00000000-0008-0000-0B00-0000F06A0300}"/>
            </a:ext>
          </a:extLst>
        </xdr:cNvPr>
        <xdr:cNvSpPr>
          <a:spLocks noChangeArrowheads="1"/>
        </xdr:cNvSpPr>
      </xdr:nvSpPr>
      <xdr:spPr bwMode="auto">
        <a:xfrm>
          <a:off x="3152775" y="7715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8</xdr:row>
      <xdr:rowOff>66675</xdr:rowOff>
    </xdr:from>
    <xdr:to>
      <xdr:col>3</xdr:col>
      <xdr:colOff>285750</xdr:colOff>
      <xdr:row>8</xdr:row>
      <xdr:rowOff>104775</xdr:rowOff>
    </xdr:to>
    <xdr:sp macro="" textlink="">
      <xdr:nvSpPr>
        <xdr:cNvPr id="223985" name="Eingekerbter Pfeil nach rechts 202">
          <a:extLst>
            <a:ext uri="{FF2B5EF4-FFF2-40B4-BE49-F238E27FC236}">
              <a16:creationId xmlns:a16="http://schemas.microsoft.com/office/drawing/2014/main" id="{00000000-0008-0000-0B00-0000F16A0300}"/>
            </a:ext>
          </a:extLst>
        </xdr:cNvPr>
        <xdr:cNvSpPr>
          <a:spLocks noChangeArrowheads="1"/>
        </xdr:cNvSpPr>
      </xdr:nvSpPr>
      <xdr:spPr bwMode="auto">
        <a:xfrm>
          <a:off x="3152775" y="11525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47625</xdr:colOff>
      <xdr:row>15</xdr:row>
      <xdr:rowOff>95250</xdr:rowOff>
    </xdr:from>
    <xdr:to>
      <xdr:col>3</xdr:col>
      <xdr:colOff>342900</xdr:colOff>
      <xdr:row>15</xdr:row>
      <xdr:rowOff>133350</xdr:rowOff>
    </xdr:to>
    <xdr:sp macro="" textlink="">
      <xdr:nvSpPr>
        <xdr:cNvPr id="223986" name="Eingekerbter Pfeil nach rechts 203">
          <a:extLst>
            <a:ext uri="{FF2B5EF4-FFF2-40B4-BE49-F238E27FC236}">
              <a16:creationId xmlns:a16="http://schemas.microsoft.com/office/drawing/2014/main" id="{00000000-0008-0000-0B00-0000F26A0300}"/>
            </a:ext>
          </a:extLst>
        </xdr:cNvPr>
        <xdr:cNvSpPr>
          <a:spLocks noChangeArrowheads="1"/>
        </xdr:cNvSpPr>
      </xdr:nvSpPr>
      <xdr:spPr bwMode="auto">
        <a:xfrm rot="-300000">
          <a:off x="3105150" y="210502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95250</xdr:colOff>
      <xdr:row>12</xdr:row>
      <xdr:rowOff>66675</xdr:rowOff>
    </xdr:from>
    <xdr:to>
      <xdr:col>3</xdr:col>
      <xdr:colOff>285750</xdr:colOff>
      <xdr:row>12</xdr:row>
      <xdr:rowOff>104775</xdr:rowOff>
    </xdr:to>
    <xdr:sp macro="" textlink="">
      <xdr:nvSpPr>
        <xdr:cNvPr id="223987" name="Eingekerbter Pfeil nach rechts 204">
          <a:extLst>
            <a:ext uri="{FF2B5EF4-FFF2-40B4-BE49-F238E27FC236}">
              <a16:creationId xmlns:a16="http://schemas.microsoft.com/office/drawing/2014/main" id="{00000000-0008-0000-0B00-0000F36A0300}"/>
            </a:ext>
          </a:extLst>
        </xdr:cNvPr>
        <xdr:cNvSpPr>
          <a:spLocks noChangeArrowheads="1"/>
        </xdr:cNvSpPr>
      </xdr:nvSpPr>
      <xdr:spPr bwMode="auto">
        <a:xfrm>
          <a:off x="3152775" y="1695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74</xdr:row>
      <xdr:rowOff>66675</xdr:rowOff>
    </xdr:from>
    <xdr:to>
      <xdr:col>3</xdr:col>
      <xdr:colOff>295275</xdr:colOff>
      <xdr:row>74</xdr:row>
      <xdr:rowOff>95250</xdr:rowOff>
    </xdr:to>
    <xdr:sp macro="" textlink="">
      <xdr:nvSpPr>
        <xdr:cNvPr id="223988" name="Eingekerbter Pfeil nach rechts 205">
          <a:extLst>
            <a:ext uri="{FF2B5EF4-FFF2-40B4-BE49-F238E27FC236}">
              <a16:creationId xmlns:a16="http://schemas.microsoft.com/office/drawing/2014/main" id="{00000000-0008-0000-0B00-0000F46A0300}"/>
            </a:ext>
          </a:extLst>
        </xdr:cNvPr>
        <xdr:cNvSpPr>
          <a:spLocks noChangeArrowheads="1"/>
        </xdr:cNvSpPr>
      </xdr:nvSpPr>
      <xdr:spPr bwMode="auto">
        <a:xfrm>
          <a:off x="3152775" y="10086975"/>
          <a:ext cx="352425" cy="28575"/>
        </a:xfrm>
        <a:prstGeom prst="notchedRightArrow">
          <a:avLst>
            <a:gd name="adj1" fmla="val 50000"/>
            <a:gd name="adj2" fmla="val 56299"/>
          </a:avLst>
        </a:prstGeom>
        <a:solidFill>
          <a:srgbClr val="FF0000"/>
        </a:solidFill>
        <a:ln w="6350" algn="ctr">
          <a:solidFill>
            <a:srgbClr val="000000"/>
          </a:solidFill>
          <a:miter lim="800000"/>
          <a:headEnd/>
          <a:tailEnd/>
        </a:ln>
      </xdr:spPr>
    </xdr:sp>
    <xdr:clientData/>
  </xdr:twoCellAnchor>
  <xdr:twoCellAnchor>
    <xdr:from>
      <xdr:col>2</xdr:col>
      <xdr:colOff>133350</xdr:colOff>
      <xdr:row>23</xdr:row>
      <xdr:rowOff>152400</xdr:rowOff>
    </xdr:from>
    <xdr:to>
      <xdr:col>3</xdr:col>
      <xdr:colOff>295275</xdr:colOff>
      <xdr:row>24</xdr:row>
      <xdr:rowOff>28575</xdr:rowOff>
    </xdr:to>
    <xdr:sp macro="" textlink="">
      <xdr:nvSpPr>
        <xdr:cNvPr id="223989" name="Eingekerbter Pfeil nach rechts 206">
          <a:extLst>
            <a:ext uri="{FF2B5EF4-FFF2-40B4-BE49-F238E27FC236}">
              <a16:creationId xmlns:a16="http://schemas.microsoft.com/office/drawing/2014/main" id="{00000000-0008-0000-0B00-0000F56A0300}"/>
            </a:ext>
          </a:extLst>
        </xdr:cNvPr>
        <xdr:cNvSpPr>
          <a:spLocks noChangeArrowheads="1"/>
        </xdr:cNvSpPr>
      </xdr:nvSpPr>
      <xdr:spPr bwMode="auto">
        <a:xfrm>
          <a:off x="3190875" y="3238500"/>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123825</xdr:colOff>
      <xdr:row>20</xdr:row>
      <xdr:rowOff>57150</xdr:rowOff>
    </xdr:from>
    <xdr:to>
      <xdr:col>3</xdr:col>
      <xdr:colOff>285750</xdr:colOff>
      <xdr:row>20</xdr:row>
      <xdr:rowOff>95250</xdr:rowOff>
    </xdr:to>
    <xdr:sp macro="" textlink="">
      <xdr:nvSpPr>
        <xdr:cNvPr id="223990" name="Eingekerbter Pfeil nach rechts 207">
          <a:extLst>
            <a:ext uri="{FF2B5EF4-FFF2-40B4-BE49-F238E27FC236}">
              <a16:creationId xmlns:a16="http://schemas.microsoft.com/office/drawing/2014/main" id="{00000000-0008-0000-0B00-0000F66A0300}"/>
            </a:ext>
          </a:extLst>
        </xdr:cNvPr>
        <xdr:cNvSpPr>
          <a:spLocks noChangeArrowheads="1"/>
        </xdr:cNvSpPr>
      </xdr:nvSpPr>
      <xdr:spPr bwMode="auto">
        <a:xfrm>
          <a:off x="3181350" y="2771775"/>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28575</xdr:colOff>
      <xdr:row>34</xdr:row>
      <xdr:rowOff>85725</xdr:rowOff>
    </xdr:from>
    <xdr:to>
      <xdr:col>3</xdr:col>
      <xdr:colOff>381000</xdr:colOff>
      <xdr:row>34</xdr:row>
      <xdr:rowOff>123825</xdr:rowOff>
    </xdr:to>
    <xdr:sp macro="" textlink="">
      <xdr:nvSpPr>
        <xdr:cNvPr id="223991" name="Eingekerbter Pfeil nach rechts 208">
          <a:extLst>
            <a:ext uri="{FF2B5EF4-FFF2-40B4-BE49-F238E27FC236}">
              <a16:creationId xmlns:a16="http://schemas.microsoft.com/office/drawing/2014/main" id="{00000000-0008-0000-0B00-0000F76A0300}"/>
            </a:ext>
          </a:extLst>
        </xdr:cNvPr>
        <xdr:cNvSpPr>
          <a:spLocks noChangeArrowheads="1"/>
        </xdr:cNvSpPr>
      </xdr:nvSpPr>
      <xdr:spPr bwMode="auto">
        <a:xfrm rot="-1560000">
          <a:off x="3086100" y="4743450"/>
          <a:ext cx="504825" cy="38100"/>
        </a:xfrm>
        <a:prstGeom prst="notchedRightArrow">
          <a:avLst>
            <a:gd name="adj1" fmla="val 50000"/>
            <a:gd name="adj2" fmla="val 43124"/>
          </a:avLst>
        </a:prstGeom>
        <a:solidFill>
          <a:srgbClr val="FF0000"/>
        </a:solidFill>
        <a:ln w="6350" algn="ctr">
          <a:solidFill>
            <a:srgbClr val="000000"/>
          </a:solidFill>
          <a:miter lim="800000"/>
          <a:headEnd/>
          <a:tailEnd/>
        </a:ln>
      </xdr:spPr>
    </xdr:sp>
    <xdr:clientData/>
  </xdr:twoCellAnchor>
  <xdr:twoCellAnchor>
    <xdr:from>
      <xdr:col>2</xdr:col>
      <xdr:colOff>95250</xdr:colOff>
      <xdr:row>26</xdr:row>
      <xdr:rowOff>66675</xdr:rowOff>
    </xdr:from>
    <xdr:to>
      <xdr:col>3</xdr:col>
      <xdr:colOff>285750</xdr:colOff>
      <xdr:row>26</xdr:row>
      <xdr:rowOff>104775</xdr:rowOff>
    </xdr:to>
    <xdr:sp macro="" textlink="">
      <xdr:nvSpPr>
        <xdr:cNvPr id="223992" name="Eingekerbter Pfeil nach rechts 209">
          <a:extLst>
            <a:ext uri="{FF2B5EF4-FFF2-40B4-BE49-F238E27FC236}">
              <a16:creationId xmlns:a16="http://schemas.microsoft.com/office/drawing/2014/main" id="{00000000-0008-0000-0B00-0000F86A0300}"/>
            </a:ext>
          </a:extLst>
        </xdr:cNvPr>
        <xdr:cNvSpPr>
          <a:spLocks noChangeArrowheads="1"/>
        </xdr:cNvSpPr>
      </xdr:nvSpPr>
      <xdr:spPr bwMode="auto">
        <a:xfrm>
          <a:off x="3152775" y="35337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xdr:colOff>
      <xdr:row>23</xdr:row>
      <xdr:rowOff>9525</xdr:rowOff>
    </xdr:from>
    <xdr:to>
      <xdr:col>2</xdr:col>
      <xdr:colOff>85725</xdr:colOff>
      <xdr:row>24</xdr:row>
      <xdr:rowOff>161925</xdr:rowOff>
    </xdr:to>
    <xdr:sp macro="" textlink="">
      <xdr:nvSpPr>
        <xdr:cNvPr id="223993" name="Geschweifte Klammer rechts 210">
          <a:extLst>
            <a:ext uri="{FF2B5EF4-FFF2-40B4-BE49-F238E27FC236}">
              <a16:creationId xmlns:a16="http://schemas.microsoft.com/office/drawing/2014/main" id="{00000000-0008-0000-0B00-0000F96A0300}"/>
            </a:ext>
          </a:extLst>
        </xdr:cNvPr>
        <xdr:cNvSpPr>
          <a:spLocks/>
        </xdr:cNvSpPr>
      </xdr:nvSpPr>
      <xdr:spPr bwMode="auto">
        <a:xfrm>
          <a:off x="3067050" y="3095625"/>
          <a:ext cx="76200" cy="314325"/>
        </a:xfrm>
        <a:prstGeom prst="rightBrace">
          <a:avLst>
            <a:gd name="adj1" fmla="val 8326"/>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57</xdr:row>
      <xdr:rowOff>28575</xdr:rowOff>
    </xdr:from>
    <xdr:to>
      <xdr:col>3</xdr:col>
      <xdr:colOff>352425</xdr:colOff>
      <xdr:row>57</xdr:row>
      <xdr:rowOff>66675</xdr:rowOff>
    </xdr:to>
    <xdr:sp macro="" textlink="">
      <xdr:nvSpPr>
        <xdr:cNvPr id="223994" name="Eingekerbter Pfeil nach rechts 211">
          <a:extLst>
            <a:ext uri="{FF2B5EF4-FFF2-40B4-BE49-F238E27FC236}">
              <a16:creationId xmlns:a16="http://schemas.microsoft.com/office/drawing/2014/main" id="{00000000-0008-0000-0B00-0000FA6A0300}"/>
            </a:ext>
          </a:extLst>
        </xdr:cNvPr>
        <xdr:cNvSpPr>
          <a:spLocks noChangeArrowheads="1"/>
        </xdr:cNvSpPr>
      </xdr:nvSpPr>
      <xdr:spPr bwMode="auto">
        <a:xfrm rot="300000">
          <a:off x="3105150" y="792480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59</xdr:row>
      <xdr:rowOff>66675</xdr:rowOff>
    </xdr:from>
    <xdr:to>
      <xdr:col>3</xdr:col>
      <xdr:colOff>295275</xdr:colOff>
      <xdr:row>59</xdr:row>
      <xdr:rowOff>104775</xdr:rowOff>
    </xdr:to>
    <xdr:sp macro="" textlink="">
      <xdr:nvSpPr>
        <xdr:cNvPr id="223995" name="Eingekerbter Pfeil nach rechts 212">
          <a:extLst>
            <a:ext uri="{FF2B5EF4-FFF2-40B4-BE49-F238E27FC236}">
              <a16:creationId xmlns:a16="http://schemas.microsoft.com/office/drawing/2014/main" id="{00000000-0008-0000-0B00-0000FB6A0300}"/>
            </a:ext>
          </a:extLst>
        </xdr:cNvPr>
        <xdr:cNvSpPr>
          <a:spLocks noChangeArrowheads="1"/>
        </xdr:cNvSpPr>
      </xdr:nvSpPr>
      <xdr:spPr bwMode="auto">
        <a:xfrm>
          <a:off x="3152775" y="8181975"/>
          <a:ext cx="35242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95250</xdr:colOff>
      <xdr:row>66</xdr:row>
      <xdr:rowOff>66675</xdr:rowOff>
    </xdr:from>
    <xdr:to>
      <xdr:col>3</xdr:col>
      <xdr:colOff>285750</xdr:colOff>
      <xdr:row>66</xdr:row>
      <xdr:rowOff>95250</xdr:rowOff>
    </xdr:to>
    <xdr:sp macro="" textlink="">
      <xdr:nvSpPr>
        <xdr:cNvPr id="223996" name="Eingekerbter Pfeil nach rechts 213">
          <a:extLst>
            <a:ext uri="{FF2B5EF4-FFF2-40B4-BE49-F238E27FC236}">
              <a16:creationId xmlns:a16="http://schemas.microsoft.com/office/drawing/2014/main" id="{00000000-0008-0000-0B00-0000FC6A0300}"/>
            </a:ext>
          </a:extLst>
        </xdr:cNvPr>
        <xdr:cNvSpPr>
          <a:spLocks noChangeArrowheads="1"/>
        </xdr:cNvSpPr>
      </xdr:nvSpPr>
      <xdr:spPr bwMode="auto">
        <a:xfrm>
          <a:off x="3152775" y="910590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57150</xdr:colOff>
      <xdr:row>68</xdr:row>
      <xdr:rowOff>95250</xdr:rowOff>
    </xdr:from>
    <xdr:to>
      <xdr:col>3</xdr:col>
      <xdr:colOff>352425</xdr:colOff>
      <xdr:row>68</xdr:row>
      <xdr:rowOff>133350</xdr:rowOff>
    </xdr:to>
    <xdr:sp macro="" textlink="">
      <xdr:nvSpPr>
        <xdr:cNvPr id="223997" name="Eingekerbter Pfeil nach rechts 214">
          <a:extLst>
            <a:ext uri="{FF2B5EF4-FFF2-40B4-BE49-F238E27FC236}">
              <a16:creationId xmlns:a16="http://schemas.microsoft.com/office/drawing/2014/main" id="{00000000-0008-0000-0B00-0000FD6A0300}"/>
            </a:ext>
          </a:extLst>
        </xdr:cNvPr>
        <xdr:cNvSpPr>
          <a:spLocks noChangeArrowheads="1"/>
        </xdr:cNvSpPr>
      </xdr:nvSpPr>
      <xdr:spPr bwMode="auto">
        <a:xfrm rot="-300000">
          <a:off x="3114675" y="935355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72</xdr:row>
      <xdr:rowOff>28575</xdr:rowOff>
    </xdr:from>
    <xdr:to>
      <xdr:col>3</xdr:col>
      <xdr:colOff>352425</xdr:colOff>
      <xdr:row>72</xdr:row>
      <xdr:rowOff>66675</xdr:rowOff>
    </xdr:to>
    <xdr:sp macro="" textlink="">
      <xdr:nvSpPr>
        <xdr:cNvPr id="223998" name="Eingekerbter Pfeil nach rechts 215">
          <a:extLst>
            <a:ext uri="{FF2B5EF4-FFF2-40B4-BE49-F238E27FC236}">
              <a16:creationId xmlns:a16="http://schemas.microsoft.com/office/drawing/2014/main" id="{00000000-0008-0000-0B00-0000FE6A0300}"/>
            </a:ext>
          </a:extLst>
        </xdr:cNvPr>
        <xdr:cNvSpPr>
          <a:spLocks noChangeArrowheads="1"/>
        </xdr:cNvSpPr>
      </xdr:nvSpPr>
      <xdr:spPr bwMode="auto">
        <a:xfrm rot="300000">
          <a:off x="3105150" y="982980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7</xdr:row>
      <xdr:rowOff>66675</xdr:rowOff>
    </xdr:from>
    <xdr:to>
      <xdr:col>3</xdr:col>
      <xdr:colOff>285750</xdr:colOff>
      <xdr:row>7</xdr:row>
      <xdr:rowOff>104775</xdr:rowOff>
    </xdr:to>
    <xdr:sp macro="" textlink="">
      <xdr:nvSpPr>
        <xdr:cNvPr id="223999" name="Eingekerbter Pfeil nach rechts 216">
          <a:extLst>
            <a:ext uri="{FF2B5EF4-FFF2-40B4-BE49-F238E27FC236}">
              <a16:creationId xmlns:a16="http://schemas.microsoft.com/office/drawing/2014/main" id="{00000000-0008-0000-0B00-0000FF6A0300}"/>
            </a:ext>
          </a:extLst>
        </xdr:cNvPr>
        <xdr:cNvSpPr>
          <a:spLocks noChangeArrowheads="1"/>
        </xdr:cNvSpPr>
      </xdr:nvSpPr>
      <xdr:spPr bwMode="auto">
        <a:xfrm>
          <a:off x="3152775" y="99060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9</xdr:row>
      <xdr:rowOff>66675</xdr:rowOff>
    </xdr:from>
    <xdr:to>
      <xdr:col>3</xdr:col>
      <xdr:colOff>285750</xdr:colOff>
      <xdr:row>9</xdr:row>
      <xdr:rowOff>104775</xdr:rowOff>
    </xdr:to>
    <xdr:sp macro="" textlink="">
      <xdr:nvSpPr>
        <xdr:cNvPr id="224000" name="Eingekerbter Pfeil nach rechts 217">
          <a:extLst>
            <a:ext uri="{FF2B5EF4-FFF2-40B4-BE49-F238E27FC236}">
              <a16:creationId xmlns:a16="http://schemas.microsoft.com/office/drawing/2014/main" id="{00000000-0008-0000-0B00-0000006B0300}"/>
            </a:ext>
          </a:extLst>
        </xdr:cNvPr>
        <xdr:cNvSpPr>
          <a:spLocks noChangeArrowheads="1"/>
        </xdr:cNvSpPr>
      </xdr:nvSpPr>
      <xdr:spPr bwMode="auto">
        <a:xfrm>
          <a:off x="3152775" y="1314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11</xdr:row>
      <xdr:rowOff>76200</xdr:rowOff>
    </xdr:from>
    <xdr:to>
      <xdr:col>3</xdr:col>
      <xdr:colOff>285750</xdr:colOff>
      <xdr:row>11</xdr:row>
      <xdr:rowOff>104775</xdr:rowOff>
    </xdr:to>
    <xdr:sp macro="" textlink="">
      <xdr:nvSpPr>
        <xdr:cNvPr id="224001" name="Eingekerbter Pfeil nach rechts 218">
          <a:extLst>
            <a:ext uri="{FF2B5EF4-FFF2-40B4-BE49-F238E27FC236}">
              <a16:creationId xmlns:a16="http://schemas.microsoft.com/office/drawing/2014/main" id="{00000000-0008-0000-0B00-0000016B0300}"/>
            </a:ext>
          </a:extLst>
        </xdr:cNvPr>
        <xdr:cNvSpPr>
          <a:spLocks/>
        </xdr:cNvSpPr>
      </xdr:nvSpPr>
      <xdr:spPr bwMode="auto">
        <a:xfrm>
          <a:off x="3152775" y="154305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95250</xdr:colOff>
      <xdr:row>13</xdr:row>
      <xdr:rowOff>66675</xdr:rowOff>
    </xdr:from>
    <xdr:to>
      <xdr:col>3</xdr:col>
      <xdr:colOff>285750</xdr:colOff>
      <xdr:row>13</xdr:row>
      <xdr:rowOff>95250</xdr:rowOff>
    </xdr:to>
    <xdr:sp macro="" textlink="">
      <xdr:nvSpPr>
        <xdr:cNvPr id="224002" name="Eingekerbter Pfeil nach rechts 219">
          <a:extLst>
            <a:ext uri="{FF2B5EF4-FFF2-40B4-BE49-F238E27FC236}">
              <a16:creationId xmlns:a16="http://schemas.microsoft.com/office/drawing/2014/main" id="{00000000-0008-0000-0B00-0000026B0300}"/>
            </a:ext>
          </a:extLst>
        </xdr:cNvPr>
        <xdr:cNvSpPr>
          <a:spLocks noChangeArrowheads="1"/>
        </xdr:cNvSpPr>
      </xdr:nvSpPr>
      <xdr:spPr bwMode="auto">
        <a:xfrm>
          <a:off x="3152775" y="1857375"/>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47625</xdr:colOff>
      <xdr:row>16</xdr:row>
      <xdr:rowOff>28575</xdr:rowOff>
    </xdr:from>
    <xdr:to>
      <xdr:col>3</xdr:col>
      <xdr:colOff>352425</xdr:colOff>
      <xdr:row>16</xdr:row>
      <xdr:rowOff>66675</xdr:rowOff>
    </xdr:to>
    <xdr:sp macro="" textlink="">
      <xdr:nvSpPr>
        <xdr:cNvPr id="224003" name="Eingekerbter Pfeil nach rechts 220">
          <a:extLst>
            <a:ext uri="{FF2B5EF4-FFF2-40B4-BE49-F238E27FC236}">
              <a16:creationId xmlns:a16="http://schemas.microsoft.com/office/drawing/2014/main" id="{00000000-0008-0000-0B00-0000036B0300}"/>
            </a:ext>
          </a:extLst>
        </xdr:cNvPr>
        <xdr:cNvSpPr>
          <a:spLocks noChangeArrowheads="1"/>
        </xdr:cNvSpPr>
      </xdr:nvSpPr>
      <xdr:spPr bwMode="auto">
        <a:xfrm rot="300000">
          <a:off x="3105150" y="220027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95250</xdr:colOff>
      <xdr:row>18</xdr:row>
      <xdr:rowOff>57150</xdr:rowOff>
    </xdr:from>
    <xdr:to>
      <xdr:col>3</xdr:col>
      <xdr:colOff>285750</xdr:colOff>
      <xdr:row>18</xdr:row>
      <xdr:rowOff>95250</xdr:rowOff>
    </xdr:to>
    <xdr:sp macro="" textlink="">
      <xdr:nvSpPr>
        <xdr:cNvPr id="224004" name="Eingekerbter Pfeil nach rechts 221">
          <a:extLst>
            <a:ext uri="{FF2B5EF4-FFF2-40B4-BE49-F238E27FC236}">
              <a16:creationId xmlns:a16="http://schemas.microsoft.com/office/drawing/2014/main" id="{00000000-0008-0000-0B00-0000046B0300}"/>
            </a:ext>
          </a:extLst>
        </xdr:cNvPr>
        <xdr:cNvSpPr>
          <a:spLocks noChangeArrowheads="1"/>
        </xdr:cNvSpPr>
      </xdr:nvSpPr>
      <xdr:spPr bwMode="auto">
        <a:xfrm>
          <a:off x="3152775" y="24479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27</xdr:row>
      <xdr:rowOff>57150</xdr:rowOff>
    </xdr:from>
    <xdr:to>
      <xdr:col>3</xdr:col>
      <xdr:colOff>285750</xdr:colOff>
      <xdr:row>27</xdr:row>
      <xdr:rowOff>95250</xdr:rowOff>
    </xdr:to>
    <xdr:sp macro="" textlink="">
      <xdr:nvSpPr>
        <xdr:cNvPr id="224005" name="Eingekerbter Pfeil nach rechts 222">
          <a:extLst>
            <a:ext uri="{FF2B5EF4-FFF2-40B4-BE49-F238E27FC236}">
              <a16:creationId xmlns:a16="http://schemas.microsoft.com/office/drawing/2014/main" id="{00000000-0008-0000-0B00-0000056B0300}"/>
            </a:ext>
          </a:extLst>
        </xdr:cNvPr>
        <xdr:cNvSpPr>
          <a:spLocks noChangeArrowheads="1"/>
        </xdr:cNvSpPr>
      </xdr:nvSpPr>
      <xdr:spPr bwMode="auto">
        <a:xfrm>
          <a:off x="3152775" y="36861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1</xdr:col>
      <xdr:colOff>2724150</xdr:colOff>
      <xdr:row>33</xdr:row>
      <xdr:rowOff>161925</xdr:rowOff>
    </xdr:from>
    <xdr:to>
      <xdr:col>4</xdr:col>
      <xdr:colOff>19050</xdr:colOff>
      <xdr:row>34</xdr:row>
      <xdr:rowOff>38100</xdr:rowOff>
    </xdr:to>
    <xdr:sp macro="" textlink="">
      <xdr:nvSpPr>
        <xdr:cNvPr id="224006" name="Eingekerbter Pfeil nach rechts 223">
          <a:extLst>
            <a:ext uri="{FF2B5EF4-FFF2-40B4-BE49-F238E27FC236}">
              <a16:creationId xmlns:a16="http://schemas.microsoft.com/office/drawing/2014/main" id="{00000000-0008-0000-0B00-0000066B0300}"/>
            </a:ext>
          </a:extLst>
        </xdr:cNvPr>
        <xdr:cNvSpPr>
          <a:spLocks noChangeArrowheads="1"/>
        </xdr:cNvSpPr>
      </xdr:nvSpPr>
      <xdr:spPr bwMode="auto">
        <a:xfrm rot="-2100000">
          <a:off x="3009900" y="4657725"/>
          <a:ext cx="676275" cy="38100"/>
        </a:xfrm>
        <a:prstGeom prst="notchedRightArrow">
          <a:avLst>
            <a:gd name="adj1" fmla="val 50000"/>
            <a:gd name="adj2" fmla="val 51606"/>
          </a:avLst>
        </a:prstGeom>
        <a:solidFill>
          <a:srgbClr val="FF0000"/>
        </a:solidFill>
        <a:ln w="6350" algn="ctr">
          <a:solidFill>
            <a:srgbClr val="000000"/>
          </a:solidFill>
          <a:miter lim="800000"/>
          <a:headEnd/>
          <a:tailEnd/>
        </a:ln>
      </xdr:spPr>
    </xdr:sp>
    <xdr:clientData/>
  </xdr:twoCellAnchor>
  <xdr:twoCellAnchor>
    <xdr:from>
      <xdr:col>2</xdr:col>
      <xdr:colOff>47625</xdr:colOff>
      <xdr:row>35</xdr:row>
      <xdr:rowOff>104775</xdr:rowOff>
    </xdr:from>
    <xdr:to>
      <xdr:col>3</xdr:col>
      <xdr:colOff>352425</xdr:colOff>
      <xdr:row>35</xdr:row>
      <xdr:rowOff>142875</xdr:rowOff>
    </xdr:to>
    <xdr:sp macro="" textlink="">
      <xdr:nvSpPr>
        <xdr:cNvPr id="224007" name="Eingekerbter Pfeil nach rechts 224">
          <a:extLst>
            <a:ext uri="{FF2B5EF4-FFF2-40B4-BE49-F238E27FC236}">
              <a16:creationId xmlns:a16="http://schemas.microsoft.com/office/drawing/2014/main" id="{00000000-0008-0000-0B00-0000076B0300}"/>
            </a:ext>
          </a:extLst>
        </xdr:cNvPr>
        <xdr:cNvSpPr>
          <a:spLocks noChangeArrowheads="1"/>
        </xdr:cNvSpPr>
      </xdr:nvSpPr>
      <xdr:spPr bwMode="auto">
        <a:xfrm rot="-240000">
          <a:off x="3105150" y="492442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36</xdr:row>
      <xdr:rowOff>123825</xdr:rowOff>
    </xdr:from>
    <xdr:to>
      <xdr:col>3</xdr:col>
      <xdr:colOff>361950</xdr:colOff>
      <xdr:row>36</xdr:row>
      <xdr:rowOff>161925</xdr:rowOff>
    </xdr:to>
    <xdr:sp macro="" textlink="">
      <xdr:nvSpPr>
        <xdr:cNvPr id="224008" name="Eingekerbter Pfeil nach rechts 225">
          <a:extLst>
            <a:ext uri="{FF2B5EF4-FFF2-40B4-BE49-F238E27FC236}">
              <a16:creationId xmlns:a16="http://schemas.microsoft.com/office/drawing/2014/main" id="{00000000-0008-0000-0B00-0000086B0300}"/>
            </a:ext>
          </a:extLst>
        </xdr:cNvPr>
        <xdr:cNvSpPr>
          <a:spLocks noChangeArrowheads="1"/>
        </xdr:cNvSpPr>
      </xdr:nvSpPr>
      <xdr:spPr bwMode="auto">
        <a:xfrm rot="1080000">
          <a:off x="3105150" y="5105400"/>
          <a:ext cx="466725" cy="38100"/>
        </a:xfrm>
        <a:prstGeom prst="notchedRightArrow">
          <a:avLst>
            <a:gd name="adj1" fmla="val 50000"/>
            <a:gd name="adj2" fmla="val 42365"/>
          </a:avLst>
        </a:prstGeom>
        <a:solidFill>
          <a:srgbClr val="FF0000"/>
        </a:solidFill>
        <a:ln w="6350" algn="ctr">
          <a:solidFill>
            <a:srgbClr val="000000"/>
          </a:solidFill>
          <a:miter lim="800000"/>
          <a:headEnd/>
          <a:tailEnd/>
        </a:ln>
      </xdr:spPr>
    </xdr:sp>
    <xdr:clientData/>
  </xdr:twoCellAnchor>
  <xdr:twoCellAnchor>
    <xdr:from>
      <xdr:col>2</xdr:col>
      <xdr:colOff>57150</xdr:colOff>
      <xdr:row>36</xdr:row>
      <xdr:rowOff>38100</xdr:rowOff>
    </xdr:from>
    <xdr:to>
      <xdr:col>3</xdr:col>
      <xdr:colOff>352425</xdr:colOff>
      <xdr:row>36</xdr:row>
      <xdr:rowOff>76200</xdr:rowOff>
    </xdr:to>
    <xdr:sp macro="" textlink="">
      <xdr:nvSpPr>
        <xdr:cNvPr id="224009" name="Eingekerbter Pfeil nach rechts 226">
          <a:extLst>
            <a:ext uri="{FF2B5EF4-FFF2-40B4-BE49-F238E27FC236}">
              <a16:creationId xmlns:a16="http://schemas.microsoft.com/office/drawing/2014/main" id="{00000000-0008-0000-0B00-0000096B0300}"/>
            </a:ext>
          </a:extLst>
        </xdr:cNvPr>
        <xdr:cNvSpPr>
          <a:spLocks noChangeArrowheads="1"/>
        </xdr:cNvSpPr>
      </xdr:nvSpPr>
      <xdr:spPr bwMode="auto">
        <a:xfrm rot="420000">
          <a:off x="3114675" y="501967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28575</xdr:colOff>
      <xdr:row>37</xdr:row>
      <xdr:rowOff>47625</xdr:rowOff>
    </xdr:from>
    <xdr:to>
      <xdr:col>3</xdr:col>
      <xdr:colOff>381000</xdr:colOff>
      <xdr:row>37</xdr:row>
      <xdr:rowOff>85725</xdr:rowOff>
    </xdr:to>
    <xdr:sp macro="" textlink="">
      <xdr:nvSpPr>
        <xdr:cNvPr id="224010" name="Eingekerbter Pfeil nach rechts 227">
          <a:extLst>
            <a:ext uri="{FF2B5EF4-FFF2-40B4-BE49-F238E27FC236}">
              <a16:creationId xmlns:a16="http://schemas.microsoft.com/office/drawing/2014/main" id="{00000000-0008-0000-0B00-00000A6B0300}"/>
            </a:ext>
          </a:extLst>
        </xdr:cNvPr>
        <xdr:cNvSpPr>
          <a:spLocks noChangeArrowheads="1"/>
        </xdr:cNvSpPr>
      </xdr:nvSpPr>
      <xdr:spPr bwMode="auto">
        <a:xfrm rot="1740000">
          <a:off x="3086100" y="5191125"/>
          <a:ext cx="504825" cy="38100"/>
        </a:xfrm>
        <a:prstGeom prst="notchedRightArrow">
          <a:avLst>
            <a:gd name="adj1" fmla="val 50000"/>
            <a:gd name="adj2" fmla="val 42572"/>
          </a:avLst>
        </a:prstGeom>
        <a:solidFill>
          <a:srgbClr val="FF0000"/>
        </a:solidFill>
        <a:ln w="6350" algn="ctr">
          <a:solidFill>
            <a:srgbClr val="000000"/>
          </a:solidFill>
          <a:miter lim="800000"/>
          <a:headEnd/>
          <a:tailEnd/>
        </a:ln>
      </xdr:spPr>
    </xdr:sp>
    <xdr:clientData/>
  </xdr:twoCellAnchor>
  <xdr:twoCellAnchor>
    <xdr:from>
      <xdr:col>1</xdr:col>
      <xdr:colOff>2714625</xdr:colOff>
      <xdr:row>37</xdr:row>
      <xdr:rowOff>142875</xdr:rowOff>
    </xdr:from>
    <xdr:to>
      <xdr:col>4</xdr:col>
      <xdr:colOff>19050</xdr:colOff>
      <xdr:row>38</xdr:row>
      <xdr:rowOff>19050</xdr:rowOff>
    </xdr:to>
    <xdr:sp macro="" textlink="">
      <xdr:nvSpPr>
        <xdr:cNvPr id="224011" name="Eingekerbter Pfeil nach rechts 228">
          <a:extLst>
            <a:ext uri="{FF2B5EF4-FFF2-40B4-BE49-F238E27FC236}">
              <a16:creationId xmlns:a16="http://schemas.microsoft.com/office/drawing/2014/main" id="{00000000-0008-0000-0B00-00000B6B0300}"/>
            </a:ext>
          </a:extLst>
        </xdr:cNvPr>
        <xdr:cNvSpPr>
          <a:spLocks noChangeArrowheads="1"/>
        </xdr:cNvSpPr>
      </xdr:nvSpPr>
      <xdr:spPr bwMode="auto">
        <a:xfrm rot="2280000">
          <a:off x="3000375" y="5286375"/>
          <a:ext cx="685800" cy="38100"/>
        </a:xfrm>
        <a:prstGeom prst="notchedRightArrow">
          <a:avLst>
            <a:gd name="adj1" fmla="val 50000"/>
            <a:gd name="adj2" fmla="val 49167"/>
          </a:avLst>
        </a:prstGeom>
        <a:solidFill>
          <a:srgbClr val="FF0000"/>
        </a:solidFill>
        <a:ln w="6350" algn="ctr">
          <a:solidFill>
            <a:srgbClr val="000000"/>
          </a:solidFill>
          <a:miter lim="800000"/>
          <a:headEnd/>
          <a:tailEnd/>
        </a:ln>
      </xdr:spPr>
    </xdr:sp>
    <xdr:clientData/>
  </xdr:twoCellAnchor>
  <xdr:twoCellAnchor>
    <xdr:from>
      <xdr:col>2</xdr:col>
      <xdr:colOff>47625</xdr:colOff>
      <xdr:row>35</xdr:row>
      <xdr:rowOff>19050</xdr:rowOff>
    </xdr:from>
    <xdr:to>
      <xdr:col>3</xdr:col>
      <xdr:colOff>361950</xdr:colOff>
      <xdr:row>35</xdr:row>
      <xdr:rowOff>57150</xdr:rowOff>
    </xdr:to>
    <xdr:sp macro="" textlink="">
      <xdr:nvSpPr>
        <xdr:cNvPr id="224012" name="Eingekerbter Pfeil nach rechts 229">
          <a:extLst>
            <a:ext uri="{FF2B5EF4-FFF2-40B4-BE49-F238E27FC236}">
              <a16:creationId xmlns:a16="http://schemas.microsoft.com/office/drawing/2014/main" id="{00000000-0008-0000-0B00-00000C6B0300}"/>
            </a:ext>
          </a:extLst>
        </xdr:cNvPr>
        <xdr:cNvSpPr>
          <a:spLocks noChangeArrowheads="1"/>
        </xdr:cNvSpPr>
      </xdr:nvSpPr>
      <xdr:spPr bwMode="auto">
        <a:xfrm rot="-900000">
          <a:off x="3105150" y="4838700"/>
          <a:ext cx="466725" cy="38100"/>
        </a:xfrm>
        <a:prstGeom prst="notchedRightArrow">
          <a:avLst>
            <a:gd name="adj1" fmla="val 50000"/>
            <a:gd name="adj2" fmla="val 42818"/>
          </a:avLst>
        </a:prstGeom>
        <a:solidFill>
          <a:srgbClr val="FF0000"/>
        </a:solidFill>
        <a:ln w="6350" algn="ctr">
          <a:solidFill>
            <a:srgbClr val="000000"/>
          </a:solidFill>
          <a:miter lim="800000"/>
          <a:headEnd/>
          <a:tailEnd/>
        </a:ln>
      </xdr:spPr>
    </xdr:sp>
    <xdr:clientData/>
  </xdr:twoCellAnchor>
  <xdr:twoCellAnchor>
    <xdr:from>
      <xdr:col>2</xdr:col>
      <xdr:colOff>9525</xdr:colOff>
      <xdr:row>19</xdr:row>
      <xdr:rowOff>9525</xdr:rowOff>
    </xdr:from>
    <xdr:to>
      <xdr:col>2</xdr:col>
      <xdr:colOff>85725</xdr:colOff>
      <xdr:row>21</xdr:row>
      <xdr:rowOff>152400</xdr:rowOff>
    </xdr:to>
    <xdr:sp macro="" textlink="">
      <xdr:nvSpPr>
        <xdr:cNvPr id="224013" name="Geschweifte Klammer rechts 230">
          <a:extLst>
            <a:ext uri="{FF2B5EF4-FFF2-40B4-BE49-F238E27FC236}">
              <a16:creationId xmlns:a16="http://schemas.microsoft.com/office/drawing/2014/main" id="{00000000-0008-0000-0B00-00000D6B0300}"/>
            </a:ext>
          </a:extLst>
        </xdr:cNvPr>
        <xdr:cNvSpPr>
          <a:spLocks/>
        </xdr:cNvSpPr>
      </xdr:nvSpPr>
      <xdr:spPr bwMode="auto">
        <a:xfrm>
          <a:off x="3067050" y="2562225"/>
          <a:ext cx="76200" cy="466725"/>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xdr:colOff>
      <xdr:row>69</xdr:row>
      <xdr:rowOff>28575</xdr:rowOff>
    </xdr:from>
    <xdr:to>
      <xdr:col>3</xdr:col>
      <xdr:colOff>352425</xdr:colOff>
      <xdr:row>69</xdr:row>
      <xdr:rowOff>66675</xdr:rowOff>
    </xdr:to>
    <xdr:sp macro="" textlink="">
      <xdr:nvSpPr>
        <xdr:cNvPr id="224014" name="Eingekerbter Pfeil nach rechts 231">
          <a:extLst>
            <a:ext uri="{FF2B5EF4-FFF2-40B4-BE49-F238E27FC236}">
              <a16:creationId xmlns:a16="http://schemas.microsoft.com/office/drawing/2014/main" id="{00000000-0008-0000-0B00-00000E6B0300}"/>
            </a:ext>
          </a:extLst>
        </xdr:cNvPr>
        <xdr:cNvSpPr>
          <a:spLocks noChangeArrowheads="1"/>
        </xdr:cNvSpPr>
      </xdr:nvSpPr>
      <xdr:spPr bwMode="auto">
        <a:xfrm rot="300000">
          <a:off x="3114675" y="944880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71</xdr:row>
      <xdr:rowOff>104775</xdr:rowOff>
    </xdr:from>
    <xdr:to>
      <xdr:col>3</xdr:col>
      <xdr:colOff>352425</xdr:colOff>
      <xdr:row>71</xdr:row>
      <xdr:rowOff>133350</xdr:rowOff>
    </xdr:to>
    <xdr:sp macro="" textlink="">
      <xdr:nvSpPr>
        <xdr:cNvPr id="224015" name="Eingekerbter Pfeil nach rechts 232">
          <a:extLst>
            <a:ext uri="{FF2B5EF4-FFF2-40B4-BE49-F238E27FC236}">
              <a16:creationId xmlns:a16="http://schemas.microsoft.com/office/drawing/2014/main" id="{00000000-0008-0000-0B00-00000F6B0300}"/>
            </a:ext>
          </a:extLst>
        </xdr:cNvPr>
        <xdr:cNvSpPr>
          <a:spLocks noChangeArrowheads="1"/>
        </xdr:cNvSpPr>
      </xdr:nvSpPr>
      <xdr:spPr bwMode="auto">
        <a:xfrm rot="-300000">
          <a:off x="3105150" y="9744075"/>
          <a:ext cx="457200" cy="28575"/>
        </a:xfrm>
        <a:prstGeom prst="notchedRightArrow">
          <a:avLst>
            <a:gd name="adj1" fmla="val 50000"/>
            <a:gd name="adj2" fmla="val 57407"/>
          </a:avLst>
        </a:prstGeom>
        <a:solidFill>
          <a:srgbClr val="FF0000"/>
        </a:solidFill>
        <a:ln w="6350" algn="ctr">
          <a:solidFill>
            <a:srgbClr val="000000"/>
          </a:solidFill>
          <a:miter lim="800000"/>
          <a:headEnd/>
          <a:tailEnd/>
        </a:ln>
      </xdr:spPr>
    </xdr:sp>
    <xdr:clientData/>
  </xdr:twoCellAnchor>
  <xdr:twoCellAnchor>
    <xdr:from>
      <xdr:col>2</xdr:col>
      <xdr:colOff>57150</xdr:colOff>
      <xdr:row>62</xdr:row>
      <xdr:rowOff>104775</xdr:rowOff>
    </xdr:from>
    <xdr:to>
      <xdr:col>3</xdr:col>
      <xdr:colOff>352425</xdr:colOff>
      <xdr:row>62</xdr:row>
      <xdr:rowOff>133350</xdr:rowOff>
    </xdr:to>
    <xdr:sp macro="" textlink="">
      <xdr:nvSpPr>
        <xdr:cNvPr id="224016" name="Eingekerbter Pfeil nach rechts 233">
          <a:extLst>
            <a:ext uri="{FF2B5EF4-FFF2-40B4-BE49-F238E27FC236}">
              <a16:creationId xmlns:a16="http://schemas.microsoft.com/office/drawing/2014/main" id="{00000000-0008-0000-0B00-0000106B0300}"/>
            </a:ext>
          </a:extLst>
        </xdr:cNvPr>
        <xdr:cNvSpPr>
          <a:spLocks noChangeArrowheads="1"/>
        </xdr:cNvSpPr>
      </xdr:nvSpPr>
      <xdr:spPr bwMode="auto">
        <a:xfrm rot="-300000">
          <a:off x="3114675" y="8601075"/>
          <a:ext cx="447675" cy="28575"/>
        </a:xfrm>
        <a:prstGeom prst="notchedRightArrow">
          <a:avLst>
            <a:gd name="adj1" fmla="val 50000"/>
            <a:gd name="adj2" fmla="val 56574"/>
          </a:avLst>
        </a:prstGeom>
        <a:solidFill>
          <a:srgbClr val="FF0000"/>
        </a:solidFill>
        <a:ln w="6350" algn="ctr">
          <a:solidFill>
            <a:srgbClr val="000000"/>
          </a:solidFill>
          <a:miter lim="800000"/>
          <a:headEnd/>
          <a:tailEnd/>
        </a:ln>
      </xdr:spPr>
    </xdr:sp>
    <xdr:clientData/>
  </xdr:twoCellAnchor>
  <xdr:twoCellAnchor>
    <xdr:from>
      <xdr:col>2</xdr:col>
      <xdr:colOff>57150</xdr:colOff>
      <xdr:row>63</xdr:row>
      <xdr:rowOff>38100</xdr:rowOff>
    </xdr:from>
    <xdr:to>
      <xdr:col>3</xdr:col>
      <xdr:colOff>352425</xdr:colOff>
      <xdr:row>63</xdr:row>
      <xdr:rowOff>76200</xdr:rowOff>
    </xdr:to>
    <xdr:sp macro="" textlink="">
      <xdr:nvSpPr>
        <xdr:cNvPr id="224017" name="Eingekerbter Pfeil nach rechts 234">
          <a:extLst>
            <a:ext uri="{FF2B5EF4-FFF2-40B4-BE49-F238E27FC236}">
              <a16:creationId xmlns:a16="http://schemas.microsoft.com/office/drawing/2014/main" id="{00000000-0008-0000-0B00-0000116B0300}"/>
            </a:ext>
          </a:extLst>
        </xdr:cNvPr>
        <xdr:cNvSpPr>
          <a:spLocks noChangeArrowheads="1"/>
        </xdr:cNvSpPr>
      </xdr:nvSpPr>
      <xdr:spPr bwMode="auto">
        <a:xfrm rot="300000">
          <a:off x="3114675" y="8696325"/>
          <a:ext cx="447675" cy="38100"/>
        </a:xfrm>
        <a:prstGeom prst="notchedRightArrow">
          <a:avLst>
            <a:gd name="adj1" fmla="val 50000"/>
            <a:gd name="adj2" fmla="val 42431"/>
          </a:avLst>
        </a:prstGeom>
        <a:solidFill>
          <a:srgbClr val="FF0000"/>
        </a:solidFill>
        <a:ln w="6350" algn="ctr">
          <a:solidFill>
            <a:srgbClr val="000000"/>
          </a:solidFill>
          <a:miter lim="800000"/>
          <a:headEnd/>
          <a:tailEnd/>
        </a:ln>
      </xdr:spPr>
    </xdr:sp>
    <xdr:clientData/>
  </xdr:twoCellAnchor>
  <xdr:twoCellAnchor>
    <xdr:from>
      <xdr:col>2</xdr:col>
      <xdr:colOff>38100</xdr:colOff>
      <xdr:row>62</xdr:row>
      <xdr:rowOff>19050</xdr:rowOff>
    </xdr:from>
    <xdr:to>
      <xdr:col>3</xdr:col>
      <xdr:colOff>361950</xdr:colOff>
      <xdr:row>62</xdr:row>
      <xdr:rowOff>57150</xdr:rowOff>
    </xdr:to>
    <xdr:sp macro="" textlink="">
      <xdr:nvSpPr>
        <xdr:cNvPr id="224018" name="Eingekerbter Pfeil nach rechts 235">
          <a:extLst>
            <a:ext uri="{FF2B5EF4-FFF2-40B4-BE49-F238E27FC236}">
              <a16:creationId xmlns:a16="http://schemas.microsoft.com/office/drawing/2014/main" id="{00000000-0008-0000-0B00-0000126B0300}"/>
            </a:ext>
          </a:extLst>
        </xdr:cNvPr>
        <xdr:cNvSpPr>
          <a:spLocks noChangeArrowheads="1"/>
        </xdr:cNvSpPr>
      </xdr:nvSpPr>
      <xdr:spPr bwMode="auto">
        <a:xfrm rot="-900000">
          <a:off x="3095625" y="8515350"/>
          <a:ext cx="476250" cy="38100"/>
        </a:xfrm>
        <a:prstGeom prst="notchedRightArrow">
          <a:avLst>
            <a:gd name="adj1" fmla="val 50000"/>
            <a:gd name="adj2" fmla="val 43345"/>
          </a:avLst>
        </a:prstGeom>
        <a:solidFill>
          <a:srgbClr val="FF0000"/>
        </a:solidFill>
        <a:ln w="6350" algn="ctr">
          <a:solidFill>
            <a:srgbClr val="000000"/>
          </a:solidFill>
          <a:miter lim="800000"/>
          <a:headEnd/>
          <a:tailEnd/>
        </a:ln>
      </xdr:spPr>
    </xdr:sp>
    <xdr:clientData/>
  </xdr:twoCellAnchor>
  <xdr:twoCellAnchor>
    <xdr:from>
      <xdr:col>2</xdr:col>
      <xdr:colOff>38100</xdr:colOff>
      <xdr:row>63</xdr:row>
      <xdr:rowOff>133350</xdr:rowOff>
    </xdr:from>
    <xdr:to>
      <xdr:col>3</xdr:col>
      <xdr:colOff>361950</xdr:colOff>
      <xdr:row>64</xdr:row>
      <xdr:rowOff>0</xdr:rowOff>
    </xdr:to>
    <xdr:sp macro="" textlink="">
      <xdr:nvSpPr>
        <xdr:cNvPr id="224019" name="Eingekerbter Pfeil nach rechts 236">
          <a:extLst>
            <a:ext uri="{FF2B5EF4-FFF2-40B4-BE49-F238E27FC236}">
              <a16:creationId xmlns:a16="http://schemas.microsoft.com/office/drawing/2014/main" id="{00000000-0008-0000-0B00-0000136B0300}"/>
            </a:ext>
          </a:extLst>
        </xdr:cNvPr>
        <xdr:cNvSpPr>
          <a:spLocks noChangeArrowheads="1"/>
        </xdr:cNvSpPr>
      </xdr:nvSpPr>
      <xdr:spPr bwMode="auto">
        <a:xfrm rot="960000">
          <a:off x="3095625" y="8791575"/>
          <a:ext cx="476250" cy="28575"/>
        </a:xfrm>
        <a:prstGeom prst="notchedRightArrow">
          <a:avLst>
            <a:gd name="adj1" fmla="val 50000"/>
            <a:gd name="adj2" fmla="val 54244"/>
          </a:avLst>
        </a:prstGeom>
        <a:solidFill>
          <a:srgbClr val="FF0000"/>
        </a:solidFill>
        <a:ln w="6350" algn="ctr">
          <a:solidFill>
            <a:srgbClr val="000000"/>
          </a:solidFill>
          <a:miter lim="800000"/>
          <a:headEnd/>
          <a:tailEnd/>
        </a:ln>
      </xdr:spPr>
    </xdr:sp>
    <xdr:clientData/>
  </xdr:twoCellAnchor>
  <xdr:twoCellAnchor>
    <xdr:from>
      <xdr:col>2</xdr:col>
      <xdr:colOff>47625</xdr:colOff>
      <xdr:row>56</xdr:row>
      <xdr:rowOff>95250</xdr:rowOff>
    </xdr:from>
    <xdr:to>
      <xdr:col>3</xdr:col>
      <xdr:colOff>352425</xdr:colOff>
      <xdr:row>56</xdr:row>
      <xdr:rowOff>133350</xdr:rowOff>
    </xdr:to>
    <xdr:sp macro="" textlink="">
      <xdr:nvSpPr>
        <xdr:cNvPr id="224020" name="Eingekerbter Pfeil nach rechts 237">
          <a:extLst>
            <a:ext uri="{FF2B5EF4-FFF2-40B4-BE49-F238E27FC236}">
              <a16:creationId xmlns:a16="http://schemas.microsoft.com/office/drawing/2014/main" id="{00000000-0008-0000-0B00-0000146B0300}"/>
            </a:ext>
          </a:extLst>
        </xdr:cNvPr>
        <xdr:cNvSpPr>
          <a:spLocks noChangeArrowheads="1"/>
        </xdr:cNvSpPr>
      </xdr:nvSpPr>
      <xdr:spPr bwMode="auto">
        <a:xfrm rot="-300000">
          <a:off x="3105150" y="7829550"/>
          <a:ext cx="457200" cy="38100"/>
        </a:xfrm>
        <a:prstGeom prst="notchedRightArrow">
          <a:avLst>
            <a:gd name="adj1" fmla="val 50000"/>
            <a:gd name="adj2" fmla="val 40944"/>
          </a:avLst>
        </a:prstGeom>
        <a:solidFill>
          <a:srgbClr val="FF0000"/>
        </a:solidFill>
        <a:ln w="6350" algn="ctr">
          <a:solidFill>
            <a:srgbClr val="000000"/>
          </a:solidFill>
          <a:miter lim="800000"/>
          <a:headEnd/>
          <a:tailEnd/>
        </a:ln>
      </xdr:spPr>
    </xdr:sp>
    <xdr:clientData/>
  </xdr:twoCellAnchor>
  <xdr:twoCellAnchor>
    <xdr:from>
      <xdr:col>2</xdr:col>
      <xdr:colOff>123825</xdr:colOff>
      <xdr:row>43</xdr:row>
      <xdr:rowOff>66675</xdr:rowOff>
    </xdr:from>
    <xdr:to>
      <xdr:col>3</xdr:col>
      <xdr:colOff>342900</xdr:colOff>
      <xdr:row>43</xdr:row>
      <xdr:rowOff>104775</xdr:rowOff>
    </xdr:to>
    <xdr:sp macro="" textlink="">
      <xdr:nvSpPr>
        <xdr:cNvPr id="224021" name="Eingekerbter Pfeil nach rechts 238">
          <a:extLst>
            <a:ext uri="{FF2B5EF4-FFF2-40B4-BE49-F238E27FC236}">
              <a16:creationId xmlns:a16="http://schemas.microsoft.com/office/drawing/2014/main" id="{00000000-0008-0000-0B00-0000156B0300}"/>
            </a:ext>
          </a:extLst>
        </xdr:cNvPr>
        <xdr:cNvSpPr>
          <a:spLocks noChangeArrowheads="1"/>
        </xdr:cNvSpPr>
      </xdr:nvSpPr>
      <xdr:spPr bwMode="auto">
        <a:xfrm>
          <a:off x="3181350" y="6076950"/>
          <a:ext cx="371475" cy="38100"/>
        </a:xfrm>
        <a:prstGeom prst="notchedRightArrow">
          <a:avLst>
            <a:gd name="adj1" fmla="val 50000"/>
            <a:gd name="adj2" fmla="val 41122"/>
          </a:avLst>
        </a:prstGeom>
        <a:solidFill>
          <a:srgbClr val="FF0000"/>
        </a:solidFill>
        <a:ln w="6350" algn="ctr">
          <a:solidFill>
            <a:srgbClr val="000000"/>
          </a:solidFill>
          <a:miter lim="800000"/>
          <a:headEnd/>
          <a:tailEnd/>
        </a:ln>
      </xdr:spPr>
    </xdr:sp>
    <xdr:clientData/>
  </xdr:twoCellAnchor>
  <xdr:twoCellAnchor>
    <xdr:from>
      <xdr:col>2</xdr:col>
      <xdr:colOff>104775</xdr:colOff>
      <xdr:row>42</xdr:row>
      <xdr:rowOff>152400</xdr:rowOff>
    </xdr:from>
    <xdr:to>
      <xdr:col>3</xdr:col>
      <xdr:colOff>361950</xdr:colOff>
      <xdr:row>43</xdr:row>
      <xdr:rowOff>28575</xdr:rowOff>
    </xdr:to>
    <xdr:sp macro="" textlink="">
      <xdr:nvSpPr>
        <xdr:cNvPr id="224022" name="Eingekerbter Pfeil nach rechts 239">
          <a:extLst>
            <a:ext uri="{FF2B5EF4-FFF2-40B4-BE49-F238E27FC236}">
              <a16:creationId xmlns:a16="http://schemas.microsoft.com/office/drawing/2014/main" id="{00000000-0008-0000-0B00-0000166B0300}"/>
            </a:ext>
          </a:extLst>
        </xdr:cNvPr>
        <xdr:cNvSpPr>
          <a:spLocks noChangeArrowheads="1"/>
        </xdr:cNvSpPr>
      </xdr:nvSpPr>
      <xdr:spPr bwMode="auto">
        <a:xfrm rot="-780000">
          <a:off x="3162300" y="6000750"/>
          <a:ext cx="409575" cy="38100"/>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114300</xdr:colOff>
      <xdr:row>43</xdr:row>
      <xdr:rowOff>152400</xdr:rowOff>
    </xdr:from>
    <xdr:to>
      <xdr:col>3</xdr:col>
      <xdr:colOff>361950</xdr:colOff>
      <xdr:row>44</xdr:row>
      <xdr:rowOff>28575</xdr:rowOff>
    </xdr:to>
    <xdr:sp macro="" textlink="">
      <xdr:nvSpPr>
        <xdr:cNvPr id="224023" name="Eingekerbter Pfeil nach rechts 240">
          <a:extLst>
            <a:ext uri="{FF2B5EF4-FFF2-40B4-BE49-F238E27FC236}">
              <a16:creationId xmlns:a16="http://schemas.microsoft.com/office/drawing/2014/main" id="{00000000-0008-0000-0B00-0000176B0300}"/>
            </a:ext>
          </a:extLst>
        </xdr:cNvPr>
        <xdr:cNvSpPr>
          <a:spLocks noChangeArrowheads="1"/>
        </xdr:cNvSpPr>
      </xdr:nvSpPr>
      <xdr:spPr bwMode="auto">
        <a:xfrm rot="840000">
          <a:off x="3171825" y="6162675"/>
          <a:ext cx="400050" cy="38100"/>
        </a:xfrm>
        <a:prstGeom prst="notchedRightArrow">
          <a:avLst>
            <a:gd name="adj1" fmla="val 50000"/>
            <a:gd name="adj2" fmla="val 42000"/>
          </a:avLst>
        </a:prstGeom>
        <a:solidFill>
          <a:srgbClr val="FF0000"/>
        </a:solidFill>
        <a:ln w="6350" algn="ctr">
          <a:solidFill>
            <a:srgbClr val="000000"/>
          </a:solidFill>
          <a:miter lim="800000"/>
          <a:headEnd/>
          <a:tailEnd/>
        </a:ln>
      </xdr:spPr>
    </xdr:sp>
    <xdr:clientData/>
  </xdr:twoCellAnchor>
  <xdr:twoCellAnchor>
    <xdr:from>
      <xdr:col>2</xdr:col>
      <xdr:colOff>85725</xdr:colOff>
      <xdr:row>44</xdr:row>
      <xdr:rowOff>66675</xdr:rowOff>
    </xdr:from>
    <xdr:to>
      <xdr:col>3</xdr:col>
      <xdr:colOff>371475</xdr:colOff>
      <xdr:row>44</xdr:row>
      <xdr:rowOff>104775</xdr:rowOff>
    </xdr:to>
    <xdr:sp macro="" textlink="">
      <xdr:nvSpPr>
        <xdr:cNvPr id="224024" name="Eingekerbter Pfeil nach rechts 241">
          <a:extLst>
            <a:ext uri="{FF2B5EF4-FFF2-40B4-BE49-F238E27FC236}">
              <a16:creationId xmlns:a16="http://schemas.microsoft.com/office/drawing/2014/main" id="{00000000-0008-0000-0B00-0000186B0300}"/>
            </a:ext>
          </a:extLst>
        </xdr:cNvPr>
        <xdr:cNvSpPr>
          <a:spLocks noChangeArrowheads="1"/>
        </xdr:cNvSpPr>
      </xdr:nvSpPr>
      <xdr:spPr bwMode="auto">
        <a:xfrm rot="1560000">
          <a:off x="3143250" y="6238875"/>
          <a:ext cx="438150" cy="38100"/>
        </a:xfrm>
        <a:prstGeom prst="notchedRightArrow">
          <a:avLst>
            <a:gd name="adj1" fmla="val 50000"/>
            <a:gd name="adj2" fmla="val 42113"/>
          </a:avLst>
        </a:prstGeom>
        <a:solidFill>
          <a:srgbClr val="FF0000"/>
        </a:solidFill>
        <a:ln w="6350" algn="ctr">
          <a:solidFill>
            <a:srgbClr val="000000"/>
          </a:solidFill>
          <a:miter lim="800000"/>
          <a:headEnd/>
          <a:tailEnd/>
        </a:ln>
      </xdr:spPr>
    </xdr:sp>
    <xdr:clientData/>
  </xdr:twoCellAnchor>
  <xdr:twoCellAnchor>
    <xdr:from>
      <xdr:col>2</xdr:col>
      <xdr:colOff>76200</xdr:colOff>
      <xdr:row>42</xdr:row>
      <xdr:rowOff>76200</xdr:rowOff>
    </xdr:from>
    <xdr:to>
      <xdr:col>3</xdr:col>
      <xdr:colOff>371475</xdr:colOff>
      <xdr:row>42</xdr:row>
      <xdr:rowOff>114300</xdr:rowOff>
    </xdr:to>
    <xdr:sp macro="" textlink="">
      <xdr:nvSpPr>
        <xdr:cNvPr id="224025" name="Eingekerbter Pfeil nach rechts 242">
          <a:extLst>
            <a:ext uri="{FF2B5EF4-FFF2-40B4-BE49-F238E27FC236}">
              <a16:creationId xmlns:a16="http://schemas.microsoft.com/office/drawing/2014/main" id="{00000000-0008-0000-0B00-0000196B0300}"/>
            </a:ext>
          </a:extLst>
        </xdr:cNvPr>
        <xdr:cNvSpPr>
          <a:spLocks noChangeArrowheads="1"/>
        </xdr:cNvSpPr>
      </xdr:nvSpPr>
      <xdr:spPr bwMode="auto">
        <a:xfrm rot="-1560000">
          <a:off x="3133725" y="5924550"/>
          <a:ext cx="447675" cy="38100"/>
        </a:xfrm>
        <a:prstGeom prst="notchedRightArrow">
          <a:avLst>
            <a:gd name="adj1" fmla="val 50000"/>
            <a:gd name="adj2" fmla="val 42703"/>
          </a:avLst>
        </a:prstGeom>
        <a:solidFill>
          <a:srgbClr val="FF0000"/>
        </a:solidFill>
        <a:ln w="6350" algn="ctr">
          <a:solidFill>
            <a:srgbClr val="000000"/>
          </a:solidFill>
          <a:miter lim="800000"/>
          <a:headEnd/>
          <a:tailEnd/>
        </a:ln>
      </xdr:spPr>
    </xdr:sp>
    <xdr:clientData/>
  </xdr:twoCellAnchor>
  <xdr:twoCellAnchor>
    <xdr:from>
      <xdr:col>3</xdr:col>
      <xdr:colOff>295275</xdr:colOff>
      <xdr:row>31</xdr:row>
      <xdr:rowOff>47625</xdr:rowOff>
    </xdr:from>
    <xdr:to>
      <xdr:col>4</xdr:col>
      <xdr:colOff>2943225</xdr:colOff>
      <xdr:row>31</xdr:row>
      <xdr:rowOff>47625</xdr:rowOff>
    </xdr:to>
    <xdr:cxnSp macro="">
      <xdr:nvCxnSpPr>
        <xdr:cNvPr id="224026" name="Gerade Verbindung mit Pfeil 243">
          <a:extLst>
            <a:ext uri="{FF2B5EF4-FFF2-40B4-BE49-F238E27FC236}">
              <a16:creationId xmlns:a16="http://schemas.microsoft.com/office/drawing/2014/main" id="{00000000-0008-0000-0B00-00001A6B0300}"/>
            </a:ext>
          </a:extLst>
        </xdr:cNvPr>
        <xdr:cNvCxnSpPr>
          <a:cxnSpLocks noChangeShapeType="1"/>
        </xdr:cNvCxnSpPr>
      </xdr:nvCxnSpPr>
      <xdr:spPr bwMode="auto">
        <a:xfrm flipV="1">
          <a:off x="3505200" y="4257675"/>
          <a:ext cx="310515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4</xdr:col>
      <xdr:colOff>2676525</xdr:colOff>
      <xdr:row>36</xdr:row>
      <xdr:rowOff>9525</xdr:rowOff>
    </xdr:from>
    <xdr:to>
      <xdr:col>4</xdr:col>
      <xdr:colOff>2762250</xdr:colOff>
      <xdr:row>39</xdr:row>
      <xdr:rowOff>152400</xdr:rowOff>
    </xdr:to>
    <xdr:sp macro="" textlink="">
      <xdr:nvSpPr>
        <xdr:cNvPr id="224027" name="Geschweifte Klammer rechts 244">
          <a:extLst>
            <a:ext uri="{FF2B5EF4-FFF2-40B4-BE49-F238E27FC236}">
              <a16:creationId xmlns:a16="http://schemas.microsoft.com/office/drawing/2014/main" id="{00000000-0008-0000-0B00-00001B6B0300}"/>
            </a:ext>
          </a:extLst>
        </xdr:cNvPr>
        <xdr:cNvSpPr>
          <a:spLocks/>
        </xdr:cNvSpPr>
      </xdr:nvSpPr>
      <xdr:spPr bwMode="auto">
        <a:xfrm>
          <a:off x="6343650" y="4991100"/>
          <a:ext cx="85725" cy="628650"/>
        </a:xfrm>
        <a:prstGeom prst="rightBrace">
          <a:avLst>
            <a:gd name="adj1" fmla="val 7944"/>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2933700</xdr:colOff>
      <xdr:row>31</xdr:row>
      <xdr:rowOff>38100</xdr:rowOff>
    </xdr:from>
    <xdr:to>
      <xdr:col>4</xdr:col>
      <xdr:colOff>2933700</xdr:colOff>
      <xdr:row>37</xdr:row>
      <xdr:rowOff>142875</xdr:rowOff>
    </xdr:to>
    <xdr:cxnSp macro="">
      <xdr:nvCxnSpPr>
        <xdr:cNvPr id="224028" name="Gerade Verbindung 245">
          <a:extLst>
            <a:ext uri="{FF2B5EF4-FFF2-40B4-BE49-F238E27FC236}">
              <a16:creationId xmlns:a16="http://schemas.microsoft.com/office/drawing/2014/main" id="{00000000-0008-0000-0B00-00001C6B0300}"/>
            </a:ext>
          </a:extLst>
        </xdr:cNvPr>
        <xdr:cNvCxnSpPr>
          <a:cxnSpLocks noChangeShapeType="1"/>
        </xdr:cNvCxnSpPr>
      </xdr:nvCxnSpPr>
      <xdr:spPr bwMode="auto">
        <a:xfrm>
          <a:off x="6600825" y="4248150"/>
          <a:ext cx="0" cy="1038225"/>
        </a:xfrm>
        <a:prstGeom prst="line">
          <a:avLst/>
        </a:prstGeom>
        <a:noFill/>
        <a:ln w="19050" algn="ctr">
          <a:solidFill>
            <a:srgbClr val="FF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xdr:col>
      <xdr:colOff>9525</xdr:colOff>
      <xdr:row>42</xdr:row>
      <xdr:rowOff>9525</xdr:rowOff>
    </xdr:from>
    <xdr:to>
      <xdr:col>2</xdr:col>
      <xdr:colOff>85725</xdr:colOff>
      <xdr:row>44</xdr:row>
      <xdr:rowOff>152400</xdr:rowOff>
    </xdr:to>
    <xdr:sp macro="" textlink="">
      <xdr:nvSpPr>
        <xdr:cNvPr id="224029" name="Geschweifte Klammer rechts 246">
          <a:extLst>
            <a:ext uri="{FF2B5EF4-FFF2-40B4-BE49-F238E27FC236}">
              <a16:creationId xmlns:a16="http://schemas.microsoft.com/office/drawing/2014/main" id="{00000000-0008-0000-0B00-00001D6B0300}"/>
            </a:ext>
          </a:extLst>
        </xdr:cNvPr>
        <xdr:cNvSpPr>
          <a:spLocks/>
        </xdr:cNvSpPr>
      </xdr:nvSpPr>
      <xdr:spPr bwMode="auto">
        <a:xfrm>
          <a:off x="3067050" y="5857875"/>
          <a:ext cx="76200" cy="466725"/>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47</xdr:row>
      <xdr:rowOff>95250</xdr:rowOff>
    </xdr:from>
    <xdr:to>
      <xdr:col>3</xdr:col>
      <xdr:colOff>352425</xdr:colOff>
      <xdr:row>47</xdr:row>
      <xdr:rowOff>133350</xdr:rowOff>
    </xdr:to>
    <xdr:sp macro="" textlink="">
      <xdr:nvSpPr>
        <xdr:cNvPr id="224030" name="Eingekerbter Pfeil nach rechts 247">
          <a:extLst>
            <a:ext uri="{FF2B5EF4-FFF2-40B4-BE49-F238E27FC236}">
              <a16:creationId xmlns:a16="http://schemas.microsoft.com/office/drawing/2014/main" id="{00000000-0008-0000-0B00-00001E6B0300}"/>
            </a:ext>
          </a:extLst>
        </xdr:cNvPr>
        <xdr:cNvSpPr>
          <a:spLocks noChangeArrowheads="1"/>
        </xdr:cNvSpPr>
      </xdr:nvSpPr>
      <xdr:spPr bwMode="auto">
        <a:xfrm rot="-300000">
          <a:off x="3105150" y="6686550"/>
          <a:ext cx="457200" cy="38100"/>
        </a:xfrm>
        <a:prstGeom prst="notchedRightArrow">
          <a:avLst>
            <a:gd name="adj1" fmla="val 50000"/>
            <a:gd name="adj2" fmla="val 42833"/>
          </a:avLst>
        </a:prstGeom>
        <a:solidFill>
          <a:srgbClr val="FF0000"/>
        </a:solidFill>
        <a:ln w="6350" algn="ctr">
          <a:solidFill>
            <a:srgbClr val="000000"/>
          </a:solidFill>
          <a:miter lim="800000"/>
          <a:headEnd/>
          <a:tailEnd/>
        </a:ln>
      </xdr:spPr>
    </xdr:sp>
    <xdr:clientData/>
  </xdr:twoCellAnchor>
  <xdr:twoCellAnchor>
    <xdr:from>
      <xdr:col>2</xdr:col>
      <xdr:colOff>47625</xdr:colOff>
      <xdr:row>48</xdr:row>
      <xdr:rowOff>38100</xdr:rowOff>
    </xdr:from>
    <xdr:to>
      <xdr:col>3</xdr:col>
      <xdr:colOff>352425</xdr:colOff>
      <xdr:row>48</xdr:row>
      <xdr:rowOff>76200</xdr:rowOff>
    </xdr:to>
    <xdr:sp macro="" textlink="">
      <xdr:nvSpPr>
        <xdr:cNvPr id="224031" name="Eingekerbter Pfeil nach rechts 248">
          <a:extLst>
            <a:ext uri="{FF2B5EF4-FFF2-40B4-BE49-F238E27FC236}">
              <a16:creationId xmlns:a16="http://schemas.microsoft.com/office/drawing/2014/main" id="{00000000-0008-0000-0B00-00001F6B0300}"/>
            </a:ext>
          </a:extLst>
        </xdr:cNvPr>
        <xdr:cNvSpPr>
          <a:spLocks noChangeArrowheads="1"/>
        </xdr:cNvSpPr>
      </xdr:nvSpPr>
      <xdr:spPr bwMode="auto">
        <a:xfrm rot="300000">
          <a:off x="3105150" y="679132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51</xdr:row>
      <xdr:rowOff>28575</xdr:rowOff>
    </xdr:from>
    <xdr:to>
      <xdr:col>3</xdr:col>
      <xdr:colOff>352425</xdr:colOff>
      <xdr:row>51</xdr:row>
      <xdr:rowOff>66675</xdr:rowOff>
    </xdr:to>
    <xdr:sp macro="" textlink="">
      <xdr:nvSpPr>
        <xdr:cNvPr id="224032" name="Eingekerbter Pfeil nach rechts 249">
          <a:extLst>
            <a:ext uri="{FF2B5EF4-FFF2-40B4-BE49-F238E27FC236}">
              <a16:creationId xmlns:a16="http://schemas.microsoft.com/office/drawing/2014/main" id="{00000000-0008-0000-0B00-0000206B0300}"/>
            </a:ext>
          </a:extLst>
        </xdr:cNvPr>
        <xdr:cNvSpPr>
          <a:spLocks noChangeArrowheads="1"/>
        </xdr:cNvSpPr>
      </xdr:nvSpPr>
      <xdr:spPr bwMode="auto">
        <a:xfrm rot="300000">
          <a:off x="3105150" y="7162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54</xdr:row>
      <xdr:rowOff>28575</xdr:rowOff>
    </xdr:from>
    <xdr:to>
      <xdr:col>3</xdr:col>
      <xdr:colOff>352425</xdr:colOff>
      <xdr:row>54</xdr:row>
      <xdr:rowOff>66675</xdr:rowOff>
    </xdr:to>
    <xdr:sp macro="" textlink="">
      <xdr:nvSpPr>
        <xdr:cNvPr id="224033" name="Eingekerbter Pfeil nach rechts 250">
          <a:extLst>
            <a:ext uri="{FF2B5EF4-FFF2-40B4-BE49-F238E27FC236}">
              <a16:creationId xmlns:a16="http://schemas.microsoft.com/office/drawing/2014/main" id="{00000000-0008-0000-0B00-0000216B0300}"/>
            </a:ext>
          </a:extLst>
        </xdr:cNvPr>
        <xdr:cNvSpPr>
          <a:spLocks noChangeArrowheads="1"/>
        </xdr:cNvSpPr>
      </xdr:nvSpPr>
      <xdr:spPr bwMode="auto">
        <a:xfrm rot="300000">
          <a:off x="3105150" y="7543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50</xdr:row>
      <xdr:rowOff>95250</xdr:rowOff>
    </xdr:from>
    <xdr:to>
      <xdr:col>3</xdr:col>
      <xdr:colOff>352425</xdr:colOff>
      <xdr:row>50</xdr:row>
      <xdr:rowOff>133350</xdr:rowOff>
    </xdr:to>
    <xdr:sp macro="" textlink="">
      <xdr:nvSpPr>
        <xdr:cNvPr id="224034" name="Eingekerbter Pfeil nach rechts 251">
          <a:extLst>
            <a:ext uri="{FF2B5EF4-FFF2-40B4-BE49-F238E27FC236}">
              <a16:creationId xmlns:a16="http://schemas.microsoft.com/office/drawing/2014/main" id="{00000000-0008-0000-0B00-0000226B0300}"/>
            </a:ext>
          </a:extLst>
        </xdr:cNvPr>
        <xdr:cNvSpPr>
          <a:spLocks noChangeArrowheads="1"/>
        </xdr:cNvSpPr>
      </xdr:nvSpPr>
      <xdr:spPr bwMode="auto">
        <a:xfrm rot="-300000">
          <a:off x="3105150" y="706755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53</xdr:row>
      <xdr:rowOff>104775</xdr:rowOff>
    </xdr:from>
    <xdr:to>
      <xdr:col>3</xdr:col>
      <xdr:colOff>352425</xdr:colOff>
      <xdr:row>53</xdr:row>
      <xdr:rowOff>133350</xdr:rowOff>
    </xdr:to>
    <xdr:sp macro="" textlink="">
      <xdr:nvSpPr>
        <xdr:cNvPr id="224035" name="Eingekerbter Pfeil nach rechts 252">
          <a:extLst>
            <a:ext uri="{FF2B5EF4-FFF2-40B4-BE49-F238E27FC236}">
              <a16:creationId xmlns:a16="http://schemas.microsoft.com/office/drawing/2014/main" id="{00000000-0008-0000-0B00-0000236B0300}"/>
            </a:ext>
          </a:extLst>
        </xdr:cNvPr>
        <xdr:cNvSpPr>
          <a:spLocks noChangeArrowheads="1"/>
        </xdr:cNvSpPr>
      </xdr:nvSpPr>
      <xdr:spPr bwMode="auto">
        <a:xfrm rot="-300000">
          <a:off x="3105150" y="7458075"/>
          <a:ext cx="457200" cy="28575"/>
        </a:xfrm>
        <a:prstGeom prst="notchedRightArrow">
          <a:avLst>
            <a:gd name="adj1" fmla="val 50000"/>
            <a:gd name="adj2" fmla="val 57333"/>
          </a:avLst>
        </a:prstGeom>
        <a:solidFill>
          <a:srgbClr val="FF0000"/>
        </a:solidFill>
        <a:ln w="6350" algn="ctr">
          <a:solidFill>
            <a:srgbClr val="000000"/>
          </a:solidFill>
          <a:miter lim="800000"/>
          <a:headEnd/>
          <a:tailEnd/>
        </a:ln>
      </xdr:spPr>
    </xdr:sp>
    <xdr:clientData/>
  </xdr:twoCellAnchor>
  <xdr:twoCellAnchor>
    <xdr:from>
      <xdr:col>3</xdr:col>
      <xdr:colOff>276225</xdr:colOff>
      <xdr:row>30</xdr:row>
      <xdr:rowOff>19050</xdr:rowOff>
    </xdr:from>
    <xdr:to>
      <xdr:col>4</xdr:col>
      <xdr:colOff>9525</xdr:colOff>
      <xdr:row>30</xdr:row>
      <xdr:rowOff>47625</xdr:rowOff>
    </xdr:to>
    <xdr:sp macro="" textlink="">
      <xdr:nvSpPr>
        <xdr:cNvPr id="224036" name="Eingekerbter Pfeil nach rechts 253">
          <a:extLst>
            <a:ext uri="{FF2B5EF4-FFF2-40B4-BE49-F238E27FC236}">
              <a16:creationId xmlns:a16="http://schemas.microsoft.com/office/drawing/2014/main" id="{00000000-0008-0000-0B00-0000246B0300}"/>
            </a:ext>
          </a:extLst>
        </xdr:cNvPr>
        <xdr:cNvSpPr>
          <a:spLocks noChangeArrowheads="1"/>
        </xdr:cNvSpPr>
      </xdr:nvSpPr>
      <xdr:spPr bwMode="auto">
        <a:xfrm rot="1680000">
          <a:off x="3486150" y="406717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276225</xdr:colOff>
      <xdr:row>29</xdr:row>
      <xdr:rowOff>104775</xdr:rowOff>
    </xdr:from>
    <xdr:to>
      <xdr:col>4</xdr:col>
      <xdr:colOff>9525</xdr:colOff>
      <xdr:row>29</xdr:row>
      <xdr:rowOff>133350</xdr:rowOff>
    </xdr:to>
    <xdr:sp macro="" textlink="">
      <xdr:nvSpPr>
        <xdr:cNvPr id="224037" name="Eingekerbter Pfeil nach rechts 254">
          <a:extLst>
            <a:ext uri="{FF2B5EF4-FFF2-40B4-BE49-F238E27FC236}">
              <a16:creationId xmlns:a16="http://schemas.microsoft.com/office/drawing/2014/main" id="{00000000-0008-0000-0B00-0000256B0300}"/>
            </a:ext>
          </a:extLst>
        </xdr:cNvPr>
        <xdr:cNvSpPr>
          <a:spLocks noChangeArrowheads="1"/>
        </xdr:cNvSpPr>
      </xdr:nvSpPr>
      <xdr:spPr bwMode="auto">
        <a:xfrm rot="-1680000">
          <a:off x="3486150" y="399097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4</xdr:col>
      <xdr:colOff>2781300</xdr:colOff>
      <xdr:row>37</xdr:row>
      <xdr:rowOff>161925</xdr:rowOff>
    </xdr:from>
    <xdr:to>
      <xdr:col>4</xdr:col>
      <xdr:colOff>2943225</xdr:colOff>
      <xdr:row>37</xdr:row>
      <xdr:rowOff>161925</xdr:rowOff>
    </xdr:to>
    <xdr:cxnSp macro="">
      <xdr:nvCxnSpPr>
        <xdr:cNvPr id="224038" name="Gerade Verbindung mit Pfeil 255">
          <a:extLst>
            <a:ext uri="{FF2B5EF4-FFF2-40B4-BE49-F238E27FC236}">
              <a16:creationId xmlns:a16="http://schemas.microsoft.com/office/drawing/2014/main" id="{00000000-0008-0000-0B00-0000266B0300}"/>
            </a:ext>
          </a:extLst>
        </xdr:cNvPr>
        <xdr:cNvCxnSpPr>
          <a:cxnSpLocks noChangeShapeType="1"/>
        </xdr:cNvCxnSpPr>
      </xdr:nvCxnSpPr>
      <xdr:spPr bwMode="auto">
        <a:xfrm flipV="1">
          <a:off x="6448425" y="5305425"/>
          <a:ext cx="161925"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95250</xdr:colOff>
      <xdr:row>76</xdr:row>
      <xdr:rowOff>57150</xdr:rowOff>
    </xdr:from>
    <xdr:to>
      <xdr:col>3</xdr:col>
      <xdr:colOff>295275</xdr:colOff>
      <xdr:row>76</xdr:row>
      <xdr:rowOff>95250</xdr:rowOff>
    </xdr:to>
    <xdr:sp macro="" textlink="">
      <xdr:nvSpPr>
        <xdr:cNvPr id="224039" name="Eingekerbter Pfeil nach rechts 256">
          <a:extLst>
            <a:ext uri="{FF2B5EF4-FFF2-40B4-BE49-F238E27FC236}">
              <a16:creationId xmlns:a16="http://schemas.microsoft.com/office/drawing/2014/main" id="{00000000-0008-0000-0B00-0000276B0300}"/>
            </a:ext>
          </a:extLst>
        </xdr:cNvPr>
        <xdr:cNvSpPr>
          <a:spLocks noChangeArrowheads="1"/>
        </xdr:cNvSpPr>
      </xdr:nvSpPr>
      <xdr:spPr bwMode="auto">
        <a:xfrm>
          <a:off x="3152775" y="10296525"/>
          <a:ext cx="35242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20</xdr:row>
      <xdr:rowOff>0</xdr:rowOff>
    </xdr:from>
    <xdr:to>
      <xdr:col>7</xdr:col>
      <xdr:colOff>647700</xdr:colOff>
      <xdr:row>31</xdr:row>
      <xdr:rowOff>47625</xdr:rowOff>
    </xdr:to>
    <xdr:pic>
      <xdr:nvPicPr>
        <xdr:cNvPr id="183598" name="Grafik 2">
          <a:extLst>
            <a:ext uri="{FF2B5EF4-FFF2-40B4-BE49-F238E27FC236}">
              <a16:creationId xmlns:a16="http://schemas.microsoft.com/office/drawing/2014/main" id="{00000000-0008-0000-0F00-00002ECD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686300"/>
          <a:ext cx="51816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495300</xdr:colOff>
      <xdr:row>5</xdr:row>
      <xdr:rowOff>19050</xdr:rowOff>
    </xdr:from>
    <xdr:to>
      <xdr:col>2</xdr:col>
      <xdr:colOff>485776</xdr:colOff>
      <xdr:row>8</xdr:row>
      <xdr:rowOff>152400</xdr:rowOff>
    </xdr:to>
    <xdr:sp macro="" textlink="">
      <xdr:nvSpPr>
        <xdr:cNvPr id="2" name="Rechteck 1">
          <a:extLst>
            <a:ext uri="{FF2B5EF4-FFF2-40B4-BE49-F238E27FC236}">
              <a16:creationId xmlns:a16="http://schemas.microsoft.com/office/drawing/2014/main" id="{00000000-0008-0000-1000-000002000000}"/>
            </a:ext>
          </a:extLst>
        </xdr:cNvPr>
        <xdr:cNvSpPr/>
      </xdr:nvSpPr>
      <xdr:spPr bwMode="auto">
        <a:xfrm>
          <a:off x="495300" y="828675"/>
          <a:ext cx="1514476" cy="6191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de-DE" sz="1100">
              <a:latin typeface="Arial" panose="020B0604020202020204" pitchFamily="34" charset="0"/>
              <a:cs typeface="Arial" panose="020B0604020202020204" pitchFamily="34" charset="0"/>
            </a:rPr>
            <a:t>Stall</a:t>
          </a:r>
        </a:p>
      </xdr:txBody>
    </xdr:sp>
    <xdr:clientData/>
  </xdr:twoCellAnchor>
  <xdr:twoCellAnchor>
    <xdr:from>
      <xdr:col>2</xdr:col>
      <xdr:colOff>133349</xdr:colOff>
      <xdr:row>16</xdr:row>
      <xdr:rowOff>95250</xdr:rowOff>
    </xdr:from>
    <xdr:to>
      <xdr:col>4</xdr:col>
      <xdr:colOff>238124</xdr:colOff>
      <xdr:row>20</xdr:row>
      <xdr:rowOff>66675</xdr:rowOff>
    </xdr:to>
    <xdr:sp macro="" textlink="">
      <xdr:nvSpPr>
        <xdr:cNvPr id="3" name="Rechteck 2">
          <a:extLst>
            <a:ext uri="{FF2B5EF4-FFF2-40B4-BE49-F238E27FC236}">
              <a16:creationId xmlns:a16="http://schemas.microsoft.com/office/drawing/2014/main" id="{00000000-0008-0000-1000-000003000000}"/>
            </a:ext>
          </a:extLst>
        </xdr:cNvPr>
        <xdr:cNvSpPr/>
      </xdr:nvSpPr>
      <xdr:spPr bwMode="auto">
        <a:xfrm>
          <a:off x="1657349" y="2686050"/>
          <a:ext cx="1628775" cy="6191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400" b="1">
              <a:latin typeface="Arial" panose="020B0604020202020204" pitchFamily="34" charset="0"/>
              <a:cs typeface="Arial" panose="020B0604020202020204" pitchFamily="34" charset="0"/>
            </a:rPr>
            <a:t>Biogas</a:t>
          </a:r>
        </a:p>
        <a:p>
          <a:pPr algn="ctr"/>
          <a:r>
            <a:rPr lang="de-DE" sz="1400" b="1">
              <a:latin typeface="Arial" panose="020B0604020202020204" pitchFamily="34" charset="0"/>
              <a:cs typeface="Arial" panose="020B0604020202020204" pitchFamily="34" charset="0"/>
            </a:rPr>
            <a:t>(WDüngV)</a:t>
          </a:r>
        </a:p>
      </xdr:txBody>
    </xdr:sp>
    <xdr:clientData/>
  </xdr:twoCellAnchor>
  <xdr:twoCellAnchor>
    <xdr:from>
      <xdr:col>2</xdr:col>
      <xdr:colOff>476250</xdr:colOff>
      <xdr:row>5</xdr:row>
      <xdr:rowOff>19050</xdr:rowOff>
    </xdr:from>
    <xdr:to>
      <xdr:col>3</xdr:col>
      <xdr:colOff>590551</xdr:colOff>
      <xdr:row>8</xdr:row>
      <xdr:rowOff>152400</xdr:rowOff>
    </xdr:to>
    <xdr:sp macro="" textlink="">
      <xdr:nvSpPr>
        <xdr:cNvPr id="4" name="Rechteck 3">
          <a:extLst>
            <a:ext uri="{FF2B5EF4-FFF2-40B4-BE49-F238E27FC236}">
              <a16:creationId xmlns:a16="http://schemas.microsoft.com/office/drawing/2014/main" id="{00000000-0008-0000-1000-000004000000}"/>
            </a:ext>
          </a:extLst>
        </xdr:cNvPr>
        <xdr:cNvSpPr/>
      </xdr:nvSpPr>
      <xdr:spPr bwMode="auto">
        <a:xfrm>
          <a:off x="2000250" y="828675"/>
          <a:ext cx="876301" cy="6191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de-DE" sz="1100">
              <a:latin typeface="Arial" panose="020B0604020202020204" pitchFamily="34" charset="0"/>
              <a:cs typeface="Arial" panose="020B0604020202020204" pitchFamily="34" charset="0"/>
            </a:rPr>
            <a:t>Pflanzen</a:t>
          </a:r>
        </a:p>
      </xdr:txBody>
    </xdr:sp>
    <xdr:clientData/>
  </xdr:twoCellAnchor>
  <xdr:twoCellAnchor>
    <xdr:from>
      <xdr:col>0</xdr:col>
      <xdr:colOff>495300</xdr:colOff>
      <xdr:row>3</xdr:row>
      <xdr:rowOff>152401</xdr:rowOff>
    </xdr:from>
    <xdr:to>
      <xdr:col>3</xdr:col>
      <xdr:colOff>600075</xdr:colOff>
      <xdr:row>5</xdr:row>
      <xdr:rowOff>19051</xdr:rowOff>
    </xdr:to>
    <xdr:sp macro="" textlink="">
      <xdr:nvSpPr>
        <xdr:cNvPr id="5" name="Rechteck 4">
          <a:extLst>
            <a:ext uri="{FF2B5EF4-FFF2-40B4-BE49-F238E27FC236}">
              <a16:creationId xmlns:a16="http://schemas.microsoft.com/office/drawing/2014/main" id="{00000000-0008-0000-1000-000005000000}"/>
            </a:ext>
          </a:extLst>
        </xdr:cNvPr>
        <xdr:cNvSpPr/>
      </xdr:nvSpPr>
      <xdr:spPr bwMode="auto">
        <a:xfrm>
          <a:off x="495300" y="638176"/>
          <a:ext cx="2390775" cy="190500"/>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de-DE" sz="1100">
              <a:latin typeface="Arial" panose="020B0604020202020204" pitchFamily="34" charset="0"/>
              <a:cs typeface="Arial" panose="020B0604020202020204" pitchFamily="34" charset="0"/>
            </a:rPr>
            <a:t>eigene Erzeugung</a:t>
          </a:r>
        </a:p>
      </xdr:txBody>
    </xdr:sp>
    <xdr:clientData/>
  </xdr:twoCellAnchor>
  <xdr:twoCellAnchor>
    <xdr:from>
      <xdr:col>3</xdr:col>
      <xdr:colOff>752476</xdr:colOff>
      <xdr:row>3</xdr:row>
      <xdr:rowOff>161924</xdr:rowOff>
    </xdr:from>
    <xdr:to>
      <xdr:col>6</xdr:col>
      <xdr:colOff>638176</xdr:colOff>
      <xdr:row>5</xdr:row>
      <xdr:rowOff>19049</xdr:rowOff>
    </xdr:to>
    <xdr:sp macro="" textlink="">
      <xdr:nvSpPr>
        <xdr:cNvPr id="7" name="Rechteck 6">
          <a:extLst>
            <a:ext uri="{FF2B5EF4-FFF2-40B4-BE49-F238E27FC236}">
              <a16:creationId xmlns:a16="http://schemas.microsoft.com/office/drawing/2014/main" id="{00000000-0008-0000-1000-000007000000}"/>
            </a:ext>
          </a:extLst>
        </xdr:cNvPr>
        <xdr:cNvSpPr/>
      </xdr:nvSpPr>
      <xdr:spPr bwMode="auto">
        <a:xfrm>
          <a:off x="3038476" y="647699"/>
          <a:ext cx="2171700" cy="18097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de-DE" sz="1100">
              <a:latin typeface="Arial" panose="020B0604020202020204" pitchFamily="34" charset="0"/>
              <a:cs typeface="Arial" panose="020B0604020202020204" pitchFamily="34" charset="0"/>
            </a:rPr>
            <a:t>Zukauf</a:t>
          </a:r>
        </a:p>
      </xdr:txBody>
    </xdr:sp>
    <xdr:clientData/>
  </xdr:twoCellAnchor>
  <xdr:twoCellAnchor>
    <xdr:from>
      <xdr:col>5</xdr:col>
      <xdr:colOff>266700</xdr:colOff>
      <xdr:row>5</xdr:row>
      <xdr:rowOff>19050</xdr:rowOff>
    </xdr:from>
    <xdr:to>
      <xdr:col>6</xdr:col>
      <xdr:colOff>619126</xdr:colOff>
      <xdr:row>8</xdr:row>
      <xdr:rowOff>152400</xdr:rowOff>
    </xdr:to>
    <xdr:sp macro="" textlink="">
      <xdr:nvSpPr>
        <xdr:cNvPr id="8" name="Rechteck 7">
          <a:extLst>
            <a:ext uri="{FF2B5EF4-FFF2-40B4-BE49-F238E27FC236}">
              <a16:creationId xmlns:a16="http://schemas.microsoft.com/office/drawing/2014/main" id="{00000000-0008-0000-1000-000008000000}"/>
            </a:ext>
          </a:extLst>
        </xdr:cNvPr>
        <xdr:cNvSpPr/>
      </xdr:nvSpPr>
      <xdr:spPr bwMode="auto">
        <a:xfrm>
          <a:off x="4076700" y="828675"/>
          <a:ext cx="1114426" cy="6191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latin typeface="Arial" panose="020B0604020202020204" pitchFamily="34" charset="0"/>
              <a:cs typeface="Arial" panose="020B0604020202020204" pitchFamily="34" charset="0"/>
            </a:rPr>
            <a:t>Pflanzen</a:t>
          </a:r>
        </a:p>
      </xdr:txBody>
    </xdr:sp>
    <xdr:clientData/>
  </xdr:twoCellAnchor>
  <xdr:twoCellAnchor>
    <xdr:from>
      <xdr:col>3</xdr:col>
      <xdr:colOff>752475</xdr:colOff>
      <xdr:row>5</xdr:row>
      <xdr:rowOff>19050</xdr:rowOff>
    </xdr:from>
    <xdr:to>
      <xdr:col>5</xdr:col>
      <xdr:colOff>266701</xdr:colOff>
      <xdr:row>8</xdr:row>
      <xdr:rowOff>152400</xdr:rowOff>
    </xdr:to>
    <xdr:sp macro="" textlink="">
      <xdr:nvSpPr>
        <xdr:cNvPr id="9" name="Rechteck 8">
          <a:extLst>
            <a:ext uri="{FF2B5EF4-FFF2-40B4-BE49-F238E27FC236}">
              <a16:creationId xmlns:a16="http://schemas.microsoft.com/office/drawing/2014/main" id="{00000000-0008-0000-1000-000009000000}"/>
            </a:ext>
          </a:extLst>
        </xdr:cNvPr>
        <xdr:cNvSpPr/>
      </xdr:nvSpPr>
      <xdr:spPr bwMode="auto">
        <a:xfrm>
          <a:off x="3038475" y="828675"/>
          <a:ext cx="1038226" cy="6191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latin typeface="Arial" panose="020B0604020202020204" pitchFamily="34" charset="0"/>
              <a:cs typeface="Arial" panose="020B0604020202020204" pitchFamily="34" charset="0"/>
            </a:rPr>
            <a:t>org. Dünger</a:t>
          </a:r>
        </a:p>
      </xdr:txBody>
    </xdr:sp>
    <xdr:clientData/>
  </xdr:twoCellAnchor>
  <xdr:twoCellAnchor>
    <xdr:from>
      <xdr:col>4</xdr:col>
      <xdr:colOff>104775</xdr:colOff>
      <xdr:row>8</xdr:row>
      <xdr:rowOff>152400</xdr:rowOff>
    </xdr:from>
    <xdr:to>
      <xdr:col>6</xdr:col>
      <xdr:colOff>66675</xdr:colOff>
      <xdr:row>16</xdr:row>
      <xdr:rowOff>104775</xdr:rowOff>
    </xdr:to>
    <xdr:cxnSp macro="">
      <xdr:nvCxnSpPr>
        <xdr:cNvPr id="225597" name="Gerade Verbindung mit Pfeil 10">
          <a:extLst>
            <a:ext uri="{FF2B5EF4-FFF2-40B4-BE49-F238E27FC236}">
              <a16:creationId xmlns:a16="http://schemas.microsoft.com/office/drawing/2014/main" id="{00000000-0008-0000-1000-00003D710300}"/>
            </a:ext>
          </a:extLst>
        </xdr:cNvPr>
        <xdr:cNvCxnSpPr>
          <a:cxnSpLocks noChangeShapeType="1"/>
          <a:stCxn id="8" idx="2"/>
        </xdr:cNvCxnSpPr>
      </xdr:nvCxnSpPr>
      <xdr:spPr bwMode="auto">
        <a:xfrm flipH="1">
          <a:off x="3152775" y="1514475"/>
          <a:ext cx="1485900" cy="1247775"/>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0</xdr:col>
      <xdr:colOff>495300</xdr:colOff>
      <xdr:row>7</xdr:row>
      <xdr:rowOff>38100</xdr:rowOff>
    </xdr:from>
    <xdr:to>
      <xdr:col>1</xdr:col>
      <xdr:colOff>238126</xdr:colOff>
      <xdr:row>8</xdr:row>
      <xdr:rowOff>152400</xdr:rowOff>
    </xdr:to>
    <xdr:sp macro="" textlink="">
      <xdr:nvSpPr>
        <xdr:cNvPr id="12" name="Rechteck 11">
          <a:extLst>
            <a:ext uri="{FF2B5EF4-FFF2-40B4-BE49-F238E27FC236}">
              <a16:creationId xmlns:a16="http://schemas.microsoft.com/office/drawing/2014/main" id="{00000000-0008-0000-1000-00000C000000}"/>
            </a:ext>
          </a:extLst>
        </xdr:cNvPr>
        <xdr:cNvSpPr/>
      </xdr:nvSpPr>
      <xdr:spPr bwMode="auto">
        <a:xfrm>
          <a:off x="495300" y="1171575"/>
          <a:ext cx="504826" cy="2762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latin typeface="Arial" panose="020B0604020202020204" pitchFamily="34" charset="0"/>
              <a:cs typeface="Arial" panose="020B0604020202020204" pitchFamily="34" charset="0"/>
            </a:rPr>
            <a:t>Mist</a:t>
          </a:r>
        </a:p>
      </xdr:txBody>
    </xdr:sp>
    <xdr:clientData/>
  </xdr:twoCellAnchor>
  <xdr:twoCellAnchor>
    <xdr:from>
      <xdr:col>1</xdr:col>
      <xdr:colOff>228600</xdr:colOff>
      <xdr:row>7</xdr:row>
      <xdr:rowOff>38100</xdr:rowOff>
    </xdr:from>
    <xdr:to>
      <xdr:col>1</xdr:col>
      <xdr:colOff>733426</xdr:colOff>
      <xdr:row>8</xdr:row>
      <xdr:rowOff>152400</xdr:rowOff>
    </xdr:to>
    <xdr:sp macro="" textlink="">
      <xdr:nvSpPr>
        <xdr:cNvPr id="13" name="Rechteck 12">
          <a:extLst>
            <a:ext uri="{FF2B5EF4-FFF2-40B4-BE49-F238E27FC236}">
              <a16:creationId xmlns:a16="http://schemas.microsoft.com/office/drawing/2014/main" id="{00000000-0008-0000-1000-00000D000000}"/>
            </a:ext>
          </a:extLst>
        </xdr:cNvPr>
        <xdr:cNvSpPr/>
      </xdr:nvSpPr>
      <xdr:spPr bwMode="auto">
        <a:xfrm>
          <a:off x="990600" y="1171575"/>
          <a:ext cx="504826" cy="2762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latin typeface="Arial" panose="020B0604020202020204" pitchFamily="34" charset="0"/>
              <a:cs typeface="Arial" panose="020B0604020202020204" pitchFamily="34" charset="0"/>
            </a:rPr>
            <a:t>Weide</a:t>
          </a:r>
        </a:p>
      </xdr:txBody>
    </xdr:sp>
    <xdr:clientData/>
  </xdr:twoCellAnchor>
  <xdr:twoCellAnchor>
    <xdr:from>
      <xdr:col>1</xdr:col>
      <xdr:colOff>733425</xdr:colOff>
      <xdr:row>7</xdr:row>
      <xdr:rowOff>38100</xdr:rowOff>
    </xdr:from>
    <xdr:to>
      <xdr:col>2</xdr:col>
      <xdr:colOff>476251</xdr:colOff>
      <xdr:row>8</xdr:row>
      <xdr:rowOff>152400</xdr:rowOff>
    </xdr:to>
    <xdr:sp macro="" textlink="">
      <xdr:nvSpPr>
        <xdr:cNvPr id="14" name="Rechteck 13">
          <a:extLst>
            <a:ext uri="{FF2B5EF4-FFF2-40B4-BE49-F238E27FC236}">
              <a16:creationId xmlns:a16="http://schemas.microsoft.com/office/drawing/2014/main" id="{00000000-0008-0000-1000-00000E000000}"/>
            </a:ext>
          </a:extLst>
        </xdr:cNvPr>
        <xdr:cNvSpPr/>
      </xdr:nvSpPr>
      <xdr:spPr bwMode="auto">
        <a:xfrm>
          <a:off x="1495425" y="1171575"/>
          <a:ext cx="504826" cy="2762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latin typeface="Arial" panose="020B0604020202020204" pitchFamily="34" charset="0"/>
              <a:cs typeface="Arial" panose="020B0604020202020204" pitchFamily="34" charset="0"/>
            </a:rPr>
            <a:t>Gülle</a:t>
          </a:r>
        </a:p>
      </xdr:txBody>
    </xdr:sp>
    <xdr:clientData/>
  </xdr:twoCellAnchor>
  <xdr:twoCellAnchor>
    <xdr:from>
      <xdr:col>4</xdr:col>
      <xdr:colOff>504825</xdr:colOff>
      <xdr:row>26</xdr:row>
      <xdr:rowOff>38100</xdr:rowOff>
    </xdr:from>
    <xdr:to>
      <xdr:col>6</xdr:col>
      <xdr:colOff>95251</xdr:colOff>
      <xdr:row>30</xdr:row>
      <xdr:rowOff>9525</xdr:rowOff>
    </xdr:to>
    <xdr:sp macro="" textlink="">
      <xdr:nvSpPr>
        <xdr:cNvPr id="15" name="Rechteck 14">
          <a:extLst>
            <a:ext uri="{FF2B5EF4-FFF2-40B4-BE49-F238E27FC236}">
              <a16:creationId xmlns:a16="http://schemas.microsoft.com/office/drawing/2014/main" id="{00000000-0008-0000-1000-00000F000000}"/>
            </a:ext>
          </a:extLst>
        </xdr:cNvPr>
        <xdr:cNvSpPr/>
      </xdr:nvSpPr>
      <xdr:spPr bwMode="auto">
        <a:xfrm>
          <a:off x="3552825" y="4248150"/>
          <a:ext cx="1114426" cy="6191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latin typeface="Arial" panose="020B0604020202020204" pitchFamily="34" charset="0"/>
              <a:cs typeface="Arial" panose="020B0604020202020204" pitchFamily="34" charset="0"/>
            </a:rPr>
            <a:t>Abgabe</a:t>
          </a:r>
        </a:p>
      </xdr:txBody>
    </xdr:sp>
    <xdr:clientData/>
  </xdr:twoCellAnchor>
  <xdr:twoCellAnchor>
    <xdr:from>
      <xdr:col>0</xdr:col>
      <xdr:colOff>495300</xdr:colOff>
      <xdr:row>26</xdr:row>
      <xdr:rowOff>76200</xdr:rowOff>
    </xdr:from>
    <xdr:to>
      <xdr:col>2</xdr:col>
      <xdr:colOff>85726</xdr:colOff>
      <xdr:row>30</xdr:row>
      <xdr:rowOff>47625</xdr:rowOff>
    </xdr:to>
    <xdr:sp macro="" textlink="">
      <xdr:nvSpPr>
        <xdr:cNvPr id="16" name="Rechteck 15">
          <a:extLst>
            <a:ext uri="{FF2B5EF4-FFF2-40B4-BE49-F238E27FC236}">
              <a16:creationId xmlns:a16="http://schemas.microsoft.com/office/drawing/2014/main" id="{00000000-0008-0000-1000-000010000000}"/>
            </a:ext>
          </a:extLst>
        </xdr:cNvPr>
        <xdr:cNvSpPr/>
      </xdr:nvSpPr>
      <xdr:spPr bwMode="auto">
        <a:xfrm>
          <a:off x="495300" y="4286250"/>
          <a:ext cx="1114426" cy="6191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b" upright="1"/>
        <a:lstStyle/>
        <a:p>
          <a:pPr algn="ctr"/>
          <a:r>
            <a:rPr lang="de-DE" sz="1100">
              <a:latin typeface="Arial" panose="020B0604020202020204" pitchFamily="34" charset="0"/>
              <a:cs typeface="Arial" panose="020B0604020202020204" pitchFamily="34" charset="0"/>
            </a:rPr>
            <a:t>Eigene Flächen</a:t>
          </a:r>
        </a:p>
      </xdr:txBody>
    </xdr:sp>
    <xdr:clientData/>
  </xdr:twoCellAnchor>
  <xdr:twoCellAnchor>
    <xdr:from>
      <xdr:col>1</xdr:col>
      <xdr:colOff>85725</xdr:colOff>
      <xdr:row>26</xdr:row>
      <xdr:rowOff>76200</xdr:rowOff>
    </xdr:from>
    <xdr:to>
      <xdr:col>2</xdr:col>
      <xdr:colOff>85726</xdr:colOff>
      <xdr:row>28</xdr:row>
      <xdr:rowOff>142875</xdr:rowOff>
    </xdr:to>
    <xdr:sp macro="" textlink="">
      <xdr:nvSpPr>
        <xdr:cNvPr id="17" name="Rechteck 16">
          <a:extLst>
            <a:ext uri="{FF2B5EF4-FFF2-40B4-BE49-F238E27FC236}">
              <a16:creationId xmlns:a16="http://schemas.microsoft.com/office/drawing/2014/main" id="{00000000-0008-0000-1000-000011000000}"/>
            </a:ext>
          </a:extLst>
        </xdr:cNvPr>
        <xdr:cNvSpPr/>
      </xdr:nvSpPr>
      <xdr:spPr bwMode="auto">
        <a:xfrm>
          <a:off x="847725" y="4286250"/>
          <a:ext cx="762001" cy="3905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latin typeface="Arial" panose="020B0604020202020204" pitchFamily="34" charset="0"/>
              <a:cs typeface="Arial" panose="020B0604020202020204" pitchFamily="34" charset="0"/>
            </a:rPr>
            <a:t>170 kg</a:t>
          </a:r>
        </a:p>
      </xdr:txBody>
    </xdr:sp>
    <xdr:clientData/>
  </xdr:twoCellAnchor>
  <xdr:twoCellAnchor>
    <xdr:from>
      <xdr:col>0</xdr:col>
      <xdr:colOff>676275</xdr:colOff>
      <xdr:row>8</xdr:row>
      <xdr:rowOff>152400</xdr:rowOff>
    </xdr:from>
    <xdr:to>
      <xdr:col>0</xdr:col>
      <xdr:colOff>752475</xdr:colOff>
      <xdr:row>18</xdr:row>
      <xdr:rowOff>152400</xdr:rowOff>
    </xdr:to>
    <xdr:cxnSp macro="">
      <xdr:nvCxnSpPr>
        <xdr:cNvPr id="225604" name="Gerade Verbindung mit Pfeil 18">
          <a:extLst>
            <a:ext uri="{FF2B5EF4-FFF2-40B4-BE49-F238E27FC236}">
              <a16:creationId xmlns:a16="http://schemas.microsoft.com/office/drawing/2014/main" id="{00000000-0008-0000-1000-000044710300}"/>
            </a:ext>
          </a:extLst>
        </xdr:cNvPr>
        <xdr:cNvCxnSpPr>
          <a:cxnSpLocks noChangeShapeType="1"/>
          <a:stCxn id="12" idx="2"/>
        </xdr:cNvCxnSpPr>
      </xdr:nvCxnSpPr>
      <xdr:spPr bwMode="auto">
        <a:xfrm flipH="1">
          <a:off x="676275" y="1514475"/>
          <a:ext cx="76200" cy="1619250"/>
        </a:xfrm>
        <a:prstGeom prst="straightConnector1">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590550</xdr:colOff>
      <xdr:row>18</xdr:row>
      <xdr:rowOff>142875</xdr:rowOff>
    </xdr:from>
    <xdr:to>
      <xdr:col>0</xdr:col>
      <xdr:colOff>676275</xdr:colOff>
      <xdr:row>26</xdr:row>
      <xdr:rowOff>133350</xdr:rowOff>
    </xdr:to>
    <xdr:cxnSp macro="">
      <xdr:nvCxnSpPr>
        <xdr:cNvPr id="225605" name="Gerade Verbindung mit Pfeil 21">
          <a:extLst>
            <a:ext uri="{FF2B5EF4-FFF2-40B4-BE49-F238E27FC236}">
              <a16:creationId xmlns:a16="http://schemas.microsoft.com/office/drawing/2014/main" id="{00000000-0008-0000-1000-000045710300}"/>
            </a:ext>
          </a:extLst>
        </xdr:cNvPr>
        <xdr:cNvCxnSpPr>
          <a:cxnSpLocks noChangeShapeType="1"/>
        </xdr:cNvCxnSpPr>
      </xdr:nvCxnSpPr>
      <xdr:spPr bwMode="auto">
        <a:xfrm flipH="1">
          <a:off x="590550" y="3124200"/>
          <a:ext cx="85725" cy="1285875"/>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0</xdr:col>
      <xdr:colOff>714375</xdr:colOff>
      <xdr:row>13</xdr:row>
      <xdr:rowOff>76200</xdr:rowOff>
    </xdr:from>
    <xdr:to>
      <xdr:col>1</xdr:col>
      <xdr:colOff>285750</xdr:colOff>
      <xdr:row>26</xdr:row>
      <xdr:rowOff>76200</xdr:rowOff>
    </xdr:to>
    <xdr:cxnSp macro="">
      <xdr:nvCxnSpPr>
        <xdr:cNvPr id="225606" name="Gerade Verbindung mit Pfeil 24">
          <a:extLst>
            <a:ext uri="{FF2B5EF4-FFF2-40B4-BE49-F238E27FC236}">
              <a16:creationId xmlns:a16="http://schemas.microsoft.com/office/drawing/2014/main" id="{00000000-0008-0000-1000-000046710300}"/>
            </a:ext>
          </a:extLst>
        </xdr:cNvPr>
        <xdr:cNvCxnSpPr>
          <a:cxnSpLocks noChangeShapeType="1"/>
        </xdr:cNvCxnSpPr>
      </xdr:nvCxnSpPr>
      <xdr:spPr bwMode="auto">
        <a:xfrm>
          <a:off x="714375" y="2247900"/>
          <a:ext cx="333375" cy="2105025"/>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438150</xdr:colOff>
      <xdr:row>8</xdr:row>
      <xdr:rowOff>142875</xdr:rowOff>
    </xdr:from>
    <xdr:to>
      <xdr:col>1</xdr:col>
      <xdr:colOff>466725</xdr:colOff>
      <xdr:row>26</xdr:row>
      <xdr:rowOff>76200</xdr:rowOff>
    </xdr:to>
    <xdr:cxnSp macro="">
      <xdr:nvCxnSpPr>
        <xdr:cNvPr id="225607" name="Gerade Verbindung mit Pfeil 30">
          <a:extLst>
            <a:ext uri="{FF2B5EF4-FFF2-40B4-BE49-F238E27FC236}">
              <a16:creationId xmlns:a16="http://schemas.microsoft.com/office/drawing/2014/main" id="{00000000-0008-0000-1000-000047710300}"/>
            </a:ext>
          </a:extLst>
        </xdr:cNvPr>
        <xdr:cNvCxnSpPr>
          <a:cxnSpLocks noChangeShapeType="1"/>
          <a:endCxn id="17" idx="0"/>
        </xdr:cNvCxnSpPr>
      </xdr:nvCxnSpPr>
      <xdr:spPr bwMode="auto">
        <a:xfrm>
          <a:off x="1200150" y="1504950"/>
          <a:ext cx="28575" cy="2847975"/>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638175</xdr:colOff>
      <xdr:row>8</xdr:row>
      <xdr:rowOff>152400</xdr:rowOff>
    </xdr:from>
    <xdr:to>
      <xdr:col>2</xdr:col>
      <xdr:colOff>123825</xdr:colOff>
      <xdr:row>26</xdr:row>
      <xdr:rowOff>85725</xdr:rowOff>
    </xdr:to>
    <xdr:cxnSp macro="">
      <xdr:nvCxnSpPr>
        <xdr:cNvPr id="225608" name="Gerade Verbindung mit Pfeil 36">
          <a:extLst>
            <a:ext uri="{FF2B5EF4-FFF2-40B4-BE49-F238E27FC236}">
              <a16:creationId xmlns:a16="http://schemas.microsoft.com/office/drawing/2014/main" id="{00000000-0008-0000-1000-000048710300}"/>
            </a:ext>
          </a:extLst>
        </xdr:cNvPr>
        <xdr:cNvCxnSpPr>
          <a:cxnSpLocks noChangeShapeType="1"/>
        </xdr:cNvCxnSpPr>
      </xdr:nvCxnSpPr>
      <xdr:spPr bwMode="auto">
        <a:xfrm flipH="1">
          <a:off x="1400175" y="1514475"/>
          <a:ext cx="247650" cy="2847975"/>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85725</xdr:colOff>
      <xdr:row>8</xdr:row>
      <xdr:rowOff>152400</xdr:rowOff>
    </xdr:from>
    <xdr:to>
      <xdr:col>2</xdr:col>
      <xdr:colOff>466725</xdr:colOff>
      <xdr:row>16</xdr:row>
      <xdr:rowOff>133350</xdr:rowOff>
    </xdr:to>
    <xdr:cxnSp macro="">
      <xdr:nvCxnSpPr>
        <xdr:cNvPr id="225609" name="Gerade Verbindung mit Pfeil 38">
          <a:extLst>
            <a:ext uri="{FF2B5EF4-FFF2-40B4-BE49-F238E27FC236}">
              <a16:creationId xmlns:a16="http://schemas.microsoft.com/office/drawing/2014/main" id="{00000000-0008-0000-1000-000049710300}"/>
            </a:ext>
          </a:extLst>
        </xdr:cNvPr>
        <xdr:cNvCxnSpPr>
          <a:cxnSpLocks noChangeShapeType="1"/>
        </xdr:cNvCxnSpPr>
      </xdr:nvCxnSpPr>
      <xdr:spPr bwMode="auto">
        <a:xfrm>
          <a:off x="847725" y="1514475"/>
          <a:ext cx="1143000" cy="1276350"/>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247650</xdr:colOff>
      <xdr:row>8</xdr:row>
      <xdr:rowOff>152400</xdr:rowOff>
    </xdr:from>
    <xdr:to>
      <xdr:col>2</xdr:col>
      <xdr:colOff>609600</xdr:colOff>
      <xdr:row>16</xdr:row>
      <xdr:rowOff>104775</xdr:rowOff>
    </xdr:to>
    <xdr:cxnSp macro="">
      <xdr:nvCxnSpPr>
        <xdr:cNvPr id="225610" name="Gerade Verbindung mit Pfeil 40">
          <a:extLst>
            <a:ext uri="{FF2B5EF4-FFF2-40B4-BE49-F238E27FC236}">
              <a16:creationId xmlns:a16="http://schemas.microsoft.com/office/drawing/2014/main" id="{00000000-0008-0000-1000-00004A710300}"/>
            </a:ext>
          </a:extLst>
        </xdr:cNvPr>
        <xdr:cNvCxnSpPr>
          <a:cxnSpLocks noChangeShapeType="1"/>
        </xdr:cNvCxnSpPr>
      </xdr:nvCxnSpPr>
      <xdr:spPr bwMode="auto">
        <a:xfrm>
          <a:off x="1771650" y="1514475"/>
          <a:ext cx="361950" cy="1247775"/>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114300</xdr:colOff>
      <xdr:row>9</xdr:row>
      <xdr:rowOff>0</xdr:rowOff>
    </xdr:from>
    <xdr:to>
      <xdr:col>3</xdr:col>
      <xdr:colOff>180975</xdr:colOff>
      <xdr:row>16</xdr:row>
      <xdr:rowOff>95250</xdr:rowOff>
    </xdr:to>
    <xdr:cxnSp macro="">
      <xdr:nvCxnSpPr>
        <xdr:cNvPr id="225611" name="Gerade Verbindung mit Pfeil 42">
          <a:extLst>
            <a:ext uri="{FF2B5EF4-FFF2-40B4-BE49-F238E27FC236}">
              <a16:creationId xmlns:a16="http://schemas.microsoft.com/office/drawing/2014/main" id="{00000000-0008-0000-1000-00004B710300}"/>
            </a:ext>
          </a:extLst>
        </xdr:cNvPr>
        <xdr:cNvCxnSpPr>
          <a:cxnSpLocks noChangeShapeType="1"/>
          <a:endCxn id="3" idx="0"/>
        </xdr:cNvCxnSpPr>
      </xdr:nvCxnSpPr>
      <xdr:spPr bwMode="auto">
        <a:xfrm>
          <a:off x="2400300" y="1524000"/>
          <a:ext cx="66675" cy="1228725"/>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504825</xdr:colOff>
      <xdr:row>8</xdr:row>
      <xdr:rowOff>152400</xdr:rowOff>
    </xdr:from>
    <xdr:to>
      <xdr:col>4</xdr:col>
      <xdr:colOff>561975</xdr:colOff>
      <xdr:row>16</xdr:row>
      <xdr:rowOff>104775</xdr:rowOff>
    </xdr:to>
    <xdr:cxnSp macro="">
      <xdr:nvCxnSpPr>
        <xdr:cNvPr id="225612" name="Gerade Verbindung mit Pfeil 44">
          <a:extLst>
            <a:ext uri="{FF2B5EF4-FFF2-40B4-BE49-F238E27FC236}">
              <a16:creationId xmlns:a16="http://schemas.microsoft.com/office/drawing/2014/main" id="{00000000-0008-0000-1000-00004C710300}"/>
            </a:ext>
          </a:extLst>
        </xdr:cNvPr>
        <xdr:cNvCxnSpPr>
          <a:cxnSpLocks noChangeShapeType="1"/>
        </xdr:cNvCxnSpPr>
      </xdr:nvCxnSpPr>
      <xdr:spPr bwMode="auto">
        <a:xfrm flipH="1">
          <a:off x="2790825" y="1514475"/>
          <a:ext cx="819150" cy="1247775"/>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47625</xdr:colOff>
      <xdr:row>20</xdr:row>
      <xdr:rowOff>66675</xdr:rowOff>
    </xdr:from>
    <xdr:to>
      <xdr:col>5</xdr:col>
      <xdr:colOff>133350</xdr:colOff>
      <xdr:row>26</xdr:row>
      <xdr:rowOff>47625</xdr:rowOff>
    </xdr:to>
    <xdr:cxnSp macro="">
      <xdr:nvCxnSpPr>
        <xdr:cNvPr id="225613" name="Gerade Verbindung mit Pfeil 46">
          <a:extLst>
            <a:ext uri="{FF2B5EF4-FFF2-40B4-BE49-F238E27FC236}">
              <a16:creationId xmlns:a16="http://schemas.microsoft.com/office/drawing/2014/main" id="{00000000-0008-0000-1000-00004D710300}"/>
            </a:ext>
          </a:extLst>
        </xdr:cNvPr>
        <xdr:cNvCxnSpPr>
          <a:cxnSpLocks noChangeShapeType="1"/>
        </xdr:cNvCxnSpPr>
      </xdr:nvCxnSpPr>
      <xdr:spPr bwMode="auto">
        <a:xfrm>
          <a:off x="3095625" y="3371850"/>
          <a:ext cx="847725" cy="952500"/>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247650</xdr:colOff>
      <xdr:row>20</xdr:row>
      <xdr:rowOff>66675</xdr:rowOff>
    </xdr:from>
    <xdr:to>
      <xdr:col>2</xdr:col>
      <xdr:colOff>504825</xdr:colOff>
      <xdr:row>23</xdr:row>
      <xdr:rowOff>76200</xdr:rowOff>
    </xdr:to>
    <xdr:cxnSp macro="">
      <xdr:nvCxnSpPr>
        <xdr:cNvPr id="225614" name="Gerade Verbindung mit Pfeil 48">
          <a:extLst>
            <a:ext uri="{FF2B5EF4-FFF2-40B4-BE49-F238E27FC236}">
              <a16:creationId xmlns:a16="http://schemas.microsoft.com/office/drawing/2014/main" id="{00000000-0008-0000-1000-00004E710300}"/>
            </a:ext>
          </a:extLst>
        </xdr:cNvPr>
        <xdr:cNvCxnSpPr>
          <a:cxnSpLocks noChangeShapeType="1"/>
        </xdr:cNvCxnSpPr>
      </xdr:nvCxnSpPr>
      <xdr:spPr bwMode="auto">
        <a:xfrm flipH="1">
          <a:off x="1771650" y="3371850"/>
          <a:ext cx="257175" cy="495300"/>
        </a:xfrm>
        <a:prstGeom prst="straightConnector1">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9525</xdr:colOff>
      <xdr:row>23</xdr:row>
      <xdr:rowOff>38100</xdr:rowOff>
    </xdr:from>
    <xdr:to>
      <xdr:col>2</xdr:col>
      <xdr:colOff>266700</xdr:colOff>
      <xdr:row>26</xdr:row>
      <xdr:rowOff>66675</xdr:rowOff>
    </xdr:to>
    <xdr:cxnSp macro="">
      <xdr:nvCxnSpPr>
        <xdr:cNvPr id="225615" name="Gerade Verbindung mit Pfeil 53">
          <a:extLst>
            <a:ext uri="{FF2B5EF4-FFF2-40B4-BE49-F238E27FC236}">
              <a16:creationId xmlns:a16="http://schemas.microsoft.com/office/drawing/2014/main" id="{00000000-0008-0000-1000-00004F710300}"/>
            </a:ext>
          </a:extLst>
        </xdr:cNvPr>
        <xdr:cNvCxnSpPr>
          <a:cxnSpLocks noChangeShapeType="1"/>
        </xdr:cNvCxnSpPr>
      </xdr:nvCxnSpPr>
      <xdr:spPr bwMode="auto">
        <a:xfrm flipH="1">
          <a:off x="1533525" y="3829050"/>
          <a:ext cx="257175" cy="514350"/>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0</xdr:colOff>
      <xdr:row>9</xdr:row>
      <xdr:rowOff>152400</xdr:rowOff>
    </xdr:from>
    <xdr:to>
      <xdr:col>1</xdr:col>
      <xdr:colOff>209550</xdr:colOff>
      <xdr:row>26</xdr:row>
      <xdr:rowOff>95250</xdr:rowOff>
    </xdr:to>
    <xdr:cxnSp macro="">
      <xdr:nvCxnSpPr>
        <xdr:cNvPr id="225616" name="Gerade Verbindung mit Pfeil 55">
          <a:extLst>
            <a:ext uri="{FF2B5EF4-FFF2-40B4-BE49-F238E27FC236}">
              <a16:creationId xmlns:a16="http://schemas.microsoft.com/office/drawing/2014/main" id="{00000000-0008-0000-1000-000050710300}"/>
            </a:ext>
          </a:extLst>
        </xdr:cNvPr>
        <xdr:cNvCxnSpPr>
          <a:cxnSpLocks noChangeShapeType="1"/>
        </xdr:cNvCxnSpPr>
      </xdr:nvCxnSpPr>
      <xdr:spPr bwMode="auto">
        <a:xfrm flipH="1">
          <a:off x="762000" y="1676400"/>
          <a:ext cx="209550" cy="2695575"/>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152400</xdr:colOff>
      <xdr:row>16</xdr:row>
      <xdr:rowOff>95250</xdr:rowOff>
    </xdr:from>
    <xdr:to>
      <xdr:col>4</xdr:col>
      <xdr:colOff>228600</xdr:colOff>
      <xdr:row>20</xdr:row>
      <xdr:rowOff>76200</xdr:rowOff>
    </xdr:to>
    <xdr:sp macro="" textlink="">
      <xdr:nvSpPr>
        <xdr:cNvPr id="225617" name="Rechteck 59">
          <a:extLst>
            <a:ext uri="{FF2B5EF4-FFF2-40B4-BE49-F238E27FC236}">
              <a16:creationId xmlns:a16="http://schemas.microsoft.com/office/drawing/2014/main" id="{00000000-0008-0000-1000-000051710300}"/>
            </a:ext>
          </a:extLst>
        </xdr:cNvPr>
        <xdr:cNvSpPr>
          <a:spLocks noChangeArrowheads="1"/>
        </xdr:cNvSpPr>
      </xdr:nvSpPr>
      <xdr:spPr bwMode="auto">
        <a:xfrm>
          <a:off x="1676400" y="2752725"/>
          <a:ext cx="1600200" cy="628650"/>
        </a:xfrm>
        <a:prstGeom prst="rect">
          <a:avLst/>
        </a:prstGeom>
        <a:noFill/>
        <a:ln w="63500" algn="ctr">
          <a:solidFill>
            <a:srgbClr val="7030A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104775</xdr:colOff>
      <xdr:row>26</xdr:row>
      <xdr:rowOff>85725</xdr:rowOff>
    </xdr:from>
    <xdr:to>
      <xdr:col>2</xdr:col>
      <xdr:colOff>66675</xdr:colOff>
      <xdr:row>28</xdr:row>
      <xdr:rowOff>152400</xdr:rowOff>
    </xdr:to>
    <xdr:sp macro="" textlink="">
      <xdr:nvSpPr>
        <xdr:cNvPr id="225618" name="Rechteck 60">
          <a:extLst>
            <a:ext uri="{FF2B5EF4-FFF2-40B4-BE49-F238E27FC236}">
              <a16:creationId xmlns:a16="http://schemas.microsoft.com/office/drawing/2014/main" id="{00000000-0008-0000-1000-000052710300}"/>
            </a:ext>
          </a:extLst>
        </xdr:cNvPr>
        <xdr:cNvSpPr>
          <a:spLocks noChangeArrowheads="1"/>
        </xdr:cNvSpPr>
      </xdr:nvSpPr>
      <xdr:spPr bwMode="auto">
        <a:xfrm>
          <a:off x="866775" y="4362450"/>
          <a:ext cx="723900" cy="390525"/>
        </a:xfrm>
        <a:prstGeom prst="rect">
          <a:avLst/>
        </a:prstGeom>
        <a:noFill/>
        <a:ln w="63500" algn="ctr">
          <a:solidFill>
            <a:srgbClr val="7030A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447675</xdr:colOff>
      <xdr:row>24</xdr:row>
      <xdr:rowOff>85724</xdr:rowOff>
    </xdr:from>
    <xdr:to>
      <xdr:col>1</xdr:col>
      <xdr:colOff>142875</xdr:colOff>
      <xdr:row>25</xdr:row>
      <xdr:rowOff>95250</xdr:rowOff>
    </xdr:to>
    <xdr:sp macro="" textlink="">
      <xdr:nvSpPr>
        <xdr:cNvPr id="27" name="Rechteck 26">
          <a:extLst>
            <a:ext uri="{FF2B5EF4-FFF2-40B4-BE49-F238E27FC236}">
              <a16:creationId xmlns:a16="http://schemas.microsoft.com/office/drawing/2014/main" id="{00000000-0008-0000-1000-00001B000000}"/>
            </a:ext>
          </a:extLst>
        </xdr:cNvPr>
        <xdr:cNvSpPr/>
      </xdr:nvSpPr>
      <xdr:spPr bwMode="auto">
        <a:xfrm>
          <a:off x="447675" y="3971924"/>
          <a:ext cx="457200" cy="171451"/>
        </a:xfrm>
        <a:prstGeom prst="rect">
          <a:avLst/>
        </a:prstGeom>
        <a:solidFill>
          <a:schemeClr val="bg1">
            <a:lumMod val="85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latin typeface="Arial" panose="020B0604020202020204" pitchFamily="34" charset="0"/>
              <a:cs typeface="Arial" panose="020B0604020202020204" pitchFamily="34" charset="0"/>
            </a:rPr>
            <a:t>Stroh</a:t>
          </a:r>
        </a:p>
      </xdr:txBody>
    </xdr:sp>
    <xdr:clientData/>
  </xdr:twoCellAnchor>
  <xdr:twoCellAnchor>
    <xdr:from>
      <xdr:col>0</xdr:col>
      <xdr:colOff>342900</xdr:colOff>
      <xdr:row>32</xdr:row>
      <xdr:rowOff>114299</xdr:rowOff>
    </xdr:from>
    <xdr:to>
      <xdr:col>0</xdr:col>
      <xdr:colOff>609600</xdr:colOff>
      <xdr:row>34</xdr:row>
      <xdr:rowOff>85724</xdr:rowOff>
    </xdr:to>
    <xdr:sp macro="" textlink="">
      <xdr:nvSpPr>
        <xdr:cNvPr id="65" name="Stern mit 8 Zacken 64">
          <a:extLst>
            <a:ext uri="{FF2B5EF4-FFF2-40B4-BE49-F238E27FC236}">
              <a16:creationId xmlns:a16="http://schemas.microsoft.com/office/drawing/2014/main" id="{00000000-0008-0000-1000-000041000000}"/>
            </a:ext>
          </a:extLst>
        </xdr:cNvPr>
        <xdr:cNvSpPr/>
      </xdr:nvSpPr>
      <xdr:spPr bwMode="auto">
        <a:xfrm>
          <a:off x="342900" y="5295899"/>
          <a:ext cx="266700"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b="1">
              <a:latin typeface="Arial" panose="020B0604020202020204" pitchFamily="34" charset="0"/>
              <a:cs typeface="Arial" panose="020B0604020202020204" pitchFamily="34" charset="0"/>
            </a:rPr>
            <a:t>5</a:t>
          </a:r>
        </a:p>
      </xdr:txBody>
    </xdr:sp>
    <xdr:clientData/>
  </xdr:twoCellAnchor>
  <xdr:twoCellAnchor>
    <xdr:from>
      <xdr:col>5</xdr:col>
      <xdr:colOff>57150</xdr:colOff>
      <xdr:row>11</xdr:row>
      <xdr:rowOff>28575</xdr:rowOff>
    </xdr:from>
    <xdr:to>
      <xdr:col>5</xdr:col>
      <xdr:colOff>323850</xdr:colOff>
      <xdr:row>13</xdr:row>
      <xdr:rowOff>0</xdr:rowOff>
    </xdr:to>
    <xdr:sp macro="" textlink="">
      <xdr:nvSpPr>
        <xdr:cNvPr id="66" name="Stern mit 8 Zacken 65">
          <a:extLst>
            <a:ext uri="{FF2B5EF4-FFF2-40B4-BE49-F238E27FC236}">
              <a16:creationId xmlns:a16="http://schemas.microsoft.com/office/drawing/2014/main" id="{00000000-0008-0000-1000-000042000000}"/>
            </a:ext>
          </a:extLst>
        </xdr:cNvPr>
        <xdr:cNvSpPr/>
      </xdr:nvSpPr>
      <xdr:spPr bwMode="auto">
        <a:xfrm>
          <a:off x="3867150" y="1809750"/>
          <a:ext cx="266700"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b="1">
              <a:latin typeface="Arial" panose="020B0604020202020204" pitchFamily="34" charset="0"/>
              <a:cs typeface="Arial" panose="020B0604020202020204" pitchFamily="34" charset="0"/>
            </a:rPr>
            <a:t>5</a:t>
          </a:r>
        </a:p>
      </xdr:txBody>
    </xdr:sp>
    <xdr:clientData/>
  </xdr:twoCellAnchor>
  <xdr:twoCellAnchor>
    <xdr:from>
      <xdr:col>4</xdr:col>
      <xdr:colOff>85725</xdr:colOff>
      <xdr:row>11</xdr:row>
      <xdr:rowOff>28575</xdr:rowOff>
    </xdr:from>
    <xdr:to>
      <xdr:col>4</xdr:col>
      <xdr:colOff>352425</xdr:colOff>
      <xdr:row>13</xdr:row>
      <xdr:rowOff>0</xdr:rowOff>
    </xdr:to>
    <xdr:sp macro="" textlink="">
      <xdr:nvSpPr>
        <xdr:cNvPr id="67" name="Stern mit 8 Zacken 66">
          <a:extLst>
            <a:ext uri="{FF2B5EF4-FFF2-40B4-BE49-F238E27FC236}">
              <a16:creationId xmlns:a16="http://schemas.microsoft.com/office/drawing/2014/main" id="{00000000-0008-0000-1000-000043000000}"/>
            </a:ext>
          </a:extLst>
        </xdr:cNvPr>
        <xdr:cNvSpPr/>
      </xdr:nvSpPr>
      <xdr:spPr bwMode="auto">
        <a:xfrm>
          <a:off x="3133725" y="1809750"/>
          <a:ext cx="266700"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b="1">
              <a:latin typeface="Arial" panose="020B0604020202020204" pitchFamily="34" charset="0"/>
              <a:cs typeface="Arial" panose="020B0604020202020204" pitchFamily="34" charset="0"/>
            </a:rPr>
            <a:t>5</a:t>
          </a:r>
        </a:p>
      </xdr:txBody>
    </xdr:sp>
    <xdr:clientData/>
  </xdr:twoCellAnchor>
  <xdr:twoCellAnchor>
    <xdr:from>
      <xdr:col>3</xdr:col>
      <xdr:colOff>0</xdr:colOff>
      <xdr:row>11</xdr:row>
      <xdr:rowOff>66675</xdr:rowOff>
    </xdr:from>
    <xdr:to>
      <xdr:col>3</xdr:col>
      <xdr:colOff>266700</xdr:colOff>
      <xdr:row>13</xdr:row>
      <xdr:rowOff>38100</xdr:rowOff>
    </xdr:to>
    <xdr:sp macro="" textlink="">
      <xdr:nvSpPr>
        <xdr:cNvPr id="68" name="Stern mit 8 Zacken 67">
          <a:extLst>
            <a:ext uri="{FF2B5EF4-FFF2-40B4-BE49-F238E27FC236}">
              <a16:creationId xmlns:a16="http://schemas.microsoft.com/office/drawing/2014/main" id="{00000000-0008-0000-1000-000044000000}"/>
            </a:ext>
          </a:extLst>
        </xdr:cNvPr>
        <xdr:cNvSpPr/>
      </xdr:nvSpPr>
      <xdr:spPr bwMode="auto">
        <a:xfrm>
          <a:off x="2286000" y="1847850"/>
          <a:ext cx="266700"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b="1">
              <a:latin typeface="Arial" panose="020B0604020202020204" pitchFamily="34" charset="0"/>
              <a:cs typeface="Arial" panose="020B0604020202020204" pitchFamily="34" charset="0"/>
            </a:rPr>
            <a:t>5</a:t>
          </a:r>
        </a:p>
      </xdr:txBody>
    </xdr:sp>
    <xdr:clientData/>
  </xdr:twoCellAnchor>
  <xdr:twoCellAnchor>
    <xdr:from>
      <xdr:col>0</xdr:col>
      <xdr:colOff>466725</xdr:colOff>
      <xdr:row>22</xdr:row>
      <xdr:rowOff>76200</xdr:rowOff>
    </xdr:from>
    <xdr:to>
      <xdr:col>0</xdr:col>
      <xdr:colOff>733425</xdr:colOff>
      <xdr:row>24</xdr:row>
      <xdr:rowOff>47625</xdr:rowOff>
    </xdr:to>
    <xdr:sp macro="" textlink="">
      <xdr:nvSpPr>
        <xdr:cNvPr id="69" name="Stern mit 8 Zacken 68">
          <a:extLst>
            <a:ext uri="{FF2B5EF4-FFF2-40B4-BE49-F238E27FC236}">
              <a16:creationId xmlns:a16="http://schemas.microsoft.com/office/drawing/2014/main" id="{00000000-0008-0000-1000-000045000000}"/>
            </a:ext>
          </a:extLst>
        </xdr:cNvPr>
        <xdr:cNvSpPr/>
      </xdr:nvSpPr>
      <xdr:spPr bwMode="auto">
        <a:xfrm>
          <a:off x="466725" y="3638550"/>
          <a:ext cx="266700"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b="1">
              <a:latin typeface="Arial" panose="020B0604020202020204" pitchFamily="34" charset="0"/>
              <a:cs typeface="Arial" panose="020B0604020202020204" pitchFamily="34" charset="0"/>
            </a:rPr>
            <a:t>0</a:t>
          </a:r>
        </a:p>
      </xdr:txBody>
    </xdr:sp>
    <xdr:clientData/>
  </xdr:twoCellAnchor>
  <xdr:twoCellAnchor>
    <xdr:from>
      <xdr:col>0</xdr:col>
      <xdr:colOff>638175</xdr:colOff>
      <xdr:row>22</xdr:row>
      <xdr:rowOff>104775</xdr:rowOff>
    </xdr:from>
    <xdr:to>
      <xdr:col>1</xdr:col>
      <xdr:colOff>142875</xdr:colOff>
      <xdr:row>24</xdr:row>
      <xdr:rowOff>76200</xdr:rowOff>
    </xdr:to>
    <xdr:sp macro="" textlink="">
      <xdr:nvSpPr>
        <xdr:cNvPr id="70" name="Stern mit 8 Zacken 69">
          <a:extLst>
            <a:ext uri="{FF2B5EF4-FFF2-40B4-BE49-F238E27FC236}">
              <a16:creationId xmlns:a16="http://schemas.microsoft.com/office/drawing/2014/main" id="{00000000-0008-0000-1000-000046000000}"/>
            </a:ext>
          </a:extLst>
        </xdr:cNvPr>
        <xdr:cNvSpPr/>
      </xdr:nvSpPr>
      <xdr:spPr bwMode="auto">
        <a:xfrm>
          <a:off x="638175" y="3667125"/>
          <a:ext cx="266700"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b="1">
              <a:latin typeface="Arial" panose="020B0604020202020204" pitchFamily="34" charset="0"/>
              <a:cs typeface="Arial" panose="020B0604020202020204" pitchFamily="34" charset="0"/>
            </a:rPr>
            <a:t>0</a:t>
          </a:r>
        </a:p>
      </xdr:txBody>
    </xdr:sp>
    <xdr:clientData/>
  </xdr:twoCellAnchor>
  <xdr:twoCellAnchor>
    <xdr:from>
      <xdr:col>2</xdr:col>
      <xdr:colOff>190499</xdr:colOff>
      <xdr:row>10</xdr:row>
      <xdr:rowOff>66675</xdr:rowOff>
    </xdr:from>
    <xdr:to>
      <xdr:col>2</xdr:col>
      <xdr:colOff>504824</xdr:colOff>
      <xdr:row>12</xdr:row>
      <xdr:rowOff>38100</xdr:rowOff>
    </xdr:to>
    <xdr:sp macro="" textlink="">
      <xdr:nvSpPr>
        <xdr:cNvPr id="71" name="Stern mit 8 Zacken 70">
          <a:extLst>
            <a:ext uri="{FF2B5EF4-FFF2-40B4-BE49-F238E27FC236}">
              <a16:creationId xmlns:a16="http://schemas.microsoft.com/office/drawing/2014/main" id="{00000000-0008-0000-1000-000047000000}"/>
            </a:ext>
          </a:extLst>
        </xdr:cNvPr>
        <xdr:cNvSpPr/>
      </xdr:nvSpPr>
      <xdr:spPr bwMode="auto">
        <a:xfrm>
          <a:off x="1714499" y="1685925"/>
          <a:ext cx="314325"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600" b="1">
              <a:latin typeface="Arial" panose="020B0604020202020204" pitchFamily="34" charset="0"/>
              <a:cs typeface="Arial" panose="020B0604020202020204" pitchFamily="34" charset="0"/>
            </a:rPr>
            <a:t>DüV</a:t>
          </a:r>
        </a:p>
      </xdr:txBody>
    </xdr:sp>
    <xdr:clientData/>
  </xdr:twoCellAnchor>
  <xdr:twoCellAnchor>
    <xdr:from>
      <xdr:col>1</xdr:col>
      <xdr:colOff>666749</xdr:colOff>
      <xdr:row>10</xdr:row>
      <xdr:rowOff>133350</xdr:rowOff>
    </xdr:from>
    <xdr:to>
      <xdr:col>2</xdr:col>
      <xdr:colOff>219074</xdr:colOff>
      <xdr:row>12</xdr:row>
      <xdr:rowOff>104775</xdr:rowOff>
    </xdr:to>
    <xdr:sp macro="" textlink="">
      <xdr:nvSpPr>
        <xdr:cNvPr id="72" name="Stern mit 8 Zacken 71">
          <a:extLst>
            <a:ext uri="{FF2B5EF4-FFF2-40B4-BE49-F238E27FC236}">
              <a16:creationId xmlns:a16="http://schemas.microsoft.com/office/drawing/2014/main" id="{00000000-0008-0000-1000-000048000000}"/>
            </a:ext>
          </a:extLst>
        </xdr:cNvPr>
        <xdr:cNvSpPr/>
      </xdr:nvSpPr>
      <xdr:spPr bwMode="auto">
        <a:xfrm>
          <a:off x="1428749" y="1752600"/>
          <a:ext cx="314325"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600" b="1">
              <a:latin typeface="Arial" panose="020B0604020202020204" pitchFamily="34" charset="0"/>
              <a:cs typeface="Arial" panose="020B0604020202020204" pitchFamily="34" charset="0"/>
            </a:rPr>
            <a:t>DüV</a:t>
          </a:r>
        </a:p>
      </xdr:txBody>
    </xdr:sp>
    <xdr:clientData/>
  </xdr:twoCellAnchor>
  <xdr:twoCellAnchor>
    <xdr:from>
      <xdr:col>1</xdr:col>
      <xdr:colOff>276224</xdr:colOff>
      <xdr:row>13</xdr:row>
      <xdr:rowOff>85725</xdr:rowOff>
    </xdr:from>
    <xdr:to>
      <xdr:col>1</xdr:col>
      <xdr:colOff>590549</xdr:colOff>
      <xdr:row>15</xdr:row>
      <xdr:rowOff>57150</xdr:rowOff>
    </xdr:to>
    <xdr:sp macro="" textlink="">
      <xdr:nvSpPr>
        <xdr:cNvPr id="73" name="Stern mit 8 Zacken 72">
          <a:extLst>
            <a:ext uri="{FF2B5EF4-FFF2-40B4-BE49-F238E27FC236}">
              <a16:creationId xmlns:a16="http://schemas.microsoft.com/office/drawing/2014/main" id="{00000000-0008-0000-1000-000049000000}"/>
            </a:ext>
          </a:extLst>
        </xdr:cNvPr>
        <xdr:cNvSpPr/>
      </xdr:nvSpPr>
      <xdr:spPr bwMode="auto">
        <a:xfrm>
          <a:off x="1038224" y="2190750"/>
          <a:ext cx="314325"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600" b="1">
              <a:latin typeface="Arial" panose="020B0604020202020204" pitchFamily="34" charset="0"/>
              <a:cs typeface="Arial" panose="020B0604020202020204" pitchFamily="34" charset="0"/>
            </a:rPr>
            <a:t>DüV</a:t>
          </a:r>
        </a:p>
      </xdr:txBody>
    </xdr:sp>
    <xdr:clientData/>
  </xdr:twoCellAnchor>
  <xdr:twoCellAnchor>
    <xdr:from>
      <xdr:col>1</xdr:col>
      <xdr:colOff>104774</xdr:colOff>
      <xdr:row>23</xdr:row>
      <xdr:rowOff>152400</xdr:rowOff>
    </xdr:from>
    <xdr:to>
      <xdr:col>1</xdr:col>
      <xdr:colOff>419099</xdr:colOff>
      <xdr:row>25</xdr:row>
      <xdr:rowOff>123825</xdr:rowOff>
    </xdr:to>
    <xdr:sp macro="" textlink="">
      <xdr:nvSpPr>
        <xdr:cNvPr id="74" name="Stern mit 8 Zacken 73">
          <a:extLst>
            <a:ext uri="{FF2B5EF4-FFF2-40B4-BE49-F238E27FC236}">
              <a16:creationId xmlns:a16="http://schemas.microsoft.com/office/drawing/2014/main" id="{00000000-0008-0000-1000-00004A000000}"/>
            </a:ext>
          </a:extLst>
        </xdr:cNvPr>
        <xdr:cNvSpPr/>
      </xdr:nvSpPr>
      <xdr:spPr bwMode="auto">
        <a:xfrm>
          <a:off x="866774" y="3876675"/>
          <a:ext cx="314325"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600" b="1">
              <a:latin typeface="Arial" panose="020B0604020202020204" pitchFamily="34" charset="0"/>
              <a:cs typeface="Arial" panose="020B0604020202020204" pitchFamily="34" charset="0"/>
            </a:rPr>
            <a:t>DüV</a:t>
          </a:r>
        </a:p>
      </xdr:txBody>
    </xdr:sp>
    <xdr:clientData/>
  </xdr:twoCellAnchor>
  <xdr:twoCellAnchor>
    <xdr:from>
      <xdr:col>0</xdr:col>
      <xdr:colOff>333375</xdr:colOff>
      <xdr:row>35</xdr:row>
      <xdr:rowOff>123825</xdr:rowOff>
    </xdr:from>
    <xdr:to>
      <xdr:col>0</xdr:col>
      <xdr:colOff>609600</xdr:colOff>
      <xdr:row>37</xdr:row>
      <xdr:rowOff>76200</xdr:rowOff>
    </xdr:to>
    <xdr:sp macro="" textlink="">
      <xdr:nvSpPr>
        <xdr:cNvPr id="6" name="Stern mit 7 Zacken 5">
          <a:extLst>
            <a:ext uri="{FF2B5EF4-FFF2-40B4-BE49-F238E27FC236}">
              <a16:creationId xmlns:a16="http://schemas.microsoft.com/office/drawing/2014/main" id="{00000000-0008-0000-1000-000006000000}"/>
            </a:ext>
          </a:extLst>
        </xdr:cNvPr>
        <xdr:cNvSpPr/>
      </xdr:nvSpPr>
      <xdr:spPr bwMode="auto">
        <a:xfrm>
          <a:off x="333375" y="5857875"/>
          <a:ext cx="276225" cy="276225"/>
        </a:xfrm>
        <a:prstGeom prst="star7">
          <a:avLst/>
        </a:prstGeom>
        <a:solidFill>
          <a:srgbClr val="00B0F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t>5</a:t>
          </a:r>
        </a:p>
      </xdr:txBody>
    </xdr:sp>
    <xdr:clientData/>
  </xdr:twoCellAnchor>
  <xdr:twoCellAnchor>
    <xdr:from>
      <xdr:col>5</xdr:col>
      <xdr:colOff>342900</xdr:colOff>
      <xdr:row>9</xdr:row>
      <xdr:rowOff>123825</xdr:rowOff>
    </xdr:from>
    <xdr:to>
      <xdr:col>5</xdr:col>
      <xdr:colOff>685800</xdr:colOff>
      <xdr:row>11</xdr:row>
      <xdr:rowOff>76200</xdr:rowOff>
    </xdr:to>
    <xdr:sp macro="" textlink="">
      <xdr:nvSpPr>
        <xdr:cNvPr id="43" name="Stern mit 7 Zacken 42">
          <a:extLst>
            <a:ext uri="{FF2B5EF4-FFF2-40B4-BE49-F238E27FC236}">
              <a16:creationId xmlns:a16="http://schemas.microsoft.com/office/drawing/2014/main" id="{00000000-0008-0000-1000-00002B000000}"/>
            </a:ext>
          </a:extLst>
        </xdr:cNvPr>
        <xdr:cNvSpPr/>
      </xdr:nvSpPr>
      <xdr:spPr bwMode="auto">
        <a:xfrm>
          <a:off x="4152900" y="1647825"/>
          <a:ext cx="342900" cy="276225"/>
        </a:xfrm>
        <a:prstGeom prst="star7">
          <a:avLst/>
        </a:prstGeom>
        <a:solidFill>
          <a:srgbClr val="00B0F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t>20</a:t>
          </a:r>
        </a:p>
      </xdr:txBody>
    </xdr:sp>
    <xdr:clientData/>
  </xdr:twoCellAnchor>
  <xdr:twoCellAnchor>
    <xdr:from>
      <xdr:col>1</xdr:col>
      <xdr:colOff>257175</xdr:colOff>
      <xdr:row>18</xdr:row>
      <xdr:rowOff>104775</xdr:rowOff>
    </xdr:from>
    <xdr:to>
      <xdr:col>1</xdr:col>
      <xdr:colOff>600075</xdr:colOff>
      <xdr:row>20</xdr:row>
      <xdr:rowOff>57150</xdr:rowOff>
    </xdr:to>
    <xdr:sp macro="" textlink="">
      <xdr:nvSpPr>
        <xdr:cNvPr id="44" name="Stern mit 7 Zacken 43">
          <a:extLst>
            <a:ext uri="{FF2B5EF4-FFF2-40B4-BE49-F238E27FC236}">
              <a16:creationId xmlns:a16="http://schemas.microsoft.com/office/drawing/2014/main" id="{00000000-0008-0000-1000-00002C000000}"/>
            </a:ext>
          </a:extLst>
        </xdr:cNvPr>
        <xdr:cNvSpPr/>
      </xdr:nvSpPr>
      <xdr:spPr bwMode="auto">
        <a:xfrm>
          <a:off x="1019175" y="3086100"/>
          <a:ext cx="342900" cy="276225"/>
        </a:xfrm>
        <a:prstGeom prst="star7">
          <a:avLst/>
        </a:prstGeom>
        <a:solidFill>
          <a:srgbClr val="00B0F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t>20</a:t>
          </a:r>
        </a:p>
      </xdr:txBody>
    </xdr:sp>
    <xdr:clientData/>
  </xdr:twoCellAnchor>
  <xdr:twoCellAnchor>
    <xdr:from>
      <xdr:col>1</xdr:col>
      <xdr:colOff>66675</xdr:colOff>
      <xdr:row>21</xdr:row>
      <xdr:rowOff>95250</xdr:rowOff>
    </xdr:from>
    <xdr:to>
      <xdr:col>1</xdr:col>
      <xdr:colOff>409575</xdr:colOff>
      <xdr:row>23</xdr:row>
      <xdr:rowOff>47625</xdr:rowOff>
    </xdr:to>
    <xdr:sp macro="" textlink="">
      <xdr:nvSpPr>
        <xdr:cNvPr id="45" name="Stern mit 7 Zacken 44">
          <a:extLst>
            <a:ext uri="{FF2B5EF4-FFF2-40B4-BE49-F238E27FC236}">
              <a16:creationId xmlns:a16="http://schemas.microsoft.com/office/drawing/2014/main" id="{00000000-0008-0000-1000-00002D000000}"/>
            </a:ext>
          </a:extLst>
        </xdr:cNvPr>
        <xdr:cNvSpPr/>
      </xdr:nvSpPr>
      <xdr:spPr bwMode="auto">
        <a:xfrm>
          <a:off x="828675" y="3562350"/>
          <a:ext cx="342900" cy="276225"/>
        </a:xfrm>
        <a:prstGeom prst="star7">
          <a:avLst/>
        </a:prstGeom>
        <a:solidFill>
          <a:srgbClr val="00B0F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t>20</a:t>
          </a:r>
        </a:p>
      </xdr:txBody>
    </xdr:sp>
    <xdr:clientData/>
  </xdr:twoCellAnchor>
  <xdr:twoCellAnchor>
    <xdr:from>
      <xdr:col>2</xdr:col>
      <xdr:colOff>714375</xdr:colOff>
      <xdr:row>9</xdr:row>
      <xdr:rowOff>28575</xdr:rowOff>
    </xdr:from>
    <xdr:to>
      <xdr:col>3</xdr:col>
      <xdr:colOff>295275</xdr:colOff>
      <xdr:row>10</xdr:row>
      <xdr:rowOff>142875</xdr:rowOff>
    </xdr:to>
    <xdr:sp macro="" textlink="">
      <xdr:nvSpPr>
        <xdr:cNvPr id="46" name="Stern mit 7 Zacken 45">
          <a:extLst>
            <a:ext uri="{FF2B5EF4-FFF2-40B4-BE49-F238E27FC236}">
              <a16:creationId xmlns:a16="http://schemas.microsoft.com/office/drawing/2014/main" id="{00000000-0008-0000-1000-00002E000000}"/>
            </a:ext>
          </a:extLst>
        </xdr:cNvPr>
        <xdr:cNvSpPr/>
      </xdr:nvSpPr>
      <xdr:spPr bwMode="auto">
        <a:xfrm>
          <a:off x="2238375" y="1552575"/>
          <a:ext cx="342900" cy="276225"/>
        </a:xfrm>
        <a:prstGeom prst="star7">
          <a:avLst/>
        </a:prstGeom>
        <a:solidFill>
          <a:srgbClr val="00B0F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t>20</a:t>
          </a:r>
        </a:p>
      </xdr:txBody>
    </xdr:sp>
    <xdr:clientData/>
  </xdr:twoCellAnchor>
  <xdr:twoCellAnchor>
    <xdr:from>
      <xdr:col>4</xdr:col>
      <xdr:colOff>228600</xdr:colOff>
      <xdr:row>9</xdr:row>
      <xdr:rowOff>66675</xdr:rowOff>
    </xdr:from>
    <xdr:to>
      <xdr:col>4</xdr:col>
      <xdr:colOff>571500</xdr:colOff>
      <xdr:row>11</xdr:row>
      <xdr:rowOff>19050</xdr:rowOff>
    </xdr:to>
    <xdr:sp macro="" textlink="">
      <xdr:nvSpPr>
        <xdr:cNvPr id="47" name="Stern mit 7 Zacken 46">
          <a:extLst>
            <a:ext uri="{FF2B5EF4-FFF2-40B4-BE49-F238E27FC236}">
              <a16:creationId xmlns:a16="http://schemas.microsoft.com/office/drawing/2014/main" id="{00000000-0008-0000-1000-00002F000000}"/>
            </a:ext>
          </a:extLst>
        </xdr:cNvPr>
        <xdr:cNvSpPr/>
      </xdr:nvSpPr>
      <xdr:spPr bwMode="auto">
        <a:xfrm>
          <a:off x="3276600" y="1590675"/>
          <a:ext cx="342900" cy="276225"/>
        </a:xfrm>
        <a:prstGeom prst="star7">
          <a:avLst/>
        </a:prstGeom>
        <a:solidFill>
          <a:srgbClr val="00B0F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t>20</a:t>
          </a:r>
        </a:p>
      </xdr:txBody>
    </xdr:sp>
    <xdr:clientData/>
  </xdr:twoCellAnchor>
  <xdr:twoCellAnchor>
    <xdr:from>
      <xdr:col>1</xdr:col>
      <xdr:colOff>533400</xdr:colOff>
      <xdr:row>20</xdr:row>
      <xdr:rowOff>85725</xdr:rowOff>
    </xdr:from>
    <xdr:to>
      <xdr:col>2</xdr:col>
      <xdr:colOff>114300</xdr:colOff>
      <xdr:row>22</xdr:row>
      <xdr:rowOff>38100</xdr:rowOff>
    </xdr:to>
    <xdr:sp macro="" textlink="">
      <xdr:nvSpPr>
        <xdr:cNvPr id="48" name="Stern mit 7 Zacken 47">
          <a:extLst>
            <a:ext uri="{FF2B5EF4-FFF2-40B4-BE49-F238E27FC236}">
              <a16:creationId xmlns:a16="http://schemas.microsoft.com/office/drawing/2014/main" id="{00000000-0008-0000-1000-000030000000}"/>
            </a:ext>
          </a:extLst>
        </xdr:cNvPr>
        <xdr:cNvSpPr/>
      </xdr:nvSpPr>
      <xdr:spPr bwMode="auto">
        <a:xfrm>
          <a:off x="1295400" y="3390900"/>
          <a:ext cx="342900" cy="276225"/>
        </a:xfrm>
        <a:prstGeom prst="star7">
          <a:avLst/>
        </a:prstGeom>
        <a:solidFill>
          <a:srgbClr val="00B0F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t>20</a:t>
          </a:r>
        </a:p>
      </xdr:txBody>
    </xdr:sp>
    <xdr:clientData/>
  </xdr:twoCellAnchor>
  <xdr:twoCellAnchor>
    <xdr:from>
      <xdr:col>2</xdr:col>
      <xdr:colOff>285750</xdr:colOff>
      <xdr:row>13</xdr:row>
      <xdr:rowOff>0</xdr:rowOff>
    </xdr:from>
    <xdr:to>
      <xdr:col>2</xdr:col>
      <xdr:colOff>628650</xdr:colOff>
      <xdr:row>14</xdr:row>
      <xdr:rowOff>114300</xdr:rowOff>
    </xdr:to>
    <xdr:sp macro="" textlink="">
      <xdr:nvSpPr>
        <xdr:cNvPr id="49" name="Stern mit 7 Zacken 48">
          <a:extLst>
            <a:ext uri="{FF2B5EF4-FFF2-40B4-BE49-F238E27FC236}">
              <a16:creationId xmlns:a16="http://schemas.microsoft.com/office/drawing/2014/main" id="{00000000-0008-0000-1000-000031000000}"/>
            </a:ext>
          </a:extLst>
        </xdr:cNvPr>
        <xdr:cNvSpPr/>
      </xdr:nvSpPr>
      <xdr:spPr bwMode="auto">
        <a:xfrm>
          <a:off x="1809750" y="2171700"/>
          <a:ext cx="342900" cy="276225"/>
        </a:xfrm>
        <a:prstGeom prst="star7">
          <a:avLst/>
        </a:prstGeom>
        <a:solidFill>
          <a:srgbClr val="00B0F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t>20</a:t>
          </a:r>
        </a:p>
      </xdr:txBody>
    </xdr:sp>
    <xdr:clientData/>
  </xdr:twoCellAnchor>
  <xdr:twoCellAnchor>
    <xdr:from>
      <xdr:col>2</xdr:col>
      <xdr:colOff>47625</xdr:colOff>
      <xdr:row>14</xdr:row>
      <xdr:rowOff>47625</xdr:rowOff>
    </xdr:from>
    <xdr:to>
      <xdr:col>2</xdr:col>
      <xdr:colOff>390525</xdr:colOff>
      <xdr:row>16</xdr:row>
      <xdr:rowOff>0</xdr:rowOff>
    </xdr:to>
    <xdr:sp macro="" textlink="">
      <xdr:nvSpPr>
        <xdr:cNvPr id="50" name="Stern mit 7 Zacken 49">
          <a:extLst>
            <a:ext uri="{FF2B5EF4-FFF2-40B4-BE49-F238E27FC236}">
              <a16:creationId xmlns:a16="http://schemas.microsoft.com/office/drawing/2014/main" id="{00000000-0008-0000-1000-000032000000}"/>
            </a:ext>
          </a:extLst>
        </xdr:cNvPr>
        <xdr:cNvSpPr/>
      </xdr:nvSpPr>
      <xdr:spPr bwMode="auto">
        <a:xfrm>
          <a:off x="1571625" y="2381250"/>
          <a:ext cx="342900" cy="276225"/>
        </a:xfrm>
        <a:prstGeom prst="star7">
          <a:avLst/>
        </a:prstGeom>
        <a:solidFill>
          <a:srgbClr val="00B0F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t>20</a:t>
          </a:r>
        </a:p>
      </xdr:txBody>
    </xdr:sp>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2.xml"/><Relationship Id="rId21" Type="http://schemas.openxmlformats.org/officeDocument/2006/relationships/ctrlProp" Target="../ctrlProps/ctrlProp16.xml"/><Relationship Id="rId42" Type="http://schemas.openxmlformats.org/officeDocument/2006/relationships/ctrlProp" Target="../ctrlProps/ctrlProp37.xml"/><Relationship Id="rId63" Type="http://schemas.openxmlformats.org/officeDocument/2006/relationships/ctrlProp" Target="../ctrlProps/ctrlProp58.xml"/><Relationship Id="rId84" Type="http://schemas.openxmlformats.org/officeDocument/2006/relationships/ctrlProp" Target="../ctrlProps/ctrlProp79.xml"/><Relationship Id="rId138" Type="http://schemas.openxmlformats.org/officeDocument/2006/relationships/ctrlProp" Target="../ctrlProps/ctrlProp133.xml"/><Relationship Id="rId159" Type="http://schemas.openxmlformats.org/officeDocument/2006/relationships/ctrlProp" Target="../ctrlProps/ctrlProp154.xml"/><Relationship Id="rId170" Type="http://schemas.openxmlformats.org/officeDocument/2006/relationships/ctrlProp" Target="../ctrlProps/ctrlProp165.xml"/><Relationship Id="rId191" Type="http://schemas.openxmlformats.org/officeDocument/2006/relationships/ctrlProp" Target="../ctrlProps/ctrlProp186.xml"/><Relationship Id="rId205" Type="http://schemas.openxmlformats.org/officeDocument/2006/relationships/ctrlProp" Target="../ctrlProps/ctrlProp200.xml"/><Relationship Id="rId226" Type="http://schemas.openxmlformats.org/officeDocument/2006/relationships/ctrlProp" Target="../ctrlProps/ctrlProp221.xml"/><Relationship Id="rId247" Type="http://schemas.openxmlformats.org/officeDocument/2006/relationships/ctrlProp" Target="../ctrlProps/ctrlProp242.xml"/><Relationship Id="rId107" Type="http://schemas.openxmlformats.org/officeDocument/2006/relationships/ctrlProp" Target="../ctrlProps/ctrlProp102.xml"/><Relationship Id="rId11" Type="http://schemas.openxmlformats.org/officeDocument/2006/relationships/ctrlProp" Target="../ctrlProps/ctrlProp6.xml"/><Relationship Id="rId32" Type="http://schemas.openxmlformats.org/officeDocument/2006/relationships/ctrlProp" Target="../ctrlProps/ctrlProp27.xml"/><Relationship Id="rId53" Type="http://schemas.openxmlformats.org/officeDocument/2006/relationships/ctrlProp" Target="../ctrlProps/ctrlProp48.xml"/><Relationship Id="rId74" Type="http://schemas.openxmlformats.org/officeDocument/2006/relationships/ctrlProp" Target="../ctrlProps/ctrlProp69.xml"/><Relationship Id="rId128" Type="http://schemas.openxmlformats.org/officeDocument/2006/relationships/ctrlProp" Target="../ctrlProps/ctrlProp123.xml"/><Relationship Id="rId149" Type="http://schemas.openxmlformats.org/officeDocument/2006/relationships/ctrlProp" Target="../ctrlProps/ctrlProp144.xml"/><Relationship Id="rId5" Type="http://schemas.openxmlformats.org/officeDocument/2006/relationships/vmlDrawing" Target="../drawings/vmlDrawing1.vml"/><Relationship Id="rId95" Type="http://schemas.openxmlformats.org/officeDocument/2006/relationships/ctrlProp" Target="../ctrlProps/ctrlProp90.xml"/><Relationship Id="rId160" Type="http://schemas.openxmlformats.org/officeDocument/2006/relationships/ctrlProp" Target="../ctrlProps/ctrlProp155.xml"/><Relationship Id="rId181" Type="http://schemas.openxmlformats.org/officeDocument/2006/relationships/ctrlProp" Target="../ctrlProps/ctrlProp176.xml"/><Relationship Id="rId216" Type="http://schemas.openxmlformats.org/officeDocument/2006/relationships/ctrlProp" Target="../ctrlProps/ctrlProp211.xml"/><Relationship Id="rId237" Type="http://schemas.openxmlformats.org/officeDocument/2006/relationships/ctrlProp" Target="../ctrlProps/ctrlProp232.xml"/><Relationship Id="rId22" Type="http://schemas.openxmlformats.org/officeDocument/2006/relationships/ctrlProp" Target="../ctrlProps/ctrlProp17.xml"/><Relationship Id="rId43" Type="http://schemas.openxmlformats.org/officeDocument/2006/relationships/ctrlProp" Target="../ctrlProps/ctrlProp38.xml"/><Relationship Id="rId64" Type="http://schemas.openxmlformats.org/officeDocument/2006/relationships/ctrlProp" Target="../ctrlProps/ctrlProp59.xml"/><Relationship Id="rId118" Type="http://schemas.openxmlformats.org/officeDocument/2006/relationships/ctrlProp" Target="../ctrlProps/ctrlProp113.xml"/><Relationship Id="rId139" Type="http://schemas.openxmlformats.org/officeDocument/2006/relationships/ctrlProp" Target="../ctrlProps/ctrlProp134.xml"/><Relationship Id="rId85" Type="http://schemas.openxmlformats.org/officeDocument/2006/relationships/ctrlProp" Target="../ctrlProps/ctrlProp80.xml"/><Relationship Id="rId150" Type="http://schemas.openxmlformats.org/officeDocument/2006/relationships/ctrlProp" Target="../ctrlProps/ctrlProp145.xml"/><Relationship Id="rId171" Type="http://schemas.openxmlformats.org/officeDocument/2006/relationships/ctrlProp" Target="../ctrlProps/ctrlProp166.xml"/><Relationship Id="rId192" Type="http://schemas.openxmlformats.org/officeDocument/2006/relationships/ctrlProp" Target="../ctrlProps/ctrlProp187.xml"/><Relationship Id="rId206" Type="http://schemas.openxmlformats.org/officeDocument/2006/relationships/ctrlProp" Target="../ctrlProps/ctrlProp201.xml"/><Relationship Id="rId227" Type="http://schemas.openxmlformats.org/officeDocument/2006/relationships/ctrlProp" Target="../ctrlProps/ctrlProp222.xml"/><Relationship Id="rId248" Type="http://schemas.openxmlformats.org/officeDocument/2006/relationships/ctrlProp" Target="../ctrlProps/ctrlProp243.xml"/><Relationship Id="rId12" Type="http://schemas.openxmlformats.org/officeDocument/2006/relationships/ctrlProp" Target="../ctrlProps/ctrlProp7.xml"/><Relationship Id="rId33" Type="http://schemas.openxmlformats.org/officeDocument/2006/relationships/ctrlProp" Target="../ctrlProps/ctrlProp28.xml"/><Relationship Id="rId108" Type="http://schemas.openxmlformats.org/officeDocument/2006/relationships/ctrlProp" Target="../ctrlProps/ctrlProp103.xml"/><Relationship Id="rId129" Type="http://schemas.openxmlformats.org/officeDocument/2006/relationships/ctrlProp" Target="../ctrlProps/ctrlProp124.xml"/><Relationship Id="rId54" Type="http://schemas.openxmlformats.org/officeDocument/2006/relationships/ctrlProp" Target="../ctrlProps/ctrlProp49.xml"/><Relationship Id="rId70" Type="http://schemas.openxmlformats.org/officeDocument/2006/relationships/ctrlProp" Target="../ctrlProps/ctrlProp65.xml"/><Relationship Id="rId75" Type="http://schemas.openxmlformats.org/officeDocument/2006/relationships/ctrlProp" Target="../ctrlProps/ctrlProp70.xml"/><Relationship Id="rId91" Type="http://schemas.openxmlformats.org/officeDocument/2006/relationships/ctrlProp" Target="../ctrlProps/ctrlProp86.xml"/><Relationship Id="rId96" Type="http://schemas.openxmlformats.org/officeDocument/2006/relationships/ctrlProp" Target="../ctrlProps/ctrlProp91.xml"/><Relationship Id="rId140" Type="http://schemas.openxmlformats.org/officeDocument/2006/relationships/ctrlProp" Target="../ctrlProps/ctrlProp135.xml"/><Relationship Id="rId145" Type="http://schemas.openxmlformats.org/officeDocument/2006/relationships/ctrlProp" Target="../ctrlProps/ctrlProp140.xml"/><Relationship Id="rId161" Type="http://schemas.openxmlformats.org/officeDocument/2006/relationships/ctrlProp" Target="../ctrlProps/ctrlProp156.xml"/><Relationship Id="rId166" Type="http://schemas.openxmlformats.org/officeDocument/2006/relationships/ctrlProp" Target="../ctrlProps/ctrlProp161.xml"/><Relationship Id="rId182" Type="http://schemas.openxmlformats.org/officeDocument/2006/relationships/ctrlProp" Target="../ctrlProps/ctrlProp177.xml"/><Relationship Id="rId187" Type="http://schemas.openxmlformats.org/officeDocument/2006/relationships/ctrlProp" Target="../ctrlProps/ctrlProp182.xml"/><Relationship Id="rId217" Type="http://schemas.openxmlformats.org/officeDocument/2006/relationships/ctrlProp" Target="../ctrlProps/ctrlProp212.xml"/><Relationship Id="rId1" Type="http://schemas.openxmlformats.org/officeDocument/2006/relationships/printerSettings" Target="../printerSettings/printerSettings1.bin"/><Relationship Id="rId6" Type="http://schemas.openxmlformats.org/officeDocument/2006/relationships/ctrlProp" Target="../ctrlProps/ctrlProp1.xml"/><Relationship Id="rId212" Type="http://schemas.openxmlformats.org/officeDocument/2006/relationships/ctrlProp" Target="../ctrlProps/ctrlProp207.xml"/><Relationship Id="rId233" Type="http://schemas.openxmlformats.org/officeDocument/2006/relationships/ctrlProp" Target="../ctrlProps/ctrlProp228.xml"/><Relationship Id="rId238" Type="http://schemas.openxmlformats.org/officeDocument/2006/relationships/ctrlProp" Target="../ctrlProps/ctrlProp233.xml"/><Relationship Id="rId254" Type="http://schemas.openxmlformats.org/officeDocument/2006/relationships/ctrlProp" Target="../ctrlProps/ctrlProp249.xml"/><Relationship Id="rId23" Type="http://schemas.openxmlformats.org/officeDocument/2006/relationships/ctrlProp" Target="../ctrlProps/ctrlProp18.xml"/><Relationship Id="rId28" Type="http://schemas.openxmlformats.org/officeDocument/2006/relationships/ctrlProp" Target="../ctrlProps/ctrlProp23.xml"/><Relationship Id="rId49" Type="http://schemas.openxmlformats.org/officeDocument/2006/relationships/ctrlProp" Target="../ctrlProps/ctrlProp44.xml"/><Relationship Id="rId114" Type="http://schemas.openxmlformats.org/officeDocument/2006/relationships/ctrlProp" Target="../ctrlProps/ctrlProp109.xml"/><Relationship Id="rId119" Type="http://schemas.openxmlformats.org/officeDocument/2006/relationships/ctrlProp" Target="../ctrlProps/ctrlProp114.xml"/><Relationship Id="rId44" Type="http://schemas.openxmlformats.org/officeDocument/2006/relationships/ctrlProp" Target="../ctrlProps/ctrlProp39.xml"/><Relationship Id="rId60" Type="http://schemas.openxmlformats.org/officeDocument/2006/relationships/ctrlProp" Target="../ctrlProps/ctrlProp55.xml"/><Relationship Id="rId65" Type="http://schemas.openxmlformats.org/officeDocument/2006/relationships/ctrlProp" Target="../ctrlProps/ctrlProp60.xml"/><Relationship Id="rId81" Type="http://schemas.openxmlformats.org/officeDocument/2006/relationships/ctrlProp" Target="../ctrlProps/ctrlProp76.xml"/><Relationship Id="rId86" Type="http://schemas.openxmlformats.org/officeDocument/2006/relationships/ctrlProp" Target="../ctrlProps/ctrlProp81.xml"/><Relationship Id="rId130" Type="http://schemas.openxmlformats.org/officeDocument/2006/relationships/ctrlProp" Target="../ctrlProps/ctrlProp125.xml"/><Relationship Id="rId135" Type="http://schemas.openxmlformats.org/officeDocument/2006/relationships/ctrlProp" Target="../ctrlProps/ctrlProp130.xml"/><Relationship Id="rId151" Type="http://schemas.openxmlformats.org/officeDocument/2006/relationships/ctrlProp" Target="../ctrlProps/ctrlProp146.xml"/><Relationship Id="rId156" Type="http://schemas.openxmlformats.org/officeDocument/2006/relationships/ctrlProp" Target="../ctrlProps/ctrlProp151.xml"/><Relationship Id="rId177" Type="http://schemas.openxmlformats.org/officeDocument/2006/relationships/ctrlProp" Target="../ctrlProps/ctrlProp172.xml"/><Relationship Id="rId198" Type="http://schemas.openxmlformats.org/officeDocument/2006/relationships/ctrlProp" Target="../ctrlProps/ctrlProp193.xml"/><Relationship Id="rId172" Type="http://schemas.openxmlformats.org/officeDocument/2006/relationships/ctrlProp" Target="../ctrlProps/ctrlProp167.xml"/><Relationship Id="rId193" Type="http://schemas.openxmlformats.org/officeDocument/2006/relationships/ctrlProp" Target="../ctrlProps/ctrlProp188.xml"/><Relationship Id="rId202" Type="http://schemas.openxmlformats.org/officeDocument/2006/relationships/ctrlProp" Target="../ctrlProps/ctrlProp197.xml"/><Relationship Id="rId207" Type="http://schemas.openxmlformats.org/officeDocument/2006/relationships/ctrlProp" Target="../ctrlProps/ctrlProp202.xml"/><Relationship Id="rId223" Type="http://schemas.openxmlformats.org/officeDocument/2006/relationships/ctrlProp" Target="../ctrlProps/ctrlProp218.xml"/><Relationship Id="rId228" Type="http://schemas.openxmlformats.org/officeDocument/2006/relationships/ctrlProp" Target="../ctrlProps/ctrlProp223.xml"/><Relationship Id="rId244" Type="http://schemas.openxmlformats.org/officeDocument/2006/relationships/ctrlProp" Target="../ctrlProps/ctrlProp239.xml"/><Relationship Id="rId249" Type="http://schemas.openxmlformats.org/officeDocument/2006/relationships/ctrlProp" Target="../ctrlProps/ctrlProp244.xml"/><Relationship Id="rId13" Type="http://schemas.openxmlformats.org/officeDocument/2006/relationships/ctrlProp" Target="../ctrlProps/ctrlProp8.xml"/><Relationship Id="rId18" Type="http://schemas.openxmlformats.org/officeDocument/2006/relationships/ctrlProp" Target="../ctrlProps/ctrlProp13.xml"/><Relationship Id="rId39" Type="http://schemas.openxmlformats.org/officeDocument/2006/relationships/ctrlProp" Target="../ctrlProps/ctrlProp34.xml"/><Relationship Id="rId109" Type="http://schemas.openxmlformats.org/officeDocument/2006/relationships/ctrlProp" Target="../ctrlProps/ctrlProp104.xml"/><Relationship Id="rId34" Type="http://schemas.openxmlformats.org/officeDocument/2006/relationships/ctrlProp" Target="../ctrlProps/ctrlProp29.xml"/><Relationship Id="rId50" Type="http://schemas.openxmlformats.org/officeDocument/2006/relationships/ctrlProp" Target="../ctrlProps/ctrlProp45.xml"/><Relationship Id="rId55" Type="http://schemas.openxmlformats.org/officeDocument/2006/relationships/ctrlProp" Target="../ctrlProps/ctrlProp50.xml"/><Relationship Id="rId76" Type="http://schemas.openxmlformats.org/officeDocument/2006/relationships/ctrlProp" Target="../ctrlProps/ctrlProp71.xml"/><Relationship Id="rId97" Type="http://schemas.openxmlformats.org/officeDocument/2006/relationships/ctrlProp" Target="../ctrlProps/ctrlProp92.xml"/><Relationship Id="rId104" Type="http://schemas.openxmlformats.org/officeDocument/2006/relationships/ctrlProp" Target="../ctrlProps/ctrlProp99.xml"/><Relationship Id="rId120" Type="http://schemas.openxmlformats.org/officeDocument/2006/relationships/ctrlProp" Target="../ctrlProps/ctrlProp115.xml"/><Relationship Id="rId125" Type="http://schemas.openxmlformats.org/officeDocument/2006/relationships/ctrlProp" Target="../ctrlProps/ctrlProp120.xml"/><Relationship Id="rId141" Type="http://schemas.openxmlformats.org/officeDocument/2006/relationships/ctrlProp" Target="../ctrlProps/ctrlProp136.xml"/><Relationship Id="rId146" Type="http://schemas.openxmlformats.org/officeDocument/2006/relationships/ctrlProp" Target="../ctrlProps/ctrlProp141.xml"/><Relationship Id="rId167" Type="http://schemas.openxmlformats.org/officeDocument/2006/relationships/ctrlProp" Target="../ctrlProps/ctrlProp162.xml"/><Relationship Id="rId188" Type="http://schemas.openxmlformats.org/officeDocument/2006/relationships/ctrlProp" Target="../ctrlProps/ctrlProp183.xml"/><Relationship Id="rId7" Type="http://schemas.openxmlformats.org/officeDocument/2006/relationships/ctrlProp" Target="../ctrlProps/ctrlProp2.xml"/><Relationship Id="rId71" Type="http://schemas.openxmlformats.org/officeDocument/2006/relationships/ctrlProp" Target="../ctrlProps/ctrlProp66.xml"/><Relationship Id="rId92" Type="http://schemas.openxmlformats.org/officeDocument/2006/relationships/ctrlProp" Target="../ctrlProps/ctrlProp87.xml"/><Relationship Id="rId162" Type="http://schemas.openxmlformats.org/officeDocument/2006/relationships/ctrlProp" Target="../ctrlProps/ctrlProp157.xml"/><Relationship Id="rId183" Type="http://schemas.openxmlformats.org/officeDocument/2006/relationships/ctrlProp" Target="../ctrlProps/ctrlProp178.xml"/><Relationship Id="rId213" Type="http://schemas.openxmlformats.org/officeDocument/2006/relationships/ctrlProp" Target="../ctrlProps/ctrlProp208.xml"/><Relationship Id="rId218" Type="http://schemas.openxmlformats.org/officeDocument/2006/relationships/ctrlProp" Target="../ctrlProps/ctrlProp213.xml"/><Relationship Id="rId234" Type="http://schemas.openxmlformats.org/officeDocument/2006/relationships/ctrlProp" Target="../ctrlProps/ctrlProp229.xml"/><Relationship Id="rId239" Type="http://schemas.openxmlformats.org/officeDocument/2006/relationships/ctrlProp" Target="../ctrlProps/ctrlProp234.xml"/><Relationship Id="rId2" Type="http://schemas.openxmlformats.org/officeDocument/2006/relationships/hyperlink" Target="https://lfl.bayern.de/mam/cms07/iab/dateien/vertrag_zus%C3%A4tzliche_ausbringfl%C3%A4chen_lagerkapazit%C3%A4t_20190919.pdf" TargetMode="External"/><Relationship Id="rId29" Type="http://schemas.openxmlformats.org/officeDocument/2006/relationships/ctrlProp" Target="../ctrlProps/ctrlProp24.xml"/><Relationship Id="rId250" Type="http://schemas.openxmlformats.org/officeDocument/2006/relationships/ctrlProp" Target="../ctrlProps/ctrlProp245.xml"/><Relationship Id="rId255" Type="http://schemas.openxmlformats.org/officeDocument/2006/relationships/ctrlProp" Target="../ctrlProps/ctrlProp250.xml"/><Relationship Id="rId24" Type="http://schemas.openxmlformats.org/officeDocument/2006/relationships/ctrlProp" Target="../ctrlProps/ctrlProp19.xml"/><Relationship Id="rId40" Type="http://schemas.openxmlformats.org/officeDocument/2006/relationships/ctrlProp" Target="../ctrlProps/ctrlProp35.xml"/><Relationship Id="rId45" Type="http://schemas.openxmlformats.org/officeDocument/2006/relationships/ctrlProp" Target="../ctrlProps/ctrlProp40.xml"/><Relationship Id="rId66" Type="http://schemas.openxmlformats.org/officeDocument/2006/relationships/ctrlProp" Target="../ctrlProps/ctrlProp61.xml"/><Relationship Id="rId87" Type="http://schemas.openxmlformats.org/officeDocument/2006/relationships/ctrlProp" Target="../ctrlProps/ctrlProp82.xml"/><Relationship Id="rId110" Type="http://schemas.openxmlformats.org/officeDocument/2006/relationships/ctrlProp" Target="../ctrlProps/ctrlProp105.xml"/><Relationship Id="rId115" Type="http://schemas.openxmlformats.org/officeDocument/2006/relationships/ctrlProp" Target="../ctrlProps/ctrlProp110.xml"/><Relationship Id="rId131" Type="http://schemas.openxmlformats.org/officeDocument/2006/relationships/ctrlProp" Target="../ctrlProps/ctrlProp126.xml"/><Relationship Id="rId136" Type="http://schemas.openxmlformats.org/officeDocument/2006/relationships/ctrlProp" Target="../ctrlProps/ctrlProp131.xml"/><Relationship Id="rId157" Type="http://schemas.openxmlformats.org/officeDocument/2006/relationships/ctrlProp" Target="../ctrlProps/ctrlProp152.xml"/><Relationship Id="rId178" Type="http://schemas.openxmlformats.org/officeDocument/2006/relationships/ctrlProp" Target="../ctrlProps/ctrlProp173.xml"/><Relationship Id="rId61" Type="http://schemas.openxmlformats.org/officeDocument/2006/relationships/ctrlProp" Target="../ctrlProps/ctrlProp56.xml"/><Relationship Id="rId82" Type="http://schemas.openxmlformats.org/officeDocument/2006/relationships/ctrlProp" Target="../ctrlProps/ctrlProp77.xml"/><Relationship Id="rId152" Type="http://schemas.openxmlformats.org/officeDocument/2006/relationships/ctrlProp" Target="../ctrlProps/ctrlProp147.xml"/><Relationship Id="rId173" Type="http://schemas.openxmlformats.org/officeDocument/2006/relationships/ctrlProp" Target="../ctrlProps/ctrlProp168.xml"/><Relationship Id="rId194" Type="http://schemas.openxmlformats.org/officeDocument/2006/relationships/ctrlProp" Target="../ctrlProps/ctrlProp189.xml"/><Relationship Id="rId199" Type="http://schemas.openxmlformats.org/officeDocument/2006/relationships/ctrlProp" Target="../ctrlProps/ctrlProp194.xml"/><Relationship Id="rId203" Type="http://schemas.openxmlformats.org/officeDocument/2006/relationships/ctrlProp" Target="../ctrlProps/ctrlProp198.xml"/><Relationship Id="rId208" Type="http://schemas.openxmlformats.org/officeDocument/2006/relationships/ctrlProp" Target="../ctrlProps/ctrlProp203.xml"/><Relationship Id="rId229" Type="http://schemas.openxmlformats.org/officeDocument/2006/relationships/ctrlProp" Target="../ctrlProps/ctrlProp224.xml"/><Relationship Id="rId19" Type="http://schemas.openxmlformats.org/officeDocument/2006/relationships/ctrlProp" Target="../ctrlProps/ctrlProp14.xml"/><Relationship Id="rId224" Type="http://schemas.openxmlformats.org/officeDocument/2006/relationships/ctrlProp" Target="../ctrlProps/ctrlProp219.xml"/><Relationship Id="rId240" Type="http://schemas.openxmlformats.org/officeDocument/2006/relationships/ctrlProp" Target="../ctrlProps/ctrlProp235.xml"/><Relationship Id="rId245" Type="http://schemas.openxmlformats.org/officeDocument/2006/relationships/ctrlProp" Target="../ctrlProps/ctrlProp240.xml"/><Relationship Id="rId14" Type="http://schemas.openxmlformats.org/officeDocument/2006/relationships/ctrlProp" Target="../ctrlProps/ctrlProp9.xml"/><Relationship Id="rId30" Type="http://schemas.openxmlformats.org/officeDocument/2006/relationships/ctrlProp" Target="../ctrlProps/ctrlProp25.xml"/><Relationship Id="rId35" Type="http://schemas.openxmlformats.org/officeDocument/2006/relationships/ctrlProp" Target="../ctrlProps/ctrlProp30.xml"/><Relationship Id="rId56" Type="http://schemas.openxmlformats.org/officeDocument/2006/relationships/ctrlProp" Target="../ctrlProps/ctrlProp51.xml"/><Relationship Id="rId77" Type="http://schemas.openxmlformats.org/officeDocument/2006/relationships/ctrlProp" Target="../ctrlProps/ctrlProp72.xml"/><Relationship Id="rId100" Type="http://schemas.openxmlformats.org/officeDocument/2006/relationships/ctrlProp" Target="../ctrlProps/ctrlProp95.xml"/><Relationship Id="rId105" Type="http://schemas.openxmlformats.org/officeDocument/2006/relationships/ctrlProp" Target="../ctrlProps/ctrlProp100.xml"/><Relationship Id="rId126" Type="http://schemas.openxmlformats.org/officeDocument/2006/relationships/ctrlProp" Target="../ctrlProps/ctrlProp121.xml"/><Relationship Id="rId147" Type="http://schemas.openxmlformats.org/officeDocument/2006/relationships/ctrlProp" Target="../ctrlProps/ctrlProp142.xml"/><Relationship Id="rId168" Type="http://schemas.openxmlformats.org/officeDocument/2006/relationships/ctrlProp" Target="../ctrlProps/ctrlProp163.xml"/><Relationship Id="rId8" Type="http://schemas.openxmlformats.org/officeDocument/2006/relationships/ctrlProp" Target="../ctrlProps/ctrlProp3.xml"/><Relationship Id="rId51" Type="http://schemas.openxmlformats.org/officeDocument/2006/relationships/ctrlProp" Target="../ctrlProps/ctrlProp46.xml"/><Relationship Id="rId72" Type="http://schemas.openxmlformats.org/officeDocument/2006/relationships/ctrlProp" Target="../ctrlProps/ctrlProp67.xml"/><Relationship Id="rId93" Type="http://schemas.openxmlformats.org/officeDocument/2006/relationships/ctrlProp" Target="../ctrlProps/ctrlProp88.xml"/><Relationship Id="rId98" Type="http://schemas.openxmlformats.org/officeDocument/2006/relationships/ctrlProp" Target="../ctrlProps/ctrlProp93.xml"/><Relationship Id="rId121" Type="http://schemas.openxmlformats.org/officeDocument/2006/relationships/ctrlProp" Target="../ctrlProps/ctrlProp116.xml"/><Relationship Id="rId142" Type="http://schemas.openxmlformats.org/officeDocument/2006/relationships/ctrlProp" Target="../ctrlProps/ctrlProp137.xml"/><Relationship Id="rId163" Type="http://schemas.openxmlformats.org/officeDocument/2006/relationships/ctrlProp" Target="../ctrlProps/ctrlProp158.xml"/><Relationship Id="rId184" Type="http://schemas.openxmlformats.org/officeDocument/2006/relationships/ctrlProp" Target="../ctrlProps/ctrlProp179.xml"/><Relationship Id="rId189" Type="http://schemas.openxmlformats.org/officeDocument/2006/relationships/ctrlProp" Target="../ctrlProps/ctrlProp184.xml"/><Relationship Id="rId219" Type="http://schemas.openxmlformats.org/officeDocument/2006/relationships/ctrlProp" Target="../ctrlProps/ctrlProp214.xml"/><Relationship Id="rId3" Type="http://schemas.openxmlformats.org/officeDocument/2006/relationships/printerSettings" Target="../printerSettings/printerSettings2.bin"/><Relationship Id="rId214" Type="http://schemas.openxmlformats.org/officeDocument/2006/relationships/ctrlProp" Target="../ctrlProps/ctrlProp209.xml"/><Relationship Id="rId230" Type="http://schemas.openxmlformats.org/officeDocument/2006/relationships/ctrlProp" Target="../ctrlProps/ctrlProp225.xml"/><Relationship Id="rId235" Type="http://schemas.openxmlformats.org/officeDocument/2006/relationships/ctrlProp" Target="../ctrlProps/ctrlProp230.xml"/><Relationship Id="rId251" Type="http://schemas.openxmlformats.org/officeDocument/2006/relationships/ctrlProp" Target="../ctrlProps/ctrlProp246.xml"/><Relationship Id="rId256" Type="http://schemas.openxmlformats.org/officeDocument/2006/relationships/comments" Target="../comments1.xml"/><Relationship Id="rId25" Type="http://schemas.openxmlformats.org/officeDocument/2006/relationships/ctrlProp" Target="../ctrlProps/ctrlProp20.xml"/><Relationship Id="rId46" Type="http://schemas.openxmlformats.org/officeDocument/2006/relationships/ctrlProp" Target="../ctrlProps/ctrlProp41.xml"/><Relationship Id="rId67" Type="http://schemas.openxmlformats.org/officeDocument/2006/relationships/ctrlProp" Target="../ctrlProps/ctrlProp62.xml"/><Relationship Id="rId116" Type="http://schemas.openxmlformats.org/officeDocument/2006/relationships/ctrlProp" Target="../ctrlProps/ctrlProp111.xml"/><Relationship Id="rId137" Type="http://schemas.openxmlformats.org/officeDocument/2006/relationships/ctrlProp" Target="../ctrlProps/ctrlProp132.xml"/><Relationship Id="rId158" Type="http://schemas.openxmlformats.org/officeDocument/2006/relationships/ctrlProp" Target="../ctrlProps/ctrlProp153.xml"/><Relationship Id="rId20" Type="http://schemas.openxmlformats.org/officeDocument/2006/relationships/ctrlProp" Target="../ctrlProps/ctrlProp15.xml"/><Relationship Id="rId41" Type="http://schemas.openxmlformats.org/officeDocument/2006/relationships/ctrlProp" Target="../ctrlProps/ctrlProp36.xml"/><Relationship Id="rId62" Type="http://schemas.openxmlformats.org/officeDocument/2006/relationships/ctrlProp" Target="../ctrlProps/ctrlProp57.xml"/><Relationship Id="rId83" Type="http://schemas.openxmlformats.org/officeDocument/2006/relationships/ctrlProp" Target="../ctrlProps/ctrlProp78.xml"/><Relationship Id="rId88" Type="http://schemas.openxmlformats.org/officeDocument/2006/relationships/ctrlProp" Target="../ctrlProps/ctrlProp83.xml"/><Relationship Id="rId111" Type="http://schemas.openxmlformats.org/officeDocument/2006/relationships/ctrlProp" Target="../ctrlProps/ctrlProp106.xml"/><Relationship Id="rId132" Type="http://schemas.openxmlformats.org/officeDocument/2006/relationships/ctrlProp" Target="../ctrlProps/ctrlProp127.xml"/><Relationship Id="rId153" Type="http://schemas.openxmlformats.org/officeDocument/2006/relationships/ctrlProp" Target="../ctrlProps/ctrlProp148.xml"/><Relationship Id="rId174" Type="http://schemas.openxmlformats.org/officeDocument/2006/relationships/ctrlProp" Target="../ctrlProps/ctrlProp169.xml"/><Relationship Id="rId179" Type="http://schemas.openxmlformats.org/officeDocument/2006/relationships/ctrlProp" Target="../ctrlProps/ctrlProp174.xml"/><Relationship Id="rId195" Type="http://schemas.openxmlformats.org/officeDocument/2006/relationships/ctrlProp" Target="../ctrlProps/ctrlProp190.xml"/><Relationship Id="rId209" Type="http://schemas.openxmlformats.org/officeDocument/2006/relationships/ctrlProp" Target="../ctrlProps/ctrlProp204.xml"/><Relationship Id="rId190" Type="http://schemas.openxmlformats.org/officeDocument/2006/relationships/ctrlProp" Target="../ctrlProps/ctrlProp185.xml"/><Relationship Id="rId204" Type="http://schemas.openxmlformats.org/officeDocument/2006/relationships/ctrlProp" Target="../ctrlProps/ctrlProp199.xml"/><Relationship Id="rId220" Type="http://schemas.openxmlformats.org/officeDocument/2006/relationships/ctrlProp" Target="../ctrlProps/ctrlProp215.xml"/><Relationship Id="rId225" Type="http://schemas.openxmlformats.org/officeDocument/2006/relationships/ctrlProp" Target="../ctrlProps/ctrlProp220.xml"/><Relationship Id="rId241" Type="http://schemas.openxmlformats.org/officeDocument/2006/relationships/ctrlProp" Target="../ctrlProps/ctrlProp236.xml"/><Relationship Id="rId246" Type="http://schemas.openxmlformats.org/officeDocument/2006/relationships/ctrlProp" Target="../ctrlProps/ctrlProp241.xml"/><Relationship Id="rId15" Type="http://schemas.openxmlformats.org/officeDocument/2006/relationships/ctrlProp" Target="../ctrlProps/ctrlProp10.xml"/><Relationship Id="rId36" Type="http://schemas.openxmlformats.org/officeDocument/2006/relationships/ctrlProp" Target="../ctrlProps/ctrlProp31.xml"/><Relationship Id="rId57" Type="http://schemas.openxmlformats.org/officeDocument/2006/relationships/ctrlProp" Target="../ctrlProps/ctrlProp52.xml"/><Relationship Id="rId106" Type="http://schemas.openxmlformats.org/officeDocument/2006/relationships/ctrlProp" Target="../ctrlProps/ctrlProp101.xml"/><Relationship Id="rId127" Type="http://schemas.openxmlformats.org/officeDocument/2006/relationships/ctrlProp" Target="../ctrlProps/ctrlProp122.xml"/><Relationship Id="rId10" Type="http://schemas.openxmlformats.org/officeDocument/2006/relationships/ctrlProp" Target="../ctrlProps/ctrlProp5.xml"/><Relationship Id="rId31" Type="http://schemas.openxmlformats.org/officeDocument/2006/relationships/ctrlProp" Target="../ctrlProps/ctrlProp26.xml"/><Relationship Id="rId52" Type="http://schemas.openxmlformats.org/officeDocument/2006/relationships/ctrlProp" Target="../ctrlProps/ctrlProp47.xml"/><Relationship Id="rId73" Type="http://schemas.openxmlformats.org/officeDocument/2006/relationships/ctrlProp" Target="../ctrlProps/ctrlProp68.xml"/><Relationship Id="rId78" Type="http://schemas.openxmlformats.org/officeDocument/2006/relationships/ctrlProp" Target="../ctrlProps/ctrlProp73.xml"/><Relationship Id="rId94" Type="http://schemas.openxmlformats.org/officeDocument/2006/relationships/ctrlProp" Target="../ctrlProps/ctrlProp89.xml"/><Relationship Id="rId99" Type="http://schemas.openxmlformats.org/officeDocument/2006/relationships/ctrlProp" Target="../ctrlProps/ctrlProp94.xml"/><Relationship Id="rId101" Type="http://schemas.openxmlformats.org/officeDocument/2006/relationships/ctrlProp" Target="../ctrlProps/ctrlProp96.xml"/><Relationship Id="rId122" Type="http://schemas.openxmlformats.org/officeDocument/2006/relationships/ctrlProp" Target="../ctrlProps/ctrlProp117.xml"/><Relationship Id="rId143" Type="http://schemas.openxmlformats.org/officeDocument/2006/relationships/ctrlProp" Target="../ctrlProps/ctrlProp138.xml"/><Relationship Id="rId148" Type="http://schemas.openxmlformats.org/officeDocument/2006/relationships/ctrlProp" Target="../ctrlProps/ctrlProp143.xml"/><Relationship Id="rId164" Type="http://schemas.openxmlformats.org/officeDocument/2006/relationships/ctrlProp" Target="../ctrlProps/ctrlProp159.xml"/><Relationship Id="rId169" Type="http://schemas.openxmlformats.org/officeDocument/2006/relationships/ctrlProp" Target="../ctrlProps/ctrlProp164.xml"/><Relationship Id="rId185" Type="http://schemas.openxmlformats.org/officeDocument/2006/relationships/ctrlProp" Target="../ctrlProps/ctrlProp180.xml"/><Relationship Id="rId4" Type="http://schemas.openxmlformats.org/officeDocument/2006/relationships/drawing" Target="../drawings/drawing1.xml"/><Relationship Id="rId9" Type="http://schemas.openxmlformats.org/officeDocument/2006/relationships/ctrlProp" Target="../ctrlProps/ctrlProp4.xml"/><Relationship Id="rId180" Type="http://schemas.openxmlformats.org/officeDocument/2006/relationships/ctrlProp" Target="../ctrlProps/ctrlProp175.xml"/><Relationship Id="rId210" Type="http://schemas.openxmlformats.org/officeDocument/2006/relationships/ctrlProp" Target="../ctrlProps/ctrlProp205.xml"/><Relationship Id="rId215" Type="http://schemas.openxmlformats.org/officeDocument/2006/relationships/ctrlProp" Target="../ctrlProps/ctrlProp210.xml"/><Relationship Id="rId236" Type="http://schemas.openxmlformats.org/officeDocument/2006/relationships/ctrlProp" Target="../ctrlProps/ctrlProp231.xml"/><Relationship Id="rId26" Type="http://schemas.openxmlformats.org/officeDocument/2006/relationships/ctrlProp" Target="../ctrlProps/ctrlProp21.xml"/><Relationship Id="rId231" Type="http://schemas.openxmlformats.org/officeDocument/2006/relationships/ctrlProp" Target="../ctrlProps/ctrlProp226.xml"/><Relationship Id="rId252" Type="http://schemas.openxmlformats.org/officeDocument/2006/relationships/ctrlProp" Target="../ctrlProps/ctrlProp247.xml"/><Relationship Id="rId47" Type="http://schemas.openxmlformats.org/officeDocument/2006/relationships/ctrlProp" Target="../ctrlProps/ctrlProp42.xml"/><Relationship Id="rId68" Type="http://schemas.openxmlformats.org/officeDocument/2006/relationships/ctrlProp" Target="../ctrlProps/ctrlProp63.xml"/><Relationship Id="rId89" Type="http://schemas.openxmlformats.org/officeDocument/2006/relationships/ctrlProp" Target="../ctrlProps/ctrlProp84.xml"/><Relationship Id="rId112" Type="http://schemas.openxmlformats.org/officeDocument/2006/relationships/ctrlProp" Target="../ctrlProps/ctrlProp107.xml"/><Relationship Id="rId133" Type="http://schemas.openxmlformats.org/officeDocument/2006/relationships/ctrlProp" Target="../ctrlProps/ctrlProp128.xml"/><Relationship Id="rId154" Type="http://schemas.openxmlformats.org/officeDocument/2006/relationships/ctrlProp" Target="../ctrlProps/ctrlProp149.xml"/><Relationship Id="rId175" Type="http://schemas.openxmlformats.org/officeDocument/2006/relationships/ctrlProp" Target="../ctrlProps/ctrlProp170.xml"/><Relationship Id="rId196" Type="http://schemas.openxmlformats.org/officeDocument/2006/relationships/ctrlProp" Target="../ctrlProps/ctrlProp191.xml"/><Relationship Id="rId200" Type="http://schemas.openxmlformats.org/officeDocument/2006/relationships/ctrlProp" Target="../ctrlProps/ctrlProp195.xml"/><Relationship Id="rId16" Type="http://schemas.openxmlformats.org/officeDocument/2006/relationships/ctrlProp" Target="../ctrlProps/ctrlProp11.xml"/><Relationship Id="rId221" Type="http://schemas.openxmlformats.org/officeDocument/2006/relationships/ctrlProp" Target="../ctrlProps/ctrlProp216.xml"/><Relationship Id="rId242" Type="http://schemas.openxmlformats.org/officeDocument/2006/relationships/ctrlProp" Target="../ctrlProps/ctrlProp237.xml"/><Relationship Id="rId37" Type="http://schemas.openxmlformats.org/officeDocument/2006/relationships/ctrlProp" Target="../ctrlProps/ctrlProp32.xml"/><Relationship Id="rId58" Type="http://schemas.openxmlformats.org/officeDocument/2006/relationships/ctrlProp" Target="../ctrlProps/ctrlProp53.xml"/><Relationship Id="rId79" Type="http://schemas.openxmlformats.org/officeDocument/2006/relationships/ctrlProp" Target="../ctrlProps/ctrlProp74.xml"/><Relationship Id="rId102" Type="http://schemas.openxmlformats.org/officeDocument/2006/relationships/ctrlProp" Target="../ctrlProps/ctrlProp97.xml"/><Relationship Id="rId123" Type="http://schemas.openxmlformats.org/officeDocument/2006/relationships/ctrlProp" Target="../ctrlProps/ctrlProp118.xml"/><Relationship Id="rId144" Type="http://schemas.openxmlformats.org/officeDocument/2006/relationships/ctrlProp" Target="../ctrlProps/ctrlProp139.xml"/><Relationship Id="rId90" Type="http://schemas.openxmlformats.org/officeDocument/2006/relationships/ctrlProp" Target="../ctrlProps/ctrlProp85.xml"/><Relationship Id="rId165" Type="http://schemas.openxmlformats.org/officeDocument/2006/relationships/ctrlProp" Target="../ctrlProps/ctrlProp160.xml"/><Relationship Id="rId186" Type="http://schemas.openxmlformats.org/officeDocument/2006/relationships/ctrlProp" Target="../ctrlProps/ctrlProp181.xml"/><Relationship Id="rId211" Type="http://schemas.openxmlformats.org/officeDocument/2006/relationships/ctrlProp" Target="../ctrlProps/ctrlProp206.xml"/><Relationship Id="rId232" Type="http://schemas.openxmlformats.org/officeDocument/2006/relationships/ctrlProp" Target="../ctrlProps/ctrlProp227.xml"/><Relationship Id="rId253" Type="http://schemas.openxmlformats.org/officeDocument/2006/relationships/ctrlProp" Target="../ctrlProps/ctrlProp248.xml"/><Relationship Id="rId27" Type="http://schemas.openxmlformats.org/officeDocument/2006/relationships/ctrlProp" Target="../ctrlProps/ctrlProp22.xml"/><Relationship Id="rId48" Type="http://schemas.openxmlformats.org/officeDocument/2006/relationships/ctrlProp" Target="../ctrlProps/ctrlProp43.xml"/><Relationship Id="rId69" Type="http://schemas.openxmlformats.org/officeDocument/2006/relationships/ctrlProp" Target="../ctrlProps/ctrlProp64.xml"/><Relationship Id="rId113" Type="http://schemas.openxmlformats.org/officeDocument/2006/relationships/ctrlProp" Target="../ctrlProps/ctrlProp108.xml"/><Relationship Id="rId134" Type="http://schemas.openxmlformats.org/officeDocument/2006/relationships/ctrlProp" Target="../ctrlProps/ctrlProp129.xml"/><Relationship Id="rId80" Type="http://schemas.openxmlformats.org/officeDocument/2006/relationships/ctrlProp" Target="../ctrlProps/ctrlProp75.xml"/><Relationship Id="rId155" Type="http://schemas.openxmlformats.org/officeDocument/2006/relationships/ctrlProp" Target="../ctrlProps/ctrlProp150.xml"/><Relationship Id="rId176" Type="http://schemas.openxmlformats.org/officeDocument/2006/relationships/ctrlProp" Target="../ctrlProps/ctrlProp171.xml"/><Relationship Id="rId197" Type="http://schemas.openxmlformats.org/officeDocument/2006/relationships/ctrlProp" Target="../ctrlProps/ctrlProp192.xml"/><Relationship Id="rId201" Type="http://schemas.openxmlformats.org/officeDocument/2006/relationships/ctrlProp" Target="../ctrlProps/ctrlProp196.xml"/><Relationship Id="rId222" Type="http://schemas.openxmlformats.org/officeDocument/2006/relationships/ctrlProp" Target="../ctrlProps/ctrlProp217.xml"/><Relationship Id="rId243" Type="http://schemas.openxmlformats.org/officeDocument/2006/relationships/ctrlProp" Target="../ctrlProps/ctrlProp238.xml"/><Relationship Id="rId17" Type="http://schemas.openxmlformats.org/officeDocument/2006/relationships/ctrlProp" Target="../ctrlProps/ctrlProp12.xml"/><Relationship Id="rId38" Type="http://schemas.openxmlformats.org/officeDocument/2006/relationships/ctrlProp" Target="../ctrlProps/ctrlProp33.xml"/><Relationship Id="rId59" Type="http://schemas.openxmlformats.org/officeDocument/2006/relationships/ctrlProp" Target="../ctrlProps/ctrlProp54.xml"/><Relationship Id="rId103" Type="http://schemas.openxmlformats.org/officeDocument/2006/relationships/ctrlProp" Target="../ctrlProps/ctrlProp98.xml"/><Relationship Id="rId124" Type="http://schemas.openxmlformats.org/officeDocument/2006/relationships/ctrlProp" Target="../ctrlProps/ctrlProp119.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73.xml"/><Relationship Id="rId21" Type="http://schemas.openxmlformats.org/officeDocument/2006/relationships/ctrlProp" Target="../ctrlProps/ctrlProp268.xml"/><Relationship Id="rId42" Type="http://schemas.openxmlformats.org/officeDocument/2006/relationships/ctrlProp" Target="../ctrlProps/ctrlProp289.xml"/><Relationship Id="rId47" Type="http://schemas.openxmlformats.org/officeDocument/2006/relationships/ctrlProp" Target="../ctrlProps/ctrlProp294.xml"/><Relationship Id="rId63" Type="http://schemas.openxmlformats.org/officeDocument/2006/relationships/ctrlProp" Target="../ctrlProps/ctrlProp310.xml"/><Relationship Id="rId68" Type="http://schemas.openxmlformats.org/officeDocument/2006/relationships/ctrlProp" Target="../ctrlProps/ctrlProp315.xml"/><Relationship Id="rId84" Type="http://schemas.openxmlformats.org/officeDocument/2006/relationships/ctrlProp" Target="../ctrlProps/ctrlProp331.xml"/><Relationship Id="rId89" Type="http://schemas.openxmlformats.org/officeDocument/2006/relationships/ctrlProp" Target="../ctrlProps/ctrlProp336.xml"/><Relationship Id="rId112" Type="http://schemas.openxmlformats.org/officeDocument/2006/relationships/ctrlProp" Target="../ctrlProps/ctrlProp359.xml"/><Relationship Id="rId16" Type="http://schemas.openxmlformats.org/officeDocument/2006/relationships/ctrlProp" Target="../ctrlProps/ctrlProp263.xml"/><Relationship Id="rId107" Type="http://schemas.openxmlformats.org/officeDocument/2006/relationships/ctrlProp" Target="../ctrlProps/ctrlProp354.xml"/><Relationship Id="rId11" Type="http://schemas.openxmlformats.org/officeDocument/2006/relationships/ctrlProp" Target="../ctrlProps/ctrlProp258.xml"/><Relationship Id="rId24" Type="http://schemas.openxmlformats.org/officeDocument/2006/relationships/ctrlProp" Target="../ctrlProps/ctrlProp271.xml"/><Relationship Id="rId32" Type="http://schemas.openxmlformats.org/officeDocument/2006/relationships/ctrlProp" Target="../ctrlProps/ctrlProp279.xml"/><Relationship Id="rId37" Type="http://schemas.openxmlformats.org/officeDocument/2006/relationships/ctrlProp" Target="../ctrlProps/ctrlProp284.xml"/><Relationship Id="rId40" Type="http://schemas.openxmlformats.org/officeDocument/2006/relationships/ctrlProp" Target="../ctrlProps/ctrlProp287.xml"/><Relationship Id="rId45" Type="http://schemas.openxmlformats.org/officeDocument/2006/relationships/ctrlProp" Target="../ctrlProps/ctrlProp292.xml"/><Relationship Id="rId53" Type="http://schemas.openxmlformats.org/officeDocument/2006/relationships/ctrlProp" Target="../ctrlProps/ctrlProp300.xml"/><Relationship Id="rId58" Type="http://schemas.openxmlformats.org/officeDocument/2006/relationships/ctrlProp" Target="../ctrlProps/ctrlProp305.xml"/><Relationship Id="rId66" Type="http://schemas.openxmlformats.org/officeDocument/2006/relationships/ctrlProp" Target="../ctrlProps/ctrlProp313.xml"/><Relationship Id="rId74" Type="http://schemas.openxmlformats.org/officeDocument/2006/relationships/ctrlProp" Target="../ctrlProps/ctrlProp321.xml"/><Relationship Id="rId79" Type="http://schemas.openxmlformats.org/officeDocument/2006/relationships/ctrlProp" Target="../ctrlProps/ctrlProp326.xml"/><Relationship Id="rId87" Type="http://schemas.openxmlformats.org/officeDocument/2006/relationships/ctrlProp" Target="../ctrlProps/ctrlProp334.xml"/><Relationship Id="rId102" Type="http://schemas.openxmlformats.org/officeDocument/2006/relationships/ctrlProp" Target="../ctrlProps/ctrlProp349.xml"/><Relationship Id="rId110" Type="http://schemas.openxmlformats.org/officeDocument/2006/relationships/ctrlProp" Target="../ctrlProps/ctrlProp357.xml"/><Relationship Id="rId115" Type="http://schemas.openxmlformats.org/officeDocument/2006/relationships/comments" Target="../comments2.xml"/><Relationship Id="rId5" Type="http://schemas.openxmlformats.org/officeDocument/2006/relationships/ctrlProp" Target="../ctrlProps/ctrlProp252.xml"/><Relationship Id="rId61" Type="http://schemas.openxmlformats.org/officeDocument/2006/relationships/ctrlProp" Target="../ctrlProps/ctrlProp308.xml"/><Relationship Id="rId82" Type="http://schemas.openxmlformats.org/officeDocument/2006/relationships/ctrlProp" Target="../ctrlProps/ctrlProp329.xml"/><Relationship Id="rId90" Type="http://schemas.openxmlformats.org/officeDocument/2006/relationships/ctrlProp" Target="../ctrlProps/ctrlProp337.xml"/><Relationship Id="rId95" Type="http://schemas.openxmlformats.org/officeDocument/2006/relationships/ctrlProp" Target="../ctrlProps/ctrlProp342.xml"/><Relationship Id="rId19" Type="http://schemas.openxmlformats.org/officeDocument/2006/relationships/ctrlProp" Target="../ctrlProps/ctrlProp266.xml"/><Relationship Id="rId14" Type="http://schemas.openxmlformats.org/officeDocument/2006/relationships/ctrlProp" Target="../ctrlProps/ctrlProp261.xml"/><Relationship Id="rId22" Type="http://schemas.openxmlformats.org/officeDocument/2006/relationships/ctrlProp" Target="../ctrlProps/ctrlProp269.xml"/><Relationship Id="rId27" Type="http://schemas.openxmlformats.org/officeDocument/2006/relationships/ctrlProp" Target="../ctrlProps/ctrlProp274.xml"/><Relationship Id="rId30" Type="http://schemas.openxmlformats.org/officeDocument/2006/relationships/ctrlProp" Target="../ctrlProps/ctrlProp277.xml"/><Relationship Id="rId35" Type="http://schemas.openxmlformats.org/officeDocument/2006/relationships/ctrlProp" Target="../ctrlProps/ctrlProp282.xml"/><Relationship Id="rId43" Type="http://schemas.openxmlformats.org/officeDocument/2006/relationships/ctrlProp" Target="../ctrlProps/ctrlProp290.xml"/><Relationship Id="rId48" Type="http://schemas.openxmlformats.org/officeDocument/2006/relationships/ctrlProp" Target="../ctrlProps/ctrlProp295.xml"/><Relationship Id="rId56" Type="http://schemas.openxmlformats.org/officeDocument/2006/relationships/ctrlProp" Target="../ctrlProps/ctrlProp303.xml"/><Relationship Id="rId64" Type="http://schemas.openxmlformats.org/officeDocument/2006/relationships/ctrlProp" Target="../ctrlProps/ctrlProp311.xml"/><Relationship Id="rId69" Type="http://schemas.openxmlformats.org/officeDocument/2006/relationships/ctrlProp" Target="../ctrlProps/ctrlProp316.xml"/><Relationship Id="rId77" Type="http://schemas.openxmlformats.org/officeDocument/2006/relationships/ctrlProp" Target="../ctrlProps/ctrlProp324.xml"/><Relationship Id="rId100" Type="http://schemas.openxmlformats.org/officeDocument/2006/relationships/ctrlProp" Target="../ctrlProps/ctrlProp347.xml"/><Relationship Id="rId105" Type="http://schemas.openxmlformats.org/officeDocument/2006/relationships/ctrlProp" Target="../ctrlProps/ctrlProp352.xml"/><Relationship Id="rId113" Type="http://schemas.openxmlformats.org/officeDocument/2006/relationships/ctrlProp" Target="../ctrlProps/ctrlProp360.xml"/><Relationship Id="rId8" Type="http://schemas.openxmlformats.org/officeDocument/2006/relationships/ctrlProp" Target="../ctrlProps/ctrlProp255.xml"/><Relationship Id="rId51" Type="http://schemas.openxmlformats.org/officeDocument/2006/relationships/ctrlProp" Target="../ctrlProps/ctrlProp298.xml"/><Relationship Id="rId72" Type="http://schemas.openxmlformats.org/officeDocument/2006/relationships/ctrlProp" Target="../ctrlProps/ctrlProp319.xml"/><Relationship Id="rId80" Type="http://schemas.openxmlformats.org/officeDocument/2006/relationships/ctrlProp" Target="../ctrlProps/ctrlProp327.xml"/><Relationship Id="rId85" Type="http://schemas.openxmlformats.org/officeDocument/2006/relationships/ctrlProp" Target="../ctrlProps/ctrlProp332.xml"/><Relationship Id="rId93" Type="http://schemas.openxmlformats.org/officeDocument/2006/relationships/ctrlProp" Target="../ctrlProps/ctrlProp340.xml"/><Relationship Id="rId98" Type="http://schemas.openxmlformats.org/officeDocument/2006/relationships/ctrlProp" Target="../ctrlProps/ctrlProp345.xml"/><Relationship Id="rId3" Type="http://schemas.openxmlformats.org/officeDocument/2006/relationships/vmlDrawing" Target="../drawings/vmlDrawing2.vml"/><Relationship Id="rId12" Type="http://schemas.openxmlformats.org/officeDocument/2006/relationships/ctrlProp" Target="../ctrlProps/ctrlProp259.xml"/><Relationship Id="rId17" Type="http://schemas.openxmlformats.org/officeDocument/2006/relationships/ctrlProp" Target="../ctrlProps/ctrlProp264.xml"/><Relationship Id="rId25" Type="http://schemas.openxmlformats.org/officeDocument/2006/relationships/ctrlProp" Target="../ctrlProps/ctrlProp272.xml"/><Relationship Id="rId33" Type="http://schemas.openxmlformats.org/officeDocument/2006/relationships/ctrlProp" Target="../ctrlProps/ctrlProp280.xml"/><Relationship Id="rId38" Type="http://schemas.openxmlformats.org/officeDocument/2006/relationships/ctrlProp" Target="../ctrlProps/ctrlProp285.xml"/><Relationship Id="rId46" Type="http://schemas.openxmlformats.org/officeDocument/2006/relationships/ctrlProp" Target="../ctrlProps/ctrlProp293.xml"/><Relationship Id="rId59" Type="http://schemas.openxmlformats.org/officeDocument/2006/relationships/ctrlProp" Target="../ctrlProps/ctrlProp306.xml"/><Relationship Id="rId67" Type="http://schemas.openxmlformats.org/officeDocument/2006/relationships/ctrlProp" Target="../ctrlProps/ctrlProp314.xml"/><Relationship Id="rId103" Type="http://schemas.openxmlformats.org/officeDocument/2006/relationships/ctrlProp" Target="../ctrlProps/ctrlProp350.xml"/><Relationship Id="rId108" Type="http://schemas.openxmlformats.org/officeDocument/2006/relationships/ctrlProp" Target="../ctrlProps/ctrlProp355.xml"/><Relationship Id="rId20" Type="http://schemas.openxmlformats.org/officeDocument/2006/relationships/ctrlProp" Target="../ctrlProps/ctrlProp267.xml"/><Relationship Id="rId41" Type="http://schemas.openxmlformats.org/officeDocument/2006/relationships/ctrlProp" Target="../ctrlProps/ctrlProp288.xml"/><Relationship Id="rId54" Type="http://schemas.openxmlformats.org/officeDocument/2006/relationships/ctrlProp" Target="../ctrlProps/ctrlProp301.xml"/><Relationship Id="rId62" Type="http://schemas.openxmlformats.org/officeDocument/2006/relationships/ctrlProp" Target="../ctrlProps/ctrlProp309.xml"/><Relationship Id="rId70" Type="http://schemas.openxmlformats.org/officeDocument/2006/relationships/ctrlProp" Target="../ctrlProps/ctrlProp317.xml"/><Relationship Id="rId75" Type="http://schemas.openxmlformats.org/officeDocument/2006/relationships/ctrlProp" Target="../ctrlProps/ctrlProp322.xml"/><Relationship Id="rId83" Type="http://schemas.openxmlformats.org/officeDocument/2006/relationships/ctrlProp" Target="../ctrlProps/ctrlProp330.xml"/><Relationship Id="rId88" Type="http://schemas.openxmlformats.org/officeDocument/2006/relationships/ctrlProp" Target="../ctrlProps/ctrlProp335.xml"/><Relationship Id="rId91" Type="http://schemas.openxmlformats.org/officeDocument/2006/relationships/ctrlProp" Target="../ctrlProps/ctrlProp338.xml"/><Relationship Id="rId96" Type="http://schemas.openxmlformats.org/officeDocument/2006/relationships/ctrlProp" Target="../ctrlProps/ctrlProp343.xml"/><Relationship Id="rId111" Type="http://schemas.openxmlformats.org/officeDocument/2006/relationships/ctrlProp" Target="../ctrlProps/ctrlProp358.xml"/><Relationship Id="rId1" Type="http://schemas.openxmlformats.org/officeDocument/2006/relationships/printerSettings" Target="../printerSettings/printerSettings3.bin"/><Relationship Id="rId6" Type="http://schemas.openxmlformats.org/officeDocument/2006/relationships/ctrlProp" Target="../ctrlProps/ctrlProp253.xml"/><Relationship Id="rId15" Type="http://schemas.openxmlformats.org/officeDocument/2006/relationships/ctrlProp" Target="../ctrlProps/ctrlProp262.xml"/><Relationship Id="rId23" Type="http://schemas.openxmlformats.org/officeDocument/2006/relationships/ctrlProp" Target="../ctrlProps/ctrlProp270.xml"/><Relationship Id="rId28" Type="http://schemas.openxmlformats.org/officeDocument/2006/relationships/ctrlProp" Target="../ctrlProps/ctrlProp275.xml"/><Relationship Id="rId36" Type="http://schemas.openxmlformats.org/officeDocument/2006/relationships/ctrlProp" Target="../ctrlProps/ctrlProp283.xml"/><Relationship Id="rId49" Type="http://schemas.openxmlformats.org/officeDocument/2006/relationships/ctrlProp" Target="../ctrlProps/ctrlProp296.xml"/><Relationship Id="rId57" Type="http://schemas.openxmlformats.org/officeDocument/2006/relationships/ctrlProp" Target="../ctrlProps/ctrlProp304.xml"/><Relationship Id="rId106" Type="http://schemas.openxmlformats.org/officeDocument/2006/relationships/ctrlProp" Target="../ctrlProps/ctrlProp353.xml"/><Relationship Id="rId114" Type="http://schemas.openxmlformats.org/officeDocument/2006/relationships/ctrlProp" Target="../ctrlProps/ctrlProp361.xml"/><Relationship Id="rId10" Type="http://schemas.openxmlformats.org/officeDocument/2006/relationships/ctrlProp" Target="../ctrlProps/ctrlProp257.xml"/><Relationship Id="rId31" Type="http://schemas.openxmlformats.org/officeDocument/2006/relationships/ctrlProp" Target="../ctrlProps/ctrlProp278.xml"/><Relationship Id="rId44" Type="http://schemas.openxmlformats.org/officeDocument/2006/relationships/ctrlProp" Target="../ctrlProps/ctrlProp291.xml"/><Relationship Id="rId52" Type="http://schemas.openxmlformats.org/officeDocument/2006/relationships/ctrlProp" Target="../ctrlProps/ctrlProp299.xml"/><Relationship Id="rId60" Type="http://schemas.openxmlformats.org/officeDocument/2006/relationships/ctrlProp" Target="../ctrlProps/ctrlProp307.xml"/><Relationship Id="rId65" Type="http://schemas.openxmlformats.org/officeDocument/2006/relationships/ctrlProp" Target="../ctrlProps/ctrlProp312.xml"/><Relationship Id="rId73" Type="http://schemas.openxmlformats.org/officeDocument/2006/relationships/ctrlProp" Target="../ctrlProps/ctrlProp320.xml"/><Relationship Id="rId78" Type="http://schemas.openxmlformats.org/officeDocument/2006/relationships/ctrlProp" Target="../ctrlProps/ctrlProp325.xml"/><Relationship Id="rId81" Type="http://schemas.openxmlformats.org/officeDocument/2006/relationships/ctrlProp" Target="../ctrlProps/ctrlProp328.xml"/><Relationship Id="rId86" Type="http://schemas.openxmlformats.org/officeDocument/2006/relationships/ctrlProp" Target="../ctrlProps/ctrlProp333.xml"/><Relationship Id="rId94" Type="http://schemas.openxmlformats.org/officeDocument/2006/relationships/ctrlProp" Target="../ctrlProps/ctrlProp341.xml"/><Relationship Id="rId99" Type="http://schemas.openxmlformats.org/officeDocument/2006/relationships/ctrlProp" Target="../ctrlProps/ctrlProp346.xml"/><Relationship Id="rId101" Type="http://schemas.openxmlformats.org/officeDocument/2006/relationships/ctrlProp" Target="../ctrlProps/ctrlProp348.xml"/><Relationship Id="rId4" Type="http://schemas.openxmlformats.org/officeDocument/2006/relationships/ctrlProp" Target="../ctrlProps/ctrlProp251.xml"/><Relationship Id="rId9" Type="http://schemas.openxmlformats.org/officeDocument/2006/relationships/ctrlProp" Target="../ctrlProps/ctrlProp256.xml"/><Relationship Id="rId13" Type="http://schemas.openxmlformats.org/officeDocument/2006/relationships/ctrlProp" Target="../ctrlProps/ctrlProp260.xml"/><Relationship Id="rId18" Type="http://schemas.openxmlformats.org/officeDocument/2006/relationships/ctrlProp" Target="../ctrlProps/ctrlProp265.xml"/><Relationship Id="rId39" Type="http://schemas.openxmlformats.org/officeDocument/2006/relationships/ctrlProp" Target="../ctrlProps/ctrlProp286.xml"/><Relationship Id="rId109" Type="http://schemas.openxmlformats.org/officeDocument/2006/relationships/ctrlProp" Target="../ctrlProps/ctrlProp356.xml"/><Relationship Id="rId34" Type="http://schemas.openxmlformats.org/officeDocument/2006/relationships/ctrlProp" Target="../ctrlProps/ctrlProp281.xml"/><Relationship Id="rId50" Type="http://schemas.openxmlformats.org/officeDocument/2006/relationships/ctrlProp" Target="../ctrlProps/ctrlProp297.xml"/><Relationship Id="rId55" Type="http://schemas.openxmlformats.org/officeDocument/2006/relationships/ctrlProp" Target="../ctrlProps/ctrlProp302.xml"/><Relationship Id="rId76" Type="http://schemas.openxmlformats.org/officeDocument/2006/relationships/ctrlProp" Target="../ctrlProps/ctrlProp323.xml"/><Relationship Id="rId97" Type="http://schemas.openxmlformats.org/officeDocument/2006/relationships/ctrlProp" Target="../ctrlProps/ctrlProp344.xml"/><Relationship Id="rId104" Type="http://schemas.openxmlformats.org/officeDocument/2006/relationships/ctrlProp" Target="../ctrlProps/ctrlProp351.xml"/><Relationship Id="rId7" Type="http://schemas.openxmlformats.org/officeDocument/2006/relationships/ctrlProp" Target="../ctrlProps/ctrlProp254.xml"/><Relationship Id="rId71" Type="http://schemas.openxmlformats.org/officeDocument/2006/relationships/ctrlProp" Target="../ctrlProps/ctrlProp318.xml"/><Relationship Id="rId92" Type="http://schemas.openxmlformats.org/officeDocument/2006/relationships/ctrlProp" Target="../ctrlProps/ctrlProp339.xml"/><Relationship Id="rId2" Type="http://schemas.openxmlformats.org/officeDocument/2006/relationships/drawing" Target="../drawings/drawing2.xml"/><Relationship Id="rId29" Type="http://schemas.openxmlformats.org/officeDocument/2006/relationships/ctrlProp" Target="../ctrlProps/ctrlProp27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65.xml"/><Relationship Id="rId3" Type="http://schemas.openxmlformats.org/officeDocument/2006/relationships/drawing" Target="../drawings/drawing3.xml"/><Relationship Id="rId7" Type="http://schemas.openxmlformats.org/officeDocument/2006/relationships/ctrlProp" Target="../ctrlProps/ctrlProp364.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363.xml"/><Relationship Id="rId5" Type="http://schemas.openxmlformats.org/officeDocument/2006/relationships/ctrlProp" Target="../ctrlProps/ctrlProp362.xml"/><Relationship Id="rId10" Type="http://schemas.openxmlformats.org/officeDocument/2006/relationships/comments" Target="../comments3.xml"/><Relationship Id="rId4" Type="http://schemas.openxmlformats.org/officeDocument/2006/relationships/vmlDrawing" Target="../drawings/vmlDrawing3.vml"/><Relationship Id="rId9" Type="http://schemas.openxmlformats.org/officeDocument/2006/relationships/ctrlProp" Target="../ctrlProps/ctrlProp36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EY356"/>
  <sheetViews>
    <sheetView showGridLines="0" tabSelected="1" zoomScale="85" zoomScaleNormal="85" workbookViewId="0">
      <selection activeCell="B5" sqref="B5"/>
    </sheetView>
  </sheetViews>
  <sheetFormatPr baseColWidth="10" defaultColWidth="11.42578125" defaultRowHeight="12.75" x14ac:dyDescent="0.2"/>
  <cols>
    <col min="1" max="1" width="14.7109375" style="6" customWidth="1"/>
    <col min="2" max="2" width="14" style="6" customWidth="1"/>
    <col min="3" max="3" width="5.42578125" style="6" customWidth="1"/>
    <col min="4" max="7" width="7.5703125" style="6" customWidth="1"/>
    <col min="8" max="9" width="6.140625" style="6" customWidth="1"/>
    <col min="10" max="10" width="6.7109375" style="6" customWidth="1"/>
    <col min="11" max="12" width="3.7109375" style="6" customWidth="1"/>
    <col min="13" max="13" width="6.5703125" style="6" customWidth="1"/>
    <col min="14" max="14" width="0.85546875" style="6" customWidth="1"/>
    <col min="15" max="15" width="5.140625" style="324" hidden="1" customWidth="1"/>
    <col min="16" max="16" width="12.42578125" style="411" hidden="1" customWidth="1"/>
    <col min="17" max="17" width="8.85546875" style="411" hidden="1" customWidth="1"/>
    <col min="18" max="18" width="8.7109375" style="411" hidden="1" customWidth="1"/>
    <col min="19" max="23" width="9.42578125" style="411" hidden="1" customWidth="1"/>
    <col min="24" max="24" width="7.85546875" style="411" hidden="1" customWidth="1"/>
    <col min="25" max="26" width="12.28515625" style="411" hidden="1" customWidth="1"/>
    <col min="27" max="28" width="7.5703125" style="411" hidden="1" customWidth="1"/>
    <col min="29" max="29" width="9.28515625" style="411" hidden="1" customWidth="1"/>
    <col min="30" max="30" width="9.42578125" style="411" hidden="1" customWidth="1"/>
    <col min="31" max="31" width="8" style="411" hidden="1" customWidth="1"/>
    <col min="32" max="32" width="7.28515625" style="411" hidden="1" customWidth="1"/>
    <col min="33" max="33" width="8.28515625" style="411" hidden="1" customWidth="1"/>
    <col min="34" max="34" width="7.28515625" style="411" hidden="1" customWidth="1"/>
    <col min="35" max="35" width="8.5703125" style="411" hidden="1" customWidth="1"/>
    <col min="36" max="37" width="7" style="411" hidden="1" customWidth="1"/>
    <col min="38" max="38" width="9.5703125" style="411" hidden="1" customWidth="1"/>
    <col min="39" max="40" width="6.28515625" style="411" hidden="1" customWidth="1"/>
    <col min="41" max="41" width="7.7109375" style="411" hidden="1" customWidth="1"/>
    <col min="42" max="42" width="10.28515625" style="411" hidden="1" customWidth="1"/>
    <col min="43" max="43" width="5.7109375" style="411" hidden="1" customWidth="1"/>
    <col min="44" max="44" width="7.28515625" style="411" hidden="1" customWidth="1"/>
    <col min="45" max="45" width="12.85546875" style="411" hidden="1" customWidth="1"/>
    <col min="46" max="47" width="13.42578125" style="411" hidden="1" customWidth="1"/>
    <col min="48" max="48" width="7.5703125" style="411" hidden="1" customWidth="1"/>
    <col min="49" max="50" width="9.85546875" style="411" hidden="1" customWidth="1"/>
    <col min="51" max="52" width="5.7109375" style="411" hidden="1" customWidth="1"/>
    <col min="53" max="54" width="7" style="411" hidden="1" customWidth="1"/>
    <col min="55" max="55" width="7.7109375" style="411" hidden="1" customWidth="1"/>
    <col min="56" max="61" width="5.7109375" style="411" hidden="1" customWidth="1"/>
    <col min="62" max="62" width="7.42578125" style="411" hidden="1" customWidth="1"/>
    <col min="63" max="64" width="5.7109375" style="411" hidden="1" customWidth="1"/>
    <col min="65" max="65" width="11" style="411" hidden="1" customWidth="1"/>
    <col min="66" max="66" width="11.85546875" style="411" hidden="1" customWidth="1"/>
    <col min="67" max="67" width="13.5703125" style="411" hidden="1" customWidth="1"/>
    <col min="68" max="72" width="11.85546875" style="411" hidden="1" customWidth="1"/>
    <col min="73" max="76" width="11.85546875" style="412" hidden="1" customWidth="1"/>
    <col min="77" max="77" width="11.85546875" style="411" hidden="1" customWidth="1"/>
    <col min="78" max="78" width="12.42578125" style="411" hidden="1" customWidth="1"/>
    <col min="79" max="82" width="11.85546875" style="411" hidden="1" customWidth="1"/>
    <col min="83" max="90" width="11.85546875" style="324" hidden="1" customWidth="1"/>
    <col min="91" max="155" width="11.42578125" style="324" hidden="1" customWidth="1"/>
    <col min="156" max="157" width="11.42578125" style="324" customWidth="1"/>
    <col min="158" max="16384" width="11.42578125" style="324"/>
  </cols>
  <sheetData>
    <row r="1" spans="1:85" ht="21" customHeight="1" x14ac:dyDescent="0.2">
      <c r="A1" s="2818" t="s">
        <v>1024</v>
      </c>
      <c r="B1" s="2819"/>
      <c r="C1" s="2819"/>
      <c r="D1" s="2819"/>
      <c r="E1" s="2819"/>
      <c r="F1" s="2819"/>
      <c r="G1" s="2819"/>
      <c r="H1" s="2819"/>
      <c r="I1" s="2819"/>
      <c r="J1" s="5"/>
      <c r="K1" s="5"/>
      <c r="L1" s="4"/>
      <c r="M1" s="4"/>
      <c r="N1" s="4"/>
      <c r="BU1" s="411"/>
      <c r="BV1" s="411"/>
      <c r="BW1" s="411"/>
      <c r="BX1" s="411"/>
      <c r="BY1" s="412"/>
      <c r="BZ1" s="412"/>
      <c r="CA1" s="412"/>
      <c r="CB1" s="412"/>
      <c r="CE1" s="411"/>
      <c r="CF1" s="411"/>
      <c r="CG1" s="411"/>
    </row>
    <row r="2" spans="1:85" ht="15.75" customHeight="1" x14ac:dyDescent="0.2">
      <c r="A2" s="2825" t="s">
        <v>852</v>
      </c>
      <c r="B2" s="2825"/>
      <c r="C2" s="2825"/>
      <c r="D2" s="2825"/>
      <c r="E2" s="2825"/>
      <c r="F2" s="2825"/>
      <c r="G2" s="2825"/>
      <c r="H2" s="2825"/>
      <c r="I2" s="2825"/>
      <c r="J2" s="7"/>
      <c r="K2" s="7"/>
      <c r="L2" s="4"/>
      <c r="M2" s="4"/>
      <c r="N2" s="4"/>
      <c r="BU2" s="411"/>
      <c r="BV2" s="411"/>
      <c r="BW2" s="411"/>
      <c r="BX2" s="411"/>
      <c r="BY2" s="412"/>
      <c r="BZ2" s="412"/>
      <c r="CA2" s="412"/>
      <c r="CB2" s="412"/>
      <c r="CE2" s="411"/>
      <c r="CF2" s="411"/>
      <c r="CG2" s="411"/>
    </row>
    <row r="3" spans="1:85" ht="15" customHeight="1" x14ac:dyDescent="0.2">
      <c r="A3" s="2829" t="s">
        <v>1013</v>
      </c>
      <c r="B3" s="2829"/>
      <c r="C3" s="2829"/>
      <c r="D3" s="2829"/>
      <c r="E3" s="2829"/>
      <c r="F3" s="2829"/>
      <c r="G3" s="2829"/>
      <c r="H3" s="2829"/>
      <c r="I3" s="2829"/>
      <c r="J3" s="350"/>
      <c r="K3" s="350"/>
      <c r="L3" s="4"/>
      <c r="M3" s="4"/>
      <c r="N3" s="4"/>
      <c r="Z3" s="411" t="s">
        <v>1026</v>
      </c>
      <c r="BU3" s="411"/>
      <c r="BV3" s="411"/>
      <c r="BW3" s="411"/>
      <c r="BX3" s="411"/>
      <c r="BY3" s="412"/>
      <c r="BZ3" s="412"/>
      <c r="CA3" s="412"/>
      <c r="CB3" s="412"/>
      <c r="CE3" s="411"/>
      <c r="CF3" s="411"/>
      <c r="CG3" s="411"/>
    </row>
    <row r="4" spans="1:85" ht="12" customHeight="1" x14ac:dyDescent="0.2">
      <c r="A4" s="4"/>
      <c r="B4" s="4"/>
      <c r="C4" s="4"/>
      <c r="D4" s="4"/>
      <c r="E4" s="4"/>
      <c r="F4" s="4"/>
      <c r="G4" s="4"/>
      <c r="H4" s="4"/>
      <c r="I4" s="4"/>
      <c r="J4" s="8"/>
      <c r="K4" s="8"/>
      <c r="L4" s="4"/>
      <c r="M4" s="4"/>
      <c r="N4" s="4"/>
      <c r="S4" s="411" t="s">
        <v>465</v>
      </c>
      <c r="BU4" s="411"/>
      <c r="BV4" s="411"/>
      <c r="BW4" s="411"/>
      <c r="BX4" s="411"/>
      <c r="BY4" s="412"/>
      <c r="BZ4" s="412"/>
      <c r="CA4" s="412"/>
      <c r="CB4" s="412"/>
      <c r="CE4" s="411"/>
      <c r="CF4" s="411"/>
      <c r="CG4" s="411"/>
    </row>
    <row r="5" spans="1:85" ht="20.25" customHeight="1" x14ac:dyDescent="0.2">
      <c r="A5" s="9" t="s">
        <v>903</v>
      </c>
      <c r="B5" s="2271"/>
      <c r="C5" s="790"/>
      <c r="D5" s="10" t="s">
        <v>19</v>
      </c>
      <c r="E5" s="267">
        <v>2021</v>
      </c>
      <c r="F5" s="11"/>
      <c r="G5" s="1337"/>
      <c r="H5" s="1338" t="s">
        <v>361</v>
      </c>
      <c r="I5" s="1339"/>
      <c r="J5" s="1339"/>
      <c r="K5" s="1339"/>
      <c r="L5" s="1339"/>
      <c r="M5" s="1339"/>
      <c r="N5" s="4"/>
      <c r="P5" s="411" t="s">
        <v>745</v>
      </c>
      <c r="S5" s="518">
        <f>+B5</f>
        <v>0</v>
      </c>
      <c r="T5" s="411" t="str">
        <f>LEFT(S5,3)</f>
        <v>0</v>
      </c>
      <c r="U5" s="411">
        <f>IF(T5=Niederschläge!A2:A97,Niederschläge!D2:D97,0)</f>
        <v>0</v>
      </c>
      <c r="W5" s="1046">
        <v>2018</v>
      </c>
      <c r="X5" s="1046">
        <v>3</v>
      </c>
      <c r="Z5" s="681">
        <f>IF(G5=0,0.000001,G5)</f>
        <v>9.9999999999999995E-7</v>
      </c>
      <c r="BU5" s="411"/>
      <c r="BV5" s="411"/>
      <c r="BW5" s="411"/>
      <c r="BX5" s="411"/>
      <c r="BY5" s="412"/>
      <c r="BZ5" s="412"/>
      <c r="CA5" s="412"/>
      <c r="CB5" s="412"/>
      <c r="CE5" s="411"/>
      <c r="CF5" s="411"/>
      <c r="CG5" s="411"/>
    </row>
    <row r="6" spans="1:85" ht="20.25" customHeight="1" x14ac:dyDescent="0.2">
      <c r="A6" s="9" t="s">
        <v>15</v>
      </c>
      <c r="B6" s="2826"/>
      <c r="C6" s="2827"/>
      <c r="D6" s="2828"/>
      <c r="E6" s="2828"/>
      <c r="F6" s="289"/>
      <c r="G6" s="1337"/>
      <c r="H6" s="1338" t="s">
        <v>24</v>
      </c>
      <c r="I6" s="1339"/>
      <c r="J6" s="1339"/>
      <c r="K6" s="1339"/>
      <c r="L6" s="1339"/>
      <c r="M6" s="1339"/>
      <c r="N6" s="4"/>
      <c r="P6" s="411">
        <f>+Z5-H7-H8-H10-H11</f>
        <v>9.9999999999999995E-7</v>
      </c>
      <c r="Q6" s="411" t="s">
        <v>354</v>
      </c>
      <c r="W6" s="1046">
        <v>2019</v>
      </c>
      <c r="X6" s="1046"/>
      <c r="BU6" s="411"/>
      <c r="BV6" s="411"/>
      <c r="BW6" s="411"/>
      <c r="BX6" s="411"/>
      <c r="BY6" s="412"/>
      <c r="BZ6" s="412"/>
      <c r="CA6" s="412"/>
      <c r="CB6" s="412"/>
      <c r="CE6" s="411"/>
      <c r="CF6" s="411"/>
      <c r="CG6" s="411"/>
    </row>
    <row r="7" spans="1:85" ht="20.25" customHeight="1" x14ac:dyDescent="0.2">
      <c r="A7" s="9" t="s">
        <v>16</v>
      </c>
      <c r="B7" s="2820"/>
      <c r="C7" s="2821"/>
      <c r="D7" s="2822"/>
      <c r="E7" s="2822"/>
      <c r="F7" s="289"/>
      <c r="G7" s="1339"/>
      <c r="H7" s="1337"/>
      <c r="I7" s="1340" t="s">
        <v>764</v>
      </c>
      <c r="J7" s="1339"/>
      <c r="K7" s="1339"/>
      <c r="L7" s="1339"/>
      <c r="M7" s="1339"/>
      <c r="N7" s="4"/>
      <c r="P7" s="411">
        <f>((G45+AE339+AG339)*-1)*1000</f>
        <v>0</v>
      </c>
      <c r="Q7" s="1248" t="s">
        <v>8450</v>
      </c>
      <c r="W7" s="1046">
        <v>2020</v>
      </c>
      <c r="X7" s="1046"/>
      <c r="BU7" s="411"/>
      <c r="BV7" s="411"/>
      <c r="BW7" s="411"/>
      <c r="BX7" s="411"/>
      <c r="BY7" s="412"/>
      <c r="BZ7" s="412"/>
      <c r="CA7" s="412"/>
      <c r="CB7" s="412"/>
      <c r="CE7" s="411"/>
      <c r="CF7" s="411"/>
      <c r="CG7" s="411"/>
    </row>
    <row r="8" spans="1:85" ht="20.25" customHeight="1" x14ac:dyDescent="0.2">
      <c r="A8" s="9" t="s">
        <v>17</v>
      </c>
      <c r="B8" s="2820"/>
      <c r="C8" s="2821"/>
      <c r="D8" s="2822"/>
      <c r="E8" s="2822"/>
      <c r="F8" s="289"/>
      <c r="G8" s="1339"/>
      <c r="H8" s="683"/>
      <c r="I8" s="1338" t="s">
        <v>765</v>
      </c>
      <c r="J8" s="1339"/>
      <c r="K8" s="1339"/>
      <c r="L8" s="1339"/>
      <c r="M8" s="1339"/>
      <c r="N8" s="4"/>
      <c r="P8" s="411">
        <f>IF(P6=0,P7/0.01,P7/P6)</f>
        <v>0</v>
      </c>
      <c r="Q8" s="411" t="s">
        <v>746</v>
      </c>
      <c r="BU8" s="411"/>
      <c r="BV8" s="411"/>
      <c r="BW8" s="411"/>
      <c r="BX8" s="411"/>
      <c r="BY8" s="412"/>
      <c r="BZ8" s="412"/>
      <c r="CA8" s="412"/>
      <c r="CB8" s="412"/>
      <c r="CE8" s="411"/>
      <c r="CF8" s="411"/>
      <c r="CG8" s="411"/>
    </row>
    <row r="9" spans="1:85" ht="20.25" customHeight="1" x14ac:dyDescent="0.2">
      <c r="A9" s="9" t="s">
        <v>18</v>
      </c>
      <c r="B9" s="2820"/>
      <c r="C9" s="2821"/>
      <c r="D9" s="2822"/>
      <c r="E9" s="2822"/>
      <c r="F9" s="289"/>
      <c r="G9" s="1337"/>
      <c r="H9" s="1338" t="s">
        <v>25</v>
      </c>
      <c r="I9" s="1339"/>
      <c r="J9" s="1339"/>
      <c r="K9" s="1339"/>
      <c r="L9" s="1339"/>
      <c r="M9" s="1339"/>
      <c r="N9" s="4"/>
      <c r="Z9" s="681">
        <f>IF(AND(G9=0,Z5=0.000001,G6=0),0.000001,G9)</f>
        <v>9.9999999999999995E-7</v>
      </c>
      <c r="BU9" s="411"/>
      <c r="BV9" s="411"/>
      <c r="BW9" s="411"/>
      <c r="BX9" s="411"/>
      <c r="BY9" s="412"/>
      <c r="BZ9" s="412"/>
      <c r="CA9" s="412"/>
      <c r="CB9" s="412"/>
      <c r="CE9" s="411"/>
      <c r="CF9" s="411"/>
      <c r="CG9" s="411"/>
    </row>
    <row r="10" spans="1:85" ht="18.75" customHeight="1" x14ac:dyDescent="0.2">
      <c r="A10" s="9"/>
      <c r="B10" s="401"/>
      <c r="C10" s="401"/>
      <c r="D10" s="289"/>
      <c r="E10" s="289"/>
      <c r="F10" s="289"/>
      <c r="G10" s="1339"/>
      <c r="H10" s="1337"/>
      <c r="I10" s="1340" t="s">
        <v>764</v>
      </c>
      <c r="J10" s="1339"/>
      <c r="K10" s="1339"/>
      <c r="L10" s="1339"/>
      <c r="M10" s="1339"/>
      <c r="N10" s="4"/>
      <c r="BU10" s="411"/>
      <c r="BV10" s="411"/>
      <c r="BW10" s="411"/>
      <c r="BX10" s="411"/>
      <c r="BY10" s="412"/>
      <c r="BZ10" s="412"/>
      <c r="CA10" s="412"/>
      <c r="CB10" s="412"/>
      <c r="CE10" s="411"/>
      <c r="CF10" s="411"/>
      <c r="CG10" s="411"/>
    </row>
    <row r="11" spans="1:85" ht="18.75" customHeight="1" x14ac:dyDescent="0.2">
      <c r="A11" s="365"/>
      <c r="B11" s="401" t="str">
        <f>IF(BM88=2,IF(B12&lt;3000,"Milchleistung nicht plausibel"," ")," ")</f>
        <v xml:space="preserve"> </v>
      </c>
      <c r="C11" s="401"/>
      <c r="D11" s="400"/>
      <c r="E11" s="400"/>
      <c r="F11" s="400"/>
      <c r="G11" s="1339"/>
      <c r="H11" s="683"/>
      <c r="I11" s="1338" t="s">
        <v>765</v>
      </c>
      <c r="J11" s="1339"/>
      <c r="K11" s="1339"/>
      <c r="L11" s="1339"/>
      <c r="M11" s="1339"/>
      <c r="N11" s="4"/>
      <c r="U11" s="411" t="s">
        <v>214</v>
      </c>
      <c r="BU11" s="411"/>
      <c r="BV11" s="411"/>
      <c r="BW11" s="411"/>
      <c r="BX11" s="411"/>
      <c r="BY11" s="412"/>
      <c r="BZ11" s="412"/>
      <c r="CA11" s="412"/>
      <c r="CB11" s="412"/>
      <c r="CE11" s="411"/>
      <c r="CF11" s="411"/>
      <c r="CG11" s="411"/>
    </row>
    <row r="12" spans="1:85" ht="20.25" customHeight="1" thickBot="1" x14ac:dyDescent="0.25">
      <c r="A12" s="9" t="s">
        <v>20</v>
      </c>
      <c r="B12" s="12"/>
      <c r="C12" s="4" t="s">
        <v>21</v>
      </c>
      <c r="D12" s="4"/>
      <c r="E12" s="4"/>
      <c r="F12" s="365"/>
      <c r="G12" s="1337"/>
      <c r="H12" s="2840" t="s">
        <v>350</v>
      </c>
      <c r="I12" s="2841"/>
      <c r="J12" s="2841"/>
      <c r="K12" s="2841"/>
      <c r="L12" s="2841"/>
      <c r="M12" s="2841"/>
      <c r="N12" s="4"/>
      <c r="BU12" s="411"/>
      <c r="BV12" s="411"/>
      <c r="BW12" s="411"/>
      <c r="BX12" s="411"/>
      <c r="BY12" s="412"/>
      <c r="BZ12" s="412"/>
      <c r="CA12" s="412"/>
      <c r="CB12" s="412"/>
      <c r="CE12" s="411"/>
      <c r="CF12" s="411"/>
      <c r="CG12" s="411"/>
    </row>
    <row r="13" spans="1:85" ht="20.25" customHeight="1" thickBot="1" x14ac:dyDescent="0.25">
      <c r="A13" s="9" t="s">
        <v>26</v>
      </c>
      <c r="B13" s="319"/>
      <c r="C13" s="522">
        <f>IF(B13&gt;0,B13,+Niederschläge!L98)</f>
        <v>0</v>
      </c>
      <c r="D13" s="519" t="s">
        <v>1032</v>
      </c>
      <c r="E13" s="519"/>
      <c r="F13" s="4"/>
      <c r="G13" s="17"/>
      <c r="I13" s="2546" t="s">
        <v>1033</v>
      </c>
      <c r="J13" s="2546"/>
      <c r="K13" s="2546"/>
      <c r="L13" s="2546"/>
      <c r="M13" s="2546"/>
      <c r="N13" s="4"/>
      <c r="Q13" s="413" t="s">
        <v>306</v>
      </c>
      <c r="W13" s="414">
        <f>IF(Z13=1,0,100)</f>
        <v>0</v>
      </c>
      <c r="Z13" s="411">
        <v>1</v>
      </c>
      <c r="AA13" s="415" t="s">
        <v>342</v>
      </c>
      <c r="BG13" s="416">
        <f>IF(Z5=0,0,+(Z9-H11)/(Z5-H8-H11))</f>
        <v>1</v>
      </c>
      <c r="BH13" s="416"/>
      <c r="BI13" s="416"/>
      <c r="BJ13" s="411" t="s">
        <v>27</v>
      </c>
      <c r="BU13" s="411"/>
      <c r="BV13" s="411"/>
      <c r="BW13" s="411"/>
      <c r="BX13" s="411"/>
      <c r="BY13" s="412"/>
      <c r="BZ13" s="412"/>
      <c r="CA13" s="412"/>
      <c r="CB13" s="412"/>
      <c r="CE13" s="411"/>
      <c r="CF13" s="411"/>
      <c r="CG13" s="411"/>
    </row>
    <row r="14" spans="1:85" ht="6" customHeight="1" x14ac:dyDescent="0.2">
      <c r="A14" s="324"/>
      <c r="B14" s="324"/>
      <c r="C14" s="324"/>
      <c r="D14" s="324"/>
      <c r="E14" s="324"/>
      <c r="F14" s="324"/>
      <c r="G14" s="4"/>
      <c r="H14" s="4"/>
      <c r="I14" s="4"/>
      <c r="J14" s="4"/>
      <c r="K14" s="4"/>
      <c r="L14" s="4"/>
      <c r="M14" s="4"/>
      <c r="N14" s="4"/>
      <c r="AA14" s="415" t="s">
        <v>341</v>
      </c>
      <c r="BU14" s="411"/>
      <c r="BV14" s="411"/>
      <c r="BW14" s="411"/>
      <c r="BX14" s="411"/>
      <c r="BY14" s="412"/>
      <c r="BZ14" s="412"/>
      <c r="CA14" s="412"/>
      <c r="CB14" s="412"/>
      <c r="CE14" s="411"/>
      <c r="CF14" s="411"/>
      <c r="CG14" s="411"/>
    </row>
    <row r="15" spans="1:85" ht="17.25" customHeight="1" thickBot="1" x14ac:dyDescent="0.25">
      <c r="A15" s="523"/>
      <c r="B15" s="324"/>
      <c r="C15" s="338"/>
      <c r="D15" s="324"/>
      <c r="E15" s="324"/>
      <c r="F15" s="324"/>
      <c r="G15" s="680" t="str">
        <f>IF(G6+Z9&lt;&gt;Z5,"Flächenangaben nicht plausibel",IF(H8+H7&gt;G6,"Flächenangaben nicht plausibel",IF(H10+H11&gt;Z9,"Flächenangaben nicht plausibel"," ")))</f>
        <v xml:space="preserve"> </v>
      </c>
      <c r="H15" s="324"/>
      <c r="I15" s="324"/>
      <c r="J15" s="324"/>
      <c r="K15" s="324"/>
      <c r="L15" s="324"/>
      <c r="M15" s="324"/>
      <c r="N15" s="4"/>
      <c r="BU15" s="411"/>
      <c r="BV15" s="411"/>
      <c r="BW15" s="411"/>
      <c r="BX15" s="411"/>
      <c r="BY15" s="412"/>
      <c r="BZ15" s="412"/>
      <c r="CA15" s="412"/>
      <c r="CB15" s="412"/>
      <c r="CE15" s="411"/>
      <c r="CF15" s="411"/>
      <c r="CG15" s="411"/>
    </row>
    <row r="16" spans="1:85" ht="16.5" customHeight="1" thickBot="1" x14ac:dyDescent="0.25">
      <c r="A16" s="2072" t="s">
        <v>902</v>
      </c>
      <c r="B16" s="2073"/>
      <c r="C16" s="2073"/>
      <c r="D16" s="2073"/>
      <c r="E16" s="2073"/>
      <c r="F16" s="2073"/>
      <c r="G16" s="2073"/>
      <c r="H16" s="2073"/>
      <c r="I16" s="2073"/>
      <c r="J16" s="2073"/>
      <c r="K16" s="2073"/>
      <c r="L16" s="2073"/>
      <c r="M16" s="2074"/>
      <c r="N16" s="4"/>
      <c r="BU16" s="411"/>
      <c r="BV16" s="411"/>
      <c r="BW16" s="411"/>
      <c r="BX16" s="411"/>
      <c r="BY16" s="412"/>
      <c r="BZ16" s="412"/>
      <c r="CA16" s="412"/>
      <c r="CB16" s="412"/>
      <c r="CE16" s="411"/>
      <c r="CF16" s="411"/>
      <c r="CG16" s="411"/>
    </row>
    <row r="17" spans="1:85" ht="12.75" customHeight="1" x14ac:dyDescent="0.2">
      <c r="A17" s="523"/>
      <c r="B17" s="338"/>
      <c r="C17" s="338"/>
      <c r="D17" s="324"/>
      <c r="E17" s="324"/>
      <c r="F17" s="324"/>
      <c r="G17" s="324"/>
      <c r="H17" s="324"/>
      <c r="I17" s="324"/>
      <c r="J17" s="324"/>
      <c r="K17" s="324"/>
      <c r="L17" s="324"/>
      <c r="M17" s="324"/>
      <c r="N17" s="4"/>
      <c r="BU17" s="411"/>
      <c r="BV17" s="411"/>
      <c r="BW17" s="411"/>
      <c r="BX17" s="411"/>
      <c r="BY17" s="412"/>
      <c r="BZ17" s="412"/>
      <c r="CA17" s="412"/>
      <c r="CB17" s="412"/>
      <c r="CE17" s="411"/>
      <c r="CF17" s="411"/>
      <c r="CG17" s="411"/>
    </row>
    <row r="18" spans="1:85" ht="12" customHeight="1" x14ac:dyDescent="0.2">
      <c r="A18" s="338"/>
      <c r="B18" s="324"/>
      <c r="C18" s="324"/>
      <c r="D18" s="324"/>
      <c r="E18" s="324"/>
      <c r="F18" s="324"/>
      <c r="G18" s="324"/>
      <c r="H18" s="324"/>
      <c r="I18" s="324"/>
      <c r="J18" s="324"/>
      <c r="K18" s="324"/>
      <c r="L18" s="324"/>
      <c r="M18" s="324"/>
      <c r="N18" s="4"/>
      <c r="BU18" s="411"/>
      <c r="BV18" s="411"/>
      <c r="BW18" s="411"/>
      <c r="BX18" s="411"/>
      <c r="BY18" s="412"/>
      <c r="BZ18" s="412"/>
      <c r="CA18" s="412"/>
      <c r="CB18" s="412"/>
      <c r="CE18" s="411"/>
      <c r="CF18" s="411"/>
      <c r="CG18" s="411"/>
    </row>
    <row r="19" spans="1:85" ht="12" customHeight="1" x14ac:dyDescent="0.2">
      <c r="A19" s="338"/>
      <c r="B19" s="324"/>
      <c r="C19" s="324"/>
      <c r="D19" s="324"/>
      <c r="E19" s="324"/>
      <c r="F19" s="324"/>
      <c r="G19" s="324"/>
      <c r="H19" s="324"/>
      <c r="I19" s="324"/>
      <c r="J19" s="324"/>
      <c r="K19" s="324"/>
      <c r="L19" s="324"/>
      <c r="M19" s="324"/>
      <c r="N19" s="4"/>
      <c r="T19" s="538"/>
      <c r="U19" s="538"/>
      <c r="BU19" s="411"/>
      <c r="BV19" s="411"/>
      <c r="BW19" s="411"/>
      <c r="BX19" s="411"/>
      <c r="BY19" s="412"/>
      <c r="BZ19" s="412"/>
      <c r="CA19" s="412"/>
      <c r="CB19" s="412"/>
      <c r="CE19" s="411"/>
      <c r="CF19" s="411"/>
      <c r="CG19" s="411"/>
    </row>
    <row r="20" spans="1:85" ht="12" customHeight="1" x14ac:dyDescent="0.2">
      <c r="A20" s="338"/>
      <c r="B20" s="324"/>
      <c r="C20" s="324"/>
      <c r="D20" s="324"/>
      <c r="E20" s="324"/>
      <c r="F20" s="324"/>
      <c r="G20" s="324"/>
      <c r="H20" s="324"/>
      <c r="I20" s="324"/>
      <c r="J20" s="324"/>
      <c r="K20" s="324"/>
      <c r="L20" s="324"/>
      <c r="M20" s="324"/>
      <c r="N20" s="4"/>
      <c r="T20" s="538"/>
      <c r="U20" s="538"/>
      <c r="BU20" s="411"/>
      <c r="BV20" s="411"/>
      <c r="BW20" s="411"/>
      <c r="BX20" s="411"/>
      <c r="BY20" s="412"/>
      <c r="BZ20" s="412"/>
      <c r="CA20" s="412"/>
      <c r="CB20" s="412"/>
      <c r="CE20" s="411"/>
      <c r="CF20" s="411"/>
      <c r="CG20" s="411"/>
    </row>
    <row r="21" spans="1:85" ht="12" customHeight="1" x14ac:dyDescent="0.2">
      <c r="A21" s="338"/>
      <c r="B21" s="324"/>
      <c r="C21" s="2075"/>
      <c r="D21" s="2075"/>
      <c r="E21" s="2075"/>
      <c r="F21" s="2075"/>
      <c r="G21" s="324"/>
      <c r="H21" s="324"/>
      <c r="I21" s="324"/>
      <c r="J21" s="324"/>
      <c r="K21" s="324"/>
      <c r="L21" s="324"/>
      <c r="M21" s="324"/>
      <c r="N21" s="4"/>
      <c r="T21" s="538"/>
      <c r="BU21" s="411"/>
      <c r="BV21" s="411"/>
      <c r="BW21" s="411"/>
      <c r="BX21" s="411"/>
      <c r="BY21" s="412"/>
      <c r="BZ21" s="412"/>
      <c r="CA21" s="412"/>
      <c r="CB21" s="412"/>
      <c r="CE21" s="411"/>
      <c r="CF21" s="411"/>
      <c r="CG21" s="411"/>
    </row>
    <row r="22" spans="1:85" ht="12" customHeight="1" x14ac:dyDescent="0.2">
      <c r="A22" s="338"/>
      <c r="B22" s="324"/>
      <c r="C22" s="2075"/>
      <c r="D22" s="791" t="s">
        <v>483</v>
      </c>
      <c r="E22" s="2076">
        <f>+F41</f>
        <v>0</v>
      </c>
      <c r="F22" s="2077" t="s">
        <v>865</v>
      </c>
      <c r="G22" s="324"/>
      <c r="H22" s="324"/>
      <c r="I22" s="324"/>
      <c r="J22" s="324"/>
      <c r="K22" s="324"/>
      <c r="L22" s="324"/>
      <c r="M22" s="324"/>
      <c r="N22" s="4"/>
      <c r="T22" s="538"/>
      <c r="BU22" s="411"/>
      <c r="BV22" s="411"/>
      <c r="BW22" s="411"/>
      <c r="BX22" s="411"/>
      <c r="BY22" s="412"/>
      <c r="BZ22" s="412"/>
      <c r="CA22" s="412"/>
      <c r="CB22" s="412"/>
      <c r="CE22" s="411"/>
      <c r="CF22" s="411"/>
      <c r="CG22" s="411"/>
    </row>
    <row r="23" spans="1:85" ht="12" customHeight="1" x14ac:dyDescent="0.2">
      <c r="A23" s="338"/>
      <c r="B23" s="324"/>
      <c r="C23" s="2075"/>
      <c r="D23" s="791" t="s">
        <v>484</v>
      </c>
      <c r="E23" s="2078">
        <f>IF(F41=0,0,J41/F41*100)</f>
        <v>0</v>
      </c>
      <c r="F23" s="2077" t="s">
        <v>2</v>
      </c>
      <c r="G23" s="324"/>
      <c r="H23" s="324"/>
      <c r="I23" s="324"/>
      <c r="J23" s="324"/>
      <c r="K23" s="324"/>
      <c r="L23" s="324"/>
      <c r="M23" s="324"/>
      <c r="N23" s="4"/>
      <c r="T23" s="538"/>
      <c r="BU23" s="411"/>
      <c r="BV23" s="411"/>
      <c r="BW23" s="411"/>
      <c r="BX23" s="411"/>
      <c r="BY23" s="412"/>
      <c r="BZ23" s="412"/>
      <c r="CA23" s="412"/>
      <c r="CB23" s="412"/>
      <c r="CE23" s="411"/>
      <c r="CF23" s="411"/>
      <c r="CG23" s="411"/>
    </row>
    <row r="24" spans="1:85" ht="12" customHeight="1" x14ac:dyDescent="0.2">
      <c r="A24" s="338"/>
      <c r="B24" s="324"/>
      <c r="C24" s="2075"/>
      <c r="D24" s="791" t="s">
        <v>485</v>
      </c>
      <c r="E24" s="2078">
        <f>IF(F41=0,0,G41/F41*1000)</f>
        <v>0</v>
      </c>
      <c r="F24" s="2834" t="s">
        <v>866</v>
      </c>
      <c r="G24" s="324"/>
      <c r="H24" s="324"/>
      <c r="I24" s="324"/>
      <c r="J24" s="324"/>
      <c r="K24" s="324"/>
      <c r="L24" s="324"/>
      <c r="M24" s="324"/>
      <c r="N24" s="4"/>
      <c r="T24" s="538"/>
      <c r="BU24" s="411"/>
      <c r="BV24" s="411"/>
      <c r="BW24" s="411"/>
      <c r="BX24" s="411"/>
      <c r="BY24" s="412"/>
      <c r="BZ24" s="412"/>
      <c r="CA24" s="412"/>
      <c r="CB24" s="412"/>
      <c r="CE24" s="411"/>
      <c r="CF24" s="411"/>
      <c r="CG24" s="411"/>
    </row>
    <row r="25" spans="1:85" ht="12" customHeight="1" x14ac:dyDescent="0.2">
      <c r="A25" s="338"/>
      <c r="B25" s="324"/>
      <c r="C25" s="2075"/>
      <c r="D25" s="791" t="s">
        <v>840</v>
      </c>
      <c r="E25" s="2078">
        <f>+E24*U34</f>
        <v>0</v>
      </c>
      <c r="F25" s="2834"/>
      <c r="G25" s="324"/>
      <c r="H25" s="324"/>
      <c r="I25" s="324"/>
      <c r="J25" s="324"/>
      <c r="K25" s="324"/>
      <c r="L25" s="324"/>
      <c r="M25" s="324"/>
      <c r="N25" s="4"/>
      <c r="BU25" s="411"/>
      <c r="BV25" s="411"/>
      <c r="BW25" s="411"/>
      <c r="BX25" s="411"/>
      <c r="BY25" s="412"/>
      <c r="BZ25" s="412"/>
      <c r="CA25" s="412"/>
      <c r="CB25" s="412"/>
      <c r="CE25" s="411"/>
      <c r="CF25" s="411"/>
      <c r="CG25" s="411"/>
    </row>
    <row r="26" spans="1:85" ht="12" customHeight="1" x14ac:dyDescent="0.2">
      <c r="A26" s="338"/>
      <c r="B26" s="324"/>
      <c r="C26" s="2075"/>
      <c r="D26" s="791" t="s">
        <v>841</v>
      </c>
      <c r="E26" s="2078">
        <f>IF(F41=0,0,H41/F41*1000)</f>
        <v>0</v>
      </c>
      <c r="F26" s="2834"/>
      <c r="G26" s="324"/>
      <c r="H26" s="324"/>
      <c r="I26" s="324"/>
      <c r="J26" s="324"/>
      <c r="K26" s="324"/>
      <c r="L26" s="324"/>
      <c r="M26" s="324"/>
      <c r="N26" s="4"/>
      <c r="BU26" s="411"/>
      <c r="BV26" s="411"/>
      <c r="BW26" s="411"/>
      <c r="BX26" s="411"/>
      <c r="BY26" s="412"/>
      <c r="BZ26" s="412"/>
      <c r="CA26" s="412"/>
      <c r="CB26" s="412"/>
      <c r="CE26" s="411"/>
      <c r="CF26" s="411"/>
      <c r="CG26" s="411"/>
    </row>
    <row r="27" spans="1:85" ht="12" customHeight="1" x14ac:dyDescent="0.2">
      <c r="A27" s="338"/>
      <c r="B27" s="324"/>
      <c r="C27" s="2075"/>
      <c r="D27" s="791" t="s">
        <v>842</v>
      </c>
      <c r="E27" s="2078">
        <f>IF(F41=0,0,I41/F41*1000)</f>
        <v>0</v>
      </c>
      <c r="F27" s="2834"/>
      <c r="G27" s="324"/>
      <c r="H27" s="324"/>
      <c r="I27" s="324"/>
      <c r="J27" s="324"/>
      <c r="K27" s="324"/>
      <c r="L27" s="324"/>
      <c r="M27" s="324"/>
      <c r="N27" s="4"/>
      <c r="BU27" s="411"/>
      <c r="BV27" s="411"/>
      <c r="BW27" s="411"/>
      <c r="BX27" s="411"/>
      <c r="BY27" s="412"/>
      <c r="BZ27" s="412"/>
      <c r="CA27" s="412"/>
      <c r="CB27" s="412"/>
      <c r="CE27" s="411"/>
      <c r="CF27" s="411"/>
      <c r="CG27" s="411"/>
    </row>
    <row r="28" spans="1:85" ht="9" customHeight="1" x14ac:dyDescent="0.2">
      <c r="A28" s="338"/>
      <c r="B28" s="324"/>
      <c r="C28" s="324"/>
      <c r="D28" s="324"/>
      <c r="E28" s="324"/>
      <c r="F28" s="324"/>
      <c r="G28" s="324"/>
      <c r="H28" s="324"/>
      <c r="I28" s="324"/>
      <c r="J28" s="324"/>
      <c r="K28" s="324"/>
      <c r="L28" s="324"/>
      <c r="M28" s="324"/>
      <c r="N28" s="4"/>
      <c r="BU28" s="411"/>
      <c r="BV28" s="411"/>
      <c r="BW28" s="411"/>
      <c r="BX28" s="411"/>
      <c r="BY28" s="412"/>
      <c r="BZ28" s="412"/>
      <c r="CA28" s="412"/>
      <c r="CB28" s="412"/>
      <c r="CE28" s="411"/>
      <c r="CF28" s="411"/>
      <c r="CG28" s="411"/>
    </row>
    <row r="29" spans="1:85" ht="7.5" customHeight="1" x14ac:dyDescent="0.2">
      <c r="A29" s="523"/>
      <c r="B29" s="338"/>
      <c r="C29" s="338"/>
      <c r="D29" s="324"/>
      <c r="E29" s="324"/>
      <c r="F29" s="324"/>
      <c r="G29" s="324"/>
      <c r="H29" s="324"/>
      <c r="I29" s="324"/>
      <c r="J29" s="324"/>
      <c r="K29" s="324"/>
      <c r="L29" s="324"/>
      <c r="M29" s="324"/>
      <c r="N29" s="4"/>
      <c r="BU29" s="411"/>
      <c r="BV29" s="411"/>
      <c r="BW29" s="411"/>
      <c r="BX29" s="411"/>
      <c r="BY29" s="412"/>
      <c r="BZ29" s="412"/>
      <c r="CA29" s="412"/>
      <c r="CB29" s="412"/>
      <c r="CE29" s="411"/>
      <c r="CF29" s="411"/>
      <c r="CG29" s="411"/>
    </row>
    <row r="30" spans="1:85" ht="3" customHeight="1" thickBot="1" x14ac:dyDescent="0.25">
      <c r="A30" s="523"/>
      <c r="B30" s="338"/>
      <c r="C30" s="338"/>
      <c r="D30" s="324"/>
      <c r="E30" s="324"/>
      <c r="F30" s="324"/>
      <c r="G30" s="324"/>
      <c r="H30" s="324"/>
      <c r="I30" s="324"/>
      <c r="J30" s="324"/>
      <c r="K30" s="324"/>
      <c r="L30" s="324"/>
      <c r="M30" s="324"/>
      <c r="N30" s="4"/>
      <c r="AD30" s="411">
        <v>3</v>
      </c>
      <c r="BU30" s="411"/>
      <c r="BV30" s="411"/>
      <c r="BW30" s="411"/>
      <c r="BX30" s="411"/>
      <c r="BY30" s="412"/>
      <c r="BZ30" s="412"/>
      <c r="CA30" s="412"/>
      <c r="CB30" s="412"/>
      <c r="CE30" s="411"/>
      <c r="CF30" s="411"/>
      <c r="CG30" s="411"/>
    </row>
    <row r="31" spans="1:85" s="332" customFormat="1" ht="12.75" customHeight="1" x14ac:dyDescent="0.2">
      <c r="A31" s="2079"/>
      <c r="B31" s="915"/>
      <c r="C31" s="915"/>
      <c r="D31" s="2080"/>
      <c r="E31" s="2081"/>
      <c r="F31" s="2082" t="s">
        <v>320</v>
      </c>
      <c r="G31" s="2835" t="s">
        <v>478</v>
      </c>
      <c r="H31" s="2830"/>
      <c r="I31" s="2830"/>
      <c r="J31" s="2832" t="s">
        <v>321</v>
      </c>
      <c r="K31" s="2833"/>
      <c r="L31" s="2830" t="s">
        <v>322</v>
      </c>
      <c r="M31" s="2831"/>
      <c r="N31" s="79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502"/>
      <c r="BC31" s="502"/>
      <c r="BD31" s="502"/>
      <c r="BE31" s="502"/>
      <c r="BF31" s="502"/>
      <c r="BG31" s="502"/>
      <c r="BH31" s="502"/>
      <c r="BI31" s="502"/>
      <c r="BJ31" s="502"/>
      <c r="BK31" s="502"/>
      <c r="BL31" s="502"/>
      <c r="BM31" s="502"/>
      <c r="BN31" s="502"/>
      <c r="BO31" s="502"/>
      <c r="BP31" s="502"/>
      <c r="BQ31" s="502"/>
      <c r="BR31" s="502"/>
      <c r="BS31" s="502"/>
      <c r="BT31" s="502"/>
      <c r="BU31" s="502"/>
      <c r="BV31" s="502"/>
      <c r="BW31" s="502"/>
      <c r="BX31" s="502"/>
      <c r="BY31" s="537"/>
      <c r="BZ31" s="537"/>
      <c r="CA31" s="537"/>
      <c r="CB31" s="537"/>
      <c r="CC31" s="502"/>
      <c r="CD31" s="502"/>
      <c r="CE31" s="502"/>
      <c r="CF31" s="502"/>
      <c r="CG31" s="502"/>
    </row>
    <row r="32" spans="1:85" s="534" customFormat="1" ht="15" customHeight="1" x14ac:dyDescent="0.2">
      <c r="A32" s="2083" t="s">
        <v>486</v>
      </c>
      <c r="B32" s="916"/>
      <c r="C32" s="916"/>
      <c r="D32" s="2084"/>
      <c r="E32" s="2085"/>
      <c r="F32" s="2086" t="s">
        <v>40</v>
      </c>
      <c r="G32" s="2087" t="s">
        <v>4</v>
      </c>
      <c r="H32" s="2088" t="s">
        <v>832</v>
      </c>
      <c r="I32" s="1977" t="s">
        <v>833</v>
      </c>
      <c r="J32" s="917"/>
      <c r="K32" s="918"/>
      <c r="L32" s="2836"/>
      <c r="M32" s="2837"/>
      <c r="N32" s="793"/>
      <c r="P32" s="535" t="s">
        <v>704</v>
      </c>
      <c r="Q32" s="535"/>
      <c r="R32" s="535"/>
      <c r="S32" s="535"/>
      <c r="T32" s="535" t="s">
        <v>806</v>
      </c>
      <c r="U32" s="535" t="s">
        <v>8385</v>
      </c>
      <c r="V32" s="535"/>
      <c r="W32" s="535"/>
      <c r="X32" s="535"/>
      <c r="Y32" s="535"/>
      <c r="Z32" s="535"/>
      <c r="AA32" s="535"/>
      <c r="AB32" s="535"/>
      <c r="AC32" s="535"/>
      <c r="AD32" s="535"/>
      <c r="AE32" s="535"/>
      <c r="AF32" s="535"/>
      <c r="AG32" s="535"/>
      <c r="AH32" s="535"/>
      <c r="AI32" s="535"/>
      <c r="AJ32" s="535"/>
      <c r="AK32" s="535"/>
      <c r="AL32" s="535"/>
      <c r="AM32" s="535"/>
      <c r="AN32" s="535"/>
      <c r="AO32" s="535"/>
      <c r="AP32" s="535"/>
      <c r="AQ32" s="535"/>
      <c r="AR32" s="535"/>
      <c r="AS32" s="535"/>
      <c r="AT32" s="535"/>
      <c r="AU32" s="535"/>
      <c r="AV32" s="535"/>
      <c r="AW32" s="535"/>
      <c r="AX32" s="535"/>
      <c r="AY32" s="535"/>
      <c r="AZ32" s="535"/>
      <c r="BA32" s="535"/>
      <c r="BB32" s="535"/>
      <c r="BC32" s="535"/>
      <c r="BD32" s="535"/>
      <c r="BE32" s="535"/>
      <c r="BF32" s="535"/>
      <c r="BG32" s="535"/>
      <c r="BH32" s="535"/>
      <c r="BI32" s="535"/>
      <c r="BJ32" s="535"/>
      <c r="BK32" s="535"/>
      <c r="BL32" s="535"/>
      <c r="BM32" s="535"/>
      <c r="BN32" s="535"/>
      <c r="BO32" s="535"/>
      <c r="BP32" s="535"/>
      <c r="BQ32" s="535"/>
      <c r="BR32" s="535"/>
      <c r="BS32" s="535"/>
      <c r="BT32" s="535"/>
      <c r="BU32" s="535"/>
      <c r="BV32" s="535"/>
      <c r="BW32" s="535"/>
      <c r="BX32" s="535"/>
      <c r="BY32" s="536"/>
      <c r="BZ32" s="536"/>
      <c r="CA32" s="536"/>
      <c r="CB32" s="536"/>
      <c r="CC32" s="535"/>
      <c r="CD32" s="535"/>
      <c r="CE32" s="535"/>
      <c r="CF32" s="535"/>
      <c r="CG32" s="535"/>
    </row>
    <row r="33" spans="1:85" s="534" customFormat="1" ht="15" customHeight="1" thickBot="1" x14ac:dyDescent="0.25">
      <c r="A33" s="2089"/>
      <c r="B33" s="919"/>
      <c r="C33" s="919"/>
      <c r="D33" s="2090"/>
      <c r="E33" s="2091"/>
      <c r="F33" s="920" t="s">
        <v>479</v>
      </c>
      <c r="G33" s="2851" t="s">
        <v>477</v>
      </c>
      <c r="H33" s="2852"/>
      <c r="I33" s="2852"/>
      <c r="J33" s="2852"/>
      <c r="K33" s="2852"/>
      <c r="L33" s="2852"/>
      <c r="M33" s="2853"/>
      <c r="N33" s="793"/>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5"/>
      <c r="AO33" s="535"/>
      <c r="AP33" s="535"/>
      <c r="AQ33" s="535"/>
      <c r="AR33" s="535"/>
      <c r="AS33" s="535"/>
      <c r="AT33" s="535"/>
      <c r="AU33" s="535"/>
      <c r="AV33" s="535"/>
      <c r="AW33" s="535"/>
      <c r="AX33" s="535"/>
      <c r="AY33" s="535"/>
      <c r="AZ33" s="535"/>
      <c r="BA33" s="535"/>
      <c r="BB33" s="535"/>
      <c r="BC33" s="535"/>
      <c r="BD33" s="535"/>
      <c r="BE33" s="535"/>
      <c r="BF33" s="535"/>
      <c r="BG33" s="535"/>
      <c r="BH33" s="535"/>
      <c r="BI33" s="535"/>
      <c r="BJ33" s="535"/>
      <c r="BK33" s="535"/>
      <c r="BL33" s="535"/>
      <c r="BM33" s="535"/>
      <c r="BN33" s="535"/>
      <c r="BO33" s="535"/>
      <c r="BP33" s="535"/>
      <c r="BQ33" s="535"/>
      <c r="BR33" s="535"/>
      <c r="BS33" s="535"/>
      <c r="BT33" s="535"/>
      <c r="BU33" s="535"/>
      <c r="BV33" s="535"/>
      <c r="BW33" s="535"/>
      <c r="BX33" s="535"/>
      <c r="BY33" s="536"/>
      <c r="BZ33" s="536"/>
      <c r="CA33" s="536"/>
      <c r="CB33" s="536"/>
      <c r="CC33" s="535"/>
      <c r="CD33" s="535"/>
      <c r="CE33" s="535"/>
      <c r="CF33" s="535"/>
      <c r="CG33" s="535"/>
    </row>
    <row r="34" spans="1:85" s="534" customFormat="1" ht="15" customHeight="1" x14ac:dyDescent="0.2">
      <c r="A34" s="839" t="s">
        <v>480</v>
      </c>
      <c r="B34" s="840"/>
      <c r="C34" s="840"/>
      <c r="D34" s="2092"/>
      <c r="E34" s="2092"/>
      <c r="F34" s="2093">
        <f>SUM(F35:F38)</f>
        <v>0</v>
      </c>
      <c r="G34" s="2094">
        <f>SUM(G35:G37)</f>
        <v>0</v>
      </c>
      <c r="H34" s="2095">
        <f>SUM(H35:H37)</f>
        <v>0</v>
      </c>
      <c r="I34" s="2095">
        <f>SUM(I35:I37)</f>
        <v>0</v>
      </c>
      <c r="J34" s="2854">
        <f>SUM(J35:K37)</f>
        <v>0</v>
      </c>
      <c r="K34" s="2854"/>
      <c r="L34" s="2855">
        <f>SUM(L35:M38)</f>
        <v>0</v>
      </c>
      <c r="M34" s="2856"/>
      <c r="N34" s="793"/>
      <c r="P34" s="535"/>
      <c r="Q34" s="535"/>
      <c r="R34" s="535"/>
      <c r="S34" s="535" t="s">
        <v>815</v>
      </c>
      <c r="T34" s="1988">
        <f>IF(G34=0,0,(T35*G35+T36*(G36+G37))/G34)</f>
        <v>0</v>
      </c>
      <c r="U34" s="535">
        <f>+T34+H179/100/2</f>
        <v>0</v>
      </c>
      <c r="V34" s="535"/>
      <c r="W34" s="535"/>
      <c r="X34" s="535"/>
      <c r="Y34" s="535"/>
      <c r="Z34" s="535"/>
      <c r="AA34" s="535"/>
      <c r="AB34" s="535"/>
      <c r="AC34" s="535"/>
      <c r="AD34" s="535"/>
      <c r="AE34" s="535"/>
      <c r="AF34" s="535"/>
      <c r="AG34" s="535"/>
      <c r="AH34" s="535"/>
      <c r="AI34" s="535"/>
      <c r="AJ34" s="535"/>
      <c r="AK34" s="535"/>
      <c r="AL34" s="535"/>
      <c r="AM34" s="535"/>
      <c r="AN34" s="535"/>
      <c r="AO34" s="535"/>
      <c r="AP34" s="535"/>
      <c r="AQ34" s="535"/>
      <c r="AR34" s="535"/>
      <c r="AS34" s="535"/>
      <c r="AT34" s="535"/>
      <c r="AU34" s="535"/>
      <c r="AV34" s="535"/>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5"/>
      <c r="BT34" s="535"/>
      <c r="BU34" s="535"/>
      <c r="BV34" s="535"/>
      <c r="BW34" s="535"/>
      <c r="BX34" s="535"/>
      <c r="BY34" s="536"/>
      <c r="BZ34" s="536"/>
      <c r="CA34" s="536"/>
      <c r="CB34" s="536"/>
      <c r="CC34" s="535"/>
      <c r="CD34" s="535"/>
      <c r="CE34" s="535"/>
      <c r="CF34" s="535"/>
      <c r="CG34" s="535"/>
    </row>
    <row r="35" spans="1:85" s="326" customFormat="1" ht="10.5" customHeight="1" x14ac:dyDescent="0.2">
      <c r="A35" s="2838" t="s">
        <v>504</v>
      </c>
      <c r="B35" s="2839"/>
      <c r="C35" s="2839"/>
      <c r="D35" s="2839"/>
      <c r="E35" s="2839"/>
      <c r="F35" s="2096">
        <f>+J35+L35</f>
        <v>0</v>
      </c>
      <c r="G35" s="2097">
        <f>+DD88/1000</f>
        <v>0</v>
      </c>
      <c r="H35" s="2098">
        <f>+DE88/1000</f>
        <v>0</v>
      </c>
      <c r="I35" s="2098">
        <f>+DF88/1000</f>
        <v>0</v>
      </c>
      <c r="J35" s="2843">
        <f>+EE88</f>
        <v>0</v>
      </c>
      <c r="K35" s="2843"/>
      <c r="L35" s="2749">
        <f>+EF88</f>
        <v>0</v>
      </c>
      <c r="M35" s="2750"/>
      <c r="N35" s="1"/>
      <c r="P35" s="674" t="e">
        <f>+J35/F35*100</f>
        <v>#DIV/0!</v>
      </c>
      <c r="Q35" s="420"/>
      <c r="R35" s="420"/>
      <c r="S35" s="420"/>
      <c r="T35" s="420">
        <f>+DJ89/100</f>
        <v>0</v>
      </c>
      <c r="U35" s="420"/>
      <c r="V35" s="420"/>
      <c r="W35" s="420"/>
      <c r="X35" s="420"/>
      <c r="Y35" s="420"/>
      <c r="Z35" s="420"/>
      <c r="AA35" s="420"/>
      <c r="AB35" s="420"/>
      <c r="AC35" s="420"/>
      <c r="AD35" s="420"/>
      <c r="AE35" s="420"/>
      <c r="AF35" s="420"/>
      <c r="AG35" s="420"/>
      <c r="AH35" s="420"/>
      <c r="AI35" s="420"/>
      <c r="AJ35" s="420"/>
      <c r="AK35" s="420"/>
      <c r="AL35" s="420"/>
      <c r="AM35" s="420"/>
      <c r="AN35" s="420"/>
      <c r="AO35" s="420"/>
      <c r="AP35" s="420"/>
      <c r="AQ35" s="420"/>
      <c r="AR35" s="420"/>
      <c r="AS35" s="420"/>
      <c r="AT35" s="420"/>
      <c r="AU35" s="420"/>
      <c r="AV35" s="420"/>
      <c r="AW35" s="420"/>
      <c r="AX35" s="420"/>
      <c r="AY35" s="420"/>
      <c r="AZ35" s="420"/>
      <c r="BA35" s="420"/>
      <c r="BB35" s="420"/>
      <c r="BC35" s="420"/>
      <c r="BD35" s="420"/>
      <c r="BE35" s="420"/>
      <c r="BF35" s="420"/>
      <c r="BG35" s="420"/>
      <c r="BH35" s="420"/>
      <c r="BI35" s="420"/>
      <c r="BJ35" s="420"/>
      <c r="BK35" s="420"/>
      <c r="BL35" s="420"/>
      <c r="BM35" s="420"/>
      <c r="BN35" s="420"/>
      <c r="BO35" s="420"/>
      <c r="BP35" s="420"/>
      <c r="BQ35" s="420"/>
      <c r="BR35" s="420"/>
      <c r="BS35" s="420"/>
      <c r="BT35" s="420"/>
      <c r="BU35" s="420"/>
      <c r="BV35" s="420"/>
      <c r="BW35" s="420"/>
      <c r="BX35" s="420"/>
      <c r="BY35" s="421"/>
      <c r="BZ35" s="421"/>
      <c r="CA35" s="421"/>
      <c r="CB35" s="421"/>
      <c r="CC35" s="420"/>
      <c r="CD35" s="420"/>
      <c r="CE35" s="420"/>
      <c r="CF35" s="420"/>
      <c r="CG35" s="420"/>
    </row>
    <row r="36" spans="1:85" s="326" customFormat="1" ht="10.5" customHeight="1" x14ac:dyDescent="0.2">
      <c r="A36" s="2099" t="s">
        <v>1203</v>
      </c>
      <c r="B36" s="1296"/>
      <c r="C36" s="1296"/>
      <c r="D36" s="2100"/>
      <c r="E36" s="2100"/>
      <c r="F36" s="2096">
        <f>+J36+L36</f>
        <v>0</v>
      </c>
      <c r="G36" s="2097">
        <f>AS156</f>
        <v>0</v>
      </c>
      <c r="H36" s="2098">
        <f>AT156</f>
        <v>0</v>
      </c>
      <c r="I36" s="2098">
        <f>+AU156</f>
        <v>0</v>
      </c>
      <c r="J36" s="2843">
        <f>+AQ156</f>
        <v>0</v>
      </c>
      <c r="K36" s="2843"/>
      <c r="L36" s="2749">
        <f>+AR156</f>
        <v>0</v>
      </c>
      <c r="M36" s="2750"/>
      <c r="N36" s="1"/>
      <c r="P36" s="674" t="e">
        <f t="shared" ref="P36:P45" si="0">+J36/F36*100</f>
        <v>#DIV/0!</v>
      </c>
      <c r="Q36" s="420"/>
      <c r="R36" s="420"/>
      <c r="S36" s="420"/>
      <c r="T36" s="2780">
        <f>+BP157</f>
        <v>0</v>
      </c>
      <c r="U36" s="420"/>
      <c r="V36" s="420"/>
      <c r="W36" s="420"/>
      <c r="X36" s="420"/>
      <c r="Y36" s="420"/>
      <c r="Z36" s="420"/>
      <c r="AA36" s="420"/>
      <c r="AB36" s="420"/>
      <c r="AC36" s="420"/>
      <c r="AD36" s="420"/>
      <c r="AE36" s="420"/>
      <c r="AF36" s="420"/>
      <c r="AG36" s="420"/>
      <c r="AH36" s="420"/>
      <c r="AI36" s="420"/>
      <c r="AJ36" s="420"/>
      <c r="AK36" s="420"/>
      <c r="AL36" s="420"/>
      <c r="AM36" s="420"/>
      <c r="AN36" s="420"/>
      <c r="AO36" s="420"/>
      <c r="AP36" s="420"/>
      <c r="AQ36" s="420"/>
      <c r="AR36" s="420"/>
      <c r="AS36" s="420"/>
      <c r="AT36" s="420"/>
      <c r="AU36" s="420"/>
      <c r="AV36" s="420"/>
      <c r="AW36" s="420"/>
      <c r="AX36" s="420"/>
      <c r="AY36" s="420"/>
      <c r="AZ36" s="420"/>
      <c r="BA36" s="420"/>
      <c r="BB36" s="420"/>
      <c r="BC36" s="420"/>
      <c r="BD36" s="420"/>
      <c r="BE36" s="420"/>
      <c r="BF36" s="420"/>
      <c r="BG36" s="420"/>
      <c r="BH36" s="420"/>
      <c r="BI36" s="420"/>
      <c r="BJ36" s="420"/>
      <c r="BK36" s="420"/>
      <c r="BL36" s="420"/>
      <c r="BM36" s="420"/>
      <c r="BN36" s="420"/>
      <c r="BO36" s="420"/>
      <c r="BP36" s="420"/>
      <c r="BQ36" s="420"/>
      <c r="BR36" s="420"/>
      <c r="BS36" s="420"/>
      <c r="BT36" s="420"/>
      <c r="BU36" s="420"/>
      <c r="BV36" s="420"/>
      <c r="BW36" s="420"/>
      <c r="BX36" s="420"/>
      <c r="BY36" s="421"/>
      <c r="BZ36" s="421"/>
      <c r="CA36" s="421"/>
      <c r="CB36" s="421"/>
      <c r="CC36" s="420"/>
      <c r="CD36" s="420"/>
      <c r="CE36" s="420"/>
      <c r="CF36" s="420"/>
      <c r="CG36" s="420"/>
    </row>
    <row r="37" spans="1:85" s="326" customFormat="1" ht="10.5" customHeight="1" x14ac:dyDescent="0.2">
      <c r="A37" s="2099" t="s">
        <v>1205</v>
      </c>
      <c r="B37" s="1296"/>
      <c r="C37" s="1296"/>
      <c r="D37" s="2100"/>
      <c r="E37" s="2100"/>
      <c r="F37" s="2096">
        <f>+J37+L37</f>
        <v>0</v>
      </c>
      <c r="G37" s="2097">
        <f>+AN156</f>
        <v>0</v>
      </c>
      <c r="H37" s="2098">
        <f>+AO156</f>
        <v>0</v>
      </c>
      <c r="I37" s="2098">
        <f>+AP156</f>
        <v>0</v>
      </c>
      <c r="J37" s="2843">
        <f>+AL156</f>
        <v>0</v>
      </c>
      <c r="K37" s="2843"/>
      <c r="L37" s="2749">
        <f>+AM156</f>
        <v>0</v>
      </c>
      <c r="M37" s="2750"/>
      <c r="N37" s="1"/>
      <c r="P37" s="674" t="e">
        <f t="shared" si="0"/>
        <v>#DIV/0!</v>
      </c>
      <c r="Q37" s="420"/>
      <c r="R37" s="420"/>
      <c r="S37" s="420"/>
      <c r="T37" s="2781"/>
      <c r="U37" s="420"/>
      <c r="V37" s="420"/>
      <c r="W37" s="420"/>
      <c r="X37" s="420"/>
      <c r="Y37" s="420"/>
      <c r="Z37" s="420"/>
      <c r="AA37" s="420"/>
      <c r="AB37" s="420"/>
      <c r="AC37" s="420"/>
      <c r="AD37" s="420"/>
      <c r="AE37" s="420"/>
      <c r="AF37" s="420"/>
      <c r="AG37" s="420"/>
      <c r="AH37" s="420"/>
      <c r="AI37" s="420"/>
      <c r="AJ37" s="420"/>
      <c r="AK37" s="420"/>
      <c r="AL37" s="420"/>
      <c r="AM37" s="420"/>
      <c r="AN37" s="420"/>
      <c r="AO37" s="420"/>
      <c r="AP37" s="420"/>
      <c r="AQ37" s="420"/>
      <c r="AR37" s="420"/>
      <c r="AS37" s="420"/>
      <c r="AT37" s="420"/>
      <c r="AU37" s="420"/>
      <c r="AV37" s="420"/>
      <c r="AW37" s="420"/>
      <c r="AX37" s="420"/>
      <c r="AY37" s="420"/>
      <c r="AZ37" s="420"/>
      <c r="BA37" s="420"/>
      <c r="BB37" s="420"/>
      <c r="BC37" s="420"/>
      <c r="BD37" s="420"/>
      <c r="BE37" s="420"/>
      <c r="BF37" s="420"/>
      <c r="BG37" s="420"/>
      <c r="BH37" s="420"/>
      <c r="BI37" s="420"/>
      <c r="BJ37" s="420"/>
      <c r="BK37" s="420"/>
      <c r="BL37" s="420"/>
      <c r="BM37" s="420"/>
      <c r="BN37" s="420"/>
      <c r="BO37" s="420"/>
      <c r="BP37" s="420"/>
      <c r="BQ37" s="420"/>
      <c r="BR37" s="420"/>
      <c r="BS37" s="420"/>
      <c r="BT37" s="420"/>
      <c r="BU37" s="420"/>
      <c r="BV37" s="420"/>
      <c r="BW37" s="420"/>
      <c r="BX37" s="420"/>
      <c r="BY37" s="421"/>
      <c r="BZ37" s="421"/>
      <c r="CA37" s="421"/>
      <c r="CB37" s="421"/>
      <c r="CC37" s="420"/>
      <c r="CD37" s="420"/>
      <c r="CE37" s="420"/>
      <c r="CF37" s="420"/>
      <c r="CG37" s="420"/>
    </row>
    <row r="38" spans="1:85" s="326" customFormat="1" ht="10.5" customHeight="1" x14ac:dyDescent="0.2">
      <c r="A38" s="2101" t="s">
        <v>853</v>
      </c>
      <c r="B38" s="835"/>
      <c r="C38" s="835"/>
      <c r="D38" s="2102"/>
      <c r="E38" s="2102"/>
      <c r="F38" s="2096">
        <f>SUM(J164:K170)</f>
        <v>0</v>
      </c>
      <c r="G38" s="2103"/>
      <c r="H38" s="2104"/>
      <c r="I38" s="2104"/>
      <c r="J38" s="2857"/>
      <c r="K38" s="2857"/>
      <c r="L38" s="2858">
        <f>+F38</f>
        <v>0</v>
      </c>
      <c r="M38" s="2859"/>
      <c r="N38" s="1"/>
      <c r="P38" s="674" t="e">
        <f t="shared" si="0"/>
        <v>#DIV/0!</v>
      </c>
      <c r="Q38" s="420"/>
      <c r="R38" s="420"/>
      <c r="S38" s="420"/>
      <c r="T38" s="420"/>
      <c r="U38" s="420"/>
      <c r="V38" s="420"/>
      <c r="W38" s="420"/>
      <c r="X38" s="420"/>
      <c r="Y38" s="420"/>
      <c r="Z38" s="420"/>
      <c r="AA38" s="420"/>
      <c r="AB38" s="420"/>
      <c r="AC38" s="420"/>
      <c r="AD38" s="420"/>
      <c r="AE38" s="420"/>
      <c r="AF38" s="420"/>
      <c r="AG38" s="420"/>
      <c r="AH38" s="420"/>
      <c r="AI38" s="420"/>
      <c r="AJ38" s="420"/>
      <c r="AK38" s="420"/>
      <c r="AL38" s="420"/>
      <c r="AM38" s="420"/>
      <c r="AN38" s="420"/>
      <c r="AO38" s="420"/>
      <c r="AP38" s="420"/>
      <c r="AQ38" s="420"/>
      <c r="AR38" s="420"/>
      <c r="AS38" s="420"/>
      <c r="AT38" s="420"/>
      <c r="AU38" s="420"/>
      <c r="AV38" s="420"/>
      <c r="AW38" s="420"/>
      <c r="AX38" s="420"/>
      <c r="AY38" s="420"/>
      <c r="AZ38" s="420"/>
      <c r="BA38" s="420"/>
      <c r="BB38" s="420"/>
      <c r="BC38" s="420"/>
      <c r="BD38" s="420"/>
      <c r="BE38" s="420"/>
      <c r="BF38" s="420"/>
      <c r="BG38" s="420"/>
      <c r="BH38" s="420"/>
      <c r="BI38" s="420"/>
      <c r="BJ38" s="420"/>
      <c r="BK38" s="420"/>
      <c r="BL38" s="420"/>
      <c r="BM38" s="420"/>
      <c r="BN38" s="420"/>
      <c r="BO38" s="420"/>
      <c r="BP38" s="420"/>
      <c r="BQ38" s="420"/>
      <c r="BR38" s="420"/>
      <c r="BS38" s="420"/>
      <c r="BT38" s="420"/>
      <c r="BU38" s="420"/>
      <c r="BV38" s="420"/>
      <c r="BW38" s="420"/>
      <c r="BX38" s="420"/>
      <c r="BY38" s="421"/>
      <c r="BZ38" s="421"/>
      <c r="CA38" s="421"/>
      <c r="CB38" s="421"/>
      <c r="CC38" s="420"/>
      <c r="CD38" s="420"/>
      <c r="CE38" s="420"/>
      <c r="CF38" s="420"/>
      <c r="CG38" s="420"/>
    </row>
    <row r="39" spans="1:85" s="534" customFormat="1" ht="15" customHeight="1" x14ac:dyDescent="0.2">
      <c r="A39" s="2105" t="s">
        <v>1071</v>
      </c>
      <c r="B39" s="838"/>
      <c r="C39" s="838"/>
      <c r="D39" s="2106"/>
      <c r="E39" s="2106"/>
      <c r="F39" s="2107">
        <f>+J39+L39</f>
        <v>0</v>
      </c>
      <c r="G39" s="2108"/>
      <c r="H39" s="2109"/>
      <c r="I39" s="2109"/>
      <c r="J39" s="2773">
        <f>+S159*-1</f>
        <v>0</v>
      </c>
      <c r="K39" s="2773"/>
      <c r="L39" s="2728">
        <f>+T159*-1</f>
        <v>0</v>
      </c>
      <c r="M39" s="2729"/>
      <c r="N39" s="793"/>
      <c r="P39" s="674" t="e">
        <f t="shared" si="0"/>
        <v>#DIV/0!</v>
      </c>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5"/>
      <c r="AO39" s="535"/>
      <c r="AP39" s="535"/>
      <c r="AQ39" s="535"/>
      <c r="AR39" s="535"/>
      <c r="AS39" s="535"/>
      <c r="AT39" s="535"/>
      <c r="AU39" s="535"/>
      <c r="AV39" s="535"/>
      <c r="AW39" s="535"/>
      <c r="AX39" s="535"/>
      <c r="AY39" s="535"/>
      <c r="AZ39" s="535"/>
      <c r="BA39" s="535"/>
      <c r="BB39" s="535"/>
      <c r="BC39" s="535"/>
      <c r="BD39" s="535"/>
      <c r="BE39" s="535"/>
      <c r="BF39" s="535"/>
      <c r="BG39" s="535"/>
      <c r="BH39" s="535"/>
      <c r="BI39" s="535"/>
      <c r="BJ39" s="535"/>
      <c r="BK39" s="535"/>
      <c r="BL39" s="535"/>
      <c r="BM39" s="535"/>
      <c r="BN39" s="535"/>
      <c r="BO39" s="535"/>
      <c r="BP39" s="535"/>
      <c r="BQ39" s="535"/>
      <c r="BR39" s="535"/>
      <c r="BS39" s="535"/>
      <c r="BT39" s="535"/>
      <c r="BU39" s="535"/>
      <c r="BV39" s="535"/>
      <c r="BW39" s="535"/>
      <c r="BX39" s="535"/>
      <c r="BY39" s="536"/>
      <c r="BZ39" s="536"/>
      <c r="CA39" s="536"/>
      <c r="CB39" s="536"/>
      <c r="CC39" s="535"/>
      <c r="CD39" s="535"/>
      <c r="CE39" s="535"/>
      <c r="CF39" s="535"/>
      <c r="CG39" s="535"/>
    </row>
    <row r="40" spans="1:85" s="534" customFormat="1" ht="15" customHeight="1" x14ac:dyDescent="0.2">
      <c r="A40" s="2718" t="s">
        <v>1014</v>
      </c>
      <c r="B40" s="2719"/>
      <c r="C40" s="2719"/>
      <c r="D40" s="2719"/>
      <c r="E40" s="2719"/>
      <c r="F40" s="2110"/>
      <c r="G40" s="2111">
        <f>+U156*0.05*-1</f>
        <v>0</v>
      </c>
      <c r="H40" s="2112"/>
      <c r="I40" s="2112"/>
      <c r="J40" s="2753"/>
      <c r="K40" s="2753"/>
      <c r="L40" s="2844"/>
      <c r="M40" s="2845"/>
      <c r="N40" s="793"/>
      <c r="P40" s="674" t="e">
        <f t="shared" si="0"/>
        <v>#DIV/0!</v>
      </c>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5"/>
      <c r="AO40" s="535"/>
      <c r="AP40" s="535"/>
      <c r="AQ40" s="535"/>
      <c r="AR40" s="535"/>
      <c r="AS40" s="535"/>
      <c r="AT40" s="535"/>
      <c r="AU40" s="535"/>
      <c r="AV40" s="535"/>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6"/>
      <c r="BZ40" s="536"/>
      <c r="CA40" s="536"/>
      <c r="CB40" s="536"/>
      <c r="CC40" s="535"/>
      <c r="CD40" s="535"/>
      <c r="CE40" s="535"/>
      <c r="CF40" s="535"/>
      <c r="CG40" s="535"/>
    </row>
    <row r="41" spans="1:85" s="534" customFormat="1" ht="15" customHeight="1" x14ac:dyDescent="0.2">
      <c r="A41" s="2113" t="s">
        <v>481</v>
      </c>
      <c r="B41" s="837"/>
      <c r="C41" s="837"/>
      <c r="D41" s="2114"/>
      <c r="E41" s="2114"/>
      <c r="F41" s="2115">
        <f>+F34+F39</f>
        <v>0</v>
      </c>
      <c r="G41" s="2116">
        <f>+G34+G40</f>
        <v>0</v>
      </c>
      <c r="H41" s="2117">
        <f>+H34</f>
        <v>0</v>
      </c>
      <c r="I41" s="2117">
        <f>+I34</f>
        <v>0</v>
      </c>
      <c r="J41" s="2774">
        <f>+J34+J39</f>
        <v>0</v>
      </c>
      <c r="K41" s="2774"/>
      <c r="L41" s="2751">
        <f>+L34+L39</f>
        <v>0</v>
      </c>
      <c r="M41" s="2752"/>
      <c r="N41" s="793"/>
      <c r="P41" s="674" t="e">
        <f t="shared" si="0"/>
        <v>#DIV/0!</v>
      </c>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5"/>
      <c r="AO41" s="535"/>
      <c r="AP41" s="535"/>
      <c r="AQ41" s="535"/>
      <c r="AR41" s="535"/>
      <c r="AS41" s="535"/>
      <c r="AT41" s="535"/>
      <c r="AU41" s="535"/>
      <c r="AV41" s="535"/>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6"/>
      <c r="BZ41" s="536"/>
      <c r="CA41" s="536"/>
      <c r="CB41" s="536"/>
      <c r="CC41" s="535"/>
      <c r="CD41" s="535"/>
      <c r="CE41" s="535"/>
      <c r="CF41" s="535"/>
      <c r="CG41" s="535"/>
    </row>
    <row r="42" spans="1:85" s="534" customFormat="1" ht="10.5" customHeight="1" x14ac:dyDescent="0.2">
      <c r="A42" s="2720" t="s">
        <v>747</v>
      </c>
      <c r="B42" s="2721"/>
      <c r="C42" s="2721"/>
      <c r="D42" s="2721"/>
      <c r="E42" s="2721"/>
      <c r="F42" s="2118">
        <f>+J42+L42</f>
        <v>0</v>
      </c>
      <c r="G42" s="2119">
        <f>+J95+J99</f>
        <v>0</v>
      </c>
      <c r="H42" s="2120">
        <f>+K95+K99</f>
        <v>0</v>
      </c>
      <c r="I42" s="2120">
        <f>+M95+M99</f>
        <v>0</v>
      </c>
      <c r="J42" s="2722">
        <f>+DW95-EE88</f>
        <v>0</v>
      </c>
      <c r="K42" s="2722"/>
      <c r="L42" s="2723">
        <f>+DX95-EF88</f>
        <v>0</v>
      </c>
      <c r="M42" s="2724"/>
      <c r="N42" s="793"/>
      <c r="P42" s="674"/>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5"/>
      <c r="AO42" s="535"/>
      <c r="AP42" s="535"/>
      <c r="AQ42" s="535"/>
      <c r="AR42" s="535"/>
      <c r="AS42" s="535"/>
      <c r="AT42" s="535"/>
      <c r="AU42" s="535"/>
      <c r="AV42" s="535"/>
      <c r="AW42" s="535"/>
      <c r="AX42" s="535"/>
      <c r="AY42" s="535"/>
      <c r="AZ42" s="535"/>
      <c r="BA42" s="535"/>
      <c r="BB42" s="535"/>
      <c r="BC42" s="535"/>
      <c r="BD42" s="535"/>
      <c r="BE42" s="535"/>
      <c r="BF42" s="535"/>
      <c r="BG42" s="535"/>
      <c r="BH42" s="535"/>
      <c r="BI42" s="535"/>
      <c r="BJ42" s="535"/>
      <c r="BK42" s="535"/>
      <c r="BL42" s="535"/>
      <c r="BM42" s="535"/>
      <c r="BN42" s="535"/>
      <c r="BO42" s="535"/>
      <c r="BP42" s="535"/>
      <c r="BQ42" s="535"/>
      <c r="BR42" s="535"/>
      <c r="BS42" s="535"/>
      <c r="BT42" s="535"/>
      <c r="BU42" s="535"/>
      <c r="BV42" s="535"/>
      <c r="BW42" s="535"/>
      <c r="BX42" s="535"/>
      <c r="BY42" s="536"/>
      <c r="BZ42" s="536"/>
      <c r="CA42" s="536"/>
      <c r="CB42" s="536"/>
      <c r="CC42" s="535"/>
      <c r="CD42" s="535"/>
      <c r="CE42" s="535"/>
      <c r="CF42" s="535"/>
      <c r="CG42" s="535"/>
    </row>
    <row r="43" spans="1:85" s="326" customFormat="1" ht="10.5" customHeight="1" x14ac:dyDescent="0.2">
      <c r="A43" s="2101" t="s">
        <v>502</v>
      </c>
      <c r="B43" s="836"/>
      <c r="C43" s="836"/>
      <c r="D43" s="2102"/>
      <c r="E43" s="2102"/>
      <c r="F43" s="2121"/>
      <c r="G43" s="2103"/>
      <c r="H43" s="2104"/>
      <c r="I43" s="2104"/>
      <c r="J43" s="2122"/>
      <c r="K43" s="2123"/>
      <c r="L43" s="2124"/>
      <c r="M43" s="2125"/>
      <c r="N43" s="1"/>
      <c r="P43" s="674" t="e">
        <f t="shared" si="0"/>
        <v>#DIV/0!</v>
      </c>
      <c r="Q43" s="420"/>
      <c r="R43" s="420"/>
      <c r="S43" s="420"/>
      <c r="T43" s="420"/>
      <c r="U43" s="420"/>
      <c r="V43" s="420"/>
      <c r="W43" s="420"/>
      <c r="X43" s="420"/>
      <c r="Y43" s="420"/>
      <c r="Z43" s="420"/>
      <c r="AA43" s="420"/>
      <c r="AB43" s="420"/>
      <c r="AC43" s="420"/>
      <c r="AD43" s="420"/>
      <c r="AE43" s="420"/>
      <c r="AF43" s="420"/>
      <c r="AG43" s="420"/>
      <c r="AH43" s="420"/>
      <c r="AI43" s="420"/>
      <c r="AJ43" s="420"/>
      <c r="AK43" s="420"/>
      <c r="AL43" s="420"/>
      <c r="AM43" s="420"/>
      <c r="AN43" s="420"/>
      <c r="AO43" s="420"/>
      <c r="AP43" s="420"/>
      <c r="AQ43" s="420"/>
      <c r="AR43" s="420"/>
      <c r="AS43" s="420"/>
      <c r="AT43" s="420"/>
      <c r="AU43" s="420"/>
      <c r="AV43" s="420"/>
      <c r="AW43" s="420"/>
      <c r="AX43" s="420"/>
      <c r="AY43" s="420"/>
      <c r="AZ43" s="420"/>
      <c r="BA43" s="420"/>
      <c r="BB43" s="420"/>
      <c r="BC43" s="420"/>
      <c r="BD43" s="420"/>
      <c r="BE43" s="420"/>
      <c r="BF43" s="420"/>
      <c r="BG43" s="420"/>
      <c r="BH43" s="420"/>
      <c r="BI43" s="420"/>
      <c r="BJ43" s="420"/>
      <c r="BK43" s="420"/>
      <c r="BL43" s="420"/>
      <c r="BM43" s="420"/>
      <c r="BN43" s="420"/>
      <c r="BO43" s="420"/>
      <c r="BP43" s="420"/>
      <c r="BQ43" s="420"/>
      <c r="BR43" s="420"/>
      <c r="BS43" s="420"/>
      <c r="BT43" s="420"/>
      <c r="BU43" s="420"/>
      <c r="BV43" s="420"/>
      <c r="BW43" s="420"/>
      <c r="BX43" s="420"/>
      <c r="BY43" s="421"/>
      <c r="BZ43" s="421"/>
      <c r="CA43" s="421"/>
      <c r="CB43" s="421"/>
      <c r="CC43" s="420"/>
      <c r="CD43" s="420"/>
      <c r="CE43" s="420"/>
      <c r="CF43" s="420"/>
      <c r="CG43" s="420"/>
    </row>
    <row r="44" spans="1:85" s="534" customFormat="1" ht="15" customHeight="1" x14ac:dyDescent="0.2">
      <c r="A44" s="2105" t="s">
        <v>743</v>
      </c>
      <c r="B44" s="838"/>
      <c r="C44" s="838"/>
      <c r="D44" s="2106"/>
      <c r="E44" s="2106"/>
      <c r="F44" s="2107">
        <f>+J44+L44</f>
        <v>0</v>
      </c>
      <c r="G44" s="2126">
        <f>+T339*-1</f>
        <v>0</v>
      </c>
      <c r="H44" s="2127">
        <f>+U339*-1</f>
        <v>0</v>
      </c>
      <c r="I44" s="2127">
        <f>+V339*-1</f>
        <v>0</v>
      </c>
      <c r="J44" s="2773">
        <f>+R339*-1</f>
        <v>0</v>
      </c>
      <c r="K44" s="2773"/>
      <c r="L44" s="2728">
        <f>+S339*-1</f>
        <v>0</v>
      </c>
      <c r="M44" s="2729"/>
      <c r="N44" s="793"/>
      <c r="P44" s="674" t="e">
        <f t="shared" si="0"/>
        <v>#DIV/0!</v>
      </c>
      <c r="Q44" s="535"/>
      <c r="R44" s="535" t="s">
        <v>749</v>
      </c>
      <c r="S44" s="535"/>
      <c r="T44" s="535"/>
      <c r="U44" s="535"/>
      <c r="V44" s="535"/>
      <c r="W44" s="535"/>
      <c r="X44" s="535"/>
      <c r="Y44" s="535"/>
      <c r="Z44" s="535"/>
      <c r="AA44" s="535"/>
      <c r="AB44" s="535"/>
      <c r="AC44" s="535"/>
      <c r="AD44" s="535"/>
      <c r="AE44" s="535"/>
      <c r="AF44" s="535"/>
      <c r="AG44" s="535"/>
      <c r="AH44" s="535"/>
      <c r="AI44" s="535"/>
      <c r="AJ44" s="535"/>
      <c r="AK44" s="535"/>
      <c r="AL44" s="535"/>
      <c r="AM44" s="535"/>
      <c r="AN44" s="535"/>
      <c r="AO44" s="535"/>
      <c r="AP44" s="535"/>
      <c r="AQ44" s="535"/>
      <c r="AR44" s="535"/>
      <c r="AS44" s="535"/>
      <c r="AT44" s="535"/>
      <c r="AU44" s="535"/>
      <c r="AV44" s="535"/>
      <c r="AW44" s="535"/>
      <c r="AX44" s="535"/>
      <c r="AY44" s="535"/>
      <c r="AZ44" s="535"/>
      <c r="BA44" s="535"/>
      <c r="BB44" s="535"/>
      <c r="BC44" s="535"/>
      <c r="BD44" s="535"/>
      <c r="BE44" s="535"/>
      <c r="BF44" s="535"/>
      <c r="BG44" s="535"/>
      <c r="BH44" s="535"/>
      <c r="BI44" s="535"/>
      <c r="BJ44" s="535"/>
      <c r="BK44" s="535"/>
      <c r="BL44" s="535"/>
      <c r="BM44" s="535"/>
      <c r="BN44" s="535"/>
      <c r="BO44" s="535"/>
      <c r="BP44" s="535"/>
      <c r="BQ44" s="535"/>
      <c r="BR44" s="535"/>
      <c r="BS44" s="535"/>
      <c r="BT44" s="535"/>
      <c r="BU44" s="535"/>
      <c r="BV44" s="535"/>
      <c r="BW44" s="535"/>
      <c r="BX44" s="535"/>
      <c r="BY44" s="536"/>
      <c r="BZ44" s="536"/>
      <c r="CA44" s="536"/>
      <c r="CB44" s="536"/>
      <c r="CC44" s="535"/>
      <c r="CD44" s="535"/>
      <c r="CE44" s="535"/>
      <c r="CF44" s="535"/>
      <c r="CG44" s="535"/>
    </row>
    <row r="45" spans="1:85" s="534" customFormat="1" ht="15" customHeight="1" x14ac:dyDescent="0.2">
      <c r="A45" s="2105" t="s">
        <v>834</v>
      </c>
      <c r="B45" s="2128"/>
      <c r="C45" s="2128"/>
      <c r="D45" s="2128"/>
      <c r="E45" s="2129" t="str">
        <f>IF(P8&gt;170,"!!zu hoch!!"," ")</f>
        <v xml:space="preserve"> </v>
      </c>
      <c r="F45" s="2130">
        <f>+J45+L45</f>
        <v>0</v>
      </c>
      <c r="G45" s="2126">
        <f>+(AA339+J99)*-1</f>
        <v>0</v>
      </c>
      <c r="H45" s="2127">
        <f>+(AB339+K99)*-1</f>
        <v>0</v>
      </c>
      <c r="I45" s="2127">
        <f>+(AC339+M99)*-1</f>
        <v>0</v>
      </c>
      <c r="J45" s="2773">
        <f>Y339*-1</f>
        <v>0</v>
      </c>
      <c r="K45" s="2773"/>
      <c r="L45" s="2728">
        <f>+Z339*-1</f>
        <v>0</v>
      </c>
      <c r="M45" s="2729"/>
      <c r="N45" s="793"/>
      <c r="P45" s="674" t="e">
        <f t="shared" si="0"/>
        <v>#DIV/0!</v>
      </c>
      <c r="Q45" s="535"/>
      <c r="R45" s="534" t="s">
        <v>4</v>
      </c>
      <c r="S45" s="535" t="s">
        <v>5</v>
      </c>
      <c r="T45" s="535" t="s">
        <v>2</v>
      </c>
      <c r="U45" s="536"/>
      <c r="V45" s="535"/>
      <c r="W45" s="535"/>
      <c r="X45" s="535"/>
      <c r="Y45" s="535"/>
      <c r="Z45" s="535"/>
      <c r="AA45" s="535"/>
      <c r="AB45" s="535"/>
      <c r="AC45" s="535"/>
      <c r="AD45" s="535"/>
      <c r="AE45" s="535"/>
      <c r="AF45" s="535"/>
      <c r="AG45" s="535"/>
      <c r="AH45" s="535"/>
      <c r="AI45" s="535"/>
      <c r="AJ45" s="535"/>
      <c r="AK45" s="535"/>
      <c r="AL45" s="535"/>
      <c r="AM45" s="535"/>
      <c r="AN45" s="535"/>
      <c r="AO45" s="535"/>
      <c r="AP45" s="535"/>
      <c r="AQ45" s="535"/>
      <c r="AR45" s="535"/>
      <c r="AS45" s="535"/>
      <c r="AT45" s="535"/>
      <c r="AU45" s="535"/>
      <c r="AV45" s="535"/>
      <c r="AW45" s="535"/>
      <c r="AX45" s="535"/>
      <c r="AY45" s="535"/>
      <c r="AZ45" s="535"/>
      <c r="BA45" s="535"/>
      <c r="BB45" s="535"/>
      <c r="BC45" s="535"/>
      <c r="BD45" s="535"/>
      <c r="BE45" s="535"/>
      <c r="BF45" s="535"/>
      <c r="BG45" s="535"/>
      <c r="BH45" s="535"/>
      <c r="BI45" s="535"/>
      <c r="BJ45" s="535"/>
      <c r="BK45" s="535"/>
      <c r="BL45" s="535"/>
      <c r="BM45" s="535"/>
      <c r="BN45" s="535"/>
      <c r="BO45" s="535"/>
      <c r="BP45" s="535"/>
      <c r="BQ45" s="535"/>
      <c r="BR45" s="535"/>
      <c r="BS45" s="535"/>
      <c r="BT45" s="535"/>
      <c r="BU45" s="535"/>
      <c r="BV45" s="535"/>
      <c r="BW45" s="535"/>
      <c r="BX45" s="535"/>
      <c r="BY45" s="536"/>
      <c r="BZ45" s="536"/>
      <c r="CA45" s="536"/>
      <c r="CB45" s="536"/>
      <c r="CC45" s="535"/>
      <c r="CD45" s="535"/>
      <c r="CE45" s="535"/>
      <c r="CF45" s="535"/>
      <c r="CG45" s="535"/>
    </row>
    <row r="46" spans="1:85" s="534" customFormat="1" ht="15" customHeight="1" x14ac:dyDescent="0.2">
      <c r="A46" s="2718" t="s">
        <v>506</v>
      </c>
      <c r="B46" s="2719"/>
      <c r="C46" s="2719"/>
      <c r="D46" s="2719"/>
      <c r="E46" s="836" t="s">
        <v>513</v>
      </c>
      <c r="F46" s="2115">
        <f>+F45+F44+F42+F41</f>
        <v>0</v>
      </c>
      <c r="G46" s="2116">
        <f>+G45+G44+G42+G41</f>
        <v>0</v>
      </c>
      <c r="H46" s="2117">
        <f>+H45+H44+H42+H41</f>
        <v>0</v>
      </c>
      <c r="I46" s="2117">
        <f>+I45+I44+I42+I41</f>
        <v>0</v>
      </c>
      <c r="J46" s="2774">
        <f>+J45+J44+J42+J41</f>
        <v>0</v>
      </c>
      <c r="K46" s="2774"/>
      <c r="L46" s="2751">
        <f>+L45+L44+L42+L41</f>
        <v>0</v>
      </c>
      <c r="M46" s="2752"/>
      <c r="N46" s="793"/>
      <c r="P46" s="674" t="e">
        <f>+J46/F46*100</f>
        <v>#DIV/0!</v>
      </c>
      <c r="Q46" s="535"/>
      <c r="R46" s="535">
        <f>+(G42+G34+G40-AS156*0.95-J98-J94)*T46</f>
        <v>0</v>
      </c>
      <c r="S46" s="535">
        <f>+(H42+H34-AT156-K98-K94)*T46</f>
        <v>0</v>
      </c>
      <c r="T46" s="535">
        <v>0.2</v>
      </c>
      <c r="U46" s="535"/>
      <c r="V46" s="535"/>
      <c r="W46" s="535"/>
      <c r="X46" s="535"/>
      <c r="Y46" s="535"/>
      <c r="Z46" s="535"/>
      <c r="AA46" s="535"/>
      <c r="AB46" s="535"/>
      <c r="AC46" s="535"/>
      <c r="AD46" s="535"/>
      <c r="AE46" s="535"/>
      <c r="AF46" s="535"/>
      <c r="AG46" s="535"/>
      <c r="AH46" s="535"/>
      <c r="AI46" s="535"/>
      <c r="AJ46" s="535"/>
      <c r="AK46" s="535"/>
      <c r="AL46" s="535"/>
      <c r="AM46" s="535"/>
      <c r="AN46" s="535"/>
      <c r="AO46" s="535"/>
      <c r="AP46" s="535"/>
      <c r="AQ46" s="535"/>
      <c r="AR46" s="535"/>
      <c r="AS46" s="535"/>
      <c r="AT46" s="535"/>
      <c r="AU46" s="535"/>
      <c r="AV46" s="535"/>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6"/>
      <c r="BZ46" s="536"/>
      <c r="CA46" s="536"/>
      <c r="CB46" s="536"/>
      <c r="CC46" s="535"/>
      <c r="CD46" s="535"/>
      <c r="CE46" s="535"/>
      <c r="CF46" s="535"/>
      <c r="CG46" s="535"/>
    </row>
    <row r="47" spans="1:85" s="326" customFormat="1" ht="10.5" customHeight="1" thickBot="1" x14ac:dyDescent="0.25">
      <c r="A47" s="2742"/>
      <c r="B47" s="2743"/>
      <c r="C47" s="2743"/>
      <c r="D47" s="2743"/>
      <c r="E47" s="841" t="s">
        <v>835</v>
      </c>
      <c r="F47" s="834">
        <f>IF(F41+F42=0,0,+F46/(F41+F42)*100)</f>
        <v>0</v>
      </c>
      <c r="G47" s="842">
        <f>IF(G41+G42=0,0,G46/(G41+G42)*100)</f>
        <v>0</v>
      </c>
      <c r="H47" s="843">
        <f>IF(H41+H42=0,0,H46/(H41+H42)*100)</f>
        <v>0</v>
      </c>
      <c r="I47" s="2131">
        <f>IF(I41+I42=0,0,I46/(I41+I42)*100)</f>
        <v>0</v>
      </c>
      <c r="J47" s="2764">
        <f>IF(J41+J42=0,0,J46/(J41+J42)*100)</f>
        <v>0</v>
      </c>
      <c r="K47" s="2764"/>
      <c r="L47" s="2765">
        <f>IF(L41+L42=0,0,L46/(L41+L42)*100)</f>
        <v>0</v>
      </c>
      <c r="M47" s="2766"/>
      <c r="N47" s="1"/>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c r="AM47" s="420"/>
      <c r="AN47" s="420"/>
      <c r="AO47" s="420"/>
      <c r="AP47" s="420"/>
      <c r="AQ47" s="420"/>
      <c r="AR47" s="420"/>
      <c r="AS47" s="420"/>
      <c r="AT47" s="420"/>
      <c r="AU47" s="420"/>
      <c r="AV47" s="420"/>
      <c r="AW47" s="420"/>
      <c r="AX47" s="420"/>
      <c r="AY47" s="420"/>
      <c r="AZ47" s="420"/>
      <c r="BA47" s="420"/>
      <c r="BB47" s="420"/>
      <c r="BC47" s="420"/>
      <c r="BD47" s="420"/>
      <c r="BE47" s="420"/>
      <c r="BF47" s="420"/>
      <c r="BG47" s="420"/>
      <c r="BH47" s="420"/>
      <c r="BI47" s="420"/>
      <c r="BJ47" s="420"/>
      <c r="BK47" s="420"/>
      <c r="BL47" s="420"/>
      <c r="BM47" s="420"/>
      <c r="BN47" s="420"/>
      <c r="BO47" s="420"/>
      <c r="BP47" s="420"/>
      <c r="BQ47" s="420"/>
      <c r="BR47" s="420"/>
      <c r="BS47" s="420"/>
      <c r="BT47" s="420"/>
      <c r="BU47" s="420"/>
      <c r="BV47" s="420"/>
      <c r="BW47" s="420"/>
      <c r="BX47" s="420"/>
      <c r="BY47" s="421"/>
      <c r="BZ47" s="421"/>
      <c r="CA47" s="421"/>
      <c r="CB47" s="421"/>
      <c r="CC47" s="420"/>
      <c r="CD47" s="420"/>
      <c r="CE47" s="420"/>
      <c r="CF47" s="420"/>
      <c r="CG47" s="420"/>
    </row>
    <row r="48" spans="1:85" s="534" customFormat="1" ht="4.5" customHeight="1" x14ac:dyDescent="0.2">
      <c r="A48" s="2132"/>
      <c r="B48" s="336"/>
      <c r="C48" s="336"/>
      <c r="D48" s="539"/>
      <c r="E48" s="540"/>
      <c r="F48" s="540"/>
      <c r="G48" s="540"/>
      <c r="H48" s="540"/>
      <c r="I48" s="2133"/>
      <c r="J48" s="2133"/>
      <c r="K48" s="2133"/>
      <c r="L48" s="2133"/>
      <c r="M48" s="2133"/>
      <c r="N48" s="793"/>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5"/>
      <c r="AO48" s="535"/>
      <c r="AP48" s="535"/>
      <c r="AQ48" s="535"/>
      <c r="AR48" s="535"/>
      <c r="AS48" s="535"/>
      <c r="AT48" s="535"/>
      <c r="AU48" s="535"/>
      <c r="AV48" s="535"/>
      <c r="AW48" s="535"/>
      <c r="AX48" s="535"/>
      <c r="AY48" s="535"/>
      <c r="AZ48" s="535"/>
      <c r="BA48" s="535"/>
      <c r="BB48" s="535"/>
      <c r="BC48" s="535"/>
      <c r="BD48" s="535"/>
      <c r="BE48" s="535"/>
      <c r="BF48" s="535"/>
      <c r="BG48" s="535"/>
      <c r="BH48" s="535"/>
      <c r="BI48" s="535"/>
      <c r="BJ48" s="535"/>
      <c r="BK48" s="535"/>
      <c r="BL48" s="535"/>
      <c r="BM48" s="535"/>
      <c r="BN48" s="535"/>
      <c r="BO48" s="535"/>
      <c r="BP48" s="535"/>
      <c r="BQ48" s="535"/>
      <c r="BR48" s="535"/>
      <c r="BS48" s="535"/>
      <c r="BT48" s="535"/>
      <c r="BU48" s="535"/>
      <c r="BV48" s="535"/>
      <c r="BW48" s="535"/>
      <c r="BX48" s="535"/>
      <c r="BY48" s="536"/>
      <c r="BZ48" s="536"/>
      <c r="CA48" s="536"/>
      <c r="CB48" s="536"/>
      <c r="CC48" s="535"/>
      <c r="CD48" s="535"/>
      <c r="CE48" s="535"/>
      <c r="CF48" s="535"/>
      <c r="CG48" s="535"/>
    </row>
    <row r="49" spans="1:147" s="534" customFormat="1" ht="9" customHeight="1" thickBot="1" x14ac:dyDescent="0.25">
      <c r="A49" s="2132"/>
      <c r="B49" s="336"/>
      <c r="C49" s="336"/>
      <c r="D49" s="539"/>
      <c r="E49" s="540"/>
      <c r="F49" s="540"/>
      <c r="G49" s="540"/>
      <c r="H49" s="540"/>
      <c r="I49" s="2133"/>
      <c r="J49" s="2133"/>
      <c r="K49" s="2133"/>
      <c r="L49" s="2133"/>
      <c r="M49" s="2133"/>
      <c r="N49" s="793"/>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5"/>
      <c r="AO49" s="535"/>
      <c r="AP49" s="535"/>
      <c r="AQ49" s="535"/>
      <c r="AR49" s="535"/>
      <c r="AS49" s="535"/>
      <c r="AT49" s="535"/>
      <c r="AU49" s="535"/>
      <c r="AV49" s="535"/>
      <c r="AW49" s="535"/>
      <c r="AX49" s="535"/>
      <c r="AY49" s="535"/>
      <c r="AZ49" s="535"/>
      <c r="BA49" s="535"/>
      <c r="BB49" s="535"/>
      <c r="BC49" s="535"/>
      <c r="BD49" s="535"/>
      <c r="BE49" s="535"/>
      <c r="BF49" s="535"/>
      <c r="BG49" s="535"/>
      <c r="BH49" s="535"/>
      <c r="BI49" s="535"/>
      <c r="BJ49" s="535"/>
      <c r="BK49" s="535"/>
      <c r="BL49" s="535"/>
      <c r="BM49" s="535"/>
      <c r="BN49" s="535"/>
      <c r="BO49" s="535"/>
      <c r="BP49" s="535"/>
      <c r="BQ49" s="535"/>
      <c r="BR49" s="535"/>
      <c r="BS49" s="535"/>
      <c r="BT49" s="535"/>
      <c r="BU49" s="535"/>
      <c r="BV49" s="535"/>
      <c r="BW49" s="535"/>
      <c r="BX49" s="535"/>
      <c r="BY49" s="536"/>
      <c r="BZ49" s="536"/>
      <c r="CA49" s="536"/>
      <c r="CB49" s="536"/>
      <c r="CC49" s="535"/>
      <c r="CD49" s="535"/>
      <c r="CE49" s="535"/>
      <c r="CF49" s="535"/>
      <c r="CG49" s="535"/>
    </row>
    <row r="50" spans="1:147" s="534" customFormat="1" ht="18" customHeight="1" thickBot="1" x14ac:dyDescent="0.25">
      <c r="A50" s="2730" t="s">
        <v>905</v>
      </c>
      <c r="B50" s="2731"/>
      <c r="C50" s="2731"/>
      <c r="D50" s="2731"/>
      <c r="E50" s="2731"/>
      <c r="F50" s="2731"/>
      <c r="G50" s="2731"/>
      <c r="H50" s="2731"/>
      <c r="I50" s="2732"/>
      <c r="J50" s="2744" t="s">
        <v>279</v>
      </c>
      <c r="K50" s="2745"/>
      <c r="L50" s="2746" t="s">
        <v>280</v>
      </c>
      <c r="M50" s="2747"/>
      <c r="N50" s="793"/>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5"/>
      <c r="AO50" s="535"/>
      <c r="AP50" s="535"/>
      <c r="AQ50" s="535"/>
      <c r="AR50" s="535"/>
      <c r="AS50" s="535"/>
      <c r="AT50" s="535"/>
      <c r="AU50" s="535"/>
      <c r="AV50" s="535"/>
      <c r="AW50" s="535"/>
      <c r="AX50" s="535"/>
      <c r="AY50" s="535"/>
      <c r="AZ50" s="535"/>
      <c r="BA50" s="535"/>
      <c r="BB50" s="535"/>
      <c r="BC50" s="535"/>
      <c r="BD50" s="535"/>
      <c r="BE50" s="535"/>
      <c r="BF50" s="535"/>
      <c r="BG50" s="535"/>
      <c r="BH50" s="535"/>
      <c r="BI50" s="535"/>
      <c r="BJ50" s="535"/>
      <c r="BK50" s="535"/>
      <c r="BL50" s="535"/>
      <c r="BM50" s="535"/>
      <c r="BN50" s="535"/>
      <c r="BO50" s="535"/>
      <c r="BP50" s="535"/>
      <c r="BQ50" s="535"/>
      <c r="BR50" s="535"/>
      <c r="BS50" s="535"/>
      <c r="BT50" s="535"/>
      <c r="BU50" s="535"/>
      <c r="BV50" s="535"/>
      <c r="BW50" s="535"/>
      <c r="BX50" s="535"/>
      <c r="BY50" s="536"/>
      <c r="BZ50" s="536"/>
      <c r="CA50" s="536"/>
      <c r="CB50" s="536"/>
      <c r="CC50" s="535"/>
      <c r="CD50" s="535"/>
      <c r="CE50" s="535"/>
      <c r="CF50" s="535"/>
      <c r="CG50" s="535"/>
    </row>
    <row r="51" spans="1:147" s="534" customFormat="1" ht="15" customHeight="1" x14ac:dyDescent="0.2">
      <c r="A51" s="2134" t="s">
        <v>476</v>
      </c>
      <c r="B51" s="716"/>
      <c r="C51" s="716"/>
      <c r="D51" s="716"/>
      <c r="E51" s="716"/>
      <c r="F51" s="716"/>
      <c r="G51" s="716"/>
      <c r="H51" s="716"/>
      <c r="I51" s="1976"/>
      <c r="J51" s="2495" t="str">
        <f>+J289</f>
        <v>0 Mo.</v>
      </c>
      <c r="K51" s="2496"/>
      <c r="L51" s="2785" t="str">
        <f>+L289</f>
        <v>0 Mo.</v>
      </c>
      <c r="M51" s="2786"/>
      <c r="N51" s="793"/>
      <c r="P51" s="535"/>
      <c r="Q51" s="535"/>
      <c r="R51" s="535"/>
      <c r="S51" s="535"/>
      <c r="T51" s="535"/>
      <c r="U51" s="535"/>
      <c r="V51" s="535"/>
      <c r="W51" s="535"/>
      <c r="X51" s="535"/>
      <c r="Y51" s="535"/>
      <c r="Z51" s="535"/>
      <c r="AA51" s="535"/>
      <c r="AB51" s="535"/>
      <c r="AC51" s="535"/>
      <c r="AD51" s="535"/>
      <c r="AE51" s="535"/>
      <c r="AF51" s="535"/>
      <c r="AG51" s="535"/>
      <c r="AH51" s="535"/>
      <c r="AI51" s="535"/>
      <c r="AJ51" s="535"/>
      <c r="AK51" s="535"/>
      <c r="AL51" s="535"/>
      <c r="AM51" s="535"/>
      <c r="AN51" s="535"/>
      <c r="AO51" s="535"/>
      <c r="AP51" s="535"/>
      <c r="AQ51" s="535"/>
      <c r="AR51" s="535"/>
      <c r="AS51" s="535"/>
      <c r="AT51" s="535"/>
      <c r="AU51" s="535"/>
      <c r="AV51" s="535"/>
      <c r="AW51" s="535"/>
      <c r="AX51" s="535"/>
      <c r="AY51" s="535"/>
      <c r="AZ51" s="535"/>
      <c r="BA51" s="535"/>
      <c r="BB51" s="535"/>
      <c r="BC51" s="535"/>
      <c r="BD51" s="535"/>
      <c r="BE51" s="535"/>
      <c r="BF51" s="535"/>
      <c r="BG51" s="535"/>
      <c r="BH51" s="535"/>
      <c r="BI51" s="535"/>
      <c r="BJ51" s="535"/>
      <c r="BK51" s="535"/>
      <c r="BL51" s="535"/>
      <c r="BM51" s="535"/>
      <c r="BN51" s="535"/>
      <c r="BO51" s="535"/>
      <c r="BP51" s="535"/>
      <c r="BQ51" s="535"/>
      <c r="BR51" s="535"/>
      <c r="BS51" s="535"/>
      <c r="BT51" s="535"/>
      <c r="BU51" s="535"/>
      <c r="BV51" s="535"/>
      <c r="BW51" s="535"/>
      <c r="BX51" s="535"/>
      <c r="BY51" s="536"/>
      <c r="BZ51" s="536"/>
      <c r="CA51" s="536"/>
      <c r="CB51" s="536"/>
      <c r="CC51" s="535"/>
      <c r="CD51" s="535"/>
      <c r="CE51" s="535"/>
      <c r="CF51" s="535"/>
      <c r="CG51" s="535"/>
    </row>
    <row r="52" spans="1:147" s="534" customFormat="1" ht="15.75" customHeight="1" x14ac:dyDescent="0.2">
      <c r="A52" s="2135" t="s">
        <v>303</v>
      </c>
      <c r="B52" s="716"/>
      <c r="C52" s="716"/>
      <c r="D52" s="716"/>
      <c r="E52" s="716"/>
      <c r="F52" s="716"/>
      <c r="G52" s="716"/>
      <c r="H52" s="716"/>
      <c r="I52" s="1976"/>
      <c r="J52" s="2605">
        <f>+J290</f>
        <v>0</v>
      </c>
      <c r="K52" s="2737"/>
      <c r="L52" s="2787">
        <f>+L290</f>
        <v>0</v>
      </c>
      <c r="M52" s="2737"/>
      <c r="N52" s="793"/>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5"/>
      <c r="AN52" s="535"/>
      <c r="AO52" s="535"/>
      <c r="AP52" s="535"/>
      <c r="AQ52" s="535"/>
      <c r="AR52" s="535"/>
      <c r="AS52" s="535"/>
      <c r="AT52" s="535"/>
      <c r="AU52" s="535"/>
      <c r="AV52" s="535"/>
      <c r="AW52" s="535"/>
      <c r="AX52" s="535"/>
      <c r="AY52" s="535"/>
      <c r="AZ52" s="535"/>
      <c r="BA52" s="535"/>
      <c r="BB52" s="535"/>
      <c r="BC52" s="535"/>
      <c r="BD52" s="535"/>
      <c r="BE52" s="535"/>
      <c r="BF52" s="535"/>
      <c r="BG52" s="535"/>
      <c r="BH52" s="535"/>
      <c r="BI52" s="535"/>
      <c r="BJ52" s="535"/>
      <c r="BK52" s="535"/>
      <c r="BL52" s="535"/>
      <c r="BM52" s="535"/>
      <c r="BN52" s="535"/>
      <c r="BO52" s="535"/>
      <c r="BP52" s="535"/>
      <c r="BQ52" s="535"/>
      <c r="BR52" s="535"/>
      <c r="BS52" s="535"/>
      <c r="BT52" s="535"/>
      <c r="BU52" s="535"/>
      <c r="BV52" s="535"/>
      <c r="BW52" s="535"/>
      <c r="BX52" s="535"/>
      <c r="BY52" s="536"/>
      <c r="BZ52" s="536"/>
      <c r="CA52" s="536"/>
      <c r="CB52" s="536"/>
      <c r="CC52" s="535"/>
      <c r="CD52" s="535"/>
      <c r="CE52" s="535"/>
      <c r="CF52" s="535"/>
      <c r="CG52" s="535"/>
    </row>
    <row r="53" spans="1:147" s="534" customFormat="1" ht="15" customHeight="1" thickBot="1" x14ac:dyDescent="0.25">
      <c r="A53" s="2725" t="s">
        <v>1022</v>
      </c>
      <c r="B53" s="2726"/>
      <c r="C53" s="2726"/>
      <c r="D53" s="2726"/>
      <c r="E53" s="2726"/>
      <c r="F53" s="2726"/>
      <c r="G53" s="2726"/>
      <c r="H53" s="2726"/>
      <c r="I53" s="2726"/>
      <c r="J53" s="2733">
        <f>+J293</f>
        <v>0</v>
      </c>
      <c r="K53" s="2734"/>
      <c r="L53" s="2787">
        <f>+L293</f>
        <v>0</v>
      </c>
      <c r="M53" s="2737"/>
      <c r="N53" s="793"/>
      <c r="P53" s="535"/>
      <c r="Q53" s="535"/>
      <c r="R53" s="535"/>
      <c r="S53" s="535"/>
      <c r="T53" s="535"/>
      <c r="U53" s="535" t="s">
        <v>214</v>
      </c>
      <c r="V53" s="535"/>
      <c r="W53" s="535"/>
      <c r="X53" s="535"/>
      <c r="Y53" s="535"/>
      <c r="Z53" s="535"/>
      <c r="AA53" s="535"/>
      <c r="AB53" s="535"/>
      <c r="AC53" s="535"/>
      <c r="AD53" s="535"/>
      <c r="AE53" s="535"/>
      <c r="AF53" s="535"/>
      <c r="AG53" s="535"/>
      <c r="AH53" s="535"/>
      <c r="AI53" s="535"/>
      <c r="AJ53" s="535"/>
      <c r="AK53" s="535"/>
      <c r="AL53" s="535"/>
      <c r="AM53" s="535"/>
      <c r="AN53" s="535"/>
      <c r="AO53" s="535"/>
      <c r="AP53" s="535"/>
      <c r="AQ53" s="535"/>
      <c r="AR53" s="535"/>
      <c r="AS53" s="535"/>
      <c r="AT53" s="535"/>
      <c r="AU53" s="535"/>
      <c r="AV53" s="535"/>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6"/>
      <c r="BZ53" s="536"/>
      <c r="CA53" s="536"/>
      <c r="CB53" s="536"/>
      <c r="CC53" s="535"/>
      <c r="CD53" s="535"/>
      <c r="CE53" s="535"/>
      <c r="CF53" s="535"/>
      <c r="CG53" s="535"/>
    </row>
    <row r="54" spans="1:147" s="534" customFormat="1" ht="15" customHeight="1" thickBot="1" x14ac:dyDescent="0.25">
      <c r="A54" s="2861" t="s">
        <v>503</v>
      </c>
      <c r="B54" s="2862"/>
      <c r="C54" s="2862"/>
      <c r="D54" s="2862"/>
      <c r="E54" s="2862"/>
      <c r="F54" s="2862"/>
      <c r="G54" s="2862"/>
      <c r="H54" s="2862"/>
      <c r="I54" s="2863"/>
      <c r="J54" s="2738" t="str">
        <f>+J294</f>
        <v xml:space="preserve"> </v>
      </c>
      <c r="K54" s="2739"/>
      <c r="L54" s="2738" t="str">
        <f>+L294</f>
        <v xml:space="preserve"> </v>
      </c>
      <c r="M54" s="2739"/>
      <c r="N54" s="793"/>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5"/>
      <c r="AO54" s="535"/>
      <c r="AP54" s="535"/>
      <c r="AQ54" s="535"/>
      <c r="AR54" s="535"/>
      <c r="AS54" s="535"/>
      <c r="AT54" s="535"/>
      <c r="AU54" s="535"/>
      <c r="AV54" s="535"/>
      <c r="AW54" s="535"/>
      <c r="AX54" s="535"/>
      <c r="AY54" s="535"/>
      <c r="AZ54" s="535"/>
      <c r="BA54" s="535"/>
      <c r="BB54" s="535"/>
      <c r="BC54" s="535"/>
      <c r="BD54" s="535"/>
      <c r="BE54" s="535"/>
      <c r="BF54" s="535"/>
      <c r="BG54" s="535"/>
      <c r="BH54" s="535"/>
      <c r="BI54" s="535"/>
      <c r="BJ54" s="535"/>
      <c r="BK54" s="535"/>
      <c r="BL54" s="535"/>
      <c r="BM54" s="535"/>
      <c r="BN54" s="535"/>
      <c r="BO54" s="535"/>
      <c r="BP54" s="535"/>
      <c r="BQ54" s="535"/>
      <c r="BR54" s="535"/>
      <c r="BS54" s="535"/>
      <c r="BT54" s="535"/>
      <c r="BU54" s="535"/>
      <c r="BV54" s="535"/>
      <c r="BW54" s="535"/>
      <c r="BX54" s="535"/>
      <c r="BY54" s="536"/>
      <c r="BZ54" s="536"/>
      <c r="CA54" s="536"/>
      <c r="CB54" s="536"/>
      <c r="CC54" s="535"/>
      <c r="CD54" s="535"/>
      <c r="CE54" s="535"/>
      <c r="CF54" s="535"/>
      <c r="CG54" s="535"/>
    </row>
    <row r="55" spans="1:147" s="534" customFormat="1" ht="8.25" customHeight="1" thickBot="1" x14ac:dyDescent="0.25">
      <c r="A55" s="2132"/>
      <c r="B55" s="336"/>
      <c r="C55" s="336"/>
      <c r="D55" s="539"/>
      <c r="E55" s="540"/>
      <c r="F55" s="540"/>
      <c r="G55" s="540"/>
      <c r="H55" s="540"/>
      <c r="I55" s="2133"/>
      <c r="J55" s="2133"/>
      <c r="K55" s="2133"/>
      <c r="L55" s="2133"/>
      <c r="M55" s="2133"/>
      <c r="N55" s="793"/>
      <c r="P55" s="535"/>
      <c r="Q55" s="535"/>
      <c r="R55" s="535"/>
      <c r="S55" s="535"/>
      <c r="T55" s="535"/>
      <c r="U55" s="535"/>
      <c r="V55" s="535"/>
      <c r="W55" s="535"/>
      <c r="X55" s="535"/>
      <c r="Y55" s="535"/>
      <c r="Z55" s="535"/>
      <c r="AA55" s="535"/>
      <c r="AB55" s="535"/>
      <c r="AC55" s="535"/>
      <c r="AD55" s="535"/>
      <c r="AE55" s="535"/>
      <c r="AF55" s="535"/>
      <c r="AG55" s="535"/>
      <c r="AH55" s="535"/>
      <c r="AI55" s="535"/>
      <c r="AJ55" s="535"/>
      <c r="AK55" s="535"/>
      <c r="AL55" s="535"/>
      <c r="AM55" s="535"/>
      <c r="AN55" s="535"/>
      <c r="AO55" s="535"/>
      <c r="AP55" s="535"/>
      <c r="AQ55" s="535"/>
      <c r="AR55" s="535"/>
      <c r="AS55" s="535"/>
      <c r="AT55" s="535"/>
      <c r="AU55" s="535"/>
      <c r="AV55" s="535"/>
      <c r="AW55" s="535"/>
      <c r="AX55" s="535"/>
      <c r="AY55" s="535"/>
      <c r="AZ55" s="535"/>
      <c r="BA55" s="535"/>
      <c r="BB55" s="535"/>
      <c r="BC55" s="535"/>
      <c r="BD55" s="535"/>
      <c r="BE55" s="535"/>
      <c r="BF55" s="535"/>
      <c r="BG55" s="535"/>
      <c r="BH55" s="535"/>
      <c r="BI55" s="535"/>
      <c r="BJ55" s="535"/>
      <c r="BK55" s="535"/>
      <c r="BL55" s="535"/>
      <c r="BM55" s="535"/>
      <c r="BN55" s="535"/>
      <c r="BO55" s="535"/>
      <c r="BP55" s="535"/>
      <c r="BQ55" s="535"/>
      <c r="BR55" s="535"/>
      <c r="BS55" s="535"/>
      <c r="BT55" s="535"/>
      <c r="BU55" s="535"/>
      <c r="BV55" s="535"/>
      <c r="BW55" s="535"/>
      <c r="BX55" s="535"/>
      <c r="BY55" s="536"/>
      <c r="BZ55" s="536"/>
      <c r="CA55" s="536"/>
      <c r="CB55" s="536"/>
      <c r="CC55" s="535"/>
      <c r="CD55" s="535"/>
      <c r="CE55" s="535"/>
      <c r="CF55" s="535"/>
      <c r="CG55" s="535"/>
    </row>
    <row r="56" spans="1:147" s="534" customFormat="1" ht="15.75" customHeight="1" thickBot="1" x14ac:dyDescent="0.25">
      <c r="A56" s="2730" t="s">
        <v>854</v>
      </c>
      <c r="B56" s="2731"/>
      <c r="C56" s="2731"/>
      <c r="D56" s="2731"/>
      <c r="E56" s="2731"/>
      <c r="F56" s="2731"/>
      <c r="G56" s="2731"/>
      <c r="H56" s="2731"/>
      <c r="I56" s="2732"/>
      <c r="J56" s="2740" t="s">
        <v>4</v>
      </c>
      <c r="K56" s="2741"/>
      <c r="L56" s="2776" t="s">
        <v>849</v>
      </c>
      <c r="M56" s="2741"/>
      <c r="N56" s="793"/>
      <c r="P56" s="535"/>
      <c r="Q56" s="535"/>
      <c r="R56" s="535"/>
      <c r="S56" s="535"/>
      <c r="T56" s="535"/>
      <c r="U56" s="535"/>
      <c r="V56" s="535"/>
      <c r="W56" s="535"/>
      <c r="X56" s="535"/>
      <c r="Y56" s="535"/>
      <c r="Z56" s="535"/>
      <c r="AA56" s="535"/>
      <c r="AB56" s="535"/>
      <c r="AC56" s="535"/>
      <c r="AD56" s="535"/>
      <c r="AE56" s="535"/>
      <c r="AF56" s="535"/>
      <c r="AG56" s="535"/>
      <c r="AH56" s="535"/>
      <c r="AI56" s="535"/>
      <c r="AJ56" s="535"/>
      <c r="AK56" s="535"/>
      <c r="AL56" s="535"/>
      <c r="AM56" s="535"/>
      <c r="AN56" s="535"/>
      <c r="AO56" s="535"/>
      <c r="AP56" s="535"/>
      <c r="AQ56" s="535"/>
      <c r="AR56" s="535"/>
      <c r="AS56" s="535"/>
      <c r="AT56" s="535"/>
      <c r="AU56" s="535"/>
      <c r="AV56" s="535"/>
      <c r="AW56" s="535"/>
      <c r="AX56" s="535"/>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6"/>
      <c r="BZ56" s="536"/>
      <c r="CA56" s="536"/>
      <c r="CB56" s="536"/>
      <c r="CC56" s="535"/>
      <c r="CD56" s="535"/>
      <c r="CE56" s="535"/>
      <c r="CF56" s="535"/>
      <c r="CG56" s="535"/>
    </row>
    <row r="57" spans="1:147" s="534" customFormat="1" ht="15.75" customHeight="1" thickBot="1" x14ac:dyDescent="0.25">
      <c r="A57" s="2136" t="s">
        <v>507</v>
      </c>
      <c r="B57" s="2137"/>
      <c r="C57" s="2137"/>
      <c r="D57" s="2137"/>
      <c r="E57" s="2137"/>
      <c r="F57" s="2137"/>
      <c r="G57" s="2137"/>
      <c r="H57" s="2137"/>
      <c r="I57" s="2138"/>
      <c r="J57" s="2592">
        <f>+G46*1000</f>
        <v>0</v>
      </c>
      <c r="K57" s="2593"/>
      <c r="L57" s="2582">
        <f>+H46*1000</f>
        <v>0</v>
      </c>
      <c r="M57" s="2593"/>
      <c r="N57" s="793"/>
      <c r="P57" s="535"/>
      <c r="Q57" s="535"/>
      <c r="R57" s="535"/>
      <c r="S57" s="535"/>
      <c r="T57" s="535"/>
      <c r="U57" s="535"/>
      <c r="V57" s="535"/>
      <c r="W57" s="535"/>
      <c r="X57" s="535"/>
      <c r="Y57" s="535"/>
      <c r="Z57" s="535"/>
      <c r="AA57" s="535"/>
      <c r="AB57" s="535"/>
      <c r="AC57" s="535"/>
      <c r="AD57" s="535"/>
      <c r="AE57" s="535"/>
      <c r="AF57" s="535"/>
      <c r="AG57" s="535"/>
      <c r="AH57" s="535"/>
      <c r="AI57" s="535"/>
      <c r="AJ57" s="535"/>
      <c r="AK57" s="535"/>
      <c r="AL57" s="535"/>
      <c r="AM57" s="535"/>
      <c r="AN57" s="535"/>
      <c r="AO57" s="535"/>
      <c r="AP57" s="535"/>
      <c r="AQ57" s="535"/>
      <c r="AR57" s="535"/>
      <c r="AS57" s="535"/>
      <c r="AT57" s="535"/>
      <c r="AU57" s="535"/>
      <c r="AV57" s="535"/>
      <c r="AW57" s="535"/>
      <c r="AX57" s="535"/>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6"/>
      <c r="BZ57" s="536"/>
      <c r="CA57" s="536"/>
      <c r="CB57" s="536"/>
      <c r="CC57" s="535"/>
      <c r="CD57" s="535"/>
      <c r="CE57" s="535"/>
      <c r="CF57" s="535"/>
      <c r="CG57" s="535"/>
    </row>
    <row r="58" spans="1:147" s="534" customFormat="1" ht="15.75" customHeight="1" thickBot="1" x14ac:dyDescent="0.25">
      <c r="A58" s="2139" t="s">
        <v>8448</v>
      </c>
      <c r="B58" s="2140"/>
      <c r="C58" s="2140"/>
      <c r="D58" s="2140"/>
      <c r="E58" s="1975"/>
      <c r="F58" s="1975"/>
      <c r="G58" s="1975"/>
      <c r="H58" s="1975"/>
      <c r="I58" s="1975"/>
      <c r="J58" s="2775" t="str">
        <f>IF(P8&gt;170,"Fehler",IF(G46&lt;=R46,"ja","nein"))</f>
        <v>ja</v>
      </c>
      <c r="K58" s="2736"/>
      <c r="L58" s="2735" t="str">
        <f>IF(H46&lt;=S46,"ja","nein")</f>
        <v>ja</v>
      </c>
      <c r="M58" s="2736"/>
      <c r="N58" s="793"/>
      <c r="P58" s="535"/>
      <c r="Q58" s="535"/>
      <c r="R58" s="535"/>
      <c r="S58" s="535"/>
      <c r="T58" s="535"/>
      <c r="U58" s="535"/>
      <c r="V58" s="535"/>
      <c r="W58" s="535"/>
      <c r="X58" s="535"/>
      <c r="Y58" s="535"/>
      <c r="Z58" s="535"/>
      <c r="AA58" s="535"/>
      <c r="AB58" s="535"/>
      <c r="AC58" s="535"/>
      <c r="AD58" s="535"/>
      <c r="AE58" s="535"/>
      <c r="AF58" s="535"/>
      <c r="AG58" s="535"/>
      <c r="AH58" s="535"/>
      <c r="AI58" s="535"/>
      <c r="AJ58" s="535"/>
      <c r="AK58" s="535"/>
      <c r="AL58" s="535"/>
      <c r="AM58" s="535"/>
      <c r="AN58" s="535"/>
      <c r="AO58" s="535"/>
      <c r="AP58" s="535"/>
      <c r="AQ58" s="535"/>
      <c r="AR58" s="535"/>
      <c r="AS58" s="535"/>
      <c r="AT58" s="535"/>
      <c r="AU58" s="535"/>
      <c r="AV58" s="535"/>
      <c r="AW58" s="535"/>
      <c r="AX58" s="535"/>
      <c r="AY58" s="535"/>
      <c r="AZ58" s="535"/>
      <c r="BA58" s="535"/>
      <c r="BB58" s="535"/>
      <c r="BC58" s="535"/>
      <c r="BD58" s="535"/>
      <c r="BE58" s="535"/>
      <c r="BF58" s="535"/>
      <c r="BG58" s="535"/>
      <c r="BH58" s="535"/>
      <c r="BI58" s="535"/>
      <c r="BJ58" s="535"/>
      <c r="BK58" s="535"/>
      <c r="BL58" s="535"/>
      <c r="BM58" s="535"/>
      <c r="BN58" s="535"/>
      <c r="BO58" s="535"/>
      <c r="BP58" s="535"/>
      <c r="BQ58" s="535"/>
      <c r="BR58" s="535"/>
      <c r="BS58" s="535"/>
      <c r="BT58" s="535"/>
      <c r="BU58" s="535"/>
      <c r="BV58" s="535"/>
      <c r="BW58" s="535"/>
      <c r="BX58" s="535"/>
      <c r="BY58" s="536"/>
      <c r="BZ58" s="536"/>
      <c r="CA58" s="536"/>
      <c r="CB58" s="536"/>
      <c r="CC58" s="535"/>
      <c r="CD58" s="535"/>
      <c r="CE58" s="535"/>
      <c r="CF58" s="535"/>
      <c r="CG58" s="535"/>
    </row>
    <row r="59" spans="1:147" s="534" customFormat="1" ht="6" customHeight="1" x14ac:dyDescent="0.2">
      <c r="A59" s="2132"/>
      <c r="B59" s="336"/>
      <c r="C59" s="336"/>
      <c r="D59" s="539"/>
      <c r="E59" s="540"/>
      <c r="F59" s="540"/>
      <c r="G59" s="540"/>
      <c r="H59" s="540"/>
      <c r="I59" s="2133"/>
      <c r="J59" s="2133"/>
      <c r="K59" s="2133"/>
      <c r="L59" s="2133"/>
      <c r="M59" s="2133"/>
      <c r="N59" s="793"/>
      <c r="P59" s="535"/>
      <c r="Q59" s="535"/>
      <c r="R59" s="535"/>
      <c r="S59" s="535"/>
      <c r="T59" s="535"/>
      <c r="U59" s="535"/>
      <c r="V59" s="535"/>
      <c r="W59" s="535"/>
      <c r="X59" s="535"/>
      <c r="Y59" s="535"/>
      <c r="Z59" s="535"/>
      <c r="AA59" s="535"/>
      <c r="AB59" s="535"/>
      <c r="AC59" s="535"/>
      <c r="AD59" s="535"/>
      <c r="AE59" s="535"/>
      <c r="AF59" s="535"/>
      <c r="AG59" s="535"/>
      <c r="AH59" s="535"/>
      <c r="AI59" s="535"/>
      <c r="AJ59" s="535"/>
      <c r="AK59" s="535"/>
      <c r="AL59" s="535"/>
      <c r="AM59" s="535"/>
      <c r="AN59" s="535"/>
      <c r="AO59" s="535"/>
      <c r="AP59" s="535"/>
      <c r="AQ59" s="535"/>
      <c r="AR59" s="535"/>
      <c r="AS59" s="535"/>
      <c r="AT59" s="535"/>
      <c r="AU59" s="535"/>
      <c r="AV59" s="535"/>
      <c r="AW59" s="535"/>
      <c r="AX59" s="535"/>
      <c r="AY59" s="535"/>
      <c r="AZ59" s="535"/>
      <c r="BA59" s="535"/>
      <c r="BB59" s="535"/>
      <c r="BC59" s="535"/>
      <c r="BD59" s="535"/>
      <c r="BE59" s="535"/>
      <c r="BF59" s="535"/>
      <c r="BG59" s="535"/>
      <c r="BH59" s="535"/>
      <c r="BI59" s="535"/>
      <c r="BJ59" s="535"/>
      <c r="BK59" s="535"/>
      <c r="BL59" s="535"/>
      <c r="BM59" s="535"/>
      <c r="BN59" s="535"/>
      <c r="BO59" s="535"/>
      <c r="BP59" s="535"/>
      <c r="BQ59" s="535"/>
      <c r="BR59" s="535"/>
      <c r="BS59" s="535"/>
      <c r="BT59" s="535"/>
      <c r="BU59" s="535"/>
      <c r="BV59" s="535"/>
      <c r="BW59" s="535"/>
      <c r="BX59" s="535"/>
      <c r="BY59" s="535"/>
      <c r="BZ59" s="535"/>
      <c r="CA59" s="536"/>
      <c r="CB59" s="536"/>
      <c r="CC59" s="536"/>
      <c r="CD59" s="536"/>
      <c r="CE59" s="535"/>
      <c r="CF59" s="535"/>
      <c r="CG59" s="535"/>
      <c r="CH59" s="535"/>
      <c r="CI59" s="535"/>
    </row>
    <row r="60" spans="1:147" s="534" customFormat="1" ht="8.25" customHeight="1" x14ac:dyDescent="0.2">
      <c r="A60" s="2132"/>
      <c r="B60" s="336"/>
      <c r="C60" s="336"/>
      <c r="D60" s="539"/>
      <c r="E60" s="540"/>
      <c r="F60" s="540"/>
      <c r="G60" s="540"/>
      <c r="H60" s="540"/>
      <c r="I60" s="2133"/>
      <c r="J60" s="2133"/>
      <c r="K60" s="2133"/>
      <c r="L60" s="2133"/>
      <c r="M60" s="2133"/>
      <c r="N60" s="793"/>
      <c r="P60" s="535"/>
      <c r="Q60" s="535"/>
      <c r="R60" s="535"/>
      <c r="S60" s="535"/>
      <c r="T60" s="535"/>
      <c r="U60" s="535"/>
      <c r="V60" s="535"/>
      <c r="W60" s="535"/>
      <c r="X60" s="535"/>
      <c r="Y60" s="535"/>
      <c r="Z60" s="535"/>
      <c r="AA60" s="535"/>
      <c r="AB60" s="535"/>
      <c r="AC60" s="535"/>
      <c r="AD60" s="535"/>
      <c r="AE60" s="535"/>
      <c r="AF60" s="535"/>
      <c r="AG60" s="535"/>
      <c r="AH60" s="535"/>
      <c r="AI60" s="535"/>
      <c r="AJ60" s="535"/>
      <c r="AK60" s="535"/>
      <c r="AL60" s="535"/>
      <c r="AM60" s="535"/>
      <c r="AN60" s="535"/>
      <c r="AO60" s="535"/>
      <c r="AP60" s="535"/>
      <c r="AQ60" s="535"/>
      <c r="AR60" s="535"/>
      <c r="AS60" s="535"/>
      <c r="AT60" s="535"/>
      <c r="AU60" s="535"/>
      <c r="AV60" s="535"/>
      <c r="AW60" s="535"/>
      <c r="AX60" s="535"/>
      <c r="AY60" s="535"/>
      <c r="AZ60" s="535"/>
      <c r="BA60" s="535"/>
      <c r="BB60" s="535"/>
      <c r="BC60" s="535"/>
      <c r="BD60" s="535"/>
      <c r="BE60" s="535"/>
      <c r="BF60" s="535"/>
      <c r="BG60" s="535"/>
      <c r="BH60" s="535"/>
      <c r="BI60" s="535"/>
      <c r="BJ60" s="535"/>
      <c r="BK60" s="535"/>
      <c r="BL60" s="535"/>
      <c r="BM60" s="535"/>
      <c r="BN60" s="535"/>
      <c r="BO60" s="535"/>
      <c r="BP60" s="535"/>
      <c r="BQ60" s="535"/>
      <c r="BR60" s="535"/>
      <c r="BS60" s="535"/>
      <c r="BT60" s="535"/>
      <c r="BU60" s="535"/>
      <c r="BV60" s="535"/>
      <c r="BW60" s="535"/>
      <c r="BX60" s="535"/>
      <c r="BY60" s="535"/>
      <c r="BZ60" s="535"/>
      <c r="CA60" s="536"/>
      <c r="CB60" s="536"/>
      <c r="CC60" s="536"/>
      <c r="CD60" s="536"/>
      <c r="CE60" s="535"/>
      <c r="CF60" s="535"/>
      <c r="CG60" s="535"/>
      <c r="CH60" s="535"/>
      <c r="CI60" s="535"/>
    </row>
    <row r="61" spans="1:147" ht="4.5" customHeight="1" thickBot="1" x14ac:dyDescent="0.25">
      <c r="A61" s="365"/>
      <c r="B61" s="406"/>
      <c r="C61" s="406"/>
      <c r="D61" s="365"/>
      <c r="E61" s="324"/>
      <c r="F61" s="324"/>
      <c r="G61" s="324"/>
      <c r="H61" s="2141"/>
      <c r="I61" s="324"/>
      <c r="J61" s="324"/>
      <c r="K61" s="324"/>
      <c r="L61" s="324"/>
      <c r="M61" s="324"/>
      <c r="N61" s="4"/>
      <c r="U61" s="412"/>
      <c r="V61" s="412"/>
      <c r="W61" s="412"/>
      <c r="X61" s="412"/>
      <c r="AN61" s="417"/>
      <c r="AO61" s="417"/>
      <c r="AP61" s="417"/>
      <c r="AQ61" s="417"/>
      <c r="BU61" s="411"/>
      <c r="BV61" s="411"/>
      <c r="BW61" s="411"/>
      <c r="BX61" s="411"/>
      <c r="CA61" s="412"/>
      <c r="CB61" s="412"/>
      <c r="CC61" s="412"/>
      <c r="CD61" s="412"/>
      <c r="CE61" s="411"/>
      <c r="CF61" s="411"/>
      <c r="CG61" s="411"/>
      <c r="CH61" s="411"/>
      <c r="CI61" s="411"/>
    </row>
    <row r="62" spans="1:147" s="325" customFormat="1" ht="16.5" customHeight="1" thickBot="1" x14ac:dyDescent="0.25">
      <c r="A62" s="2072" t="s">
        <v>836</v>
      </c>
      <c r="B62" s="2142"/>
      <c r="C62" s="2142"/>
      <c r="D62" s="2142"/>
      <c r="E62" s="2142"/>
      <c r="F62" s="2142"/>
      <c r="G62" s="2142"/>
      <c r="H62" s="2142"/>
      <c r="I62" s="2142"/>
      <c r="J62" s="2142"/>
      <c r="K62" s="2142"/>
      <c r="L62" s="2142"/>
      <c r="M62" s="2143"/>
      <c r="N62" s="795"/>
      <c r="P62" s="418"/>
      <c r="Q62" s="418"/>
      <c r="R62" s="2782" t="s">
        <v>751</v>
      </c>
      <c r="S62" s="2782"/>
      <c r="T62" s="2782"/>
      <c r="U62" s="418"/>
      <c r="V62" s="418"/>
      <c r="W62" s="418"/>
      <c r="X62" s="418"/>
      <c r="Y62" s="418"/>
      <c r="Z62" s="418"/>
      <c r="AA62" s="418"/>
      <c r="AB62" s="424" t="s">
        <v>267</v>
      </c>
      <c r="AC62" s="418"/>
      <c r="AD62" s="418"/>
      <c r="AE62" s="418"/>
      <c r="AF62" s="418"/>
      <c r="AG62" s="418"/>
      <c r="AH62" s="418"/>
      <c r="AI62" s="418"/>
      <c r="AJ62" s="418"/>
      <c r="AK62" s="418"/>
      <c r="AL62" s="418"/>
      <c r="AM62" s="418"/>
      <c r="AN62" s="418"/>
      <c r="AO62" s="418"/>
      <c r="AP62" s="418"/>
      <c r="AQ62" s="418"/>
      <c r="AR62" s="418"/>
      <c r="AS62" s="418"/>
      <c r="AT62" s="418"/>
      <c r="AU62" s="418"/>
      <c r="AV62" s="418"/>
      <c r="AW62" s="418"/>
      <c r="AX62" s="418"/>
      <c r="AY62" s="418"/>
      <c r="AZ62" s="418"/>
      <c r="BA62" s="418"/>
      <c r="BB62" s="418"/>
      <c r="BC62" s="418"/>
      <c r="BD62" s="418"/>
      <c r="BE62" s="418"/>
      <c r="BF62" s="418"/>
      <c r="BG62" s="418"/>
      <c r="BH62" s="418"/>
      <c r="BI62" s="418"/>
      <c r="BJ62" s="418"/>
      <c r="BK62" s="418"/>
      <c r="BL62" s="418"/>
      <c r="BM62" s="418"/>
      <c r="BN62" s="418"/>
      <c r="BO62" s="418"/>
      <c r="BP62" s="418"/>
      <c r="BQ62" s="418"/>
      <c r="BR62" s="418"/>
      <c r="BS62" s="418"/>
      <c r="BT62" s="418"/>
      <c r="BU62" s="418"/>
      <c r="BV62" s="418"/>
      <c r="BW62" s="418"/>
      <c r="BX62" s="418"/>
      <c r="BY62" s="418"/>
      <c r="BZ62" s="418"/>
      <c r="CA62" s="418"/>
      <c r="CB62" s="418"/>
      <c r="CC62" s="418"/>
      <c r="CD62" s="418"/>
      <c r="CE62" s="419"/>
      <c r="CF62" s="419"/>
      <c r="CG62" s="419"/>
      <c r="CH62" s="419"/>
      <c r="CI62" s="418"/>
      <c r="CJ62" s="418"/>
      <c r="CK62" s="418"/>
      <c r="CL62" s="418"/>
      <c r="CU62" s="325" t="s">
        <v>700</v>
      </c>
      <c r="CX62" s="2782" t="s">
        <v>701</v>
      </c>
      <c r="CY62" s="2782"/>
      <c r="CZ62" s="2782"/>
      <c r="DA62" s="2782"/>
      <c r="DB62" s="2782"/>
      <c r="DC62" s="2782"/>
      <c r="DD62" s="2782" t="s">
        <v>702</v>
      </c>
      <c r="DE62" s="2782"/>
      <c r="DF62" s="2782"/>
      <c r="DG62" s="2782"/>
      <c r="DH62" s="2782"/>
      <c r="DI62" s="693"/>
      <c r="DJ62" s="693"/>
      <c r="DK62" s="325" t="s">
        <v>667</v>
      </c>
      <c r="DL62" s="325" t="s">
        <v>667</v>
      </c>
      <c r="DM62" s="2934" t="s">
        <v>667</v>
      </c>
      <c r="DN62" s="2934"/>
      <c r="DO62" s="2934"/>
      <c r="DP62" s="2934"/>
      <c r="DQ62" s="2934"/>
      <c r="DR62" s="2934"/>
      <c r="DS62" s="643"/>
      <c r="DT62" s="643"/>
      <c r="DU62" s="643"/>
      <c r="DV62" s="2934" t="s">
        <v>744</v>
      </c>
      <c r="DW62" s="2934"/>
      <c r="DX62" s="2934"/>
      <c r="DY62" s="2934"/>
      <c r="DZ62" s="2782" t="s">
        <v>470</v>
      </c>
      <c r="EA62" s="2782"/>
      <c r="EB62" s="2782" t="s">
        <v>13</v>
      </c>
      <c r="EC62" s="2782"/>
      <c r="ED62" s="325" t="s">
        <v>733</v>
      </c>
      <c r="EI62" s="550" t="s">
        <v>488</v>
      </c>
      <c r="EJ62" s="633" t="s">
        <v>489</v>
      </c>
      <c r="EK62" s="633" t="s">
        <v>707</v>
      </c>
      <c r="EL62" s="633" t="s">
        <v>489</v>
      </c>
      <c r="EM62" s="411" t="s">
        <v>713</v>
      </c>
      <c r="EN62" s="411"/>
      <c r="EO62" s="475" t="s">
        <v>711</v>
      </c>
      <c r="EP62" s="475" t="s">
        <v>712</v>
      </c>
      <c r="EQ62" s="475" t="s">
        <v>717</v>
      </c>
    </row>
    <row r="63" spans="1:147" s="326" customFormat="1" ht="15" customHeight="1" thickBot="1" x14ac:dyDescent="0.25">
      <c r="N63" s="1"/>
      <c r="P63" s="420"/>
      <c r="Q63" s="420"/>
      <c r="R63" s="423" t="s">
        <v>260</v>
      </c>
      <c r="S63" s="423" t="s">
        <v>260</v>
      </c>
      <c r="T63" s="423" t="s">
        <v>260</v>
      </c>
      <c r="U63" s="420"/>
      <c r="V63" s="420"/>
      <c r="W63" s="420"/>
      <c r="X63" s="420"/>
      <c r="Y63" s="420"/>
      <c r="Z63" s="420"/>
      <c r="AA63" s="420"/>
      <c r="AB63" s="420"/>
      <c r="AC63" s="420"/>
      <c r="AD63" s="420"/>
      <c r="AE63" s="420"/>
      <c r="AF63" s="420"/>
      <c r="AG63" s="420"/>
      <c r="AH63" s="420"/>
      <c r="AI63" s="420"/>
      <c r="AJ63" s="420"/>
      <c r="AK63" s="420"/>
      <c r="AL63" s="420"/>
      <c r="AM63" s="420"/>
      <c r="AN63" s="420"/>
      <c r="AO63" s="420"/>
      <c r="AP63" s="420"/>
      <c r="AQ63" s="420"/>
      <c r="AR63" s="420"/>
      <c r="AS63" s="420"/>
      <c r="AT63" s="420"/>
      <c r="AU63" s="420"/>
      <c r="AV63" s="420"/>
      <c r="AW63" s="420"/>
      <c r="AX63" s="420"/>
      <c r="AY63" s="420"/>
      <c r="AZ63" s="420"/>
      <c r="BA63" s="420"/>
      <c r="BB63" s="420"/>
      <c r="BC63" s="420"/>
      <c r="BD63" s="420"/>
      <c r="BE63" s="420"/>
      <c r="BF63" s="420"/>
      <c r="BG63" s="420"/>
      <c r="BH63" s="420"/>
      <c r="BI63" s="420"/>
      <c r="BJ63" s="420"/>
      <c r="BK63" s="420"/>
      <c r="BL63" s="420"/>
      <c r="BM63" s="420"/>
      <c r="BN63" s="420"/>
      <c r="BO63" s="420"/>
      <c r="BP63" s="420"/>
      <c r="BQ63" s="420"/>
      <c r="BR63" s="420"/>
      <c r="BS63" s="420"/>
      <c r="BT63" s="420"/>
      <c r="BU63" s="420"/>
      <c r="BV63" s="420"/>
      <c r="BW63" s="420"/>
      <c r="BX63" s="420"/>
      <c r="BY63" s="420"/>
      <c r="BZ63" s="420"/>
      <c r="CA63" s="420"/>
      <c r="CB63" s="420"/>
      <c r="CC63" s="420"/>
      <c r="CD63" s="420"/>
      <c r="CE63" s="421"/>
      <c r="CF63" s="421"/>
      <c r="CG63" s="421"/>
      <c r="CH63" s="421"/>
      <c r="CI63" s="420"/>
      <c r="CJ63" s="420"/>
      <c r="CK63" s="420"/>
      <c r="CL63" s="420"/>
      <c r="EI63" s="554" t="s">
        <v>496</v>
      </c>
      <c r="EJ63" s="564"/>
      <c r="EK63" s="564"/>
      <c r="EL63" s="564" t="s">
        <v>710</v>
      </c>
      <c r="EM63" s="411" t="s">
        <v>714</v>
      </c>
      <c r="EN63" s="411"/>
      <c r="EO63" s="633" t="s">
        <v>489</v>
      </c>
      <c r="EP63" s="633" t="s">
        <v>489</v>
      </c>
      <c r="EQ63" s="633"/>
    </row>
    <row r="64" spans="1:147" ht="15.75" customHeight="1" x14ac:dyDescent="0.2">
      <c r="A64" s="2813" t="s">
        <v>783</v>
      </c>
      <c r="B64" s="2806"/>
      <c r="C64" s="2806"/>
      <c r="D64" s="2814"/>
      <c r="E64" s="2805" t="s">
        <v>286</v>
      </c>
      <c r="F64" s="2806"/>
      <c r="G64" s="2806"/>
      <c r="H64" s="2806"/>
      <c r="I64" s="2806"/>
      <c r="J64" s="2813" t="s">
        <v>508</v>
      </c>
      <c r="K64" s="2806"/>
      <c r="L64" s="2842"/>
      <c r="M64" s="2144" t="s">
        <v>509</v>
      </c>
      <c r="N64" s="13"/>
      <c r="O64" s="17"/>
      <c r="P64" s="422"/>
      <c r="Q64" s="423" t="s">
        <v>260</v>
      </c>
      <c r="R64" s="423" t="s">
        <v>767</v>
      </c>
      <c r="S64" s="423" t="s">
        <v>470</v>
      </c>
      <c r="T64" s="423" t="s">
        <v>470</v>
      </c>
      <c r="U64" s="2777" t="s">
        <v>474</v>
      </c>
      <c r="V64" s="2777"/>
      <c r="W64" s="2777"/>
      <c r="X64" s="2777"/>
      <c r="Y64" s="422"/>
      <c r="Z64" s="443"/>
      <c r="AA64" s="444"/>
      <c r="AB64" s="2783" t="s">
        <v>766</v>
      </c>
      <c r="AC64" s="2784"/>
      <c r="AD64" s="2784"/>
      <c r="AE64" s="2784"/>
      <c r="AF64" s="2784"/>
      <c r="AG64" s="2784"/>
      <c r="AH64" s="2784"/>
      <c r="AI64" s="2788"/>
      <c r="AJ64" s="425"/>
      <c r="AK64" s="425"/>
      <c r="AL64" s="425"/>
      <c r="AM64" s="425"/>
      <c r="AN64" s="425"/>
      <c r="AO64" s="425"/>
      <c r="AP64" s="422"/>
      <c r="AQ64" s="422"/>
      <c r="AR64" s="422"/>
      <c r="AS64" s="422"/>
      <c r="AT64" s="422"/>
      <c r="AU64" s="422"/>
      <c r="AV64" s="422"/>
      <c r="AW64" s="422"/>
      <c r="AX64" s="422"/>
      <c r="AY64" s="422"/>
      <c r="AZ64" s="422"/>
      <c r="BA64" s="422"/>
      <c r="BB64" s="422"/>
      <c r="BC64" s="422"/>
      <c r="BD64" s="422"/>
      <c r="BE64" s="422"/>
      <c r="BG64" s="422"/>
      <c r="BH64" s="422"/>
      <c r="BI64" s="422"/>
      <c r="BJ64" s="422"/>
      <c r="BK64" s="422"/>
      <c r="BL64" s="1073"/>
      <c r="BM64" s="422"/>
      <c r="BN64" s="422"/>
      <c r="BO64" s="422"/>
      <c r="BP64" s="422"/>
      <c r="BQ64" s="422"/>
      <c r="BR64" s="422"/>
      <c r="BS64" s="422"/>
      <c r="BT64" s="422"/>
      <c r="BU64" s="422"/>
      <c r="BV64" s="422"/>
      <c r="BW64" s="422"/>
      <c r="BX64" s="422"/>
      <c r="BY64" s="422"/>
      <c r="BZ64" s="422"/>
      <c r="CA64" s="422"/>
      <c r="CB64" s="422"/>
      <c r="CC64" s="422"/>
      <c r="CD64" s="422"/>
      <c r="CE64" s="422"/>
      <c r="CF64" s="422"/>
      <c r="CG64" s="422"/>
      <c r="CH64" s="422"/>
      <c r="CI64" s="2937" t="s">
        <v>752</v>
      </c>
      <c r="CJ64" s="2937"/>
      <c r="CK64" s="422"/>
      <c r="CL64" s="422"/>
      <c r="CM64" s="422"/>
      <c r="CN64" s="422"/>
      <c r="CO64" s="422"/>
      <c r="CP64" s="422"/>
      <c r="CQ64" s="17"/>
      <c r="CR64" s="17"/>
      <c r="CS64" s="17"/>
      <c r="CT64" s="17"/>
      <c r="CU64" s="17"/>
      <c r="CV64" s="17"/>
      <c r="CW64" s="17"/>
      <c r="CX64" s="2800" t="s">
        <v>277</v>
      </c>
      <c r="CY64" s="2800"/>
      <c r="CZ64" s="2800"/>
      <c r="DA64" s="2800" t="s">
        <v>773</v>
      </c>
      <c r="DB64" s="2800"/>
      <c r="DC64" s="2800"/>
      <c r="DD64" s="17"/>
      <c r="DE64" s="17"/>
      <c r="DF64" s="17"/>
      <c r="DG64" s="17"/>
      <c r="DH64" s="17"/>
      <c r="DI64" s="17"/>
      <c r="DJ64" s="17"/>
      <c r="DK64" s="17"/>
      <c r="DL64" s="17"/>
      <c r="DM64" s="125" t="s">
        <v>556</v>
      </c>
      <c r="DN64" s="125" t="s">
        <v>668</v>
      </c>
      <c r="DO64" s="125" t="s">
        <v>544</v>
      </c>
      <c r="DP64" s="125" t="s">
        <v>556</v>
      </c>
      <c r="DQ64" s="125" t="s">
        <v>668</v>
      </c>
      <c r="DR64" s="125" t="s">
        <v>544</v>
      </c>
      <c r="DS64" s="125" t="s">
        <v>802</v>
      </c>
      <c r="DT64" s="125"/>
      <c r="DU64" s="125"/>
      <c r="DV64" s="125" t="s">
        <v>705</v>
      </c>
      <c r="DW64" s="125"/>
      <c r="DX64" s="2934" t="s">
        <v>13</v>
      </c>
      <c r="DY64" s="2941"/>
      <c r="DZ64" s="549" t="s">
        <v>492</v>
      </c>
      <c r="EA64" s="634" t="s">
        <v>489</v>
      </c>
      <c r="EB64" s="549" t="s">
        <v>492</v>
      </c>
      <c r="EC64" s="634" t="s">
        <v>489</v>
      </c>
      <c r="ED64" s="523" t="s">
        <v>320</v>
      </c>
      <c r="EE64" s="523" t="s">
        <v>215</v>
      </c>
      <c r="EF64" s="523" t="s">
        <v>322</v>
      </c>
      <c r="EG64" s="523" t="s">
        <v>314</v>
      </c>
      <c r="EH64" s="523" t="s">
        <v>708</v>
      </c>
      <c r="EI64" s="554" t="s">
        <v>709</v>
      </c>
      <c r="EJ64" s="411"/>
      <c r="EK64" s="411"/>
      <c r="EL64" s="411"/>
      <c r="EM64" s="411" t="s">
        <v>715</v>
      </c>
      <c r="EN64" s="411" t="s">
        <v>322</v>
      </c>
      <c r="EO64" s="564" t="s">
        <v>710</v>
      </c>
      <c r="EP64" s="564" t="s">
        <v>710</v>
      </c>
      <c r="EQ64" s="440" t="s">
        <v>321</v>
      </c>
    </row>
    <row r="65" spans="1:153" ht="15.75" customHeight="1" x14ac:dyDescent="0.2">
      <c r="A65" s="2815"/>
      <c r="B65" s="2816"/>
      <c r="C65" s="2816"/>
      <c r="D65" s="2817"/>
      <c r="E65" s="2145" t="s">
        <v>0</v>
      </c>
      <c r="F65" s="2816" t="s">
        <v>46</v>
      </c>
      <c r="G65" s="2817"/>
      <c r="H65" s="2823" t="s">
        <v>35</v>
      </c>
      <c r="I65" s="2824"/>
      <c r="J65" s="2146" t="s">
        <v>43</v>
      </c>
      <c r="K65" s="2803" t="s">
        <v>41</v>
      </c>
      <c r="L65" s="2804"/>
      <c r="M65" s="2147" t="s">
        <v>510</v>
      </c>
      <c r="N65" s="13"/>
      <c r="O65" s="17"/>
      <c r="P65" s="422"/>
      <c r="Q65" s="423" t="s">
        <v>288</v>
      </c>
      <c r="R65" s="422" t="s">
        <v>472</v>
      </c>
      <c r="S65" s="422" t="s">
        <v>472</v>
      </c>
      <c r="T65" s="422" t="s">
        <v>471</v>
      </c>
      <c r="U65" s="2778" t="s">
        <v>471</v>
      </c>
      <c r="V65" s="2779"/>
      <c r="W65" s="2783" t="s">
        <v>472</v>
      </c>
      <c r="X65" s="2784"/>
      <c r="Y65" s="2784"/>
      <c r="Z65" s="2783" t="s">
        <v>307</v>
      </c>
      <c r="AA65" s="2788"/>
      <c r="AB65" s="2778" t="s">
        <v>471</v>
      </c>
      <c r="AC65" s="2480"/>
      <c r="AD65" s="2480"/>
      <c r="AE65" s="2480"/>
      <c r="AF65" s="2480" t="s">
        <v>472</v>
      </c>
      <c r="AG65" s="2480"/>
      <c r="AH65" s="2480"/>
      <c r="AI65" s="2480"/>
      <c r="AJ65" s="430" t="s">
        <v>0</v>
      </c>
      <c r="AK65" s="430" t="s">
        <v>11</v>
      </c>
      <c r="AL65" s="2939" t="s">
        <v>699</v>
      </c>
      <c r="AM65" s="2939"/>
      <c r="AN65" s="2939"/>
      <c r="AO65" s="2939"/>
      <c r="AP65" s="2939"/>
      <c r="AQ65" s="2940"/>
      <c r="AR65" s="430" t="s">
        <v>268</v>
      </c>
      <c r="AS65" s="2939" t="s">
        <v>259</v>
      </c>
      <c r="AT65" s="2939"/>
      <c r="AU65" s="2939"/>
      <c r="AV65" s="2939"/>
      <c r="AW65" s="2939"/>
      <c r="AX65" s="2940"/>
      <c r="AY65" s="422"/>
      <c r="AZ65" s="2770" t="s">
        <v>264</v>
      </c>
      <c r="BA65" s="2771"/>
      <c r="BB65" s="2771"/>
      <c r="BC65" s="2771"/>
      <c r="BD65" s="2771"/>
      <c r="BE65" s="2772"/>
      <c r="BF65" s="427" t="s">
        <v>260</v>
      </c>
      <c r="BG65" s="429" t="s">
        <v>260</v>
      </c>
      <c r="BH65" s="427"/>
      <c r="BI65" s="428"/>
      <c r="BJ65" s="429"/>
      <c r="BK65" s="432"/>
      <c r="BL65" s="432"/>
      <c r="BM65" s="433"/>
      <c r="BN65" s="433"/>
      <c r="BO65" s="433"/>
      <c r="BP65" s="433"/>
      <c r="BQ65" s="433"/>
      <c r="BR65" s="2938" t="s">
        <v>275</v>
      </c>
      <c r="BS65" s="2939"/>
      <c r="BT65" s="2940"/>
      <c r="BU65" s="422"/>
      <c r="BV65" s="422"/>
      <c r="BW65" s="422"/>
      <c r="BX65" s="422"/>
      <c r="BY65" s="422"/>
      <c r="BZ65" s="422"/>
      <c r="CA65" s="422"/>
      <c r="CB65" s="422"/>
      <c r="CC65" s="422"/>
      <c r="CD65" s="422"/>
      <c r="CE65" s="422"/>
      <c r="CF65" s="422"/>
      <c r="CG65" s="422"/>
      <c r="CH65" s="422"/>
      <c r="CI65" s="428" t="s">
        <v>753</v>
      </c>
      <c r="CJ65" s="324" t="s">
        <v>542</v>
      </c>
      <c r="CK65" s="422"/>
      <c r="CL65" s="422"/>
      <c r="CM65" s="422"/>
      <c r="CN65" s="422"/>
      <c r="CO65" s="422"/>
      <c r="CP65" s="422"/>
      <c r="CQ65" s="17"/>
      <c r="CR65" s="17"/>
      <c r="CS65" s="17"/>
      <c r="CT65" s="17"/>
      <c r="CU65" s="17"/>
      <c r="CV65" s="17"/>
      <c r="CW65" s="17"/>
      <c r="CX65" s="17"/>
      <c r="CY65" s="17"/>
      <c r="CZ65" s="17"/>
      <c r="DA65" s="17"/>
      <c r="DB65" s="17"/>
      <c r="DC65" s="17"/>
      <c r="DD65" s="17"/>
      <c r="DE65" s="17"/>
      <c r="DF65" s="17"/>
      <c r="DG65" s="17"/>
      <c r="DH65" s="17"/>
      <c r="DI65" s="2800" t="s">
        <v>812</v>
      </c>
      <c r="DJ65" s="2800"/>
      <c r="DK65" s="17"/>
      <c r="DL65" s="17"/>
      <c r="DM65" s="125"/>
      <c r="DN65" s="125" t="s">
        <v>669</v>
      </c>
      <c r="DO65" s="125" t="s">
        <v>553</v>
      </c>
      <c r="DP65" s="125"/>
      <c r="DQ65" s="125" t="s">
        <v>669</v>
      </c>
      <c r="DR65" s="125" t="s">
        <v>553</v>
      </c>
      <c r="DS65" s="125" t="s">
        <v>725</v>
      </c>
      <c r="DT65" s="125"/>
      <c r="DU65" s="125"/>
      <c r="DV65" s="125" t="s">
        <v>704</v>
      </c>
      <c r="DW65" s="125" t="s">
        <v>320</v>
      </c>
      <c r="DX65" s="125" t="s">
        <v>704</v>
      </c>
      <c r="DY65" s="125" t="s">
        <v>320</v>
      </c>
      <c r="DZ65" s="553" t="s">
        <v>498</v>
      </c>
      <c r="EA65" s="635" t="s">
        <v>674</v>
      </c>
      <c r="EB65" s="553" t="s">
        <v>498</v>
      </c>
      <c r="EC65" s="635" t="s">
        <v>674</v>
      </c>
      <c r="EI65" s="554"/>
      <c r="EJ65" s="564" t="s">
        <v>40</v>
      </c>
      <c r="EK65" s="564" t="s">
        <v>40</v>
      </c>
      <c r="EL65" s="657" t="s">
        <v>40</v>
      </c>
      <c r="EM65" s="411"/>
      <c r="EN65" s="411" t="s">
        <v>2</v>
      </c>
      <c r="EO65" s="475" t="s">
        <v>40</v>
      </c>
      <c r="EP65" s="475" t="s">
        <v>40</v>
      </c>
      <c r="EQ65" s="564"/>
      <c r="ES65" s="325" t="s">
        <v>1045</v>
      </c>
      <c r="ET65" s="325"/>
      <c r="EU65" s="1242" t="s">
        <v>1154</v>
      </c>
      <c r="EW65" s="1242" t="s">
        <v>8418</v>
      </c>
    </row>
    <row r="66" spans="1:153" ht="15.75" customHeight="1" x14ac:dyDescent="0.2">
      <c r="A66" s="2807" t="str">
        <f>IF(EW88=0,"","* Fütterungsverfahren muss belegt werden!")</f>
        <v/>
      </c>
      <c r="B66" s="2808"/>
      <c r="C66" s="2808"/>
      <c r="D66" s="2809"/>
      <c r="E66" s="2148"/>
      <c r="F66" s="2149"/>
      <c r="G66" s="2150" t="s">
        <v>47</v>
      </c>
      <c r="H66" s="2151" t="s">
        <v>45</v>
      </c>
      <c r="I66" s="2152" t="s">
        <v>44</v>
      </c>
      <c r="J66" s="2146" t="s">
        <v>11</v>
      </c>
      <c r="K66" s="2803" t="s">
        <v>42</v>
      </c>
      <c r="L66" s="2804"/>
      <c r="M66" s="2147" t="s">
        <v>511</v>
      </c>
      <c r="N66" s="13"/>
      <c r="O66" s="17"/>
      <c r="P66" s="422"/>
      <c r="Q66" s="422" t="s">
        <v>750</v>
      </c>
      <c r="R66" s="423" t="s">
        <v>265</v>
      </c>
      <c r="S66" s="423" t="s">
        <v>265</v>
      </c>
      <c r="T66" s="423" t="s">
        <v>265</v>
      </c>
      <c r="U66" s="422" t="s">
        <v>0</v>
      </c>
      <c r="V66" s="422" t="s">
        <v>211</v>
      </c>
      <c r="W66" s="422" t="s">
        <v>0</v>
      </c>
      <c r="X66" s="422" t="s">
        <v>211</v>
      </c>
      <c r="Y66" s="423" t="s">
        <v>211</v>
      </c>
      <c r="Z66" s="434" t="s">
        <v>0</v>
      </c>
      <c r="AA66" s="426" t="s">
        <v>13</v>
      </c>
      <c r="AB66" s="434" t="s">
        <v>4</v>
      </c>
      <c r="AC66" s="423" t="s">
        <v>4</v>
      </c>
      <c r="AD66" s="423" t="s">
        <v>269</v>
      </c>
      <c r="AE66" s="426" t="s">
        <v>6</v>
      </c>
      <c r="AF66" s="434" t="s">
        <v>4</v>
      </c>
      <c r="AG66" s="423" t="s">
        <v>4</v>
      </c>
      <c r="AH66" s="423" t="s">
        <v>269</v>
      </c>
      <c r="AI66" s="426" t="s">
        <v>6</v>
      </c>
      <c r="AJ66" s="435" t="s">
        <v>314</v>
      </c>
      <c r="AK66" s="435" t="s">
        <v>314</v>
      </c>
      <c r="AL66" s="2777" t="s">
        <v>471</v>
      </c>
      <c r="AM66" s="2777"/>
      <c r="AN66" s="2777"/>
      <c r="AO66" s="2480" t="s">
        <v>472</v>
      </c>
      <c r="AP66" s="2480"/>
      <c r="AQ66" s="2480"/>
      <c r="AR66" s="436" t="s">
        <v>314</v>
      </c>
      <c r="AS66" s="2480" t="s">
        <v>471</v>
      </c>
      <c r="AT66" s="2480"/>
      <c r="AU66" s="2480"/>
      <c r="AV66" s="2480" t="s">
        <v>472</v>
      </c>
      <c r="AW66" s="2480"/>
      <c r="AX66" s="2480"/>
      <c r="AY66" s="422"/>
      <c r="AZ66" s="2778" t="s">
        <v>471</v>
      </c>
      <c r="BA66" s="2789"/>
      <c r="BB66" s="2779"/>
      <c r="BC66" s="2783" t="s">
        <v>472</v>
      </c>
      <c r="BD66" s="2784"/>
      <c r="BE66" s="2788"/>
      <c r="BF66" s="434" t="s">
        <v>11</v>
      </c>
      <c r="BG66" s="426" t="s">
        <v>13</v>
      </c>
      <c r="BH66" s="2783" t="s">
        <v>271</v>
      </c>
      <c r="BI66" s="2784"/>
      <c r="BJ66" s="2788"/>
      <c r="BK66" s="437"/>
      <c r="BL66" s="1104" t="s">
        <v>270</v>
      </c>
      <c r="BM66" s="438"/>
      <c r="BN66" s="438"/>
      <c r="BO66" s="437" t="s">
        <v>212</v>
      </c>
      <c r="BP66" s="437" t="s">
        <v>212</v>
      </c>
      <c r="BQ66" s="437" t="s">
        <v>212</v>
      </c>
      <c r="BR66" s="439"/>
      <c r="BS66" s="440"/>
      <c r="BT66" s="441"/>
      <c r="BU66" s="427" t="s">
        <v>0</v>
      </c>
      <c r="BV66" s="429" t="s">
        <v>11</v>
      </c>
      <c r="BW66" s="2938" t="s">
        <v>13</v>
      </c>
      <c r="BX66" s="2939"/>
      <c r="BY66" s="2940"/>
      <c r="BZ66" s="2938" t="s">
        <v>261</v>
      </c>
      <c r="CA66" s="2940"/>
      <c r="CB66" s="432" t="s">
        <v>287</v>
      </c>
      <c r="CC66" s="2938" t="s">
        <v>301</v>
      </c>
      <c r="CD66" s="2939"/>
      <c r="CE66" s="2940"/>
      <c r="CF66" s="2938" t="s">
        <v>298</v>
      </c>
      <c r="CG66" s="2939"/>
      <c r="CH66" s="2940"/>
      <c r="CJ66" s="429" t="s">
        <v>754</v>
      </c>
      <c r="CK66" s="442" t="s">
        <v>316</v>
      </c>
      <c r="CL66" s="431" t="s">
        <v>318</v>
      </c>
      <c r="CM66" s="422"/>
      <c r="CN66" s="422"/>
      <c r="CO66" s="422"/>
      <c r="CP66" s="423" t="s">
        <v>466</v>
      </c>
      <c r="CQ66" s="17"/>
      <c r="CR66" s="17"/>
      <c r="CS66" s="2800" t="s">
        <v>469</v>
      </c>
      <c r="CT66" s="2800"/>
      <c r="CU66" s="407" t="s">
        <v>4</v>
      </c>
      <c r="CV66" s="407" t="s">
        <v>5</v>
      </c>
      <c r="CW66" s="407" t="s">
        <v>6</v>
      </c>
      <c r="CX66" s="407" t="s">
        <v>4</v>
      </c>
      <c r="CY66" s="407" t="s">
        <v>5</v>
      </c>
      <c r="CZ66" s="407" t="s">
        <v>6</v>
      </c>
      <c r="DA66" s="407" t="s">
        <v>4</v>
      </c>
      <c r="DB66" s="407" t="s">
        <v>5</v>
      </c>
      <c r="DC66" s="407" t="s">
        <v>6</v>
      </c>
      <c r="DD66" s="407" t="s">
        <v>4</v>
      </c>
      <c r="DE66" s="407" t="s">
        <v>5</v>
      </c>
      <c r="DF66" s="407" t="s">
        <v>6</v>
      </c>
      <c r="DG66" s="407" t="s">
        <v>4</v>
      </c>
      <c r="DH66" s="407" t="s">
        <v>748</v>
      </c>
      <c r="DI66" s="2800" t="s">
        <v>813</v>
      </c>
      <c r="DJ66" s="2800"/>
      <c r="DK66" s="17"/>
      <c r="DL66" s="17"/>
      <c r="DM66" s="125" t="s">
        <v>2</v>
      </c>
      <c r="DN66" s="125" t="s">
        <v>557</v>
      </c>
      <c r="DO66" s="125" t="s">
        <v>2</v>
      </c>
      <c r="DP66" s="125" t="s">
        <v>2</v>
      </c>
      <c r="DQ66" s="125" t="s">
        <v>557</v>
      </c>
      <c r="DR66" s="125" t="s">
        <v>2</v>
      </c>
      <c r="DS66" s="125" t="s">
        <v>724</v>
      </c>
      <c r="DT66" s="125"/>
      <c r="DU66" s="125"/>
      <c r="DV66" s="125" t="s">
        <v>2</v>
      </c>
      <c r="DW66" s="125"/>
      <c r="DX66" s="125" t="s">
        <v>2</v>
      </c>
      <c r="DY66" s="125"/>
      <c r="DZ66" s="569" t="s">
        <v>479</v>
      </c>
      <c r="EA66" s="636" t="s">
        <v>497</v>
      </c>
      <c r="EB66" s="569" t="s">
        <v>479</v>
      </c>
      <c r="EC66" s="636" t="s">
        <v>497</v>
      </c>
      <c r="ED66" s="523" t="s">
        <v>40</v>
      </c>
      <c r="EE66" s="523" t="s">
        <v>734</v>
      </c>
      <c r="EF66" s="523" t="s">
        <v>40</v>
      </c>
      <c r="EH66" s="523" t="s">
        <v>40</v>
      </c>
      <c r="ES66" s="326" t="s">
        <v>471</v>
      </c>
      <c r="ET66" s="326" t="s">
        <v>472</v>
      </c>
      <c r="EU66" s="1242" t="s">
        <v>8505</v>
      </c>
      <c r="EV66" s="1242" t="s">
        <v>8506</v>
      </c>
      <c r="EW66" s="1242" t="s">
        <v>8419</v>
      </c>
    </row>
    <row r="67" spans="1:153" ht="15.75" customHeight="1" thickBot="1" x14ac:dyDescent="0.25">
      <c r="A67" s="2810"/>
      <c r="B67" s="2811"/>
      <c r="C67" s="2811"/>
      <c r="D67" s="2812"/>
      <c r="E67" s="2153" t="s">
        <v>14</v>
      </c>
      <c r="F67" s="2154" t="s">
        <v>14</v>
      </c>
      <c r="G67" s="2155" t="s">
        <v>34</v>
      </c>
      <c r="H67" s="2156" t="s">
        <v>36</v>
      </c>
      <c r="I67" s="2157" t="s">
        <v>36</v>
      </c>
      <c r="J67" s="2158" t="s">
        <v>1</v>
      </c>
      <c r="K67" s="2754" t="s">
        <v>266</v>
      </c>
      <c r="L67" s="2755"/>
      <c r="M67" s="2159" t="s">
        <v>512</v>
      </c>
      <c r="N67" s="13"/>
      <c r="O67" s="17"/>
      <c r="P67" s="422"/>
      <c r="Q67" s="423" t="s">
        <v>265</v>
      </c>
      <c r="S67" s="423"/>
      <c r="U67" s="422"/>
      <c r="V67" s="422"/>
      <c r="W67" s="422"/>
      <c r="X67" s="422"/>
      <c r="Y67" s="423" t="s">
        <v>1</v>
      </c>
      <c r="Z67" s="434" t="s">
        <v>14</v>
      </c>
      <c r="AA67" s="426" t="s">
        <v>14</v>
      </c>
      <c r="AB67" s="443"/>
      <c r="AC67" s="423" t="s">
        <v>217</v>
      </c>
      <c r="AD67" s="422"/>
      <c r="AE67" s="444"/>
      <c r="AF67" s="443"/>
      <c r="AG67" s="423" t="s">
        <v>217</v>
      </c>
      <c r="AH67" s="422"/>
      <c r="AI67" s="444"/>
      <c r="AJ67" s="445"/>
      <c r="AK67" s="445"/>
      <c r="AL67" s="434" t="s">
        <v>4</v>
      </c>
      <c r="AM67" s="423" t="s">
        <v>269</v>
      </c>
      <c r="AN67" s="426" t="s">
        <v>6</v>
      </c>
      <c r="AO67" s="434" t="s">
        <v>4</v>
      </c>
      <c r="AP67" s="423" t="s">
        <v>269</v>
      </c>
      <c r="AQ67" s="426" t="s">
        <v>6</v>
      </c>
      <c r="AR67" s="435"/>
      <c r="AS67" s="434" t="s">
        <v>4</v>
      </c>
      <c r="AT67" s="423" t="s">
        <v>269</v>
      </c>
      <c r="AU67" s="426" t="s">
        <v>6</v>
      </c>
      <c r="AV67" s="434" t="s">
        <v>4</v>
      </c>
      <c r="AW67" s="423" t="s">
        <v>269</v>
      </c>
      <c r="AX67" s="426" t="s">
        <v>6</v>
      </c>
      <c r="AY67" s="422"/>
      <c r="AZ67" s="525" t="s">
        <v>473</v>
      </c>
      <c r="BA67" s="526" t="s">
        <v>13</v>
      </c>
      <c r="BB67" s="526" t="s">
        <v>475</v>
      </c>
      <c r="BC67" s="434" t="s">
        <v>0</v>
      </c>
      <c r="BD67" s="423" t="s">
        <v>13</v>
      </c>
      <c r="BE67" s="524" t="s">
        <v>475</v>
      </c>
      <c r="BF67" s="434"/>
      <c r="BG67" s="426"/>
      <c r="BH67" s="434" t="s">
        <v>4</v>
      </c>
      <c r="BI67" s="423" t="s">
        <v>269</v>
      </c>
      <c r="BJ67" s="426" t="s">
        <v>6</v>
      </c>
      <c r="BK67" s="437" t="s">
        <v>270</v>
      </c>
      <c r="BL67" s="1104" t="s">
        <v>1065</v>
      </c>
      <c r="BM67" s="437" t="s">
        <v>263</v>
      </c>
      <c r="BN67" s="437" t="s">
        <v>259</v>
      </c>
      <c r="BO67" s="437"/>
      <c r="BP67" s="437"/>
      <c r="BQ67" s="437" t="s">
        <v>277</v>
      </c>
      <c r="BR67" s="434" t="s">
        <v>4</v>
      </c>
      <c r="BS67" s="423" t="s">
        <v>269</v>
      </c>
      <c r="BT67" s="426" t="s">
        <v>6</v>
      </c>
      <c r="BU67" s="446" t="s">
        <v>260</v>
      </c>
      <c r="BV67" s="447" t="s">
        <v>260</v>
      </c>
      <c r="BW67" s="446" t="s">
        <v>37</v>
      </c>
      <c r="BX67" s="448" t="s">
        <v>38</v>
      </c>
      <c r="BY67" s="447" t="s">
        <v>39</v>
      </c>
      <c r="BZ67" s="446" t="s">
        <v>0</v>
      </c>
      <c r="CA67" s="447" t="s">
        <v>262</v>
      </c>
      <c r="CB67" s="449" t="s">
        <v>13</v>
      </c>
      <c r="CC67" s="446" t="s">
        <v>297</v>
      </c>
      <c r="CD67" s="448" t="s">
        <v>38</v>
      </c>
      <c r="CE67" s="447" t="s">
        <v>39</v>
      </c>
      <c r="CF67" s="446" t="s">
        <v>4</v>
      </c>
      <c r="CG67" s="448" t="s">
        <v>269</v>
      </c>
      <c r="CH67" s="447" t="s">
        <v>6</v>
      </c>
      <c r="CI67" s="448" t="s">
        <v>311</v>
      </c>
      <c r="CJ67" s="426" t="s">
        <v>311</v>
      </c>
      <c r="CK67" s="443" t="s">
        <v>317</v>
      </c>
      <c r="CL67" s="444" t="s">
        <v>319</v>
      </c>
      <c r="CM67" s="422"/>
      <c r="CN67" s="423" t="s">
        <v>703</v>
      </c>
      <c r="CO67" s="422"/>
      <c r="CP67" s="423" t="s">
        <v>0</v>
      </c>
      <c r="CQ67" s="407" t="s">
        <v>11</v>
      </c>
      <c r="CR67" s="407" t="s">
        <v>13</v>
      </c>
      <c r="CS67" s="523" t="s">
        <v>470</v>
      </c>
      <c r="CT67" s="407" t="s">
        <v>13</v>
      </c>
      <c r="DG67" s="407" t="s">
        <v>0</v>
      </c>
      <c r="DH67" s="407" t="s">
        <v>13</v>
      </c>
      <c r="DI67" s="407" t="s">
        <v>0</v>
      </c>
      <c r="DJ67" s="523" t="s">
        <v>277</v>
      </c>
      <c r="DK67" s="17"/>
      <c r="DL67" s="17"/>
      <c r="DM67" s="2935" t="s">
        <v>470</v>
      </c>
      <c r="DN67" s="2935"/>
      <c r="DO67" s="2935"/>
      <c r="DP67" s="2936" t="s">
        <v>13</v>
      </c>
      <c r="DQ67" s="2936"/>
      <c r="DR67" s="2936"/>
      <c r="DS67" s="643" t="s">
        <v>0</v>
      </c>
      <c r="DT67" s="643" t="s">
        <v>13</v>
      </c>
      <c r="DU67" s="643"/>
      <c r="DV67" s="643"/>
      <c r="DW67" s="643"/>
      <c r="DX67" s="643"/>
      <c r="DY67" s="643"/>
    </row>
    <row r="68" spans="1:153" ht="18" customHeight="1" x14ac:dyDescent="0.2">
      <c r="A68" s="2649"/>
      <c r="B68" s="2650"/>
      <c r="C68" s="2650"/>
      <c r="D68" s="2748"/>
      <c r="E68" s="351"/>
      <c r="F68" s="356"/>
      <c r="G68" s="290"/>
      <c r="H68" s="351"/>
      <c r="I68" s="360"/>
      <c r="J68" s="573" t="str">
        <f t="shared" ref="J68:J81" si="1">IF(U68+W68=0," ",(U68+W68)/2)</f>
        <v xml:space="preserve"> </v>
      </c>
      <c r="K68" s="2727" t="str">
        <f t="shared" ref="K68:K81" si="2">IF(V68+X68=0," ",(V68+X68)/2)</f>
        <v xml:space="preserve"> </v>
      </c>
      <c r="L68" s="2535"/>
      <c r="M68" s="799"/>
      <c r="N68" s="16"/>
      <c r="O68" s="16"/>
      <c r="P68" s="450"/>
      <c r="Q68" s="450" t="str">
        <f t="shared" ref="Q68:Q81" si="3">IF(K68=" "," ",(K68*(1/CB68)))</f>
        <v xml:space="preserve"> </v>
      </c>
      <c r="R68" s="450" t="str">
        <f t="shared" ref="R68:R81" si="4">IF(DL68=1,0,Y68)</f>
        <v xml:space="preserve"> </v>
      </c>
      <c r="S68" s="450">
        <f t="shared" ref="S68:S81" si="5">IF(DL68=1,0,W68)</f>
        <v>0</v>
      </c>
      <c r="T68" s="531">
        <f t="shared" ref="T68:T81" si="6">IF(DL68=1,0,U68)</f>
        <v>0</v>
      </c>
      <c r="U68" s="450">
        <f>IF(CN68=FALSE,0,IF(Z68+AA68=0,0,IF(AZ68*BU68+BA68*BF68=0,0,AZ68*BU68+BA68*BF68)))</f>
        <v>0</v>
      </c>
      <c r="V68" s="450">
        <f t="shared" ref="V68:V81" si="7">IF(CN68=FALSE,0,IF(AA68=0,0,IF(BD68+BA68=0,0,IF(BK68=4,BA68*BG68-(E68*(1-H68/100)*BG68)*((1220/1000)/(2*11)),BA68*BG68))))</f>
        <v>0</v>
      </c>
      <c r="W68" s="450">
        <f t="shared" ref="W68:W81" si="8">IF(CN68=FALSE,0,IF(Z68+AA68=0,0,IF(BC68*BU68+BD68*BF68=0,0,BC68*BU68+BD68*BF68)))</f>
        <v>0</v>
      </c>
      <c r="X68" s="450">
        <f t="shared" ref="X68:X81" si="9">IF(CN68=FALSE,0,IF(AA68=0,0,IF(BD68+BA68=0,0,IF(BK68=4,BD68*BG68-(E68*(1-I68/100)*BG68)*((1220/1000)/(2*11)),BD68*BG68))))</f>
        <v>0</v>
      </c>
      <c r="Y68" s="450" t="str">
        <f>IF(X68=0," ",(X68*(1/CB68)))</f>
        <v xml:space="preserve"> </v>
      </c>
      <c r="Z68" s="451">
        <f t="shared" ref="Z68:Z81" si="10">IF(BU68=0,0,E68)</f>
        <v>0</v>
      </c>
      <c r="AA68" s="452">
        <f t="shared" ref="AA68:AA81" si="11">IF(BU68=0,E68+F68,F68)</f>
        <v>0</v>
      </c>
      <c r="AB68" s="531">
        <f>+(AZ68*BR68*(100-BZ68)/100)+(BF68*BH68*BA68)</f>
        <v>0</v>
      </c>
      <c r="AC68" s="531">
        <f>IF(BK68=2,AB68,0)</f>
        <v>0</v>
      </c>
      <c r="AD68" s="531">
        <f>AZ68*BS68+BA68*BF68*BI68</f>
        <v>0</v>
      </c>
      <c r="AE68" s="531">
        <f>AZ68*BT68+BA68*BF68*BJ68</f>
        <v>0</v>
      </c>
      <c r="AF68" s="453">
        <f t="shared" ref="AF68:AF81" si="12">+(BC68*BR68*(100-BZ68)/100)+(BF68*BH68*BD68)</f>
        <v>0</v>
      </c>
      <c r="AG68" s="450">
        <f t="shared" ref="AG68:AG81" si="13">IF(BK68=2,AF68,0)</f>
        <v>0</v>
      </c>
      <c r="AH68" s="450">
        <f t="shared" ref="AH68:AH81" si="14">BC68*BS68+BD68*BF68*BI68</f>
        <v>0</v>
      </c>
      <c r="AI68" s="454">
        <f t="shared" ref="AI68:AI81" si="15">BC68*BT68+BD68*BF68*BJ68</f>
        <v>0</v>
      </c>
      <c r="AJ68" s="824">
        <f>INDEX(Tiere!L$30:L$85,'Berechnung Nährstoffe und Lager'!$BM68)</f>
        <v>0</v>
      </c>
      <c r="AK68" s="455">
        <f>INDEX(Tiere!Z$30:Z$85,'Berechnung Nährstoffe und Lager'!BM68)</f>
        <v>0</v>
      </c>
      <c r="AL68" s="450">
        <f>+(BA68*BR68*(100-CA68)/100)-BF68*BA68*BH68</f>
        <v>0</v>
      </c>
      <c r="AM68" s="450">
        <f>BA68*BS68-BA68*BF68*BI68</f>
        <v>0</v>
      </c>
      <c r="AN68" s="450">
        <f>BA68*BT68-BA68*BF68*BJ68</f>
        <v>0</v>
      </c>
      <c r="AO68" s="453">
        <f t="shared" ref="AO68:AO81" si="16">+(BD68*BR68*(100-CA68)/100)-BF68*BD68*BH68</f>
        <v>0</v>
      </c>
      <c r="AP68" s="450">
        <f t="shared" ref="AP68:AP81" si="17">BD68*BS68-BD68*BF68*BI68</f>
        <v>0</v>
      </c>
      <c r="AQ68" s="454">
        <f t="shared" ref="AQ68:AQ81" si="18">BD68*BT68-BD68*BF68*BJ68</f>
        <v>0</v>
      </c>
      <c r="AR68" s="455" cm="1">
        <f t="array" ref="AR68">IF(BN68=1,INDEX(Tiere!V$30:V$85,'Berechnung Nährstoffe und Lager'!$BM68),IF(BN68=2,INDEX(Tiere!W$30:W$85,'Berechnung Nährstoffe und Lager'!$BM68),INDEX(Tiere!X$30:X$85,'Berechnung Nährstoffe und Lager'!$BM68)))</f>
        <v>0</v>
      </c>
      <c r="AS68" s="456">
        <f t="shared" ref="AS68:AS81" si="19">IF(BN68=1,BB68*CC68*BP68*365/1000*CF68,IF(BN68=2,BB68*CD68*BP68*365/1000*CF68,BB68*CE68*BP68*365/1000*CF68))</f>
        <v>0</v>
      </c>
      <c r="AT68" s="456">
        <f t="shared" ref="AT68:AT81" si="20">IF(BN68=1,BB68*CC68*BP68*365/1000*CG68,IF(BN68=2,BB68*CD68*BP68*365/1000*CG68,BB68*CE68*BP68*365/1000*CG68))</f>
        <v>0</v>
      </c>
      <c r="AU68" s="456">
        <f t="shared" ref="AU68:AU81" si="21">IF(BN68=1,BB68*CC68*BP68*365/1000*CH68,IF(BN68=2,BB68*CD68*BP68*365/1000*CH68,BB68*CE68*BP68*365/1000*CH68))</f>
        <v>0</v>
      </c>
      <c r="AV68" s="453">
        <f t="shared" ref="AV68:AV81" si="22">IF(BN68=1,BE68*CC68*BP68*365/1000*CF68,IF(BN68=2,BE68*CD68*BP68*365/1000*CF68,BE68*CE68*BP68*365/1000*CF68))</f>
        <v>0</v>
      </c>
      <c r="AW68" s="450">
        <f t="shared" ref="AW68:AW81" si="23">IF(BN68=1,BE68*CC68*BP68*365/1000*CG68,IF(BN68=2,BE68*CD68*BP68*365/1000*CG68,BE68*CE68*BP68*365/1000*CG68))</f>
        <v>0</v>
      </c>
      <c r="AX68" s="454">
        <f t="shared" ref="AX68:AX81" si="24">IF(BN68=1,BE68*CC68*BP68*365/1000*CH68,IF(BN68=2,BE68*CD68*BP68*365/1000*CH68,BE68*CE68*BP68*365/1000*CH68))</f>
        <v>0</v>
      </c>
      <c r="AY68" s="450"/>
      <c r="AZ68" s="528">
        <f t="shared" ref="AZ68:AZ81" si="25">+Z68*(100-$H68)/100</f>
        <v>0</v>
      </c>
      <c r="BA68" s="529">
        <f t="shared" ref="BA68:BA81" si="26">+AA68*(100-$H68)/100</f>
        <v>0</v>
      </c>
      <c r="BB68" s="529">
        <f t="shared" ref="BB68:BB87" si="27">+F68*(100-$H68)/100</f>
        <v>0</v>
      </c>
      <c r="BC68" s="453">
        <f t="shared" ref="BC68:BC81" si="28">+Z68*(100-$I68)/100</f>
        <v>0</v>
      </c>
      <c r="BD68" s="450">
        <f t="shared" ref="BD68:BD81" si="29">+AA68*(100-$I68)/100</f>
        <v>0</v>
      </c>
      <c r="BE68" s="454">
        <f t="shared" ref="BE68:BE87" si="30">+F68*(100-$I68)/100</f>
        <v>0</v>
      </c>
      <c r="BF68" s="458">
        <f>IF(BN68=1,BV68,IF(BN68=2,BV68/2,0))</f>
        <v>0</v>
      </c>
      <c r="BG68" s="820">
        <f>IF(BN68=1,BW68,IF(BN68=2,BX68,BY68))</f>
        <v>0</v>
      </c>
      <c r="BH68" s="1335">
        <f>INDEX(Tiere!BH$30:BH$85,'Berechnung Nährstoffe und Lager'!$BM68)</f>
        <v>0</v>
      </c>
      <c r="BI68" s="1335">
        <f>INDEX(Tiere!BI$30:BI$85,'Berechnung Nährstoffe und Lager'!$BM68)</f>
        <v>0</v>
      </c>
      <c r="BJ68" s="1335">
        <f>INDEX(Tiere!BJ$30:BJ$85,'Berechnung Nährstoffe und Lager'!$BM68)</f>
        <v>0</v>
      </c>
      <c r="BK68" s="1106">
        <f>IF(BL68&lt;4,BL68+1,5)</f>
        <v>1</v>
      </c>
      <c r="BL68" s="1106" cm="1">
        <f t="array" ref="BL68">INDEX(Tiere!$C$30:$C$85,BM68)</f>
        <v>0</v>
      </c>
      <c r="BM68" s="462">
        <v>1</v>
      </c>
      <c r="BN68" s="462">
        <v>1</v>
      </c>
      <c r="BO68" s="461">
        <f>INDEX(Tiere!D$30:D$85,'Berechnung Nährstoffe und Lager'!$BM68)</f>
        <v>0</v>
      </c>
      <c r="BP68" s="461" t="str">
        <f>IF(BO68&gt;0.001,BO68,"1")</f>
        <v>1</v>
      </c>
      <c r="BQ68" s="461">
        <f>Z68*BO68+AA68*BO68</f>
        <v>0</v>
      </c>
      <c r="BR68" s="460">
        <f>INDEX(Tiere!E$30:E$85,'Berechnung Nährstoffe und Lager'!$BM68)</f>
        <v>0</v>
      </c>
      <c r="BS68" s="456">
        <f>INDEX(Tiere!F$30:F$85,'Berechnung Nährstoffe und Lager'!$BM68)</f>
        <v>0</v>
      </c>
      <c r="BT68" s="457">
        <f>INDEX(Tiere!G$30:G$85,'Berechnung Nährstoffe und Lager'!$BM68)</f>
        <v>0</v>
      </c>
      <c r="BU68" s="456">
        <f>INDEX(Tiere!K$30:K$85,'Berechnung Nährstoffe und Lager'!$BM68)</f>
        <v>0</v>
      </c>
      <c r="BV68" s="456">
        <f>INDEX(Tiere!Y$30:Y$85,'Berechnung Nährstoffe und Lager'!$BM68)</f>
        <v>0</v>
      </c>
      <c r="BW68" s="460">
        <f>INDEX(Tiere!S$30:S$85,'Berechnung Nährstoffe und Lager'!$BM68)</f>
        <v>0</v>
      </c>
      <c r="BX68" s="456">
        <f>INDEX(Tiere!T$30:T$85,'Berechnung Nährstoffe und Lager'!$BM68)</f>
        <v>0</v>
      </c>
      <c r="BY68" s="457">
        <f>INDEX(Tiere!U$30:U$85,'Berechnung Nährstoffe und Lager'!$BM68)</f>
        <v>0</v>
      </c>
      <c r="BZ68" s="460">
        <f>INDEX(Tiere!AA$30:AA$85,'Berechnung Nährstoffe und Lager'!$BM68)</f>
        <v>0</v>
      </c>
      <c r="CA68" s="457">
        <f>INDEX(Tiere!AB$30:AB$85,'Berechnung Nährstoffe und Lager'!$BM68)</f>
        <v>0</v>
      </c>
      <c r="CB68" s="463">
        <f>INDEX(Tiere!AK$30:AK$85,'Berechnung Nährstoffe und Lager'!$BM68)</f>
        <v>0</v>
      </c>
      <c r="CC68" s="457">
        <f>INDEX(Tiere!M$30:M$85,'Berechnung Nährstoffe und Lager'!$BM68)</f>
        <v>0</v>
      </c>
      <c r="CD68" s="457">
        <f>INDEX(Tiere!N$30:N$85,'Berechnung Nährstoffe und Lager'!$BM68)</f>
        <v>0</v>
      </c>
      <c r="CE68" s="457">
        <f>INDEX(Tiere!O$30:O$85,'Berechnung Nährstoffe und Lager'!$BM68)</f>
        <v>0</v>
      </c>
      <c r="CF68" s="450">
        <v>5</v>
      </c>
      <c r="CG68" s="450">
        <v>3</v>
      </c>
      <c r="CH68" s="454">
        <v>17</v>
      </c>
      <c r="CI68" s="450">
        <f>INDEX(Tiere!AN$30:AN$85,'Berechnung Nährstoffe und Lager'!$BM68)</f>
        <v>0</v>
      </c>
      <c r="CJ68" s="450">
        <f t="shared" ref="CJ68:CJ81" si="31">IF(R68=" ",0,CI68*R68)</f>
        <v>0</v>
      </c>
      <c r="CK68" s="450">
        <f t="shared" ref="CK68:CK81" si="32">(AZ68+BC68)/2*BU68</f>
        <v>0</v>
      </c>
      <c r="CL68" s="454">
        <f t="shared" ref="CL68:CL81" si="33">(BA68+BD68)/2*BF68</f>
        <v>0</v>
      </c>
      <c r="CM68" s="450"/>
      <c r="CN68" s="656" t="b">
        <f t="shared" ref="CN68:CN81" si="34">AND(BM68&gt;1)</f>
        <v>0</v>
      </c>
      <c r="CO68" s="450"/>
      <c r="CP68" s="460">
        <f>INDEX(Tiere!AO$30:AO$85,'Berechnung Nährstoffe und Lager'!$BM68)</f>
        <v>0</v>
      </c>
      <c r="CQ68" s="460">
        <f>INDEX(Tiere!AP$30:AP$85,'Berechnung Nährstoffe und Lager'!$BM68)</f>
        <v>0</v>
      </c>
      <c r="CR68" s="460">
        <f>INDEX(Tiere!AQ$30:AQ$85,'Berechnung Nährstoffe und Lager'!$BM68)</f>
        <v>0</v>
      </c>
      <c r="CS68" s="324">
        <f t="shared" ref="CS68:CS87" si="35">+((((AZ68*BR68*(100-BZ68)/100)*(CP68/100))+((BF68*BH68*BA68)*(CQ68/100)))+(((BC68*BR68*(100-BZ68)/100)*(CP68/100))+((BF68*BH68*BD68)*(CQ68/100))))/2</f>
        <v>0</v>
      </c>
      <c r="CT68" s="327">
        <f t="shared" ref="CT68:CT87" si="36">+((AL68+AS68+AO68+AV68)/2)/100*CR68</f>
        <v>0</v>
      </c>
      <c r="CU68" s="327">
        <f>+($E68+$F68)*($H68+$I68)/2/100*BR68*(100-CA68)/100</f>
        <v>0</v>
      </c>
      <c r="CV68" s="327">
        <f t="shared" ref="CV68:CV87" si="37">+($E68+$F68)*($H68+$I68)/2/100*BS68</f>
        <v>0</v>
      </c>
      <c r="CW68" s="327">
        <f t="shared" ref="CW68:CW87" si="38">+($E68+$F68)*($H68+$I68)/2/100*BT68</f>
        <v>0</v>
      </c>
      <c r="CX68" s="327">
        <f t="shared" ref="CX68:CX87" si="39">IF($DK68=FALSE,(($E68*(100-BZ68)/100*(100-($H68+$I68)/2)/100+$F68*(100-CA68)/100*(100-($H68+$I68)/2)/100)*BR68+(AS68+AV68)/2),0)</f>
        <v>0</v>
      </c>
      <c r="CY68" s="327">
        <f t="shared" ref="CY68:CY87" si="40">IF($DK68=FALSE,(($E68*(100-($H68+$I68)/2)/100+$F68*(100-($H68+$I68)/2)/100)*BS68+(AT68+AW68)/2),0)</f>
        <v>0</v>
      </c>
      <c r="CZ68" s="327">
        <f t="shared" ref="CZ68:CZ87" si="41">IF($DK68=FALSE,(($E68*(100-($H68+$I68)/2)/100+$F68*(100-($H68+$I68)/2)/100)*BT68+(AU68+AX68)/2),0)</f>
        <v>0</v>
      </c>
      <c r="DA68" s="327">
        <f t="shared" ref="DA68:DA87" si="42">IF($DK68=FALSE,(AF68+AB68)/2,0)</f>
        <v>0</v>
      </c>
      <c r="DB68" s="327">
        <f t="shared" ref="DB68:DB87" si="43">IF($DK68=FALSE,(AH68+AD68)/2,0)</f>
        <v>0</v>
      </c>
      <c r="DC68" s="327"/>
      <c r="DD68" s="327">
        <f>IF($DK68=TRUE,(($E68*(100-BZ68)/100*(100-($H68+$I68)/2)/100+$F68*(100-CA68)/100*(100-($H68+$I68)/2)/100)*BR68+(AS68+AV68)/2),0)</f>
        <v>0</v>
      </c>
      <c r="DE68" s="327">
        <f t="shared" ref="DE68:DE87" si="44">IF($DK68=TRUE,(($E68*(100-($H68+$I68)/2)/100+$F68*(100-($H68+$I68)/2)/100)*BS68+(AT68+AW68)/2),0)</f>
        <v>0</v>
      </c>
      <c r="DF68" s="327">
        <f t="shared" ref="DF68:DF87" si="45">IF($DK68=TRUE,(($E68*(100-($H68+$I68)/2)/100+$F68*(100-($H68+$I68)/2)/100)*BT68+(AU68+AX68)/2),0)</f>
        <v>0</v>
      </c>
      <c r="DG68" s="327">
        <f t="shared" ref="DG68:DG87" si="46">IF($DK68=TRUE,(AF68+AB68)/2,0)</f>
        <v>0</v>
      </c>
      <c r="DH68" s="327">
        <f>+DD68-DG68</f>
        <v>0</v>
      </c>
      <c r="DI68" s="327">
        <f t="shared" ref="DI68:DI87" si="47">IF(BK68=2,60,IF(BK68=3,70,IF(BK68=4,70,55)))</f>
        <v>55</v>
      </c>
      <c r="DJ68" s="327">
        <f t="shared" ref="DJ68:DJ87" si="48">IF(BK68=4,70,IF(DD68=0,0,(DH68*55+DG68*DI68)/DD68))</f>
        <v>0</v>
      </c>
      <c r="DK68" s="450" t="b">
        <v>0</v>
      </c>
      <c r="DL68" s="450">
        <f>IF(DK68=TRUE,1,0)</f>
        <v>0</v>
      </c>
      <c r="DM68" s="646">
        <f>INDEX(Tiere!AS$30:AS$85,'Berechnung Nährstoffe und Lager'!$BM68)</f>
        <v>0</v>
      </c>
      <c r="DN68" s="460">
        <f>INDEX(Tiere!AT$30:AT$85,'Berechnung Nährstoffe und Lager'!$BM68)</f>
        <v>0</v>
      </c>
      <c r="DO68" s="460">
        <f>INDEX(Tiere!AU$30:AU$85,'Berechnung Nährstoffe und Lager'!$BM68)</f>
        <v>0</v>
      </c>
      <c r="DP68" s="646">
        <f>INDEX(Tiere!AV$30:AV$85,'Berechnung Nährstoffe und Lager'!$BM68)</f>
        <v>0</v>
      </c>
      <c r="DQ68" s="460">
        <f>INDEX(Tiere!AW$30:AW$85,'Berechnung Nährstoffe und Lager'!$BM68)</f>
        <v>0</v>
      </c>
      <c r="DR68" s="460">
        <f>INDEX(Tiere!AX$30:AX$85,'Berechnung Nährstoffe und Lager'!$BM68)</f>
        <v>0</v>
      </c>
      <c r="DS68" s="460">
        <f>INDEX(Tiere!AY$30:AY$85,'Berechnung Nährstoffe und Lager'!$BM68)</f>
        <v>0</v>
      </c>
      <c r="DT68" s="460">
        <f>INDEX(Tiere!AZ$30:AZ$85,'Berechnung Nährstoffe und Lager'!$BM68)</f>
        <v>0</v>
      </c>
      <c r="DU68" s="456">
        <f>IF(DK68=TRUE,(DW68*DS68+DY68*DT68),0)</f>
        <v>0</v>
      </c>
      <c r="DV68" s="456">
        <f t="shared" ref="DV68:DV81" si="49">IF(J68=" ",0,(CK68*AJ68+CL68*AK68)/(CK68+CL68))</f>
        <v>0</v>
      </c>
      <c r="DW68" s="456">
        <f t="shared" ref="DW68:DW87" si="50">+(U68+W68)/2</f>
        <v>0</v>
      </c>
      <c r="DX68" s="456">
        <f t="shared" ref="DX68:DX87" si="51">+AR68</f>
        <v>0</v>
      </c>
      <c r="DY68" s="456">
        <f t="shared" ref="DY68:DY87" si="52">+(V68+X68)/2</f>
        <v>0</v>
      </c>
      <c r="DZ68" s="811">
        <f>IF(DK68=TRUE,(DW68*DV68/100*DM68*DN68)/1000,0)</f>
        <v>0</v>
      </c>
      <c r="EA68" s="654">
        <f>+DZ68*DO68/100</f>
        <v>0</v>
      </c>
      <c r="EB68" s="811">
        <f t="shared" ref="EB68:EB87" si="53">IF(DK68=TRUE,((V68+X68)/2*AR68/100*DP68*DQ68)/1000,0)</f>
        <v>0</v>
      </c>
      <c r="EC68" s="654">
        <f>+EB68*DR68/100</f>
        <v>0</v>
      </c>
      <c r="ED68" s="654">
        <f>+((U68+W68)/2+(V68+X68)/2)*DL68</f>
        <v>0</v>
      </c>
      <c r="EE68" s="324">
        <f>+((U68+W68)/2*DV68/100+((V68+X68)/2)*AR68/100)*DL68</f>
        <v>0</v>
      </c>
      <c r="EF68" s="654">
        <f>+ED68-EE68</f>
        <v>0</v>
      </c>
      <c r="EG68" s="324" t="e">
        <f>+EE68/ED68</f>
        <v>#DIV/0!</v>
      </c>
      <c r="EH68" s="324">
        <f t="shared" ref="EH68:EH87" si="54">+((U68+W68)/2*DV68/100*DM68+((V68+X68)/2)*AR68/100*DP68)*DL68</f>
        <v>0</v>
      </c>
      <c r="EI68" s="365" t="e">
        <f>+((U68+W68)/2*DV68/100*DM68*DN68+((V68+X68)/2)*AR68/100*DP68*DQ68)*DL68/ED68</f>
        <v>#DIV/0!</v>
      </c>
      <c r="EJ68" s="365" t="e">
        <f>(DW68+DY68)*EI68*((EA68+EC68)/(DZ68+EB68))/22.26*0.01605</f>
        <v>#DIV/0!</v>
      </c>
      <c r="EK68" s="365" t="e">
        <f>(DW68+DY68)*EI68*(1-(DO68*DZ68+DR68*EB68)/(DZ68+EB68)/100)/22.26*0.04401</f>
        <v>#DIV/0!</v>
      </c>
      <c r="EL68" s="324">
        <f>IF(ED68=0,0,EJ68+EK68)</f>
        <v>0</v>
      </c>
      <c r="EM68" s="324">
        <f>+DN68/887*100</f>
        <v>0</v>
      </c>
      <c r="EN68" s="411">
        <f>15.44*EM68/100</f>
        <v>0</v>
      </c>
      <c r="EO68" s="562">
        <f>+EL68-EP68</f>
        <v>0</v>
      </c>
      <c r="EP68" s="562">
        <f>+EL68*EN68/100</f>
        <v>0</v>
      </c>
      <c r="ES68" s="324">
        <f t="shared" ref="ES68:ES87" si="55">IF(BN68=1,BB68*CC68*BP68*365/1000,IF(BN68=2,BB68*CD68*BP68*365/1000,BB68*CE68*BP68*365/1000))</f>
        <v>0</v>
      </c>
      <c r="ET68" s="324">
        <f t="shared" ref="ET68:ET87" si="56">IF(BN68=1,BE68*CC68*BP68*365/1000,IF(BN68=2,BE68*CD68*BP68*365/1000,BE68*CE68*BP68*365/1000))</f>
        <v>0</v>
      </c>
      <c r="EU68" s="324">
        <f>+($E68+$F68)*BR68</f>
        <v>0</v>
      </c>
      <c r="EV68" s="324">
        <f>+($E68+$F68)*BS68</f>
        <v>0</v>
      </c>
      <c r="EW68" s="324" cm="1">
        <f t="array" ref="EW68">INDEX(Tiere!$AJ$30:$AJ$85,BM68)</f>
        <v>0</v>
      </c>
    </row>
    <row r="69" spans="1:153" ht="18" customHeight="1" x14ac:dyDescent="0.2">
      <c r="A69" s="2649"/>
      <c r="B69" s="2650"/>
      <c r="C69" s="2650"/>
      <c r="D69" s="2748"/>
      <c r="E69" s="352"/>
      <c r="F69" s="357"/>
      <c r="G69" s="290"/>
      <c r="H69" s="352"/>
      <c r="I69" s="702"/>
      <c r="J69" s="574" t="str">
        <f t="shared" si="1"/>
        <v xml:space="preserve"> </v>
      </c>
      <c r="K69" s="2693" t="str">
        <f t="shared" si="2"/>
        <v xml:space="preserve"> </v>
      </c>
      <c r="L69" s="2529"/>
      <c r="M69" s="800"/>
      <c r="N69" s="16"/>
      <c r="P69" s="450"/>
      <c r="Q69" s="450" t="str">
        <f t="shared" si="3"/>
        <v xml:space="preserve"> </v>
      </c>
      <c r="R69" s="450" t="str">
        <f t="shared" si="4"/>
        <v xml:space="preserve"> </v>
      </c>
      <c r="S69" s="450">
        <f t="shared" si="5"/>
        <v>0</v>
      </c>
      <c r="T69" s="531">
        <f t="shared" si="6"/>
        <v>0</v>
      </c>
      <c r="U69" s="450">
        <f t="shared" ref="U69:U81" si="57">IF(CN69=FALSE,0,IF(Z69+AA69=0,0,IF(AZ69*BU69+BA69*BF69=0,0,AZ69*BU69+BA69*BF69)))</f>
        <v>0</v>
      </c>
      <c r="V69" s="450">
        <f t="shared" si="7"/>
        <v>0</v>
      </c>
      <c r="W69" s="450">
        <f t="shared" si="8"/>
        <v>0</v>
      </c>
      <c r="X69" s="450">
        <f t="shared" si="9"/>
        <v>0</v>
      </c>
      <c r="Y69" s="450" t="str">
        <f t="shared" ref="Y69:Y81" si="58">IF(X69=0," ",(X69*(1/CB69)))</f>
        <v xml:space="preserve"> </v>
      </c>
      <c r="Z69" s="451">
        <f t="shared" si="10"/>
        <v>0</v>
      </c>
      <c r="AA69" s="452">
        <f t="shared" si="11"/>
        <v>0</v>
      </c>
      <c r="AB69" s="531">
        <f t="shared" ref="AB69:AB87" si="59">+(AZ69*BR69*(100-BZ69)/100)+(BF69*BH69*BA69)</f>
        <v>0</v>
      </c>
      <c r="AC69" s="531">
        <f t="shared" ref="AC69:AC87" si="60">IF(BK69=2,AB69,0)</f>
        <v>0</v>
      </c>
      <c r="AD69" s="531">
        <f t="shared" ref="AD69:AD87" si="61">AZ69*BS69+BA69*BF69*BI69</f>
        <v>0</v>
      </c>
      <c r="AE69" s="531">
        <f t="shared" ref="AE69:AE87" si="62">AZ69*BT69+BA69*BF69*BJ69</f>
        <v>0</v>
      </c>
      <c r="AF69" s="453">
        <f>+(BC69*BR69*(100-BZ69)/100)+(BF69*BH69*BD69)</f>
        <v>0</v>
      </c>
      <c r="AG69" s="450">
        <f t="shared" si="13"/>
        <v>0</v>
      </c>
      <c r="AH69" s="450">
        <f t="shared" si="14"/>
        <v>0</v>
      </c>
      <c r="AI69" s="454">
        <f t="shared" si="15"/>
        <v>0</v>
      </c>
      <c r="AJ69" s="455">
        <f>INDEX(Tiere!L$30:L$85,'Berechnung Nährstoffe und Lager'!$BM69)</f>
        <v>0</v>
      </c>
      <c r="AK69" s="455">
        <f>INDEX(Tiere!Z$30:Z$85,'Berechnung Nährstoffe und Lager'!BM69)</f>
        <v>0</v>
      </c>
      <c r="AL69" s="450">
        <f t="shared" ref="AL69:AL87" si="63">+(BA69*BR69*(100-CA69)/100)-BF69*BA69*BH69</f>
        <v>0</v>
      </c>
      <c r="AM69" s="450">
        <f t="shared" ref="AM69:AM87" si="64">BA69*BS69-BA69*BF69*BI69</f>
        <v>0</v>
      </c>
      <c r="AN69" s="450">
        <f t="shared" ref="AN69:AN87" si="65">BA69*BT69-BA69*BF69*BJ69</f>
        <v>0</v>
      </c>
      <c r="AO69" s="453">
        <f t="shared" si="16"/>
        <v>0</v>
      </c>
      <c r="AP69" s="450">
        <f t="shared" si="17"/>
        <v>0</v>
      </c>
      <c r="AQ69" s="454">
        <f t="shared" si="18"/>
        <v>0</v>
      </c>
      <c r="AR69" s="455" cm="1">
        <f t="array" ref="AR69">IF(BN69=1,INDEX(Tiere!V$30:V$85,'Berechnung Nährstoffe und Lager'!$BM69),IF(BN69=2,INDEX(Tiere!W$30:W$85,'Berechnung Nährstoffe und Lager'!$BM69),INDEX(Tiere!X$30:X$85,'Berechnung Nährstoffe und Lager'!$BM69)))</f>
        <v>0</v>
      </c>
      <c r="AS69" s="456">
        <f t="shared" si="19"/>
        <v>0</v>
      </c>
      <c r="AT69" s="456">
        <f t="shared" si="20"/>
        <v>0</v>
      </c>
      <c r="AU69" s="456">
        <f t="shared" si="21"/>
        <v>0</v>
      </c>
      <c r="AV69" s="453">
        <f t="shared" si="22"/>
        <v>0</v>
      </c>
      <c r="AW69" s="450">
        <f t="shared" si="23"/>
        <v>0</v>
      </c>
      <c r="AX69" s="454">
        <f t="shared" si="24"/>
        <v>0</v>
      </c>
      <c r="AY69" s="450"/>
      <c r="AZ69" s="528">
        <f t="shared" si="25"/>
        <v>0</v>
      </c>
      <c r="BA69" s="529">
        <f t="shared" si="26"/>
        <v>0</v>
      </c>
      <c r="BB69" s="529">
        <f t="shared" si="27"/>
        <v>0</v>
      </c>
      <c r="BC69" s="453">
        <f t="shared" si="28"/>
        <v>0</v>
      </c>
      <c r="BD69" s="450">
        <f t="shared" si="29"/>
        <v>0</v>
      </c>
      <c r="BE69" s="454">
        <f t="shared" si="30"/>
        <v>0</v>
      </c>
      <c r="BF69" s="458">
        <f t="shared" ref="BF69:BF81" si="66">IF(BN69=1,BV69,IF(BN69=2,BV69/2,0))</f>
        <v>0</v>
      </c>
      <c r="BG69" s="459">
        <f t="shared" ref="BG69:BG81" si="67">IF(BN69=1,BW69,IF(BN69=2,BX69,BY69))</f>
        <v>0</v>
      </c>
      <c r="BH69" s="1335">
        <f>INDEX(Tiere!BH$30:BH$85,'Berechnung Nährstoffe und Lager'!$BM69)</f>
        <v>0</v>
      </c>
      <c r="BI69" s="1335">
        <f>INDEX(Tiere!BI$30:BI$85,'Berechnung Nährstoffe und Lager'!$BM69)</f>
        <v>0</v>
      </c>
      <c r="BJ69" s="1335">
        <f>INDEX(Tiere!BJ$30:BJ$85,'Berechnung Nährstoffe und Lager'!$BM69)</f>
        <v>0</v>
      </c>
      <c r="BK69" s="1106">
        <f t="shared" ref="BK69:BK81" si="68">IF(BL69&lt;4,BL69+1,5)</f>
        <v>1</v>
      </c>
      <c r="BL69" s="1106" cm="1">
        <f t="array" ref="BL69">INDEX(Tiere!$C$30:$C$85,BM69)</f>
        <v>0</v>
      </c>
      <c r="BM69" s="462">
        <v>1</v>
      </c>
      <c r="BN69" s="462">
        <v>1</v>
      </c>
      <c r="BO69" s="461">
        <f>INDEX(Tiere!D$30:D$85,'Berechnung Nährstoffe und Lager'!$BM69)</f>
        <v>0</v>
      </c>
      <c r="BP69" s="461" t="str">
        <f t="shared" ref="BP69:BP87" si="69">IF(BO69&gt;0.001,BO69,"1")</f>
        <v>1</v>
      </c>
      <c r="BQ69" s="461">
        <f t="shared" ref="BQ69:BQ81" si="70">E69*BO69+F69*BO69</f>
        <v>0</v>
      </c>
      <c r="BR69" s="460">
        <f>INDEX(Tiere!E$30:E$85,'Berechnung Nährstoffe und Lager'!$BM69)</f>
        <v>0</v>
      </c>
      <c r="BS69" s="456">
        <f>INDEX(Tiere!F$30:F$85,'Berechnung Nährstoffe und Lager'!$BM69)</f>
        <v>0</v>
      </c>
      <c r="BT69" s="457">
        <f>INDEX(Tiere!G$30:G$85,'Berechnung Nährstoffe und Lager'!$BM69)</f>
        <v>0</v>
      </c>
      <c r="BU69" s="456">
        <f>INDEX(Tiere!K$30:K$85,'Berechnung Nährstoffe und Lager'!$BM69)</f>
        <v>0</v>
      </c>
      <c r="BV69" s="456">
        <f>INDEX(Tiere!Y$30:Y$85,'Berechnung Nährstoffe und Lager'!$BM69)</f>
        <v>0</v>
      </c>
      <c r="BW69" s="460">
        <f>INDEX(Tiere!S$30:S$85,'Berechnung Nährstoffe und Lager'!$BM69)</f>
        <v>0</v>
      </c>
      <c r="BX69" s="456">
        <f>INDEX(Tiere!T$30:T$85,'Berechnung Nährstoffe und Lager'!$BM69)</f>
        <v>0</v>
      </c>
      <c r="BY69" s="457">
        <f>INDEX(Tiere!U$30:U$85,'Berechnung Nährstoffe und Lager'!$BM69)</f>
        <v>0</v>
      </c>
      <c r="BZ69" s="460">
        <f>INDEX(Tiere!AA$30:AA$85,'Berechnung Nährstoffe und Lager'!$BM69)</f>
        <v>0</v>
      </c>
      <c r="CA69" s="457">
        <f>INDEX(Tiere!AB$30:AB$85,'Berechnung Nährstoffe und Lager'!$BM69)</f>
        <v>0</v>
      </c>
      <c r="CB69" s="463">
        <f>INDEX(Tiere!AK$30:AK$85,'Berechnung Nährstoffe und Lager'!$BM69)</f>
        <v>0</v>
      </c>
      <c r="CC69" s="457">
        <f>INDEX(Tiere!M$30:M$85,'Berechnung Nährstoffe und Lager'!$BM69)</f>
        <v>0</v>
      </c>
      <c r="CD69" s="457">
        <f>INDEX(Tiere!N$30:N$85,'Berechnung Nährstoffe und Lager'!$BM69)</f>
        <v>0</v>
      </c>
      <c r="CE69" s="457">
        <f>INDEX(Tiere!O$30:O$85,'Berechnung Nährstoffe und Lager'!$BM69)</f>
        <v>0</v>
      </c>
      <c r="CF69" s="450">
        <v>5</v>
      </c>
      <c r="CG69" s="450">
        <v>3</v>
      </c>
      <c r="CH69" s="454">
        <v>17</v>
      </c>
      <c r="CI69" s="450">
        <f>INDEX(Tiere!AN$30:AN$85,'Berechnung Nährstoffe und Lager'!$BM69)</f>
        <v>0</v>
      </c>
      <c r="CJ69" s="450">
        <f t="shared" si="31"/>
        <v>0</v>
      </c>
      <c r="CK69" s="450">
        <f t="shared" si="32"/>
        <v>0</v>
      </c>
      <c r="CL69" s="454">
        <f t="shared" si="33"/>
        <v>0</v>
      </c>
      <c r="CM69" s="450"/>
      <c r="CN69" s="656" t="b">
        <f t="shared" si="34"/>
        <v>0</v>
      </c>
      <c r="CO69" s="450"/>
      <c r="CP69" s="460">
        <f>INDEX(Tiere!AO$30:AO$85,'Berechnung Nährstoffe und Lager'!$BM69)</f>
        <v>0</v>
      </c>
      <c r="CQ69" s="460">
        <f>INDEX(Tiere!AP$30:AP$85,'Berechnung Nährstoffe und Lager'!$BM69)</f>
        <v>0</v>
      </c>
      <c r="CR69" s="460">
        <f>INDEX(Tiere!AQ$30:AQ$85,'Berechnung Nährstoffe und Lager'!$BM69)</f>
        <v>0</v>
      </c>
      <c r="CS69" s="324">
        <f t="shared" si="35"/>
        <v>0</v>
      </c>
      <c r="CT69" s="327">
        <f t="shared" si="36"/>
        <v>0</v>
      </c>
      <c r="CU69" s="327">
        <f t="shared" ref="CU69:CU87" si="71">+($E69+$F69)*($H69+$I69)/2/100*BR69*(100-CA69)/100</f>
        <v>0</v>
      </c>
      <c r="CV69" s="327">
        <f t="shared" si="37"/>
        <v>0</v>
      </c>
      <c r="CW69" s="327">
        <f t="shared" si="38"/>
        <v>0</v>
      </c>
      <c r="CX69" s="327">
        <f>IF($DK69=FALSE,(($E69*(100-BZ69)/100*(100-($H69+$I69)/2)/100+$F69*(100-CA69)/100*(100-($H69+$I69)/2)/100)*BR69+(AS69+AV69)/2),0)</f>
        <v>0</v>
      </c>
      <c r="CY69" s="327">
        <f t="shared" si="40"/>
        <v>0</v>
      </c>
      <c r="CZ69" s="327">
        <f t="shared" si="41"/>
        <v>0</v>
      </c>
      <c r="DA69" s="327">
        <f t="shared" si="42"/>
        <v>0</v>
      </c>
      <c r="DB69" s="327">
        <f t="shared" si="43"/>
        <v>0</v>
      </c>
      <c r="DC69" s="327"/>
      <c r="DD69" s="327">
        <f t="shared" ref="DD69:DD87" si="72">IF($DK69=TRUE,(($E69*(100-BZ69)/100*(100-($H69+$I69)/2)/100+$F69*(100-CA69)/100*(100-($H69+$I69)/2)/100)*BR69+(AS69+AV69)/2),0)</f>
        <v>0</v>
      </c>
      <c r="DE69" s="327">
        <f t="shared" si="44"/>
        <v>0</v>
      </c>
      <c r="DF69" s="327">
        <f t="shared" si="45"/>
        <v>0</v>
      </c>
      <c r="DG69" s="327">
        <f t="shared" si="46"/>
        <v>0</v>
      </c>
      <c r="DH69" s="327">
        <f t="shared" ref="DH69:DH87" si="73">+DD69-DG69</f>
        <v>0</v>
      </c>
      <c r="DI69" s="327">
        <f t="shared" si="47"/>
        <v>55</v>
      </c>
      <c r="DJ69" s="327">
        <f t="shared" si="48"/>
        <v>0</v>
      </c>
      <c r="DK69" s="450" t="b">
        <v>0</v>
      </c>
      <c r="DL69" s="450">
        <f t="shared" ref="DL69:DL87" si="74">IF(DK69=TRUE,1,0)</f>
        <v>0</v>
      </c>
      <c r="DM69" s="646">
        <f>INDEX(Tiere!AS$30:AS$85,'Berechnung Nährstoffe und Lager'!$BM69)</f>
        <v>0</v>
      </c>
      <c r="DN69" s="460">
        <f>INDEX(Tiere!AT$30:AT$85,'Berechnung Nährstoffe und Lager'!$BM69)</f>
        <v>0</v>
      </c>
      <c r="DO69" s="460">
        <f>INDEX(Tiere!AU$30:AU$85,'Berechnung Nährstoffe und Lager'!$BM69)</f>
        <v>0</v>
      </c>
      <c r="DP69" s="646">
        <f>INDEX(Tiere!AV$30:AV$85,'Berechnung Nährstoffe und Lager'!$BM69)</f>
        <v>0</v>
      </c>
      <c r="DQ69" s="460">
        <f>INDEX(Tiere!AW$30:AW$85,'Berechnung Nährstoffe und Lager'!$BM69)</f>
        <v>0</v>
      </c>
      <c r="DR69" s="460">
        <f>INDEX(Tiere!AX$30:AX$85,'Berechnung Nährstoffe und Lager'!$BM69)</f>
        <v>0</v>
      </c>
      <c r="DS69" s="460">
        <f>INDEX(Tiere!AY$30:AY$85,'Berechnung Nährstoffe und Lager'!$BM69)</f>
        <v>0</v>
      </c>
      <c r="DT69" s="460">
        <f>INDEX(Tiere!AZ$30:AZ$85,'Berechnung Nährstoffe und Lager'!$BM69)</f>
        <v>0</v>
      </c>
      <c r="DU69" s="456">
        <f t="shared" ref="DU69:DU87" si="75">IF(DK69=TRUE,(DW69*DS69+DY69*DT69),0)</f>
        <v>0</v>
      </c>
      <c r="DV69" s="456">
        <f t="shared" si="49"/>
        <v>0</v>
      </c>
      <c r="DW69" s="456">
        <f t="shared" si="50"/>
        <v>0</v>
      </c>
      <c r="DX69" s="456">
        <f t="shared" si="51"/>
        <v>0</v>
      </c>
      <c r="DY69" s="456">
        <f t="shared" si="52"/>
        <v>0</v>
      </c>
      <c r="DZ69" s="811">
        <f t="shared" ref="DZ69:DZ82" si="76">IF(DK69=TRUE,(DW69*DV69/100*DM69*DN69)/1000,0)</f>
        <v>0</v>
      </c>
      <c r="EA69" s="654">
        <f t="shared" ref="EA69:EA87" si="77">+DZ69*DO69/100</f>
        <v>0</v>
      </c>
      <c r="EB69" s="811">
        <f t="shared" si="53"/>
        <v>0</v>
      </c>
      <c r="EC69" s="654">
        <f t="shared" ref="EC69:EC87" si="78">+EB69*DR69/100</f>
        <v>0</v>
      </c>
      <c r="ED69" s="654">
        <f t="shared" ref="ED69:ED87" si="79">+((U69+W69)/2+(V69+X69)/2)*DL69</f>
        <v>0</v>
      </c>
      <c r="EE69" s="324">
        <f t="shared" ref="EE69:EE87" si="80">+((U69+W69)/2*DV69/100+((V69+X69)/2)*AR69/100)*DL69</f>
        <v>0</v>
      </c>
      <c r="EF69" s="654">
        <f t="shared" ref="EF69:EF87" si="81">+ED69-EE69</f>
        <v>0</v>
      </c>
      <c r="EG69" s="324" t="e">
        <f t="shared" ref="EG69:EG87" si="82">+EE69/ED69</f>
        <v>#DIV/0!</v>
      </c>
      <c r="EH69" s="324">
        <f t="shared" si="54"/>
        <v>0</v>
      </c>
      <c r="EI69" s="365" t="e">
        <f>+(((U69+W69)/2*DV69/100*DM69*DN69+((V69+X69)/2)*AR69/100*DP69*DQ69)*DL69)/ED69</f>
        <v>#DIV/0!</v>
      </c>
      <c r="EJ69" s="365" t="e">
        <f>(DW69+DY69)*EI69*((EA69+EC69)/(DZ69+EB69))/22.26*0.01605</f>
        <v>#DIV/0!</v>
      </c>
      <c r="EK69" s="365" t="e">
        <f t="shared" ref="EK69:EK87" si="83">(DW69+DY69)*EI69*(1-(DO69*DZ69+DR69*EB69)/(DZ69+EB69)/100)/22.26*0.04401</f>
        <v>#DIV/0!</v>
      </c>
      <c r="EL69" s="324">
        <f t="shared" ref="EL69:EL87" si="84">IF(ED69=0,0,EJ69+EK69)</f>
        <v>0</v>
      </c>
      <c r="EM69" s="324">
        <f t="shared" ref="EM69:EM87" si="85">+DN69/887*100</f>
        <v>0</v>
      </c>
      <c r="EN69" s="411">
        <f t="shared" ref="EN69:EN87" si="86">15.44*EM69/100</f>
        <v>0</v>
      </c>
      <c r="EO69" s="562">
        <f t="shared" ref="EO69:EO87" si="87">+EL69-EP69</f>
        <v>0</v>
      </c>
      <c r="EP69" s="562">
        <f t="shared" ref="EP69:EP87" si="88">+EL69*EN69/100</f>
        <v>0</v>
      </c>
      <c r="ES69" s="324">
        <f t="shared" si="55"/>
        <v>0</v>
      </c>
      <c r="ET69" s="324">
        <f t="shared" si="56"/>
        <v>0</v>
      </c>
      <c r="EU69" s="324">
        <f t="shared" ref="EU69:EU87" si="89">+($E69+$F69)*BR69</f>
        <v>0</v>
      </c>
      <c r="EV69" s="324">
        <f t="shared" ref="EV69:EV87" si="90">+($E69+$F69)*BS69</f>
        <v>0</v>
      </c>
      <c r="EW69" s="324" cm="1">
        <f t="array" ref="EW69">INDEX(Tiere!$AJ$30:$AJ$85,BM69)</f>
        <v>0</v>
      </c>
    </row>
    <row r="70" spans="1:153" ht="18" customHeight="1" x14ac:dyDescent="0.2">
      <c r="A70" s="2649"/>
      <c r="B70" s="2650"/>
      <c r="C70" s="2650"/>
      <c r="D70" s="2650"/>
      <c r="E70" s="352"/>
      <c r="F70" s="357"/>
      <c r="G70" s="290"/>
      <c r="H70" s="352"/>
      <c r="I70" s="702"/>
      <c r="J70" s="574" t="str">
        <f t="shared" si="1"/>
        <v xml:space="preserve"> </v>
      </c>
      <c r="K70" s="2693" t="str">
        <f t="shared" si="2"/>
        <v xml:space="preserve"> </v>
      </c>
      <c r="L70" s="2529"/>
      <c r="M70" s="800"/>
      <c r="N70" s="16"/>
      <c r="O70" s="16"/>
      <c r="P70" s="450"/>
      <c r="Q70" s="450" t="str">
        <f t="shared" si="3"/>
        <v xml:space="preserve"> </v>
      </c>
      <c r="R70" s="450" t="str">
        <f t="shared" si="4"/>
        <v xml:space="preserve"> </v>
      </c>
      <c r="S70" s="450">
        <f t="shared" si="5"/>
        <v>0</v>
      </c>
      <c r="T70" s="531">
        <f t="shared" si="6"/>
        <v>0</v>
      </c>
      <c r="U70" s="450">
        <f t="shared" si="57"/>
        <v>0</v>
      </c>
      <c r="V70" s="450">
        <f t="shared" si="7"/>
        <v>0</v>
      </c>
      <c r="W70" s="450">
        <f t="shared" si="8"/>
        <v>0</v>
      </c>
      <c r="X70" s="450">
        <f t="shared" si="9"/>
        <v>0</v>
      </c>
      <c r="Y70" s="450" t="str">
        <f t="shared" si="58"/>
        <v xml:space="preserve"> </v>
      </c>
      <c r="Z70" s="451">
        <f t="shared" si="10"/>
        <v>0</v>
      </c>
      <c r="AA70" s="452">
        <f t="shared" si="11"/>
        <v>0</v>
      </c>
      <c r="AB70" s="531">
        <f t="shared" si="59"/>
        <v>0</v>
      </c>
      <c r="AC70" s="531">
        <f t="shared" si="60"/>
        <v>0</v>
      </c>
      <c r="AD70" s="531">
        <f t="shared" si="61"/>
        <v>0</v>
      </c>
      <c r="AE70" s="531">
        <f t="shared" si="62"/>
        <v>0</v>
      </c>
      <c r="AF70" s="453">
        <f t="shared" si="12"/>
        <v>0</v>
      </c>
      <c r="AG70" s="450">
        <f t="shared" si="13"/>
        <v>0</v>
      </c>
      <c r="AH70" s="450">
        <f t="shared" si="14"/>
        <v>0</v>
      </c>
      <c r="AI70" s="454">
        <f t="shared" si="15"/>
        <v>0</v>
      </c>
      <c r="AJ70" s="455">
        <f>INDEX(Tiere!L$30:L$85,'Berechnung Nährstoffe und Lager'!$BM70)</f>
        <v>0</v>
      </c>
      <c r="AK70" s="455">
        <f>INDEX(Tiere!Z$30:Z$85,'Berechnung Nährstoffe und Lager'!BM70)</f>
        <v>0</v>
      </c>
      <c r="AL70" s="450">
        <f t="shared" si="63"/>
        <v>0</v>
      </c>
      <c r="AM70" s="450">
        <f t="shared" si="64"/>
        <v>0</v>
      </c>
      <c r="AN70" s="450">
        <f t="shared" si="65"/>
        <v>0</v>
      </c>
      <c r="AO70" s="453">
        <f t="shared" si="16"/>
        <v>0</v>
      </c>
      <c r="AP70" s="450">
        <f t="shared" si="17"/>
        <v>0</v>
      </c>
      <c r="AQ70" s="454">
        <f t="shared" si="18"/>
        <v>0</v>
      </c>
      <c r="AR70" s="455" cm="1">
        <f t="array" ref="AR70">IF(BN70=1,INDEX(Tiere!V$30:V$85,'Berechnung Nährstoffe und Lager'!$BM70),IF(BN70=2,INDEX(Tiere!W$30:W$85,'Berechnung Nährstoffe und Lager'!$BM70),INDEX(Tiere!X$30:X$85,'Berechnung Nährstoffe und Lager'!$BM70)))</f>
        <v>0</v>
      </c>
      <c r="AS70" s="456">
        <f t="shared" si="19"/>
        <v>0</v>
      </c>
      <c r="AT70" s="456">
        <f t="shared" si="20"/>
        <v>0</v>
      </c>
      <c r="AU70" s="456">
        <f t="shared" si="21"/>
        <v>0</v>
      </c>
      <c r="AV70" s="453">
        <f t="shared" si="22"/>
        <v>0</v>
      </c>
      <c r="AW70" s="450">
        <f t="shared" si="23"/>
        <v>0</v>
      </c>
      <c r="AX70" s="454">
        <f t="shared" si="24"/>
        <v>0</v>
      </c>
      <c r="AY70" s="450"/>
      <c r="AZ70" s="528">
        <f t="shared" si="25"/>
        <v>0</v>
      </c>
      <c r="BA70" s="529">
        <f t="shared" si="26"/>
        <v>0</v>
      </c>
      <c r="BB70" s="529">
        <f t="shared" si="27"/>
        <v>0</v>
      </c>
      <c r="BC70" s="453">
        <f t="shared" si="28"/>
        <v>0</v>
      </c>
      <c r="BD70" s="450">
        <f t="shared" si="29"/>
        <v>0</v>
      </c>
      <c r="BE70" s="454">
        <f t="shared" si="30"/>
        <v>0</v>
      </c>
      <c r="BF70" s="460">
        <f t="shared" si="66"/>
        <v>0</v>
      </c>
      <c r="BG70" s="457">
        <f t="shared" si="67"/>
        <v>0</v>
      </c>
      <c r="BH70" s="1335">
        <f>INDEX(Tiere!BH$30:BH$85,'Berechnung Nährstoffe und Lager'!$BM70)</f>
        <v>0</v>
      </c>
      <c r="BI70" s="1335">
        <f>INDEX(Tiere!BI$30:BI$85,'Berechnung Nährstoffe und Lager'!$BM70)</f>
        <v>0</v>
      </c>
      <c r="BJ70" s="1335">
        <f>INDEX(Tiere!BJ$30:BJ$85,'Berechnung Nährstoffe und Lager'!$BM70)</f>
        <v>0</v>
      </c>
      <c r="BK70" s="1106">
        <f t="shared" si="68"/>
        <v>1</v>
      </c>
      <c r="BL70" s="1106" cm="1">
        <f t="array" ref="BL70">INDEX(Tiere!$C$30:$C$85,BM70)</f>
        <v>0</v>
      </c>
      <c r="BM70" s="462">
        <v>1</v>
      </c>
      <c r="BN70" s="462">
        <v>1</v>
      </c>
      <c r="BO70" s="461">
        <f>INDEX(Tiere!D$30:D$85,'Berechnung Nährstoffe und Lager'!$BM70)</f>
        <v>0</v>
      </c>
      <c r="BP70" s="461" t="str">
        <f t="shared" si="69"/>
        <v>1</v>
      </c>
      <c r="BQ70" s="461">
        <f t="shared" si="70"/>
        <v>0</v>
      </c>
      <c r="BR70" s="460">
        <f>INDEX(Tiere!E$30:E$85,'Berechnung Nährstoffe und Lager'!$BM70)</f>
        <v>0</v>
      </c>
      <c r="BS70" s="456">
        <f>INDEX(Tiere!F$30:F$85,'Berechnung Nährstoffe und Lager'!$BM70)</f>
        <v>0</v>
      </c>
      <c r="BT70" s="457">
        <f>INDEX(Tiere!G$30:G$85,'Berechnung Nährstoffe und Lager'!$BM70)</f>
        <v>0</v>
      </c>
      <c r="BU70" s="456">
        <f>INDEX(Tiere!K$30:K$85,'Berechnung Nährstoffe und Lager'!$BM70)</f>
        <v>0</v>
      </c>
      <c r="BV70" s="456">
        <f>INDEX(Tiere!Y$30:Y$85,'Berechnung Nährstoffe und Lager'!$BM70)</f>
        <v>0</v>
      </c>
      <c r="BW70" s="460">
        <f>INDEX(Tiere!S$30:S$85,'Berechnung Nährstoffe und Lager'!$BM70)</f>
        <v>0</v>
      </c>
      <c r="BX70" s="456">
        <f>INDEX(Tiere!T$30:T$85,'Berechnung Nährstoffe und Lager'!$BM70)</f>
        <v>0</v>
      </c>
      <c r="BY70" s="457">
        <f>INDEX(Tiere!U$30:U$85,'Berechnung Nährstoffe und Lager'!$BM70)</f>
        <v>0</v>
      </c>
      <c r="BZ70" s="460">
        <f>INDEX(Tiere!AA$30:AA$85,'Berechnung Nährstoffe und Lager'!$BM70)</f>
        <v>0</v>
      </c>
      <c r="CA70" s="457">
        <f>INDEX(Tiere!AB$30:AB$85,'Berechnung Nährstoffe und Lager'!$BM70)</f>
        <v>0</v>
      </c>
      <c r="CB70" s="463">
        <f>INDEX(Tiere!AK$30:AK$85,'Berechnung Nährstoffe und Lager'!$BM70)</f>
        <v>0</v>
      </c>
      <c r="CC70" s="457">
        <f>INDEX(Tiere!M$30:M$85,'Berechnung Nährstoffe und Lager'!$BM70)</f>
        <v>0</v>
      </c>
      <c r="CD70" s="457">
        <f>INDEX(Tiere!N$30:N$85,'Berechnung Nährstoffe und Lager'!$BM70)</f>
        <v>0</v>
      </c>
      <c r="CE70" s="457">
        <f>INDEX(Tiere!O$30:O$85,'Berechnung Nährstoffe und Lager'!$BM70)</f>
        <v>0</v>
      </c>
      <c r="CF70" s="450">
        <v>5</v>
      </c>
      <c r="CG70" s="450">
        <v>3</v>
      </c>
      <c r="CH70" s="454">
        <v>17</v>
      </c>
      <c r="CI70" s="450">
        <f>INDEX(Tiere!AN$30:AN$85,'Berechnung Nährstoffe und Lager'!$BM70)</f>
        <v>0</v>
      </c>
      <c r="CJ70" s="450">
        <f t="shared" si="31"/>
        <v>0</v>
      </c>
      <c r="CK70" s="450">
        <f t="shared" si="32"/>
        <v>0</v>
      </c>
      <c r="CL70" s="454">
        <f t="shared" si="33"/>
        <v>0</v>
      </c>
      <c r="CM70" s="450"/>
      <c r="CN70" s="656" t="b">
        <f t="shared" si="34"/>
        <v>0</v>
      </c>
      <c r="CO70" s="450"/>
      <c r="CP70" s="460">
        <f>INDEX(Tiere!AO$30:AO$85,'Berechnung Nährstoffe und Lager'!$BM70)</f>
        <v>0</v>
      </c>
      <c r="CQ70" s="460">
        <f>INDEX(Tiere!AP$30:AP$85,'Berechnung Nährstoffe und Lager'!$BM70)</f>
        <v>0</v>
      </c>
      <c r="CR70" s="460">
        <f>INDEX(Tiere!AQ$30:AQ$85,'Berechnung Nährstoffe und Lager'!$BM70)</f>
        <v>0</v>
      </c>
      <c r="CS70" s="324">
        <f t="shared" si="35"/>
        <v>0</v>
      </c>
      <c r="CT70" s="327">
        <f t="shared" si="36"/>
        <v>0</v>
      </c>
      <c r="CU70" s="327">
        <f t="shared" si="71"/>
        <v>0</v>
      </c>
      <c r="CV70" s="327">
        <f t="shared" si="37"/>
        <v>0</v>
      </c>
      <c r="CW70" s="327">
        <f t="shared" si="38"/>
        <v>0</v>
      </c>
      <c r="CX70" s="327">
        <f t="shared" si="39"/>
        <v>0</v>
      </c>
      <c r="CY70" s="327">
        <f t="shared" si="40"/>
        <v>0</v>
      </c>
      <c r="CZ70" s="327">
        <f t="shared" si="41"/>
        <v>0</v>
      </c>
      <c r="DA70" s="327">
        <f t="shared" si="42"/>
        <v>0</v>
      </c>
      <c r="DB70" s="327">
        <f t="shared" si="43"/>
        <v>0</v>
      </c>
      <c r="DC70" s="327"/>
      <c r="DD70" s="327">
        <f t="shared" si="72"/>
        <v>0</v>
      </c>
      <c r="DE70" s="327">
        <f t="shared" si="44"/>
        <v>0</v>
      </c>
      <c r="DF70" s="327">
        <f t="shared" si="45"/>
        <v>0</v>
      </c>
      <c r="DG70" s="327">
        <f t="shared" si="46"/>
        <v>0</v>
      </c>
      <c r="DH70" s="327">
        <f t="shared" si="73"/>
        <v>0</v>
      </c>
      <c r="DI70" s="327">
        <f t="shared" si="47"/>
        <v>55</v>
      </c>
      <c r="DJ70" s="327">
        <f t="shared" si="48"/>
        <v>0</v>
      </c>
      <c r="DK70" s="450" t="b">
        <v>0</v>
      </c>
      <c r="DL70" s="450">
        <f t="shared" si="74"/>
        <v>0</v>
      </c>
      <c r="DM70" s="646">
        <f>INDEX(Tiere!AS$30:AS$85,'Berechnung Nährstoffe und Lager'!$BM70)</f>
        <v>0</v>
      </c>
      <c r="DN70" s="460">
        <f>INDEX(Tiere!AT$30:AT$85,'Berechnung Nährstoffe und Lager'!$BM70)</f>
        <v>0</v>
      </c>
      <c r="DO70" s="460">
        <f>INDEX(Tiere!AU$30:AU$85,'Berechnung Nährstoffe und Lager'!$BM70)</f>
        <v>0</v>
      </c>
      <c r="DP70" s="646">
        <f>INDEX(Tiere!AV$30:AV$85,'Berechnung Nährstoffe und Lager'!$BM70)</f>
        <v>0</v>
      </c>
      <c r="DQ70" s="460">
        <f>INDEX(Tiere!AW$30:AW$85,'Berechnung Nährstoffe und Lager'!$BM70)</f>
        <v>0</v>
      </c>
      <c r="DR70" s="460">
        <f>INDEX(Tiere!AX$30:AX$85,'Berechnung Nährstoffe und Lager'!$BM70)</f>
        <v>0</v>
      </c>
      <c r="DS70" s="460">
        <f>INDEX(Tiere!AY$30:AY$85,'Berechnung Nährstoffe und Lager'!$BM70)</f>
        <v>0</v>
      </c>
      <c r="DT70" s="460">
        <f>INDEX(Tiere!AZ$30:AZ$85,'Berechnung Nährstoffe und Lager'!$BM70)</f>
        <v>0</v>
      </c>
      <c r="DU70" s="456">
        <f t="shared" si="75"/>
        <v>0</v>
      </c>
      <c r="DV70" s="456">
        <f t="shared" si="49"/>
        <v>0</v>
      </c>
      <c r="DW70" s="456">
        <f t="shared" si="50"/>
        <v>0</v>
      </c>
      <c r="DX70" s="456">
        <f t="shared" si="51"/>
        <v>0</v>
      </c>
      <c r="DY70" s="456">
        <f t="shared" si="52"/>
        <v>0</v>
      </c>
      <c r="DZ70" s="811">
        <f t="shared" si="76"/>
        <v>0</v>
      </c>
      <c r="EA70" s="654">
        <f t="shared" si="77"/>
        <v>0</v>
      </c>
      <c r="EB70" s="811">
        <f t="shared" si="53"/>
        <v>0</v>
      </c>
      <c r="EC70" s="654">
        <f>+EB70*DR70/100</f>
        <v>0</v>
      </c>
      <c r="ED70" s="654">
        <f t="shared" si="79"/>
        <v>0</v>
      </c>
      <c r="EE70" s="324">
        <f t="shared" si="80"/>
        <v>0</v>
      </c>
      <c r="EF70" s="654">
        <f t="shared" si="81"/>
        <v>0</v>
      </c>
      <c r="EG70" s="324" t="e">
        <f t="shared" si="82"/>
        <v>#DIV/0!</v>
      </c>
      <c r="EH70" s="324">
        <f t="shared" si="54"/>
        <v>0</v>
      </c>
      <c r="EI70" s="365" t="e">
        <f t="shared" ref="EI70:EI87" si="91">+((U70+W70)/2*DV70/100*DM70*DN70+((V70+X70)/2)*AR70/100*DP70*DQ70)*DL70/ED70</f>
        <v>#DIV/0!</v>
      </c>
      <c r="EJ70" s="365" t="e">
        <f t="shared" ref="EJ70:EJ87" si="92">(DW70+DY70)*EI70*((EA70+EC70)/(DZ70+EB70))/22.26*0.01605</f>
        <v>#DIV/0!</v>
      </c>
      <c r="EK70" s="365" t="e">
        <f>(DW70+DY70)*EI70*(1-(DO70*DZ70+DR70*EB70)/(DZ70+EB70)/100)/22.26*0.04401</f>
        <v>#DIV/0!</v>
      </c>
      <c r="EL70" s="324">
        <f t="shared" si="84"/>
        <v>0</v>
      </c>
      <c r="EM70" s="324">
        <f t="shared" si="85"/>
        <v>0</v>
      </c>
      <c r="EN70" s="411">
        <f t="shared" si="86"/>
        <v>0</v>
      </c>
      <c r="EO70" s="562">
        <f t="shared" si="87"/>
        <v>0</v>
      </c>
      <c r="EP70" s="562">
        <f t="shared" si="88"/>
        <v>0</v>
      </c>
      <c r="ES70" s="324">
        <f t="shared" si="55"/>
        <v>0</v>
      </c>
      <c r="ET70" s="324">
        <f t="shared" si="56"/>
        <v>0</v>
      </c>
      <c r="EU70" s="324">
        <f t="shared" si="89"/>
        <v>0</v>
      </c>
      <c r="EV70" s="324">
        <f t="shared" si="90"/>
        <v>0</v>
      </c>
      <c r="EW70" s="324" cm="1">
        <f t="array" ref="EW70">INDEX(Tiere!$AJ$30:$AJ$85,BM70)</f>
        <v>0</v>
      </c>
    </row>
    <row r="71" spans="1:153" ht="18" customHeight="1" x14ac:dyDescent="0.2">
      <c r="A71" s="2649"/>
      <c r="B71" s="2650"/>
      <c r="C71" s="2650"/>
      <c r="D71" s="2650"/>
      <c r="E71" s="352"/>
      <c r="F71" s="357"/>
      <c r="G71" s="290"/>
      <c r="H71" s="352"/>
      <c r="I71" s="702"/>
      <c r="J71" s="574" t="str">
        <f t="shared" si="1"/>
        <v xml:space="preserve"> </v>
      </c>
      <c r="K71" s="2693" t="str">
        <f t="shared" si="2"/>
        <v xml:space="preserve"> </v>
      </c>
      <c r="L71" s="2529"/>
      <c r="M71" s="800"/>
      <c r="N71" s="16"/>
      <c r="O71" s="16"/>
      <c r="P71" s="450"/>
      <c r="Q71" s="450" t="str">
        <f t="shared" si="3"/>
        <v xml:space="preserve"> </v>
      </c>
      <c r="R71" s="450" t="str">
        <f t="shared" si="4"/>
        <v xml:space="preserve"> </v>
      </c>
      <c r="S71" s="450">
        <f t="shared" si="5"/>
        <v>0</v>
      </c>
      <c r="T71" s="531">
        <f t="shared" si="6"/>
        <v>0</v>
      </c>
      <c r="U71" s="450">
        <f t="shared" si="57"/>
        <v>0</v>
      </c>
      <c r="V71" s="450">
        <f t="shared" si="7"/>
        <v>0</v>
      </c>
      <c r="W71" s="450">
        <f t="shared" si="8"/>
        <v>0</v>
      </c>
      <c r="X71" s="450">
        <f t="shared" si="9"/>
        <v>0</v>
      </c>
      <c r="Y71" s="450" t="str">
        <f t="shared" si="58"/>
        <v xml:space="preserve"> </v>
      </c>
      <c r="Z71" s="451">
        <f t="shared" si="10"/>
        <v>0</v>
      </c>
      <c r="AA71" s="452">
        <f t="shared" si="11"/>
        <v>0</v>
      </c>
      <c r="AB71" s="531">
        <f t="shared" si="59"/>
        <v>0</v>
      </c>
      <c r="AC71" s="531">
        <f t="shared" si="60"/>
        <v>0</v>
      </c>
      <c r="AD71" s="531">
        <f t="shared" si="61"/>
        <v>0</v>
      </c>
      <c r="AE71" s="531">
        <f t="shared" si="62"/>
        <v>0</v>
      </c>
      <c r="AF71" s="453">
        <f t="shared" si="12"/>
        <v>0</v>
      </c>
      <c r="AG71" s="450">
        <f t="shared" si="13"/>
        <v>0</v>
      </c>
      <c r="AH71" s="450">
        <f t="shared" si="14"/>
        <v>0</v>
      </c>
      <c r="AI71" s="454">
        <f t="shared" si="15"/>
        <v>0</v>
      </c>
      <c r="AJ71" s="455">
        <f>INDEX(Tiere!L$30:L$85,'Berechnung Nährstoffe und Lager'!$BM71)</f>
        <v>0</v>
      </c>
      <c r="AK71" s="455">
        <f>INDEX(Tiere!Z$30:Z$85,'Berechnung Nährstoffe und Lager'!BM71)</f>
        <v>0</v>
      </c>
      <c r="AL71" s="450">
        <f t="shared" si="63"/>
        <v>0</v>
      </c>
      <c r="AM71" s="450">
        <f t="shared" si="64"/>
        <v>0</v>
      </c>
      <c r="AN71" s="450">
        <f t="shared" si="65"/>
        <v>0</v>
      </c>
      <c r="AO71" s="453">
        <f t="shared" si="16"/>
        <v>0</v>
      </c>
      <c r="AP71" s="450">
        <f t="shared" si="17"/>
        <v>0</v>
      </c>
      <c r="AQ71" s="454">
        <f t="shared" si="18"/>
        <v>0</v>
      </c>
      <c r="AR71" s="455" cm="1">
        <f t="array" ref="AR71">IF(BN71=1,INDEX(Tiere!V$30:V$85,'Berechnung Nährstoffe und Lager'!$BM71),IF(BN71=2,INDEX(Tiere!W$30:W$85,'Berechnung Nährstoffe und Lager'!$BM71),INDEX(Tiere!X$30:X$85,'Berechnung Nährstoffe und Lager'!$BM71)))</f>
        <v>0</v>
      </c>
      <c r="AS71" s="456">
        <f t="shared" si="19"/>
        <v>0</v>
      </c>
      <c r="AT71" s="456">
        <f t="shared" si="20"/>
        <v>0</v>
      </c>
      <c r="AU71" s="456">
        <f t="shared" si="21"/>
        <v>0</v>
      </c>
      <c r="AV71" s="453">
        <f t="shared" si="22"/>
        <v>0</v>
      </c>
      <c r="AW71" s="450">
        <f t="shared" si="23"/>
        <v>0</v>
      </c>
      <c r="AX71" s="454">
        <f t="shared" si="24"/>
        <v>0</v>
      </c>
      <c r="AY71" s="450"/>
      <c r="AZ71" s="528">
        <f t="shared" si="25"/>
        <v>0</v>
      </c>
      <c r="BA71" s="529">
        <f t="shared" si="26"/>
        <v>0</v>
      </c>
      <c r="BB71" s="529">
        <f t="shared" si="27"/>
        <v>0</v>
      </c>
      <c r="BC71" s="453">
        <f t="shared" si="28"/>
        <v>0</v>
      </c>
      <c r="BD71" s="450">
        <f t="shared" si="29"/>
        <v>0</v>
      </c>
      <c r="BE71" s="454">
        <f t="shared" si="30"/>
        <v>0</v>
      </c>
      <c r="BF71" s="460">
        <f t="shared" si="66"/>
        <v>0</v>
      </c>
      <c r="BG71" s="820">
        <f t="shared" si="67"/>
        <v>0</v>
      </c>
      <c r="BH71" s="1335">
        <f>INDEX(Tiere!BH$30:BH$85,'Berechnung Nährstoffe und Lager'!$BM71)</f>
        <v>0</v>
      </c>
      <c r="BI71" s="1335">
        <f>INDEX(Tiere!BI$30:BI$85,'Berechnung Nährstoffe und Lager'!$BM71)</f>
        <v>0</v>
      </c>
      <c r="BJ71" s="1335">
        <f>INDEX(Tiere!BJ$30:BJ$85,'Berechnung Nährstoffe und Lager'!$BM71)</f>
        <v>0</v>
      </c>
      <c r="BK71" s="1106">
        <f t="shared" si="68"/>
        <v>1</v>
      </c>
      <c r="BL71" s="1106" cm="1">
        <f t="array" ref="BL71">INDEX(Tiere!$C$30:$C$85,BM71)</f>
        <v>0</v>
      </c>
      <c r="BM71" s="462">
        <v>1</v>
      </c>
      <c r="BN71" s="462">
        <v>1</v>
      </c>
      <c r="BO71" s="461">
        <f>INDEX(Tiere!D$30:D$85,'Berechnung Nährstoffe und Lager'!$BM71)</f>
        <v>0</v>
      </c>
      <c r="BP71" s="461" t="str">
        <f t="shared" si="69"/>
        <v>1</v>
      </c>
      <c r="BQ71" s="461">
        <f t="shared" si="70"/>
        <v>0</v>
      </c>
      <c r="BR71" s="460">
        <f>INDEX(Tiere!E$30:E$85,'Berechnung Nährstoffe und Lager'!$BM71)</f>
        <v>0</v>
      </c>
      <c r="BS71" s="456">
        <f>INDEX(Tiere!F$30:F$85,'Berechnung Nährstoffe und Lager'!$BM71)</f>
        <v>0</v>
      </c>
      <c r="BT71" s="457">
        <f>INDEX(Tiere!G$30:G$85,'Berechnung Nährstoffe und Lager'!$BM71)</f>
        <v>0</v>
      </c>
      <c r="BU71" s="456">
        <f>INDEX(Tiere!K$30:K$85,'Berechnung Nährstoffe und Lager'!$BM71)</f>
        <v>0</v>
      </c>
      <c r="BV71" s="456">
        <f>INDEX(Tiere!Y$30:Y$85,'Berechnung Nährstoffe und Lager'!$BM71)</f>
        <v>0</v>
      </c>
      <c r="BW71" s="460">
        <f>INDEX(Tiere!S$30:S$85,'Berechnung Nährstoffe und Lager'!$BM71)</f>
        <v>0</v>
      </c>
      <c r="BX71" s="456">
        <f>INDEX(Tiere!T$30:T$85,'Berechnung Nährstoffe und Lager'!$BM71)</f>
        <v>0</v>
      </c>
      <c r="BY71" s="457">
        <f>INDEX(Tiere!U$30:U$85,'Berechnung Nährstoffe und Lager'!$BM71)</f>
        <v>0</v>
      </c>
      <c r="BZ71" s="460">
        <f>INDEX(Tiere!AA$30:AA$85,'Berechnung Nährstoffe und Lager'!$BM71)</f>
        <v>0</v>
      </c>
      <c r="CA71" s="457">
        <f>INDEX(Tiere!AB$30:AB$85,'Berechnung Nährstoffe und Lager'!$BM71)</f>
        <v>0</v>
      </c>
      <c r="CB71" s="463">
        <f>INDEX(Tiere!AK$30:AK$85,'Berechnung Nährstoffe und Lager'!$BM71)</f>
        <v>0</v>
      </c>
      <c r="CC71" s="457">
        <f>INDEX(Tiere!M$30:M$85,'Berechnung Nährstoffe und Lager'!$BM71)</f>
        <v>0</v>
      </c>
      <c r="CD71" s="457">
        <f>INDEX(Tiere!N$30:N$85,'Berechnung Nährstoffe und Lager'!$BM71)</f>
        <v>0</v>
      </c>
      <c r="CE71" s="457">
        <f>INDEX(Tiere!O$30:O$85,'Berechnung Nährstoffe und Lager'!$BM71)</f>
        <v>0</v>
      </c>
      <c r="CF71" s="450">
        <v>5</v>
      </c>
      <c r="CG71" s="450">
        <v>3</v>
      </c>
      <c r="CH71" s="454">
        <v>17</v>
      </c>
      <c r="CI71" s="450">
        <f>INDEX(Tiere!AN$30:AN$85,'Berechnung Nährstoffe und Lager'!$BM71)</f>
        <v>0</v>
      </c>
      <c r="CJ71" s="450">
        <f t="shared" si="31"/>
        <v>0</v>
      </c>
      <c r="CK71" s="450">
        <f t="shared" si="32"/>
        <v>0</v>
      </c>
      <c r="CL71" s="454">
        <f t="shared" si="33"/>
        <v>0</v>
      </c>
      <c r="CM71" s="450"/>
      <c r="CN71" s="656" t="b">
        <f t="shared" si="34"/>
        <v>0</v>
      </c>
      <c r="CO71" s="450"/>
      <c r="CP71" s="460">
        <f>INDEX(Tiere!AO$30:AO$85,'Berechnung Nährstoffe und Lager'!$BM71)</f>
        <v>0</v>
      </c>
      <c r="CQ71" s="460">
        <f>INDEX(Tiere!AP$30:AP$85,'Berechnung Nährstoffe und Lager'!$BM71)</f>
        <v>0</v>
      </c>
      <c r="CR71" s="460">
        <f>INDEX(Tiere!AQ$30:AQ$85,'Berechnung Nährstoffe und Lager'!$BM71)</f>
        <v>0</v>
      </c>
      <c r="CS71" s="324">
        <f t="shared" si="35"/>
        <v>0</v>
      </c>
      <c r="CT71" s="327">
        <f t="shared" si="36"/>
        <v>0</v>
      </c>
      <c r="CU71" s="327">
        <f>+($E71+$F71)*($H71+$I71)/2/100*BR71*(100-CA71)/100</f>
        <v>0</v>
      </c>
      <c r="CV71" s="327">
        <f t="shared" si="37"/>
        <v>0</v>
      </c>
      <c r="CW71" s="327">
        <f t="shared" si="38"/>
        <v>0</v>
      </c>
      <c r="CX71" s="327">
        <f>IF($DK71=FALSE,(($E71*(100-BZ71)/100*(100-($H71+$I71)/2)/100+$F71*(100-CA71)/100*(100-($H71+$I71)/2)/100)*BR71+(AS71+AV71)/2),0)</f>
        <v>0</v>
      </c>
      <c r="CY71" s="327">
        <f t="shared" si="40"/>
        <v>0</v>
      </c>
      <c r="CZ71" s="327">
        <f t="shared" si="41"/>
        <v>0</v>
      </c>
      <c r="DA71" s="327">
        <f t="shared" si="42"/>
        <v>0</v>
      </c>
      <c r="DB71" s="327">
        <f t="shared" si="43"/>
        <v>0</v>
      </c>
      <c r="DC71" s="327"/>
      <c r="DD71" s="327">
        <f t="shared" si="72"/>
        <v>0</v>
      </c>
      <c r="DE71" s="327">
        <f t="shared" si="44"/>
        <v>0</v>
      </c>
      <c r="DF71" s="327">
        <f t="shared" si="45"/>
        <v>0</v>
      </c>
      <c r="DG71" s="327">
        <f t="shared" si="46"/>
        <v>0</v>
      </c>
      <c r="DH71" s="327">
        <f t="shared" si="73"/>
        <v>0</v>
      </c>
      <c r="DI71" s="327">
        <f t="shared" si="47"/>
        <v>55</v>
      </c>
      <c r="DJ71" s="327">
        <f t="shared" si="48"/>
        <v>0</v>
      </c>
      <c r="DK71" s="450" t="b">
        <v>0</v>
      </c>
      <c r="DL71" s="450">
        <f t="shared" si="74"/>
        <v>0</v>
      </c>
      <c r="DM71" s="646">
        <f>INDEX(Tiere!AS$30:AS$85,'Berechnung Nährstoffe und Lager'!$BM71)</f>
        <v>0</v>
      </c>
      <c r="DN71" s="460">
        <f>INDEX(Tiere!AT$30:AT$85,'Berechnung Nährstoffe und Lager'!$BM71)</f>
        <v>0</v>
      </c>
      <c r="DO71" s="460">
        <f>INDEX(Tiere!AU$30:AU$85,'Berechnung Nährstoffe und Lager'!$BM71)</f>
        <v>0</v>
      </c>
      <c r="DP71" s="646">
        <f>INDEX(Tiere!AV$30:AV$85,'Berechnung Nährstoffe und Lager'!$BM71)</f>
        <v>0</v>
      </c>
      <c r="DQ71" s="460">
        <f>INDEX(Tiere!AW$30:AW$85,'Berechnung Nährstoffe und Lager'!$BM71)</f>
        <v>0</v>
      </c>
      <c r="DR71" s="460">
        <f>INDEX(Tiere!AX$30:AX$85,'Berechnung Nährstoffe und Lager'!$BM71)</f>
        <v>0</v>
      </c>
      <c r="DS71" s="460">
        <f>INDEX(Tiere!AY$30:AY$85,'Berechnung Nährstoffe und Lager'!$BM71)</f>
        <v>0</v>
      </c>
      <c r="DT71" s="460">
        <f>INDEX(Tiere!AZ$30:AZ$85,'Berechnung Nährstoffe und Lager'!$BM71)</f>
        <v>0</v>
      </c>
      <c r="DU71" s="456">
        <f t="shared" si="75"/>
        <v>0</v>
      </c>
      <c r="DV71" s="456">
        <f t="shared" si="49"/>
        <v>0</v>
      </c>
      <c r="DW71" s="456">
        <f t="shared" si="50"/>
        <v>0</v>
      </c>
      <c r="DX71" s="456">
        <f t="shared" si="51"/>
        <v>0</v>
      </c>
      <c r="DY71" s="456">
        <f t="shared" si="52"/>
        <v>0</v>
      </c>
      <c r="DZ71" s="811">
        <f t="shared" si="76"/>
        <v>0</v>
      </c>
      <c r="EA71" s="654">
        <f t="shared" si="77"/>
        <v>0</v>
      </c>
      <c r="EB71" s="811">
        <f t="shared" si="53"/>
        <v>0</v>
      </c>
      <c r="EC71" s="654">
        <f t="shared" si="78"/>
        <v>0</v>
      </c>
      <c r="ED71" s="654">
        <f t="shared" si="79"/>
        <v>0</v>
      </c>
      <c r="EE71" s="324">
        <f t="shared" si="80"/>
        <v>0</v>
      </c>
      <c r="EF71" s="654">
        <f t="shared" si="81"/>
        <v>0</v>
      </c>
      <c r="EG71" s="324" t="e">
        <f t="shared" si="82"/>
        <v>#DIV/0!</v>
      </c>
      <c r="EH71" s="324">
        <f t="shared" si="54"/>
        <v>0</v>
      </c>
      <c r="EI71" s="365" t="e">
        <f t="shared" si="91"/>
        <v>#DIV/0!</v>
      </c>
      <c r="EJ71" s="365" t="e">
        <f t="shared" si="92"/>
        <v>#DIV/0!</v>
      </c>
      <c r="EK71" s="365" t="e">
        <f t="shared" si="83"/>
        <v>#DIV/0!</v>
      </c>
      <c r="EL71" s="324">
        <f t="shared" si="84"/>
        <v>0</v>
      </c>
      <c r="EM71" s="324">
        <f t="shared" si="85"/>
        <v>0</v>
      </c>
      <c r="EN71" s="411">
        <f t="shared" si="86"/>
        <v>0</v>
      </c>
      <c r="EO71" s="562">
        <f t="shared" si="87"/>
        <v>0</v>
      </c>
      <c r="EP71" s="562">
        <f t="shared" si="88"/>
        <v>0</v>
      </c>
      <c r="ES71" s="324">
        <f t="shared" si="55"/>
        <v>0</v>
      </c>
      <c r="ET71" s="324">
        <f t="shared" si="56"/>
        <v>0</v>
      </c>
      <c r="EU71" s="324">
        <f t="shared" si="89"/>
        <v>0</v>
      </c>
      <c r="EV71" s="324">
        <f t="shared" si="90"/>
        <v>0</v>
      </c>
      <c r="EW71" s="324" cm="1">
        <f t="array" ref="EW71">INDEX(Tiere!$AJ$30:$AJ$85,BM71)</f>
        <v>0</v>
      </c>
    </row>
    <row r="72" spans="1:153" ht="18" customHeight="1" x14ac:dyDescent="0.2">
      <c r="A72" s="2649"/>
      <c r="B72" s="2650"/>
      <c r="C72" s="2650"/>
      <c r="D72" s="2650"/>
      <c r="E72" s="352"/>
      <c r="F72" s="357"/>
      <c r="G72" s="290"/>
      <c r="H72" s="352"/>
      <c r="I72" s="702"/>
      <c r="J72" s="574" t="str">
        <f t="shared" si="1"/>
        <v xml:space="preserve"> </v>
      </c>
      <c r="K72" s="2693" t="str">
        <f t="shared" si="2"/>
        <v xml:space="preserve"> </v>
      </c>
      <c r="L72" s="2529"/>
      <c r="M72" s="800"/>
      <c r="N72" s="17"/>
      <c r="O72" s="17"/>
      <c r="P72" s="422"/>
      <c r="Q72" s="450" t="str">
        <f t="shared" si="3"/>
        <v xml:space="preserve"> </v>
      </c>
      <c r="R72" s="450" t="str">
        <f t="shared" si="4"/>
        <v xml:space="preserve"> </v>
      </c>
      <c r="S72" s="450">
        <f t="shared" si="5"/>
        <v>0</v>
      </c>
      <c r="T72" s="531">
        <f t="shared" si="6"/>
        <v>0</v>
      </c>
      <c r="U72" s="450">
        <f t="shared" si="57"/>
        <v>0</v>
      </c>
      <c r="V72" s="450">
        <f t="shared" si="7"/>
        <v>0</v>
      </c>
      <c r="W72" s="450">
        <f t="shared" si="8"/>
        <v>0</v>
      </c>
      <c r="X72" s="450">
        <f t="shared" si="9"/>
        <v>0</v>
      </c>
      <c r="Y72" s="450" t="str">
        <f t="shared" si="58"/>
        <v xml:space="preserve"> </v>
      </c>
      <c r="Z72" s="451">
        <f t="shared" si="10"/>
        <v>0</v>
      </c>
      <c r="AA72" s="452">
        <f t="shared" si="11"/>
        <v>0</v>
      </c>
      <c r="AB72" s="531">
        <f t="shared" si="59"/>
        <v>0</v>
      </c>
      <c r="AC72" s="531">
        <f t="shared" si="60"/>
        <v>0</v>
      </c>
      <c r="AD72" s="531">
        <f t="shared" si="61"/>
        <v>0</v>
      </c>
      <c r="AE72" s="531">
        <f t="shared" si="62"/>
        <v>0</v>
      </c>
      <c r="AF72" s="453">
        <f t="shared" si="12"/>
        <v>0</v>
      </c>
      <c r="AG72" s="450">
        <f t="shared" si="13"/>
        <v>0</v>
      </c>
      <c r="AH72" s="450">
        <f t="shared" si="14"/>
        <v>0</v>
      </c>
      <c r="AI72" s="454">
        <f t="shared" si="15"/>
        <v>0</v>
      </c>
      <c r="AJ72" s="455">
        <f>INDEX(Tiere!L$30:L$85,'Berechnung Nährstoffe und Lager'!$BM72)</f>
        <v>0</v>
      </c>
      <c r="AK72" s="455">
        <f>INDEX(Tiere!Z$30:Z$85,'Berechnung Nährstoffe und Lager'!BM72)</f>
        <v>0</v>
      </c>
      <c r="AL72" s="450">
        <f t="shared" si="63"/>
        <v>0</v>
      </c>
      <c r="AM72" s="450">
        <f t="shared" si="64"/>
        <v>0</v>
      </c>
      <c r="AN72" s="450">
        <f t="shared" si="65"/>
        <v>0</v>
      </c>
      <c r="AO72" s="453">
        <f t="shared" si="16"/>
        <v>0</v>
      </c>
      <c r="AP72" s="450">
        <f t="shared" si="17"/>
        <v>0</v>
      </c>
      <c r="AQ72" s="454">
        <f t="shared" si="18"/>
        <v>0</v>
      </c>
      <c r="AR72" s="455" cm="1">
        <f t="array" ref="AR72">IF(BN72=1,INDEX(Tiere!V$30:V$85,'Berechnung Nährstoffe und Lager'!$BM72),IF(BN72=2,INDEX(Tiere!W$30:W$85,'Berechnung Nährstoffe und Lager'!$BM72),INDEX(Tiere!X$30:X$85,'Berechnung Nährstoffe und Lager'!$BM72)))</f>
        <v>0</v>
      </c>
      <c r="AS72" s="456">
        <f t="shared" si="19"/>
        <v>0</v>
      </c>
      <c r="AT72" s="456">
        <f t="shared" si="20"/>
        <v>0</v>
      </c>
      <c r="AU72" s="456">
        <f t="shared" si="21"/>
        <v>0</v>
      </c>
      <c r="AV72" s="453">
        <f t="shared" si="22"/>
        <v>0</v>
      </c>
      <c r="AW72" s="450">
        <f t="shared" si="23"/>
        <v>0</v>
      </c>
      <c r="AX72" s="454">
        <f t="shared" si="24"/>
        <v>0</v>
      </c>
      <c r="AY72" s="450"/>
      <c r="AZ72" s="528">
        <f t="shared" si="25"/>
        <v>0</v>
      </c>
      <c r="BA72" s="529">
        <f t="shared" si="26"/>
        <v>0</v>
      </c>
      <c r="BB72" s="529">
        <f t="shared" si="27"/>
        <v>0</v>
      </c>
      <c r="BC72" s="453">
        <f t="shared" si="28"/>
        <v>0</v>
      </c>
      <c r="BD72" s="450">
        <f t="shared" si="29"/>
        <v>0</v>
      </c>
      <c r="BE72" s="454">
        <f t="shared" si="30"/>
        <v>0</v>
      </c>
      <c r="BF72" s="460">
        <f t="shared" si="66"/>
        <v>0</v>
      </c>
      <c r="BG72" s="457">
        <f t="shared" si="67"/>
        <v>0</v>
      </c>
      <c r="BH72" s="1335">
        <f>INDEX(Tiere!BH$30:BH$85,'Berechnung Nährstoffe und Lager'!$BM72)</f>
        <v>0</v>
      </c>
      <c r="BI72" s="1335">
        <f>INDEX(Tiere!BI$30:BI$85,'Berechnung Nährstoffe und Lager'!$BM72)</f>
        <v>0</v>
      </c>
      <c r="BJ72" s="1335">
        <f>INDEX(Tiere!BJ$30:BJ$85,'Berechnung Nährstoffe und Lager'!$BM72)</f>
        <v>0</v>
      </c>
      <c r="BK72" s="1106">
        <f t="shared" si="68"/>
        <v>1</v>
      </c>
      <c r="BL72" s="1106" cm="1">
        <f t="array" ref="BL72">INDEX(Tiere!$C$30:$C$85,BM72)</f>
        <v>0</v>
      </c>
      <c r="BM72" s="462">
        <v>1</v>
      </c>
      <c r="BN72" s="462">
        <v>1</v>
      </c>
      <c r="BO72" s="461">
        <f>INDEX(Tiere!D$30:D$85,'Berechnung Nährstoffe und Lager'!$BM72)</f>
        <v>0</v>
      </c>
      <c r="BP72" s="461" t="str">
        <f t="shared" si="69"/>
        <v>1</v>
      </c>
      <c r="BQ72" s="461">
        <f t="shared" si="70"/>
        <v>0</v>
      </c>
      <c r="BR72" s="460">
        <f>INDEX(Tiere!E$30:E$85,'Berechnung Nährstoffe und Lager'!$BM72)</f>
        <v>0</v>
      </c>
      <c r="BS72" s="456">
        <f>INDEX(Tiere!F$30:F$85,'Berechnung Nährstoffe und Lager'!$BM72)</f>
        <v>0</v>
      </c>
      <c r="BT72" s="457">
        <f>INDEX(Tiere!G$30:G$85,'Berechnung Nährstoffe und Lager'!$BM72)</f>
        <v>0</v>
      </c>
      <c r="BU72" s="456">
        <f>INDEX(Tiere!K$30:K$85,'Berechnung Nährstoffe und Lager'!$BM72)</f>
        <v>0</v>
      </c>
      <c r="BV72" s="456">
        <f>INDEX(Tiere!Y$30:Y$85,'Berechnung Nährstoffe und Lager'!$BM72)</f>
        <v>0</v>
      </c>
      <c r="BW72" s="460">
        <f>INDEX(Tiere!S$30:S$85,'Berechnung Nährstoffe und Lager'!$BM72)</f>
        <v>0</v>
      </c>
      <c r="BX72" s="456">
        <f>INDEX(Tiere!T$30:T$85,'Berechnung Nährstoffe und Lager'!$BM72)</f>
        <v>0</v>
      </c>
      <c r="BY72" s="457">
        <f>INDEX(Tiere!U$30:U$85,'Berechnung Nährstoffe und Lager'!$BM72)</f>
        <v>0</v>
      </c>
      <c r="BZ72" s="460">
        <f>INDEX(Tiere!AA$30:AA$85,'Berechnung Nährstoffe und Lager'!$BM72)</f>
        <v>0</v>
      </c>
      <c r="CA72" s="457">
        <f>INDEX(Tiere!AB$30:AB$85,'Berechnung Nährstoffe und Lager'!$BM72)</f>
        <v>0</v>
      </c>
      <c r="CB72" s="463">
        <f>INDEX(Tiere!AK$30:AK$85,'Berechnung Nährstoffe und Lager'!$BM72)</f>
        <v>0</v>
      </c>
      <c r="CC72" s="457">
        <f>INDEX(Tiere!M$30:M$85,'Berechnung Nährstoffe und Lager'!$BM72)</f>
        <v>0</v>
      </c>
      <c r="CD72" s="457">
        <f>INDEX(Tiere!N$30:N$85,'Berechnung Nährstoffe und Lager'!$BM72)</f>
        <v>0</v>
      </c>
      <c r="CE72" s="457">
        <f>INDEX(Tiere!O$30:O$85,'Berechnung Nährstoffe und Lager'!$BM72)</f>
        <v>0</v>
      </c>
      <c r="CF72" s="422">
        <v>5</v>
      </c>
      <c r="CG72" s="422">
        <v>3</v>
      </c>
      <c r="CH72" s="444">
        <v>17</v>
      </c>
      <c r="CI72" s="450">
        <f>INDEX(Tiere!AN$30:AN$85,'Berechnung Nährstoffe und Lager'!$BM72)</f>
        <v>0</v>
      </c>
      <c r="CJ72" s="450">
        <f t="shared" si="31"/>
        <v>0</v>
      </c>
      <c r="CK72" s="450">
        <f t="shared" si="32"/>
        <v>0</v>
      </c>
      <c r="CL72" s="454">
        <f t="shared" si="33"/>
        <v>0</v>
      </c>
      <c r="CM72" s="422"/>
      <c r="CN72" s="656" t="b">
        <f t="shared" si="34"/>
        <v>0</v>
      </c>
      <c r="CO72" s="422"/>
      <c r="CP72" s="460">
        <f>INDEX(Tiere!AO$30:AO$85,'Berechnung Nährstoffe und Lager'!$BM72)</f>
        <v>0</v>
      </c>
      <c r="CQ72" s="460">
        <f>INDEX(Tiere!AP$30:AP$85,'Berechnung Nährstoffe und Lager'!$BM72)</f>
        <v>0</v>
      </c>
      <c r="CR72" s="460">
        <f>INDEX(Tiere!AQ$30:AQ$85,'Berechnung Nährstoffe und Lager'!$BM72)</f>
        <v>0</v>
      </c>
      <c r="CS72" s="324">
        <f t="shared" si="35"/>
        <v>0</v>
      </c>
      <c r="CT72" s="327">
        <f t="shared" si="36"/>
        <v>0</v>
      </c>
      <c r="CU72" s="327">
        <f t="shared" si="71"/>
        <v>0</v>
      </c>
      <c r="CV72" s="327">
        <f t="shared" si="37"/>
        <v>0</v>
      </c>
      <c r="CW72" s="327">
        <f t="shared" si="38"/>
        <v>0</v>
      </c>
      <c r="CX72" s="327">
        <f t="shared" si="39"/>
        <v>0</v>
      </c>
      <c r="CY72" s="327">
        <f t="shared" si="40"/>
        <v>0</v>
      </c>
      <c r="CZ72" s="327">
        <f t="shared" si="41"/>
        <v>0</v>
      </c>
      <c r="DA72" s="327">
        <f t="shared" si="42"/>
        <v>0</v>
      </c>
      <c r="DB72" s="327">
        <f t="shared" si="43"/>
        <v>0</v>
      </c>
      <c r="DC72" s="327"/>
      <c r="DD72" s="327">
        <f t="shared" si="72"/>
        <v>0</v>
      </c>
      <c r="DE72" s="327">
        <f t="shared" si="44"/>
        <v>0</v>
      </c>
      <c r="DF72" s="327">
        <f t="shared" si="45"/>
        <v>0</v>
      </c>
      <c r="DG72" s="327">
        <f t="shared" si="46"/>
        <v>0</v>
      </c>
      <c r="DH72" s="327">
        <f t="shared" si="73"/>
        <v>0</v>
      </c>
      <c r="DI72" s="327">
        <f t="shared" si="47"/>
        <v>55</v>
      </c>
      <c r="DJ72" s="327">
        <f t="shared" si="48"/>
        <v>0</v>
      </c>
      <c r="DK72" s="422" t="b">
        <v>0</v>
      </c>
      <c r="DL72" s="450">
        <f t="shared" si="74"/>
        <v>0</v>
      </c>
      <c r="DM72" s="646">
        <f>INDEX(Tiere!AS$30:AS$85,'Berechnung Nährstoffe und Lager'!$BM72)</f>
        <v>0</v>
      </c>
      <c r="DN72" s="460">
        <f>INDEX(Tiere!AT$30:AT$85,'Berechnung Nährstoffe und Lager'!$BM72)</f>
        <v>0</v>
      </c>
      <c r="DO72" s="460">
        <f>INDEX(Tiere!AU$30:AU$85,'Berechnung Nährstoffe und Lager'!$BM72)</f>
        <v>0</v>
      </c>
      <c r="DP72" s="646">
        <f>INDEX(Tiere!AV$30:AV$85,'Berechnung Nährstoffe und Lager'!$BM72)</f>
        <v>0</v>
      </c>
      <c r="DQ72" s="460">
        <f>INDEX(Tiere!AW$30:AW$85,'Berechnung Nährstoffe und Lager'!$BM72)</f>
        <v>0</v>
      </c>
      <c r="DR72" s="460">
        <f>INDEX(Tiere!AX$30:AX$85,'Berechnung Nährstoffe und Lager'!$BM72)</f>
        <v>0</v>
      </c>
      <c r="DS72" s="460">
        <f>INDEX(Tiere!AY$30:AY$85,'Berechnung Nährstoffe und Lager'!$BM72)</f>
        <v>0</v>
      </c>
      <c r="DT72" s="460">
        <f>INDEX(Tiere!AZ$30:AZ$85,'Berechnung Nährstoffe und Lager'!$BM72)</f>
        <v>0</v>
      </c>
      <c r="DU72" s="456">
        <f t="shared" si="75"/>
        <v>0</v>
      </c>
      <c r="DV72" s="456">
        <f t="shared" si="49"/>
        <v>0</v>
      </c>
      <c r="DW72" s="456">
        <f t="shared" si="50"/>
        <v>0</v>
      </c>
      <c r="DX72" s="456">
        <f t="shared" si="51"/>
        <v>0</v>
      </c>
      <c r="DY72" s="456">
        <f t="shared" si="52"/>
        <v>0</v>
      </c>
      <c r="DZ72" s="811">
        <f t="shared" si="76"/>
        <v>0</v>
      </c>
      <c r="EA72" s="654">
        <f t="shared" si="77"/>
        <v>0</v>
      </c>
      <c r="EB72" s="811">
        <f t="shared" si="53"/>
        <v>0</v>
      </c>
      <c r="EC72" s="654">
        <f t="shared" si="78"/>
        <v>0</v>
      </c>
      <c r="ED72" s="654">
        <f t="shared" si="79"/>
        <v>0</v>
      </c>
      <c r="EE72" s="324">
        <f t="shared" si="80"/>
        <v>0</v>
      </c>
      <c r="EF72" s="654">
        <f t="shared" si="81"/>
        <v>0</v>
      </c>
      <c r="EG72" s="324" t="e">
        <f t="shared" si="82"/>
        <v>#DIV/0!</v>
      </c>
      <c r="EH72" s="324">
        <f t="shared" si="54"/>
        <v>0</v>
      </c>
      <c r="EI72" s="365" t="e">
        <f t="shared" si="91"/>
        <v>#DIV/0!</v>
      </c>
      <c r="EJ72" s="365" t="e">
        <f t="shared" si="92"/>
        <v>#DIV/0!</v>
      </c>
      <c r="EK72" s="365" t="e">
        <f t="shared" si="83"/>
        <v>#DIV/0!</v>
      </c>
      <c r="EL72" s="324">
        <f t="shared" si="84"/>
        <v>0</v>
      </c>
      <c r="EM72" s="324">
        <f t="shared" si="85"/>
        <v>0</v>
      </c>
      <c r="EN72" s="411">
        <f t="shared" si="86"/>
        <v>0</v>
      </c>
      <c r="EO72" s="562">
        <f t="shared" si="87"/>
        <v>0</v>
      </c>
      <c r="EP72" s="562">
        <f t="shared" si="88"/>
        <v>0</v>
      </c>
      <c r="ES72" s="324">
        <f t="shared" si="55"/>
        <v>0</v>
      </c>
      <c r="ET72" s="324">
        <f t="shared" si="56"/>
        <v>0</v>
      </c>
      <c r="EU72" s="324">
        <f t="shared" si="89"/>
        <v>0</v>
      </c>
      <c r="EV72" s="324">
        <f t="shared" si="90"/>
        <v>0</v>
      </c>
      <c r="EW72" s="324" cm="1">
        <f t="array" ref="EW72">INDEX(Tiere!$AJ$30:$AJ$85,BM72)</f>
        <v>0</v>
      </c>
    </row>
    <row r="73" spans="1:153" ht="18" customHeight="1" x14ac:dyDescent="0.2">
      <c r="A73" s="2649"/>
      <c r="B73" s="2650"/>
      <c r="C73" s="2650"/>
      <c r="D73" s="2650"/>
      <c r="E73" s="352"/>
      <c r="F73" s="357"/>
      <c r="G73" s="290"/>
      <c r="H73" s="352"/>
      <c r="I73" s="702"/>
      <c r="J73" s="574" t="str">
        <f t="shared" si="1"/>
        <v xml:space="preserve"> </v>
      </c>
      <c r="K73" s="2693" t="str">
        <f t="shared" si="2"/>
        <v xml:space="preserve"> </v>
      </c>
      <c r="L73" s="2529"/>
      <c r="M73" s="800"/>
      <c r="N73" s="17"/>
      <c r="O73" s="17"/>
      <c r="P73" s="422"/>
      <c r="Q73" s="450" t="str">
        <f t="shared" si="3"/>
        <v xml:space="preserve"> </v>
      </c>
      <c r="R73" s="450" t="str">
        <f t="shared" si="4"/>
        <v xml:space="preserve"> </v>
      </c>
      <c r="S73" s="450">
        <f t="shared" si="5"/>
        <v>0</v>
      </c>
      <c r="T73" s="531">
        <f t="shared" si="6"/>
        <v>0</v>
      </c>
      <c r="U73" s="450">
        <f t="shared" si="57"/>
        <v>0</v>
      </c>
      <c r="V73" s="450">
        <f t="shared" si="7"/>
        <v>0</v>
      </c>
      <c r="W73" s="450">
        <f t="shared" si="8"/>
        <v>0</v>
      </c>
      <c r="X73" s="450">
        <f t="shared" si="9"/>
        <v>0</v>
      </c>
      <c r="Y73" s="450" t="str">
        <f t="shared" si="58"/>
        <v xml:space="preserve"> </v>
      </c>
      <c r="Z73" s="451">
        <f t="shared" si="10"/>
        <v>0</v>
      </c>
      <c r="AA73" s="452">
        <f t="shared" si="11"/>
        <v>0</v>
      </c>
      <c r="AB73" s="531">
        <f t="shared" si="59"/>
        <v>0</v>
      </c>
      <c r="AC73" s="531">
        <f t="shared" si="60"/>
        <v>0</v>
      </c>
      <c r="AD73" s="531">
        <f t="shared" si="61"/>
        <v>0</v>
      </c>
      <c r="AE73" s="531">
        <f t="shared" si="62"/>
        <v>0</v>
      </c>
      <c r="AF73" s="453">
        <f t="shared" si="12"/>
        <v>0</v>
      </c>
      <c r="AG73" s="450">
        <f t="shared" si="13"/>
        <v>0</v>
      </c>
      <c r="AH73" s="450">
        <f t="shared" si="14"/>
        <v>0</v>
      </c>
      <c r="AI73" s="454">
        <f t="shared" si="15"/>
        <v>0</v>
      </c>
      <c r="AJ73" s="455">
        <f>INDEX(Tiere!L$30:L$85,'Berechnung Nährstoffe und Lager'!$BM73)</f>
        <v>0</v>
      </c>
      <c r="AK73" s="455">
        <f>INDEX(Tiere!Z$30:Z$85,'Berechnung Nährstoffe und Lager'!BM73)</f>
        <v>0</v>
      </c>
      <c r="AL73" s="450">
        <f t="shared" si="63"/>
        <v>0</v>
      </c>
      <c r="AM73" s="450">
        <f t="shared" si="64"/>
        <v>0</v>
      </c>
      <c r="AN73" s="450">
        <f t="shared" si="65"/>
        <v>0</v>
      </c>
      <c r="AO73" s="453">
        <f t="shared" si="16"/>
        <v>0</v>
      </c>
      <c r="AP73" s="450">
        <f t="shared" si="17"/>
        <v>0</v>
      </c>
      <c r="AQ73" s="454">
        <f t="shared" si="18"/>
        <v>0</v>
      </c>
      <c r="AR73" s="455" cm="1">
        <f t="array" ref="AR73">IF(BN73=1,INDEX(Tiere!V$30:V$85,'Berechnung Nährstoffe und Lager'!$BM73),IF(BN73=2,INDEX(Tiere!W$30:W$85,'Berechnung Nährstoffe und Lager'!$BM73),INDEX(Tiere!X$30:X$85,'Berechnung Nährstoffe und Lager'!$BM73)))</f>
        <v>0</v>
      </c>
      <c r="AS73" s="456">
        <f t="shared" si="19"/>
        <v>0</v>
      </c>
      <c r="AT73" s="456">
        <f t="shared" si="20"/>
        <v>0</v>
      </c>
      <c r="AU73" s="456">
        <f t="shared" si="21"/>
        <v>0</v>
      </c>
      <c r="AV73" s="453">
        <f t="shared" si="22"/>
        <v>0</v>
      </c>
      <c r="AW73" s="450">
        <f t="shared" si="23"/>
        <v>0</v>
      </c>
      <c r="AX73" s="454">
        <f t="shared" si="24"/>
        <v>0</v>
      </c>
      <c r="AY73" s="450"/>
      <c r="AZ73" s="528">
        <f t="shared" si="25"/>
        <v>0</v>
      </c>
      <c r="BA73" s="529">
        <f t="shared" si="26"/>
        <v>0</v>
      </c>
      <c r="BB73" s="529">
        <f t="shared" si="27"/>
        <v>0</v>
      </c>
      <c r="BC73" s="453">
        <f t="shared" si="28"/>
        <v>0</v>
      </c>
      <c r="BD73" s="450">
        <f t="shared" si="29"/>
        <v>0</v>
      </c>
      <c r="BE73" s="454">
        <f t="shared" si="30"/>
        <v>0</v>
      </c>
      <c r="BF73" s="460">
        <f t="shared" si="66"/>
        <v>0</v>
      </c>
      <c r="BG73" s="457">
        <f t="shared" si="67"/>
        <v>0</v>
      </c>
      <c r="BH73" s="1335">
        <f>INDEX(Tiere!BH$30:BH$85,'Berechnung Nährstoffe und Lager'!$BM73)</f>
        <v>0</v>
      </c>
      <c r="BI73" s="1335">
        <f>INDEX(Tiere!BI$30:BI$85,'Berechnung Nährstoffe und Lager'!$BM73)</f>
        <v>0</v>
      </c>
      <c r="BJ73" s="1335">
        <f>INDEX(Tiere!BJ$30:BJ$85,'Berechnung Nährstoffe und Lager'!$BM73)</f>
        <v>0</v>
      </c>
      <c r="BK73" s="1106">
        <f t="shared" si="68"/>
        <v>1</v>
      </c>
      <c r="BL73" s="1106" cm="1">
        <f t="array" ref="BL73">INDEX(Tiere!$C$30:$C$85,BM73)</f>
        <v>0</v>
      </c>
      <c r="BM73" s="462">
        <v>1</v>
      </c>
      <c r="BN73" s="462">
        <v>1</v>
      </c>
      <c r="BO73" s="461">
        <f>INDEX(Tiere!D$30:D$85,'Berechnung Nährstoffe und Lager'!$BM73)</f>
        <v>0</v>
      </c>
      <c r="BP73" s="461" t="str">
        <f t="shared" si="69"/>
        <v>1</v>
      </c>
      <c r="BQ73" s="461">
        <f t="shared" si="70"/>
        <v>0</v>
      </c>
      <c r="BR73" s="460">
        <f>INDEX(Tiere!E$30:E$85,'Berechnung Nährstoffe und Lager'!$BM73)</f>
        <v>0</v>
      </c>
      <c r="BS73" s="456">
        <f>INDEX(Tiere!F$30:F$85,'Berechnung Nährstoffe und Lager'!$BM73)</f>
        <v>0</v>
      </c>
      <c r="BT73" s="457">
        <f>INDEX(Tiere!G$30:G$85,'Berechnung Nährstoffe und Lager'!$BM73)</f>
        <v>0</v>
      </c>
      <c r="BU73" s="456">
        <f>INDEX(Tiere!K$30:K$85,'Berechnung Nährstoffe und Lager'!$BM73)</f>
        <v>0</v>
      </c>
      <c r="BV73" s="456">
        <f>INDEX(Tiere!Y$30:Y$85,'Berechnung Nährstoffe und Lager'!$BM73)</f>
        <v>0</v>
      </c>
      <c r="BW73" s="460">
        <f>INDEX(Tiere!S$30:S$85,'Berechnung Nährstoffe und Lager'!$BM73)</f>
        <v>0</v>
      </c>
      <c r="BX73" s="456">
        <f>INDEX(Tiere!T$30:T$85,'Berechnung Nährstoffe und Lager'!$BM73)</f>
        <v>0</v>
      </c>
      <c r="BY73" s="457">
        <f>INDEX(Tiere!U$30:U$85,'Berechnung Nährstoffe und Lager'!$BM73)</f>
        <v>0</v>
      </c>
      <c r="BZ73" s="460">
        <f>INDEX(Tiere!AA$30:AA$85,'Berechnung Nährstoffe und Lager'!$BM73)</f>
        <v>0</v>
      </c>
      <c r="CA73" s="457">
        <f>INDEX(Tiere!AB$30:AB$85,'Berechnung Nährstoffe und Lager'!$BM73)</f>
        <v>0</v>
      </c>
      <c r="CB73" s="463">
        <f>INDEX(Tiere!AK$30:AK$85,'Berechnung Nährstoffe und Lager'!$BM73)</f>
        <v>0</v>
      </c>
      <c r="CC73" s="457">
        <f>INDEX(Tiere!M$30:M$85,'Berechnung Nährstoffe und Lager'!$BM73)</f>
        <v>0</v>
      </c>
      <c r="CD73" s="457">
        <f>INDEX(Tiere!N$30:N$85,'Berechnung Nährstoffe und Lager'!$BM73)</f>
        <v>0</v>
      </c>
      <c r="CE73" s="457">
        <f>INDEX(Tiere!O$30:O$85,'Berechnung Nährstoffe und Lager'!$BM73)</f>
        <v>0</v>
      </c>
      <c r="CF73" s="422">
        <v>5</v>
      </c>
      <c r="CG73" s="422">
        <v>3</v>
      </c>
      <c r="CH73" s="444">
        <v>17</v>
      </c>
      <c r="CI73" s="450">
        <f>INDEX(Tiere!AN$30:AN$85,'Berechnung Nährstoffe und Lager'!$BM73)</f>
        <v>0</v>
      </c>
      <c r="CJ73" s="450">
        <f t="shared" si="31"/>
        <v>0</v>
      </c>
      <c r="CK73" s="450">
        <f t="shared" si="32"/>
        <v>0</v>
      </c>
      <c r="CL73" s="454">
        <f t="shared" si="33"/>
        <v>0</v>
      </c>
      <c r="CM73" s="422"/>
      <c r="CN73" s="656" t="b">
        <f t="shared" si="34"/>
        <v>0</v>
      </c>
      <c r="CO73" s="422"/>
      <c r="CP73" s="460">
        <f>INDEX(Tiere!AO$30:AO$85,'Berechnung Nährstoffe und Lager'!$BM73)</f>
        <v>0</v>
      </c>
      <c r="CQ73" s="460">
        <f>INDEX(Tiere!AP$30:AP$85,'Berechnung Nährstoffe und Lager'!$BM73)</f>
        <v>0</v>
      </c>
      <c r="CR73" s="460">
        <f>INDEX(Tiere!AQ$30:AQ$85,'Berechnung Nährstoffe und Lager'!$BM73)</f>
        <v>0</v>
      </c>
      <c r="CS73" s="324">
        <f t="shared" si="35"/>
        <v>0</v>
      </c>
      <c r="CT73" s="327">
        <f t="shared" si="36"/>
        <v>0</v>
      </c>
      <c r="CU73" s="327">
        <f t="shared" si="71"/>
        <v>0</v>
      </c>
      <c r="CV73" s="327">
        <f t="shared" si="37"/>
        <v>0</v>
      </c>
      <c r="CW73" s="327">
        <f t="shared" si="38"/>
        <v>0</v>
      </c>
      <c r="CX73" s="327">
        <f t="shared" si="39"/>
        <v>0</v>
      </c>
      <c r="CY73" s="327">
        <f t="shared" si="40"/>
        <v>0</v>
      </c>
      <c r="CZ73" s="327">
        <f t="shared" si="41"/>
        <v>0</v>
      </c>
      <c r="DA73" s="327">
        <f t="shared" si="42"/>
        <v>0</v>
      </c>
      <c r="DB73" s="327">
        <f t="shared" si="43"/>
        <v>0</v>
      </c>
      <c r="DC73" s="327"/>
      <c r="DD73" s="327">
        <f t="shared" si="72"/>
        <v>0</v>
      </c>
      <c r="DE73" s="327">
        <f t="shared" si="44"/>
        <v>0</v>
      </c>
      <c r="DF73" s="327">
        <f t="shared" si="45"/>
        <v>0</v>
      </c>
      <c r="DG73" s="327">
        <f t="shared" si="46"/>
        <v>0</v>
      </c>
      <c r="DH73" s="327">
        <f t="shared" si="73"/>
        <v>0</v>
      </c>
      <c r="DI73" s="327">
        <f t="shared" si="47"/>
        <v>55</v>
      </c>
      <c r="DJ73" s="327">
        <f t="shared" si="48"/>
        <v>0</v>
      </c>
      <c r="DK73" s="422" t="b">
        <v>0</v>
      </c>
      <c r="DL73" s="450">
        <f t="shared" si="74"/>
        <v>0</v>
      </c>
      <c r="DM73" s="646">
        <f>INDEX(Tiere!AS$30:AS$85,'Berechnung Nährstoffe und Lager'!$BM73)</f>
        <v>0</v>
      </c>
      <c r="DN73" s="460">
        <f>INDEX(Tiere!AT$30:AT$85,'Berechnung Nährstoffe und Lager'!$BM73)</f>
        <v>0</v>
      </c>
      <c r="DO73" s="460">
        <f>INDEX(Tiere!AU$30:AU$85,'Berechnung Nährstoffe und Lager'!$BM73)</f>
        <v>0</v>
      </c>
      <c r="DP73" s="646">
        <f>INDEX(Tiere!AV$30:AV$85,'Berechnung Nährstoffe und Lager'!$BM73)</f>
        <v>0</v>
      </c>
      <c r="DQ73" s="460">
        <f>INDEX(Tiere!AW$30:AW$85,'Berechnung Nährstoffe und Lager'!$BM73)</f>
        <v>0</v>
      </c>
      <c r="DR73" s="460">
        <f>INDEX(Tiere!AX$30:AX$85,'Berechnung Nährstoffe und Lager'!$BM73)</f>
        <v>0</v>
      </c>
      <c r="DS73" s="460">
        <f>INDEX(Tiere!AY$30:AY$85,'Berechnung Nährstoffe und Lager'!$BM73)</f>
        <v>0</v>
      </c>
      <c r="DT73" s="460">
        <f>INDEX(Tiere!AZ$30:AZ$85,'Berechnung Nährstoffe und Lager'!$BM73)</f>
        <v>0</v>
      </c>
      <c r="DU73" s="456">
        <f t="shared" si="75"/>
        <v>0</v>
      </c>
      <c r="DV73" s="456">
        <f t="shared" si="49"/>
        <v>0</v>
      </c>
      <c r="DW73" s="456">
        <f t="shared" si="50"/>
        <v>0</v>
      </c>
      <c r="DX73" s="456">
        <f t="shared" si="51"/>
        <v>0</v>
      </c>
      <c r="DY73" s="456">
        <f t="shared" si="52"/>
        <v>0</v>
      </c>
      <c r="DZ73" s="811">
        <f t="shared" si="76"/>
        <v>0</v>
      </c>
      <c r="EA73" s="654">
        <f t="shared" si="77"/>
        <v>0</v>
      </c>
      <c r="EB73" s="811">
        <f t="shared" si="53"/>
        <v>0</v>
      </c>
      <c r="EC73" s="654">
        <f t="shared" si="78"/>
        <v>0</v>
      </c>
      <c r="ED73" s="654">
        <f t="shared" si="79"/>
        <v>0</v>
      </c>
      <c r="EE73" s="324">
        <f t="shared" si="80"/>
        <v>0</v>
      </c>
      <c r="EF73" s="654">
        <f t="shared" si="81"/>
        <v>0</v>
      </c>
      <c r="EG73" s="324" t="e">
        <f t="shared" si="82"/>
        <v>#DIV/0!</v>
      </c>
      <c r="EH73" s="324">
        <f t="shared" si="54"/>
        <v>0</v>
      </c>
      <c r="EI73" s="365" t="e">
        <f t="shared" si="91"/>
        <v>#DIV/0!</v>
      </c>
      <c r="EJ73" s="365" t="e">
        <f t="shared" si="92"/>
        <v>#DIV/0!</v>
      </c>
      <c r="EK73" s="365" t="e">
        <f t="shared" si="83"/>
        <v>#DIV/0!</v>
      </c>
      <c r="EL73" s="324">
        <f t="shared" si="84"/>
        <v>0</v>
      </c>
      <c r="EM73" s="324">
        <f t="shared" si="85"/>
        <v>0</v>
      </c>
      <c r="EN73" s="411">
        <f t="shared" si="86"/>
        <v>0</v>
      </c>
      <c r="EO73" s="562">
        <f t="shared" si="87"/>
        <v>0</v>
      </c>
      <c r="EP73" s="562">
        <f t="shared" si="88"/>
        <v>0</v>
      </c>
      <c r="ES73" s="324">
        <f t="shared" si="55"/>
        <v>0</v>
      </c>
      <c r="ET73" s="324">
        <f t="shared" si="56"/>
        <v>0</v>
      </c>
      <c r="EU73" s="324">
        <f t="shared" si="89"/>
        <v>0</v>
      </c>
      <c r="EV73" s="324">
        <f t="shared" si="90"/>
        <v>0</v>
      </c>
      <c r="EW73" s="324" cm="1">
        <f t="array" ref="EW73">INDEX(Tiere!$AJ$30:$AJ$85,BM73)</f>
        <v>0</v>
      </c>
    </row>
    <row r="74" spans="1:153" ht="18" customHeight="1" x14ac:dyDescent="0.2">
      <c r="A74" s="2649"/>
      <c r="B74" s="2650"/>
      <c r="C74" s="2650"/>
      <c r="D74" s="2650"/>
      <c r="E74" s="352"/>
      <c r="F74" s="357"/>
      <c r="G74" s="290"/>
      <c r="H74" s="547"/>
      <c r="I74" s="702"/>
      <c r="J74" s="574" t="str">
        <f t="shared" si="1"/>
        <v xml:space="preserve"> </v>
      </c>
      <c r="K74" s="2693" t="str">
        <f t="shared" si="2"/>
        <v xml:space="preserve"> </v>
      </c>
      <c r="L74" s="2529"/>
      <c r="M74" s="800"/>
      <c r="N74" s="17"/>
      <c r="O74" s="17"/>
      <c r="P74" s="422"/>
      <c r="Q74" s="450" t="str">
        <f t="shared" si="3"/>
        <v xml:space="preserve"> </v>
      </c>
      <c r="R74" s="450" t="str">
        <f t="shared" si="4"/>
        <v xml:space="preserve"> </v>
      </c>
      <c r="S74" s="450">
        <f t="shared" si="5"/>
        <v>0</v>
      </c>
      <c r="T74" s="531">
        <f t="shared" si="6"/>
        <v>0</v>
      </c>
      <c r="U74" s="450">
        <f t="shared" si="57"/>
        <v>0</v>
      </c>
      <c r="V74" s="450">
        <f t="shared" si="7"/>
        <v>0</v>
      </c>
      <c r="W74" s="450">
        <f t="shared" si="8"/>
        <v>0</v>
      </c>
      <c r="X74" s="450">
        <f t="shared" si="9"/>
        <v>0</v>
      </c>
      <c r="Y74" s="450" t="str">
        <f t="shared" si="58"/>
        <v xml:space="preserve"> </v>
      </c>
      <c r="Z74" s="451">
        <f t="shared" si="10"/>
        <v>0</v>
      </c>
      <c r="AA74" s="452">
        <f t="shared" si="11"/>
        <v>0</v>
      </c>
      <c r="AB74" s="531">
        <f t="shared" si="59"/>
        <v>0</v>
      </c>
      <c r="AC74" s="531">
        <f t="shared" si="60"/>
        <v>0</v>
      </c>
      <c r="AD74" s="531">
        <f t="shared" si="61"/>
        <v>0</v>
      </c>
      <c r="AE74" s="531">
        <f t="shared" si="62"/>
        <v>0</v>
      </c>
      <c r="AF74" s="453">
        <f t="shared" si="12"/>
        <v>0</v>
      </c>
      <c r="AG74" s="450">
        <f t="shared" si="13"/>
        <v>0</v>
      </c>
      <c r="AH74" s="450">
        <f t="shared" si="14"/>
        <v>0</v>
      </c>
      <c r="AI74" s="454">
        <f t="shared" si="15"/>
        <v>0</v>
      </c>
      <c r="AJ74" s="455">
        <f>INDEX(Tiere!L$30:L$85,'Berechnung Nährstoffe und Lager'!$BM74)</f>
        <v>0</v>
      </c>
      <c r="AK74" s="455">
        <f>INDEX(Tiere!Z$30:Z$85,'Berechnung Nährstoffe und Lager'!BM74)</f>
        <v>0</v>
      </c>
      <c r="AL74" s="450">
        <f t="shared" si="63"/>
        <v>0</v>
      </c>
      <c r="AM74" s="450">
        <f t="shared" si="64"/>
        <v>0</v>
      </c>
      <c r="AN74" s="450">
        <f t="shared" si="65"/>
        <v>0</v>
      </c>
      <c r="AO74" s="453">
        <f t="shared" si="16"/>
        <v>0</v>
      </c>
      <c r="AP74" s="450">
        <f t="shared" si="17"/>
        <v>0</v>
      </c>
      <c r="AQ74" s="454">
        <f t="shared" si="18"/>
        <v>0</v>
      </c>
      <c r="AR74" s="455" cm="1">
        <f t="array" ref="AR74">IF(BN74=1,INDEX(Tiere!V$30:V$85,'Berechnung Nährstoffe und Lager'!$BM74),IF(BN74=2,INDEX(Tiere!W$30:W$85,'Berechnung Nährstoffe und Lager'!$BM74),INDEX(Tiere!X$30:X$85,'Berechnung Nährstoffe und Lager'!$BM74)))</f>
        <v>0</v>
      </c>
      <c r="AS74" s="456">
        <f t="shared" si="19"/>
        <v>0</v>
      </c>
      <c r="AT74" s="456">
        <f t="shared" si="20"/>
        <v>0</v>
      </c>
      <c r="AU74" s="456">
        <f t="shared" si="21"/>
        <v>0</v>
      </c>
      <c r="AV74" s="453">
        <f t="shared" si="22"/>
        <v>0</v>
      </c>
      <c r="AW74" s="450">
        <f t="shared" si="23"/>
        <v>0</v>
      </c>
      <c r="AX74" s="454">
        <f t="shared" si="24"/>
        <v>0</v>
      </c>
      <c r="AY74" s="450"/>
      <c r="AZ74" s="528">
        <f t="shared" si="25"/>
        <v>0</v>
      </c>
      <c r="BA74" s="529">
        <f t="shared" si="26"/>
        <v>0</v>
      </c>
      <c r="BB74" s="529">
        <f t="shared" si="27"/>
        <v>0</v>
      </c>
      <c r="BC74" s="453">
        <f t="shared" si="28"/>
        <v>0</v>
      </c>
      <c r="BD74" s="450">
        <f t="shared" si="29"/>
        <v>0</v>
      </c>
      <c r="BE74" s="454">
        <f t="shared" si="30"/>
        <v>0</v>
      </c>
      <c r="BF74" s="460">
        <f t="shared" si="66"/>
        <v>0</v>
      </c>
      <c r="BG74" s="457">
        <f t="shared" si="67"/>
        <v>0</v>
      </c>
      <c r="BH74" s="1335">
        <f>INDEX(Tiere!BH$30:BH$85,'Berechnung Nährstoffe und Lager'!$BM74)</f>
        <v>0</v>
      </c>
      <c r="BI74" s="1335">
        <f>INDEX(Tiere!BI$30:BI$85,'Berechnung Nährstoffe und Lager'!$BM74)</f>
        <v>0</v>
      </c>
      <c r="BJ74" s="1335">
        <f>INDEX(Tiere!BJ$30:BJ$85,'Berechnung Nährstoffe und Lager'!$BM74)</f>
        <v>0</v>
      </c>
      <c r="BK74" s="1106">
        <f t="shared" si="68"/>
        <v>1</v>
      </c>
      <c r="BL74" s="1106" cm="1">
        <f t="array" ref="BL74">INDEX(Tiere!$C$30:$C$85,BM74)</f>
        <v>0</v>
      </c>
      <c r="BM74" s="462">
        <v>1</v>
      </c>
      <c r="BN74" s="462">
        <v>1</v>
      </c>
      <c r="BO74" s="461">
        <f>INDEX(Tiere!D$30:D$85,'Berechnung Nährstoffe und Lager'!$BM74)</f>
        <v>0</v>
      </c>
      <c r="BP74" s="461" t="str">
        <f t="shared" si="69"/>
        <v>1</v>
      </c>
      <c r="BQ74" s="461">
        <f t="shared" si="70"/>
        <v>0</v>
      </c>
      <c r="BR74" s="460">
        <f>INDEX(Tiere!E$30:E$85,'Berechnung Nährstoffe und Lager'!$BM74)</f>
        <v>0</v>
      </c>
      <c r="BS74" s="456">
        <f>INDEX(Tiere!F$30:F$85,'Berechnung Nährstoffe und Lager'!$BM74)</f>
        <v>0</v>
      </c>
      <c r="BT74" s="457">
        <f>INDEX(Tiere!G$30:G$85,'Berechnung Nährstoffe und Lager'!$BM74)</f>
        <v>0</v>
      </c>
      <c r="BU74" s="456">
        <f>INDEX(Tiere!K$30:K$85,'Berechnung Nährstoffe und Lager'!$BM74)</f>
        <v>0</v>
      </c>
      <c r="BV74" s="456">
        <f>INDEX(Tiere!Y$30:Y$85,'Berechnung Nährstoffe und Lager'!$BM74)</f>
        <v>0</v>
      </c>
      <c r="BW74" s="460">
        <f>INDEX(Tiere!S$30:S$85,'Berechnung Nährstoffe und Lager'!$BM74)</f>
        <v>0</v>
      </c>
      <c r="BX74" s="456">
        <f>INDEX(Tiere!T$30:T$85,'Berechnung Nährstoffe und Lager'!$BM74)</f>
        <v>0</v>
      </c>
      <c r="BY74" s="457">
        <f>INDEX(Tiere!U$30:U$85,'Berechnung Nährstoffe und Lager'!$BM74)</f>
        <v>0</v>
      </c>
      <c r="BZ74" s="460">
        <f>INDEX(Tiere!AA$30:AA$85,'Berechnung Nährstoffe und Lager'!$BM74)</f>
        <v>0</v>
      </c>
      <c r="CA74" s="457">
        <f>INDEX(Tiere!AB$30:AB$85,'Berechnung Nährstoffe und Lager'!$BM74)</f>
        <v>0</v>
      </c>
      <c r="CB74" s="463">
        <f>INDEX(Tiere!AK$30:AK$85,'Berechnung Nährstoffe und Lager'!$BM74)</f>
        <v>0</v>
      </c>
      <c r="CC74" s="457">
        <f>INDEX(Tiere!M$30:M$85,'Berechnung Nährstoffe und Lager'!$BM74)</f>
        <v>0</v>
      </c>
      <c r="CD74" s="457">
        <f>INDEX(Tiere!N$30:N$85,'Berechnung Nährstoffe und Lager'!$BM74)</f>
        <v>0</v>
      </c>
      <c r="CE74" s="457">
        <f>INDEX(Tiere!O$30:O$85,'Berechnung Nährstoffe und Lager'!$BM74)</f>
        <v>0</v>
      </c>
      <c r="CF74" s="422">
        <v>5</v>
      </c>
      <c r="CG74" s="422">
        <v>3</v>
      </c>
      <c r="CH74" s="444">
        <v>17</v>
      </c>
      <c r="CI74" s="450">
        <f>INDEX(Tiere!AN$30:AN$85,'Berechnung Nährstoffe und Lager'!$BM74)</f>
        <v>0</v>
      </c>
      <c r="CJ74" s="450">
        <f t="shared" si="31"/>
        <v>0</v>
      </c>
      <c r="CK74" s="450">
        <f t="shared" si="32"/>
        <v>0</v>
      </c>
      <c r="CL74" s="454">
        <f t="shared" si="33"/>
        <v>0</v>
      </c>
      <c r="CM74" s="422"/>
      <c r="CN74" s="656" t="b">
        <f t="shared" si="34"/>
        <v>0</v>
      </c>
      <c r="CO74" s="422"/>
      <c r="CP74" s="460">
        <f>INDEX(Tiere!AO$30:AO$85,'Berechnung Nährstoffe und Lager'!$BM74)</f>
        <v>0</v>
      </c>
      <c r="CQ74" s="460">
        <f>INDEX(Tiere!AP$30:AP$85,'Berechnung Nährstoffe und Lager'!$BM74)</f>
        <v>0</v>
      </c>
      <c r="CR74" s="460">
        <f>INDEX(Tiere!AQ$30:AQ$85,'Berechnung Nährstoffe und Lager'!$BM74)</f>
        <v>0</v>
      </c>
      <c r="CS74" s="324">
        <f t="shared" si="35"/>
        <v>0</v>
      </c>
      <c r="CT74" s="327">
        <f t="shared" si="36"/>
        <v>0</v>
      </c>
      <c r="CU74" s="327">
        <f t="shared" si="71"/>
        <v>0</v>
      </c>
      <c r="CV74" s="327">
        <f t="shared" si="37"/>
        <v>0</v>
      </c>
      <c r="CW74" s="327">
        <f t="shared" si="38"/>
        <v>0</v>
      </c>
      <c r="CX74" s="327">
        <f t="shared" si="39"/>
        <v>0</v>
      </c>
      <c r="CY74" s="327">
        <f t="shared" si="40"/>
        <v>0</v>
      </c>
      <c r="CZ74" s="327">
        <f t="shared" si="41"/>
        <v>0</v>
      </c>
      <c r="DA74" s="327">
        <f t="shared" si="42"/>
        <v>0</v>
      </c>
      <c r="DB74" s="327">
        <f t="shared" si="43"/>
        <v>0</v>
      </c>
      <c r="DC74" s="327"/>
      <c r="DD74" s="327">
        <f t="shared" si="72"/>
        <v>0</v>
      </c>
      <c r="DE74" s="327">
        <f t="shared" si="44"/>
        <v>0</v>
      </c>
      <c r="DF74" s="327">
        <f t="shared" si="45"/>
        <v>0</v>
      </c>
      <c r="DG74" s="327">
        <f t="shared" si="46"/>
        <v>0</v>
      </c>
      <c r="DH74" s="327">
        <f t="shared" si="73"/>
        <v>0</v>
      </c>
      <c r="DI74" s="327">
        <f t="shared" si="47"/>
        <v>55</v>
      </c>
      <c r="DJ74" s="327">
        <f t="shared" si="48"/>
        <v>0</v>
      </c>
      <c r="DK74" s="422" t="b">
        <v>0</v>
      </c>
      <c r="DL74" s="450">
        <f t="shared" si="74"/>
        <v>0</v>
      </c>
      <c r="DM74" s="646">
        <f>INDEX(Tiere!AS$30:AS$85,'Berechnung Nährstoffe und Lager'!$BM74)</f>
        <v>0</v>
      </c>
      <c r="DN74" s="460">
        <f>INDEX(Tiere!AT$30:AT$85,'Berechnung Nährstoffe und Lager'!$BM74)</f>
        <v>0</v>
      </c>
      <c r="DO74" s="460">
        <f>INDEX(Tiere!AU$30:AU$85,'Berechnung Nährstoffe und Lager'!$BM74)</f>
        <v>0</v>
      </c>
      <c r="DP74" s="646">
        <f>INDEX(Tiere!AV$30:AV$85,'Berechnung Nährstoffe und Lager'!$BM74)</f>
        <v>0</v>
      </c>
      <c r="DQ74" s="460">
        <f>INDEX(Tiere!AW$30:AW$85,'Berechnung Nährstoffe und Lager'!$BM74)</f>
        <v>0</v>
      </c>
      <c r="DR74" s="460">
        <f>INDEX(Tiere!AX$30:AX$85,'Berechnung Nährstoffe und Lager'!$BM74)</f>
        <v>0</v>
      </c>
      <c r="DS74" s="460">
        <f>INDEX(Tiere!AY$30:AY$85,'Berechnung Nährstoffe und Lager'!$BM74)</f>
        <v>0</v>
      </c>
      <c r="DT74" s="460">
        <f>INDEX(Tiere!AZ$30:AZ$85,'Berechnung Nährstoffe und Lager'!$BM74)</f>
        <v>0</v>
      </c>
      <c r="DU74" s="456">
        <f t="shared" si="75"/>
        <v>0</v>
      </c>
      <c r="DV74" s="456">
        <f t="shared" si="49"/>
        <v>0</v>
      </c>
      <c r="DW74" s="456">
        <f t="shared" si="50"/>
        <v>0</v>
      </c>
      <c r="DX74" s="456">
        <f t="shared" si="51"/>
        <v>0</v>
      </c>
      <c r="DY74" s="456">
        <f t="shared" si="52"/>
        <v>0</v>
      </c>
      <c r="DZ74" s="811">
        <f t="shared" si="76"/>
        <v>0</v>
      </c>
      <c r="EA74" s="654">
        <f t="shared" si="77"/>
        <v>0</v>
      </c>
      <c r="EB74" s="811">
        <f t="shared" si="53"/>
        <v>0</v>
      </c>
      <c r="EC74" s="654">
        <f t="shared" si="78"/>
        <v>0</v>
      </c>
      <c r="ED74" s="654">
        <f t="shared" si="79"/>
        <v>0</v>
      </c>
      <c r="EE74" s="324">
        <f t="shared" si="80"/>
        <v>0</v>
      </c>
      <c r="EF74" s="654">
        <f t="shared" si="81"/>
        <v>0</v>
      </c>
      <c r="EG74" s="324" t="e">
        <f t="shared" si="82"/>
        <v>#DIV/0!</v>
      </c>
      <c r="EH74" s="324">
        <f t="shared" si="54"/>
        <v>0</v>
      </c>
      <c r="EI74" s="365" t="e">
        <f t="shared" si="91"/>
        <v>#DIV/0!</v>
      </c>
      <c r="EJ74" s="365" t="e">
        <f t="shared" si="92"/>
        <v>#DIV/0!</v>
      </c>
      <c r="EK74" s="365" t="e">
        <f t="shared" si="83"/>
        <v>#DIV/0!</v>
      </c>
      <c r="EL74" s="324">
        <f t="shared" si="84"/>
        <v>0</v>
      </c>
      <c r="EM74" s="324">
        <f t="shared" si="85"/>
        <v>0</v>
      </c>
      <c r="EN74" s="411">
        <f t="shared" si="86"/>
        <v>0</v>
      </c>
      <c r="EO74" s="562">
        <f t="shared" si="87"/>
        <v>0</v>
      </c>
      <c r="EP74" s="562">
        <f t="shared" si="88"/>
        <v>0</v>
      </c>
      <c r="ES74" s="324">
        <f t="shared" si="55"/>
        <v>0</v>
      </c>
      <c r="ET74" s="324">
        <f t="shared" si="56"/>
        <v>0</v>
      </c>
      <c r="EU74" s="324">
        <f t="shared" si="89"/>
        <v>0</v>
      </c>
      <c r="EV74" s="324">
        <f t="shared" si="90"/>
        <v>0</v>
      </c>
      <c r="EW74" s="324" cm="1">
        <f t="array" ref="EW74">INDEX(Tiere!$AJ$30:$AJ$85,BM74)</f>
        <v>0</v>
      </c>
    </row>
    <row r="75" spans="1:153" ht="18" customHeight="1" x14ac:dyDescent="0.2">
      <c r="A75" s="2649"/>
      <c r="B75" s="2650"/>
      <c r="C75" s="2650"/>
      <c r="D75" s="2650"/>
      <c r="E75" s="352"/>
      <c r="F75" s="357"/>
      <c r="G75" s="290"/>
      <c r="H75" s="352"/>
      <c r="I75" s="702"/>
      <c r="J75" s="574" t="str">
        <f t="shared" si="1"/>
        <v xml:space="preserve"> </v>
      </c>
      <c r="K75" s="2693" t="str">
        <f t="shared" si="2"/>
        <v xml:space="preserve"> </v>
      </c>
      <c r="L75" s="2529"/>
      <c r="M75" s="801"/>
      <c r="N75" s="17"/>
      <c r="O75" s="17"/>
      <c r="P75" s="422"/>
      <c r="Q75" s="450" t="str">
        <f t="shared" si="3"/>
        <v xml:space="preserve"> </v>
      </c>
      <c r="R75" s="450" t="str">
        <f t="shared" si="4"/>
        <v xml:space="preserve"> </v>
      </c>
      <c r="S75" s="450">
        <f t="shared" si="5"/>
        <v>0</v>
      </c>
      <c r="T75" s="531">
        <f t="shared" si="6"/>
        <v>0</v>
      </c>
      <c r="U75" s="450">
        <f t="shared" si="57"/>
        <v>0</v>
      </c>
      <c r="V75" s="450">
        <f t="shared" si="7"/>
        <v>0</v>
      </c>
      <c r="W75" s="450">
        <f t="shared" si="8"/>
        <v>0</v>
      </c>
      <c r="X75" s="450">
        <f t="shared" si="9"/>
        <v>0</v>
      </c>
      <c r="Y75" s="450" t="str">
        <f t="shared" si="58"/>
        <v xml:space="preserve"> </v>
      </c>
      <c r="Z75" s="451">
        <f t="shared" si="10"/>
        <v>0</v>
      </c>
      <c r="AA75" s="452">
        <f t="shared" si="11"/>
        <v>0</v>
      </c>
      <c r="AB75" s="531">
        <f t="shared" si="59"/>
        <v>0</v>
      </c>
      <c r="AC75" s="531">
        <f t="shared" si="60"/>
        <v>0</v>
      </c>
      <c r="AD75" s="531">
        <f t="shared" si="61"/>
        <v>0</v>
      </c>
      <c r="AE75" s="531">
        <f t="shared" si="62"/>
        <v>0</v>
      </c>
      <c r="AF75" s="453">
        <f t="shared" si="12"/>
        <v>0</v>
      </c>
      <c r="AG75" s="450">
        <f t="shared" si="13"/>
        <v>0</v>
      </c>
      <c r="AH75" s="450">
        <f t="shared" si="14"/>
        <v>0</v>
      </c>
      <c r="AI75" s="454">
        <f t="shared" si="15"/>
        <v>0</v>
      </c>
      <c r="AJ75" s="455">
        <f>INDEX(Tiere!L$30:L$85,'Berechnung Nährstoffe und Lager'!$BM75)</f>
        <v>0</v>
      </c>
      <c r="AK75" s="455">
        <f>INDEX(Tiere!Z$30:Z$85,'Berechnung Nährstoffe und Lager'!BM75)</f>
        <v>0</v>
      </c>
      <c r="AL75" s="450">
        <f t="shared" si="63"/>
        <v>0</v>
      </c>
      <c r="AM75" s="450">
        <f t="shared" si="64"/>
        <v>0</v>
      </c>
      <c r="AN75" s="450">
        <f t="shared" si="65"/>
        <v>0</v>
      </c>
      <c r="AO75" s="453">
        <f t="shared" si="16"/>
        <v>0</v>
      </c>
      <c r="AP75" s="450">
        <f t="shared" si="17"/>
        <v>0</v>
      </c>
      <c r="AQ75" s="454">
        <f t="shared" si="18"/>
        <v>0</v>
      </c>
      <c r="AR75" s="455" cm="1">
        <f t="array" ref="AR75">IF(BN75=1,INDEX(Tiere!V$30:V$85,'Berechnung Nährstoffe und Lager'!$BM75),IF(BN75=2,INDEX(Tiere!W$30:W$85,'Berechnung Nährstoffe und Lager'!$BM75),INDEX(Tiere!X$30:X$85,'Berechnung Nährstoffe und Lager'!$BM75)))</f>
        <v>0</v>
      </c>
      <c r="AS75" s="456">
        <f t="shared" si="19"/>
        <v>0</v>
      </c>
      <c r="AT75" s="456">
        <f t="shared" si="20"/>
        <v>0</v>
      </c>
      <c r="AU75" s="456">
        <f t="shared" si="21"/>
        <v>0</v>
      </c>
      <c r="AV75" s="453">
        <f t="shared" si="22"/>
        <v>0</v>
      </c>
      <c r="AW75" s="450">
        <f t="shared" si="23"/>
        <v>0</v>
      </c>
      <c r="AX75" s="454">
        <f t="shared" si="24"/>
        <v>0</v>
      </c>
      <c r="AY75" s="450"/>
      <c r="AZ75" s="528">
        <f t="shared" si="25"/>
        <v>0</v>
      </c>
      <c r="BA75" s="529">
        <f t="shared" si="26"/>
        <v>0</v>
      </c>
      <c r="BB75" s="529">
        <f t="shared" si="27"/>
        <v>0</v>
      </c>
      <c r="BC75" s="453">
        <f t="shared" si="28"/>
        <v>0</v>
      </c>
      <c r="BD75" s="450">
        <f t="shared" si="29"/>
        <v>0</v>
      </c>
      <c r="BE75" s="454">
        <f t="shared" si="30"/>
        <v>0</v>
      </c>
      <c r="BF75" s="460">
        <f t="shared" si="66"/>
        <v>0</v>
      </c>
      <c r="BG75" s="457">
        <f t="shared" si="67"/>
        <v>0</v>
      </c>
      <c r="BH75" s="1335">
        <f>INDEX(Tiere!BH$30:BH$85,'Berechnung Nährstoffe und Lager'!$BM75)</f>
        <v>0</v>
      </c>
      <c r="BI75" s="1335">
        <f>INDEX(Tiere!BI$30:BI$85,'Berechnung Nährstoffe und Lager'!$BM75)</f>
        <v>0</v>
      </c>
      <c r="BJ75" s="1335">
        <f>INDEX(Tiere!BJ$30:BJ$85,'Berechnung Nährstoffe und Lager'!$BM75)</f>
        <v>0</v>
      </c>
      <c r="BK75" s="1106">
        <f t="shared" si="68"/>
        <v>1</v>
      </c>
      <c r="BL75" s="1106" cm="1">
        <f t="array" ref="BL75">INDEX(Tiere!$C$30:$C$85,BM75)</f>
        <v>0</v>
      </c>
      <c r="BM75" s="462">
        <v>1</v>
      </c>
      <c r="BN75" s="462">
        <v>1</v>
      </c>
      <c r="BO75" s="461">
        <f>INDEX(Tiere!D$30:D$85,'Berechnung Nährstoffe und Lager'!$BM75)</f>
        <v>0</v>
      </c>
      <c r="BP75" s="461" t="str">
        <f t="shared" si="69"/>
        <v>1</v>
      </c>
      <c r="BQ75" s="461">
        <f t="shared" si="70"/>
        <v>0</v>
      </c>
      <c r="BR75" s="460">
        <f>INDEX(Tiere!E$30:E$85,'Berechnung Nährstoffe und Lager'!$BM75)</f>
        <v>0</v>
      </c>
      <c r="BS75" s="456">
        <f>INDEX(Tiere!F$30:F$85,'Berechnung Nährstoffe und Lager'!$BM75)</f>
        <v>0</v>
      </c>
      <c r="BT75" s="457">
        <f>INDEX(Tiere!G$30:G$85,'Berechnung Nährstoffe und Lager'!$BM75)</f>
        <v>0</v>
      </c>
      <c r="BU75" s="456">
        <f>INDEX(Tiere!K$30:K$85,'Berechnung Nährstoffe und Lager'!$BM75)</f>
        <v>0</v>
      </c>
      <c r="BV75" s="456">
        <f>INDEX(Tiere!Y$30:Y$85,'Berechnung Nährstoffe und Lager'!$BM75)</f>
        <v>0</v>
      </c>
      <c r="BW75" s="460">
        <f>INDEX(Tiere!S$30:S$85,'Berechnung Nährstoffe und Lager'!$BM75)</f>
        <v>0</v>
      </c>
      <c r="BX75" s="456">
        <f>INDEX(Tiere!T$30:T$85,'Berechnung Nährstoffe und Lager'!$BM75)</f>
        <v>0</v>
      </c>
      <c r="BY75" s="457">
        <f>INDEX(Tiere!U$30:U$85,'Berechnung Nährstoffe und Lager'!$BM75)</f>
        <v>0</v>
      </c>
      <c r="BZ75" s="460">
        <f>INDEX(Tiere!AA$30:AA$85,'Berechnung Nährstoffe und Lager'!$BM75)</f>
        <v>0</v>
      </c>
      <c r="CA75" s="457">
        <f>INDEX(Tiere!AB$30:AB$85,'Berechnung Nährstoffe und Lager'!$BM75)</f>
        <v>0</v>
      </c>
      <c r="CB75" s="463">
        <f>INDEX(Tiere!AK$30:AK$85,'Berechnung Nährstoffe und Lager'!$BM75)</f>
        <v>0</v>
      </c>
      <c r="CC75" s="457">
        <f>INDEX(Tiere!M$30:M$85,'Berechnung Nährstoffe und Lager'!$BM75)</f>
        <v>0</v>
      </c>
      <c r="CD75" s="457">
        <f>INDEX(Tiere!N$30:N$85,'Berechnung Nährstoffe und Lager'!$BM75)</f>
        <v>0</v>
      </c>
      <c r="CE75" s="457">
        <f>INDEX(Tiere!O$30:O$85,'Berechnung Nährstoffe und Lager'!$BM75)</f>
        <v>0</v>
      </c>
      <c r="CF75" s="422">
        <v>5</v>
      </c>
      <c r="CG75" s="422">
        <v>3</v>
      </c>
      <c r="CH75" s="444">
        <v>17</v>
      </c>
      <c r="CI75" s="450">
        <f>INDEX(Tiere!AN$30:AN$85,'Berechnung Nährstoffe und Lager'!$BM75)</f>
        <v>0</v>
      </c>
      <c r="CJ75" s="450">
        <f t="shared" si="31"/>
        <v>0</v>
      </c>
      <c r="CK75" s="450">
        <f t="shared" si="32"/>
        <v>0</v>
      </c>
      <c r="CL75" s="454">
        <f t="shared" si="33"/>
        <v>0</v>
      </c>
      <c r="CM75" s="422"/>
      <c r="CN75" s="656" t="b">
        <f t="shared" si="34"/>
        <v>0</v>
      </c>
      <c r="CO75" s="422"/>
      <c r="CP75" s="460">
        <f>INDEX(Tiere!AO$30:AO$85,'Berechnung Nährstoffe und Lager'!$BM75)</f>
        <v>0</v>
      </c>
      <c r="CQ75" s="460">
        <f>INDEX(Tiere!AP$30:AP$85,'Berechnung Nährstoffe und Lager'!$BM75)</f>
        <v>0</v>
      </c>
      <c r="CR75" s="460">
        <f>INDEX(Tiere!AQ$30:AQ$85,'Berechnung Nährstoffe und Lager'!$BM75)</f>
        <v>0</v>
      </c>
      <c r="CS75" s="324">
        <f t="shared" si="35"/>
        <v>0</v>
      </c>
      <c r="CT75" s="327">
        <f t="shared" si="36"/>
        <v>0</v>
      </c>
      <c r="CU75" s="327">
        <f t="shared" si="71"/>
        <v>0</v>
      </c>
      <c r="CV75" s="327">
        <f t="shared" si="37"/>
        <v>0</v>
      </c>
      <c r="CW75" s="327">
        <f t="shared" si="38"/>
        <v>0</v>
      </c>
      <c r="CX75" s="327">
        <f t="shared" si="39"/>
        <v>0</v>
      </c>
      <c r="CY75" s="327">
        <f t="shared" si="40"/>
        <v>0</v>
      </c>
      <c r="CZ75" s="327">
        <f t="shared" si="41"/>
        <v>0</v>
      </c>
      <c r="DA75" s="327">
        <f t="shared" si="42"/>
        <v>0</v>
      </c>
      <c r="DB75" s="327">
        <f t="shared" si="43"/>
        <v>0</v>
      </c>
      <c r="DC75" s="327"/>
      <c r="DD75" s="327">
        <f t="shared" si="72"/>
        <v>0</v>
      </c>
      <c r="DE75" s="327">
        <f t="shared" si="44"/>
        <v>0</v>
      </c>
      <c r="DF75" s="327">
        <f t="shared" si="45"/>
        <v>0</v>
      </c>
      <c r="DG75" s="327">
        <f t="shared" si="46"/>
        <v>0</v>
      </c>
      <c r="DH75" s="327">
        <f t="shared" si="73"/>
        <v>0</v>
      </c>
      <c r="DI75" s="327">
        <f t="shared" si="47"/>
        <v>55</v>
      </c>
      <c r="DJ75" s="327">
        <f t="shared" si="48"/>
        <v>0</v>
      </c>
      <c r="DK75" s="422" t="b">
        <v>0</v>
      </c>
      <c r="DL75" s="450">
        <f t="shared" si="74"/>
        <v>0</v>
      </c>
      <c r="DM75" s="646">
        <f>INDEX(Tiere!AS$30:AS$85,'Berechnung Nährstoffe und Lager'!$BM75)</f>
        <v>0</v>
      </c>
      <c r="DN75" s="460">
        <f>INDEX(Tiere!AT$30:AT$85,'Berechnung Nährstoffe und Lager'!$BM75)</f>
        <v>0</v>
      </c>
      <c r="DO75" s="460">
        <f>INDEX(Tiere!AU$30:AU$85,'Berechnung Nährstoffe und Lager'!$BM75)</f>
        <v>0</v>
      </c>
      <c r="DP75" s="646">
        <f>INDEX(Tiere!AV$30:AV$85,'Berechnung Nährstoffe und Lager'!$BM75)</f>
        <v>0</v>
      </c>
      <c r="DQ75" s="460">
        <f>INDEX(Tiere!AW$30:AW$85,'Berechnung Nährstoffe und Lager'!$BM75)</f>
        <v>0</v>
      </c>
      <c r="DR75" s="460">
        <f>INDEX(Tiere!AX$30:AX$85,'Berechnung Nährstoffe und Lager'!$BM75)</f>
        <v>0</v>
      </c>
      <c r="DS75" s="460">
        <f>INDEX(Tiere!AY$30:AY$85,'Berechnung Nährstoffe und Lager'!$BM75)</f>
        <v>0</v>
      </c>
      <c r="DT75" s="460">
        <f>INDEX(Tiere!AZ$30:AZ$85,'Berechnung Nährstoffe und Lager'!$BM75)</f>
        <v>0</v>
      </c>
      <c r="DU75" s="456">
        <f t="shared" si="75"/>
        <v>0</v>
      </c>
      <c r="DV75" s="456">
        <f t="shared" si="49"/>
        <v>0</v>
      </c>
      <c r="DW75" s="456">
        <f t="shared" si="50"/>
        <v>0</v>
      </c>
      <c r="DX75" s="456">
        <f t="shared" si="51"/>
        <v>0</v>
      </c>
      <c r="DY75" s="456">
        <f t="shared" si="52"/>
        <v>0</v>
      </c>
      <c r="DZ75" s="811">
        <f t="shared" si="76"/>
        <v>0</v>
      </c>
      <c r="EA75" s="654">
        <f t="shared" si="77"/>
        <v>0</v>
      </c>
      <c r="EB75" s="811">
        <f t="shared" si="53"/>
        <v>0</v>
      </c>
      <c r="EC75" s="654">
        <f t="shared" si="78"/>
        <v>0</v>
      </c>
      <c r="ED75" s="654">
        <f t="shared" si="79"/>
        <v>0</v>
      </c>
      <c r="EE75" s="324">
        <f t="shared" si="80"/>
        <v>0</v>
      </c>
      <c r="EF75" s="654">
        <f t="shared" si="81"/>
        <v>0</v>
      </c>
      <c r="EG75" s="324" t="e">
        <f t="shared" si="82"/>
        <v>#DIV/0!</v>
      </c>
      <c r="EH75" s="324">
        <f t="shared" si="54"/>
        <v>0</v>
      </c>
      <c r="EI75" s="365" t="e">
        <f t="shared" si="91"/>
        <v>#DIV/0!</v>
      </c>
      <c r="EJ75" s="365" t="e">
        <f t="shared" si="92"/>
        <v>#DIV/0!</v>
      </c>
      <c r="EK75" s="365" t="e">
        <f t="shared" si="83"/>
        <v>#DIV/0!</v>
      </c>
      <c r="EL75" s="324">
        <f t="shared" si="84"/>
        <v>0</v>
      </c>
      <c r="EM75" s="324">
        <f t="shared" si="85"/>
        <v>0</v>
      </c>
      <c r="EN75" s="411">
        <f t="shared" si="86"/>
        <v>0</v>
      </c>
      <c r="EO75" s="562">
        <f t="shared" si="87"/>
        <v>0</v>
      </c>
      <c r="EP75" s="562">
        <f t="shared" si="88"/>
        <v>0</v>
      </c>
      <c r="ES75" s="324">
        <f t="shared" si="55"/>
        <v>0</v>
      </c>
      <c r="ET75" s="324">
        <f t="shared" si="56"/>
        <v>0</v>
      </c>
      <c r="EU75" s="324">
        <f t="shared" si="89"/>
        <v>0</v>
      </c>
      <c r="EV75" s="324">
        <f t="shared" si="90"/>
        <v>0</v>
      </c>
      <c r="EW75" s="324" cm="1">
        <f t="array" ref="EW75">INDEX(Tiere!$AJ$30:$AJ$85,BM75)</f>
        <v>0</v>
      </c>
    </row>
    <row r="76" spans="1:153" ht="18" customHeight="1" x14ac:dyDescent="0.2">
      <c r="A76" s="2649"/>
      <c r="B76" s="2650"/>
      <c r="C76" s="2650"/>
      <c r="D76" s="2650"/>
      <c r="E76" s="352"/>
      <c r="F76" s="357"/>
      <c r="G76" s="290"/>
      <c r="H76" s="352"/>
      <c r="I76" s="702"/>
      <c r="J76" s="574" t="str">
        <f t="shared" si="1"/>
        <v xml:space="preserve"> </v>
      </c>
      <c r="K76" s="2693" t="str">
        <f t="shared" si="2"/>
        <v xml:space="preserve"> </v>
      </c>
      <c r="L76" s="2529"/>
      <c r="M76" s="801"/>
      <c r="N76" s="17"/>
      <c r="O76" s="17"/>
      <c r="P76" s="422"/>
      <c r="Q76" s="450" t="str">
        <f t="shared" si="3"/>
        <v xml:space="preserve"> </v>
      </c>
      <c r="R76" s="450" t="str">
        <f t="shared" si="4"/>
        <v xml:space="preserve"> </v>
      </c>
      <c r="S76" s="450">
        <f t="shared" si="5"/>
        <v>0</v>
      </c>
      <c r="T76" s="531">
        <f t="shared" si="6"/>
        <v>0</v>
      </c>
      <c r="U76" s="450">
        <f t="shared" si="57"/>
        <v>0</v>
      </c>
      <c r="V76" s="450">
        <f t="shared" si="7"/>
        <v>0</v>
      </c>
      <c r="W76" s="450">
        <f t="shared" si="8"/>
        <v>0</v>
      </c>
      <c r="X76" s="450">
        <f t="shared" si="9"/>
        <v>0</v>
      </c>
      <c r="Y76" s="450" t="str">
        <f t="shared" si="58"/>
        <v xml:space="preserve"> </v>
      </c>
      <c r="Z76" s="451">
        <f t="shared" si="10"/>
        <v>0</v>
      </c>
      <c r="AA76" s="452">
        <f t="shared" si="11"/>
        <v>0</v>
      </c>
      <c r="AB76" s="531">
        <f t="shared" si="59"/>
        <v>0</v>
      </c>
      <c r="AC76" s="531">
        <f t="shared" si="60"/>
        <v>0</v>
      </c>
      <c r="AD76" s="531">
        <f t="shared" si="61"/>
        <v>0</v>
      </c>
      <c r="AE76" s="531">
        <f t="shared" si="62"/>
        <v>0</v>
      </c>
      <c r="AF76" s="453">
        <f t="shared" si="12"/>
        <v>0</v>
      </c>
      <c r="AG76" s="450">
        <f t="shared" si="13"/>
        <v>0</v>
      </c>
      <c r="AH76" s="450">
        <f t="shared" si="14"/>
        <v>0</v>
      </c>
      <c r="AI76" s="454">
        <f t="shared" si="15"/>
        <v>0</v>
      </c>
      <c r="AJ76" s="455">
        <f>INDEX(Tiere!L$30:L$85,'Berechnung Nährstoffe und Lager'!$BM76)</f>
        <v>0</v>
      </c>
      <c r="AK76" s="455">
        <f>INDEX(Tiere!Z$30:Z$85,'Berechnung Nährstoffe und Lager'!BM76)</f>
        <v>0</v>
      </c>
      <c r="AL76" s="450">
        <f t="shared" si="63"/>
        <v>0</v>
      </c>
      <c r="AM76" s="450">
        <f t="shared" si="64"/>
        <v>0</v>
      </c>
      <c r="AN76" s="450">
        <f t="shared" si="65"/>
        <v>0</v>
      </c>
      <c r="AO76" s="453">
        <f t="shared" si="16"/>
        <v>0</v>
      </c>
      <c r="AP76" s="450">
        <f t="shared" si="17"/>
        <v>0</v>
      </c>
      <c r="AQ76" s="454">
        <f t="shared" si="18"/>
        <v>0</v>
      </c>
      <c r="AR76" s="455" cm="1">
        <f t="array" ref="AR76">IF(BN76=1,INDEX(Tiere!V$30:V$85,'Berechnung Nährstoffe und Lager'!$BM76),IF(BN76=2,INDEX(Tiere!W$30:W$85,'Berechnung Nährstoffe und Lager'!$BM76),INDEX(Tiere!X$30:X$85,'Berechnung Nährstoffe und Lager'!$BM76)))</f>
        <v>0</v>
      </c>
      <c r="AS76" s="456">
        <f t="shared" si="19"/>
        <v>0</v>
      </c>
      <c r="AT76" s="456">
        <f t="shared" si="20"/>
        <v>0</v>
      </c>
      <c r="AU76" s="456">
        <f t="shared" si="21"/>
        <v>0</v>
      </c>
      <c r="AV76" s="453">
        <f t="shared" si="22"/>
        <v>0</v>
      </c>
      <c r="AW76" s="450">
        <f t="shared" si="23"/>
        <v>0</v>
      </c>
      <c r="AX76" s="454">
        <f t="shared" si="24"/>
        <v>0</v>
      </c>
      <c r="AY76" s="450"/>
      <c r="AZ76" s="528">
        <f t="shared" si="25"/>
        <v>0</v>
      </c>
      <c r="BA76" s="529">
        <f t="shared" si="26"/>
        <v>0</v>
      </c>
      <c r="BB76" s="529">
        <f t="shared" si="27"/>
        <v>0</v>
      </c>
      <c r="BC76" s="453">
        <f t="shared" si="28"/>
        <v>0</v>
      </c>
      <c r="BD76" s="450">
        <f t="shared" si="29"/>
        <v>0</v>
      </c>
      <c r="BE76" s="454">
        <f t="shared" si="30"/>
        <v>0</v>
      </c>
      <c r="BF76" s="460">
        <f t="shared" si="66"/>
        <v>0</v>
      </c>
      <c r="BG76" s="457">
        <f t="shared" si="67"/>
        <v>0</v>
      </c>
      <c r="BH76" s="1335">
        <f>INDEX(Tiere!BH$30:BH$85,'Berechnung Nährstoffe und Lager'!$BM76)</f>
        <v>0</v>
      </c>
      <c r="BI76" s="1335">
        <f>INDEX(Tiere!BI$30:BI$85,'Berechnung Nährstoffe und Lager'!$BM76)</f>
        <v>0</v>
      </c>
      <c r="BJ76" s="1335">
        <f>INDEX(Tiere!BJ$30:BJ$85,'Berechnung Nährstoffe und Lager'!$BM76)</f>
        <v>0</v>
      </c>
      <c r="BK76" s="1106">
        <f t="shared" si="68"/>
        <v>1</v>
      </c>
      <c r="BL76" s="1106" cm="1">
        <f t="array" ref="BL76">INDEX(Tiere!$C$30:$C$85,BM76)</f>
        <v>0</v>
      </c>
      <c r="BM76" s="462">
        <v>1</v>
      </c>
      <c r="BN76" s="462">
        <v>1</v>
      </c>
      <c r="BO76" s="461">
        <f>INDEX(Tiere!D$30:D$85,'Berechnung Nährstoffe und Lager'!$BM76)</f>
        <v>0</v>
      </c>
      <c r="BP76" s="461" t="str">
        <f t="shared" si="69"/>
        <v>1</v>
      </c>
      <c r="BQ76" s="461">
        <f t="shared" si="70"/>
        <v>0</v>
      </c>
      <c r="BR76" s="460">
        <f>INDEX(Tiere!E$30:E$85,'Berechnung Nährstoffe und Lager'!$BM76)</f>
        <v>0</v>
      </c>
      <c r="BS76" s="456">
        <f>INDEX(Tiere!F$30:F$85,'Berechnung Nährstoffe und Lager'!$BM76)</f>
        <v>0</v>
      </c>
      <c r="BT76" s="457">
        <f>INDEX(Tiere!G$30:G$85,'Berechnung Nährstoffe und Lager'!$BM76)</f>
        <v>0</v>
      </c>
      <c r="BU76" s="456">
        <f>INDEX(Tiere!K$30:K$85,'Berechnung Nährstoffe und Lager'!$BM76)</f>
        <v>0</v>
      </c>
      <c r="BV76" s="456">
        <f>INDEX(Tiere!Y$30:Y$85,'Berechnung Nährstoffe und Lager'!$BM76)</f>
        <v>0</v>
      </c>
      <c r="BW76" s="460">
        <f>INDEX(Tiere!S$30:S$85,'Berechnung Nährstoffe und Lager'!$BM76)</f>
        <v>0</v>
      </c>
      <c r="BX76" s="456">
        <f>INDEX(Tiere!T$30:T$85,'Berechnung Nährstoffe und Lager'!$BM76)</f>
        <v>0</v>
      </c>
      <c r="BY76" s="457">
        <f>INDEX(Tiere!U$30:U$85,'Berechnung Nährstoffe und Lager'!$BM76)</f>
        <v>0</v>
      </c>
      <c r="BZ76" s="460">
        <f>INDEX(Tiere!AA$30:AA$85,'Berechnung Nährstoffe und Lager'!$BM76)</f>
        <v>0</v>
      </c>
      <c r="CA76" s="457">
        <f>INDEX(Tiere!AB$30:AB$85,'Berechnung Nährstoffe und Lager'!$BM76)</f>
        <v>0</v>
      </c>
      <c r="CB76" s="463">
        <f>INDEX(Tiere!AK$30:AK$85,'Berechnung Nährstoffe und Lager'!$BM76)</f>
        <v>0</v>
      </c>
      <c r="CC76" s="457">
        <f>INDEX(Tiere!M$30:M$85,'Berechnung Nährstoffe und Lager'!$BM76)</f>
        <v>0</v>
      </c>
      <c r="CD76" s="457">
        <f>INDEX(Tiere!N$30:N$85,'Berechnung Nährstoffe und Lager'!$BM76)</f>
        <v>0</v>
      </c>
      <c r="CE76" s="457">
        <f>INDEX(Tiere!O$30:O$85,'Berechnung Nährstoffe und Lager'!$BM76)</f>
        <v>0</v>
      </c>
      <c r="CF76" s="422">
        <v>5</v>
      </c>
      <c r="CG76" s="422">
        <v>3</v>
      </c>
      <c r="CH76" s="444">
        <v>17</v>
      </c>
      <c r="CI76" s="450">
        <f>INDEX(Tiere!AN$30:AN$85,'Berechnung Nährstoffe und Lager'!$BM76)</f>
        <v>0</v>
      </c>
      <c r="CJ76" s="450">
        <f t="shared" si="31"/>
        <v>0</v>
      </c>
      <c r="CK76" s="450">
        <f t="shared" si="32"/>
        <v>0</v>
      </c>
      <c r="CL76" s="454">
        <f t="shared" si="33"/>
        <v>0</v>
      </c>
      <c r="CM76" s="422"/>
      <c r="CN76" s="656" t="b">
        <f t="shared" si="34"/>
        <v>0</v>
      </c>
      <c r="CO76" s="422"/>
      <c r="CP76" s="460">
        <f>INDEX(Tiere!AO$30:AO$85,'Berechnung Nährstoffe und Lager'!$BM76)</f>
        <v>0</v>
      </c>
      <c r="CQ76" s="460">
        <f>INDEX(Tiere!AP$30:AP$85,'Berechnung Nährstoffe und Lager'!$BM76)</f>
        <v>0</v>
      </c>
      <c r="CR76" s="460">
        <f>INDEX(Tiere!AQ$30:AQ$85,'Berechnung Nährstoffe und Lager'!$BM76)</f>
        <v>0</v>
      </c>
      <c r="CS76" s="324">
        <f t="shared" si="35"/>
        <v>0</v>
      </c>
      <c r="CT76" s="327">
        <f t="shared" si="36"/>
        <v>0</v>
      </c>
      <c r="CU76" s="327">
        <f t="shared" si="71"/>
        <v>0</v>
      </c>
      <c r="CV76" s="327">
        <f t="shared" si="37"/>
        <v>0</v>
      </c>
      <c r="CW76" s="327">
        <f t="shared" si="38"/>
        <v>0</v>
      </c>
      <c r="CX76" s="327">
        <f t="shared" si="39"/>
        <v>0</v>
      </c>
      <c r="CY76" s="327">
        <f t="shared" si="40"/>
        <v>0</v>
      </c>
      <c r="CZ76" s="327">
        <f t="shared" si="41"/>
        <v>0</v>
      </c>
      <c r="DA76" s="327">
        <f t="shared" si="42"/>
        <v>0</v>
      </c>
      <c r="DB76" s="327">
        <f t="shared" si="43"/>
        <v>0</v>
      </c>
      <c r="DC76" s="327"/>
      <c r="DD76" s="327">
        <f t="shared" si="72"/>
        <v>0</v>
      </c>
      <c r="DE76" s="327">
        <f t="shared" si="44"/>
        <v>0</v>
      </c>
      <c r="DF76" s="327">
        <f t="shared" si="45"/>
        <v>0</v>
      </c>
      <c r="DG76" s="327">
        <f t="shared" si="46"/>
        <v>0</v>
      </c>
      <c r="DH76" s="327">
        <f t="shared" si="73"/>
        <v>0</v>
      </c>
      <c r="DI76" s="327">
        <f t="shared" si="47"/>
        <v>55</v>
      </c>
      <c r="DJ76" s="327">
        <f t="shared" si="48"/>
        <v>0</v>
      </c>
      <c r="DK76" s="422" t="b">
        <v>0</v>
      </c>
      <c r="DL76" s="450">
        <f t="shared" si="74"/>
        <v>0</v>
      </c>
      <c r="DM76" s="646">
        <f>INDEX(Tiere!AS$30:AS$85,'Berechnung Nährstoffe und Lager'!$BM76)</f>
        <v>0</v>
      </c>
      <c r="DN76" s="460">
        <f>INDEX(Tiere!AT$30:AT$85,'Berechnung Nährstoffe und Lager'!$BM76)</f>
        <v>0</v>
      </c>
      <c r="DO76" s="460">
        <f>INDEX(Tiere!AU$30:AU$85,'Berechnung Nährstoffe und Lager'!$BM76)</f>
        <v>0</v>
      </c>
      <c r="DP76" s="646">
        <f>INDEX(Tiere!AV$30:AV$85,'Berechnung Nährstoffe und Lager'!$BM76)</f>
        <v>0</v>
      </c>
      <c r="DQ76" s="460">
        <f>INDEX(Tiere!AW$30:AW$85,'Berechnung Nährstoffe und Lager'!$BM76)</f>
        <v>0</v>
      </c>
      <c r="DR76" s="460">
        <f>INDEX(Tiere!AX$30:AX$85,'Berechnung Nährstoffe und Lager'!$BM76)</f>
        <v>0</v>
      </c>
      <c r="DS76" s="460">
        <f>INDEX(Tiere!AY$30:AY$85,'Berechnung Nährstoffe und Lager'!$BM76)</f>
        <v>0</v>
      </c>
      <c r="DT76" s="460">
        <f>INDEX(Tiere!AZ$30:AZ$85,'Berechnung Nährstoffe und Lager'!$BM76)</f>
        <v>0</v>
      </c>
      <c r="DU76" s="456">
        <f t="shared" si="75"/>
        <v>0</v>
      </c>
      <c r="DV76" s="456">
        <f t="shared" si="49"/>
        <v>0</v>
      </c>
      <c r="DW76" s="456">
        <f t="shared" si="50"/>
        <v>0</v>
      </c>
      <c r="DX76" s="456">
        <f t="shared" si="51"/>
        <v>0</v>
      </c>
      <c r="DY76" s="456">
        <f t="shared" si="52"/>
        <v>0</v>
      </c>
      <c r="DZ76" s="811">
        <f t="shared" si="76"/>
        <v>0</v>
      </c>
      <c r="EA76" s="654">
        <f t="shared" si="77"/>
        <v>0</v>
      </c>
      <c r="EB76" s="811">
        <f t="shared" si="53"/>
        <v>0</v>
      </c>
      <c r="EC76" s="654">
        <f t="shared" si="78"/>
        <v>0</v>
      </c>
      <c r="ED76" s="654">
        <f t="shared" si="79"/>
        <v>0</v>
      </c>
      <c r="EE76" s="324">
        <f t="shared" si="80"/>
        <v>0</v>
      </c>
      <c r="EF76" s="654">
        <f t="shared" si="81"/>
        <v>0</v>
      </c>
      <c r="EG76" s="324" t="e">
        <f t="shared" si="82"/>
        <v>#DIV/0!</v>
      </c>
      <c r="EH76" s="324">
        <f t="shared" si="54"/>
        <v>0</v>
      </c>
      <c r="EI76" s="365" t="e">
        <f t="shared" si="91"/>
        <v>#DIV/0!</v>
      </c>
      <c r="EJ76" s="365" t="e">
        <f t="shared" si="92"/>
        <v>#DIV/0!</v>
      </c>
      <c r="EK76" s="365" t="e">
        <f t="shared" si="83"/>
        <v>#DIV/0!</v>
      </c>
      <c r="EL76" s="324">
        <f t="shared" si="84"/>
        <v>0</v>
      </c>
      <c r="EM76" s="324">
        <f t="shared" si="85"/>
        <v>0</v>
      </c>
      <c r="EN76" s="411">
        <f t="shared" si="86"/>
        <v>0</v>
      </c>
      <c r="EO76" s="562">
        <f t="shared" si="87"/>
        <v>0</v>
      </c>
      <c r="EP76" s="562">
        <f t="shared" si="88"/>
        <v>0</v>
      </c>
      <c r="ES76" s="324">
        <f t="shared" si="55"/>
        <v>0</v>
      </c>
      <c r="ET76" s="324">
        <f t="shared" si="56"/>
        <v>0</v>
      </c>
      <c r="EU76" s="324">
        <f t="shared" si="89"/>
        <v>0</v>
      </c>
      <c r="EV76" s="324">
        <f t="shared" si="90"/>
        <v>0</v>
      </c>
      <c r="EW76" s="324" cm="1">
        <f t="array" ref="EW76">INDEX(Tiere!$AJ$30:$AJ$85,BM76)</f>
        <v>0</v>
      </c>
    </row>
    <row r="77" spans="1:153" ht="18" customHeight="1" x14ac:dyDescent="0.2">
      <c r="A77" s="2649"/>
      <c r="B77" s="2650"/>
      <c r="C77" s="2650"/>
      <c r="D77" s="2650"/>
      <c r="E77" s="352"/>
      <c r="F77" s="357"/>
      <c r="G77" s="290"/>
      <c r="H77" s="352"/>
      <c r="I77" s="702"/>
      <c r="J77" s="574" t="str">
        <f t="shared" si="1"/>
        <v xml:space="preserve"> </v>
      </c>
      <c r="K77" s="2693" t="str">
        <f t="shared" si="2"/>
        <v xml:space="preserve"> </v>
      </c>
      <c r="L77" s="2529"/>
      <c r="M77" s="801"/>
      <c r="N77" s="17"/>
      <c r="O77" s="17"/>
      <c r="P77" s="422"/>
      <c r="Q77" s="450" t="str">
        <f t="shared" si="3"/>
        <v xml:space="preserve"> </v>
      </c>
      <c r="R77" s="450" t="str">
        <f t="shared" si="4"/>
        <v xml:space="preserve"> </v>
      </c>
      <c r="S77" s="450">
        <f t="shared" si="5"/>
        <v>0</v>
      </c>
      <c r="T77" s="531">
        <f t="shared" si="6"/>
        <v>0</v>
      </c>
      <c r="U77" s="450">
        <f t="shared" si="57"/>
        <v>0</v>
      </c>
      <c r="V77" s="450">
        <f t="shared" si="7"/>
        <v>0</v>
      </c>
      <c r="W77" s="450">
        <f t="shared" si="8"/>
        <v>0</v>
      </c>
      <c r="X77" s="450">
        <f t="shared" si="9"/>
        <v>0</v>
      </c>
      <c r="Y77" s="450" t="str">
        <f>IF(X77=0," ",(X77*(1/CB77)))</f>
        <v xml:space="preserve"> </v>
      </c>
      <c r="Z77" s="451">
        <f t="shared" si="10"/>
        <v>0</v>
      </c>
      <c r="AA77" s="452">
        <f t="shared" si="11"/>
        <v>0</v>
      </c>
      <c r="AB77" s="531">
        <f>+(AZ77*BR77*(100-BZ77)/100)+(BF77*BH77*BA77)</f>
        <v>0</v>
      </c>
      <c r="AC77" s="531">
        <f>IF(BK77=2,AB77,0)</f>
        <v>0</v>
      </c>
      <c r="AD77" s="531">
        <f>AZ77*BS77+BA77*BF77*BI77</f>
        <v>0</v>
      </c>
      <c r="AE77" s="531">
        <f>AZ77*BT77+BA77*BF77*BJ77</f>
        <v>0</v>
      </c>
      <c r="AF77" s="453">
        <f>+(BC77*BR77*(100-BZ77)/100)+(BF77*BH77*BD77)</f>
        <v>0</v>
      </c>
      <c r="AG77" s="450">
        <f>IF(BK77=2,AF77,0)</f>
        <v>0</v>
      </c>
      <c r="AH77" s="450">
        <f>BC77*BS77+BD77*BF77*BI77</f>
        <v>0</v>
      </c>
      <c r="AI77" s="454">
        <f>BC77*BT77+BD77*BF77*BJ77</f>
        <v>0</v>
      </c>
      <c r="AJ77" s="455">
        <f>INDEX(Tiere!L$30:L$85,'Berechnung Nährstoffe und Lager'!$BM77)</f>
        <v>0</v>
      </c>
      <c r="AK77" s="455">
        <f>INDEX(Tiere!Z$30:Z$85,'Berechnung Nährstoffe und Lager'!BM77)</f>
        <v>0</v>
      </c>
      <c r="AL77" s="450">
        <f>+(BA77*BR77*(100-CA77)/100)-BF77*BA77*BH77</f>
        <v>0</v>
      </c>
      <c r="AM77" s="450">
        <f>BA77*BS77-BA77*BF77*BI77</f>
        <v>0</v>
      </c>
      <c r="AN77" s="450">
        <f>BA77*BT77-BA77*BF77*BJ77</f>
        <v>0</v>
      </c>
      <c r="AO77" s="453">
        <f>+(BD77*BR77*(100-CA77)/100)-BF77*BD77*BH77</f>
        <v>0</v>
      </c>
      <c r="AP77" s="450">
        <f>BD77*BS77-BD77*BF77*BI77</f>
        <v>0</v>
      </c>
      <c r="AQ77" s="454">
        <f>BD77*BT77-BD77*BF77*BJ77</f>
        <v>0</v>
      </c>
      <c r="AR77" s="455" cm="1">
        <f t="array" ref="AR77">IF(BN77=1,INDEX(Tiere!V$30:V$85,'Berechnung Nährstoffe und Lager'!$BM77),IF(BN77=2,INDEX(Tiere!W$30:W$85,'Berechnung Nährstoffe und Lager'!$BM77),INDEX(Tiere!X$30:X$85,'Berechnung Nährstoffe und Lager'!$BM77)))</f>
        <v>0</v>
      </c>
      <c r="AS77" s="456">
        <f t="shared" si="19"/>
        <v>0</v>
      </c>
      <c r="AT77" s="456">
        <f t="shared" si="20"/>
        <v>0</v>
      </c>
      <c r="AU77" s="456">
        <f t="shared" si="21"/>
        <v>0</v>
      </c>
      <c r="AV77" s="453">
        <f t="shared" si="22"/>
        <v>0</v>
      </c>
      <c r="AW77" s="450">
        <f t="shared" si="23"/>
        <v>0</v>
      </c>
      <c r="AX77" s="454">
        <f t="shared" si="24"/>
        <v>0</v>
      </c>
      <c r="AY77" s="450"/>
      <c r="AZ77" s="528">
        <f>+Z77*(100-$H77)/100</f>
        <v>0</v>
      </c>
      <c r="BA77" s="529">
        <f>+AA77*(100-$H77)/100</f>
        <v>0</v>
      </c>
      <c r="BB77" s="529">
        <f t="shared" si="27"/>
        <v>0</v>
      </c>
      <c r="BC77" s="453">
        <f>+Z77*(100-$I77)/100</f>
        <v>0</v>
      </c>
      <c r="BD77" s="450">
        <f>+AA77*(100-$I77)/100</f>
        <v>0</v>
      </c>
      <c r="BE77" s="454">
        <f t="shared" si="30"/>
        <v>0</v>
      </c>
      <c r="BF77" s="460">
        <f>IF(BN77=1,BV77,IF(BN77=2,BV77/2,0))</f>
        <v>0</v>
      </c>
      <c r="BG77" s="457">
        <f>IF(BN77=1,BW77,IF(BN77=2,BX77,BY77))</f>
        <v>0</v>
      </c>
      <c r="BH77" s="1335">
        <f>INDEX(Tiere!BH$30:BH$85,'Berechnung Nährstoffe und Lager'!$BM77)</f>
        <v>0</v>
      </c>
      <c r="BI77" s="1335">
        <f>INDEX(Tiere!BI$30:BI$85,'Berechnung Nährstoffe und Lager'!$BM77)</f>
        <v>0</v>
      </c>
      <c r="BJ77" s="1335">
        <f>INDEX(Tiere!BJ$30:BJ$85,'Berechnung Nährstoffe und Lager'!$BM77)</f>
        <v>0</v>
      </c>
      <c r="BK77" s="1106">
        <f t="shared" si="68"/>
        <v>1</v>
      </c>
      <c r="BL77" s="1106" cm="1">
        <f t="array" ref="BL77">INDEX(Tiere!$C$30:$C$85,BM77)</f>
        <v>0</v>
      </c>
      <c r="BM77" s="462">
        <v>1</v>
      </c>
      <c r="BN77" s="462">
        <v>1</v>
      </c>
      <c r="BO77" s="461">
        <f>INDEX(Tiere!D$30:D$85,'Berechnung Nährstoffe und Lager'!$BM77)</f>
        <v>0</v>
      </c>
      <c r="BP77" s="461" t="str">
        <f>IF(BO77&gt;0.001,BO77,"1")</f>
        <v>1</v>
      </c>
      <c r="BQ77" s="461">
        <f t="shared" si="70"/>
        <v>0</v>
      </c>
      <c r="BR77" s="460">
        <f>INDEX(Tiere!E$30:E$85,'Berechnung Nährstoffe und Lager'!$BM77)</f>
        <v>0</v>
      </c>
      <c r="BS77" s="456">
        <f>INDEX(Tiere!F$30:F$85,'Berechnung Nährstoffe und Lager'!$BM77)</f>
        <v>0</v>
      </c>
      <c r="BT77" s="457">
        <f>INDEX(Tiere!G$30:G$85,'Berechnung Nährstoffe und Lager'!$BM77)</f>
        <v>0</v>
      </c>
      <c r="BU77" s="456">
        <f>INDEX(Tiere!K$30:K$85,'Berechnung Nährstoffe und Lager'!$BM77)</f>
        <v>0</v>
      </c>
      <c r="BV77" s="456">
        <f>INDEX(Tiere!Y$30:Y$85,'Berechnung Nährstoffe und Lager'!$BM77)</f>
        <v>0</v>
      </c>
      <c r="BW77" s="460">
        <f>INDEX(Tiere!S$30:S$85,'Berechnung Nährstoffe und Lager'!$BM77)</f>
        <v>0</v>
      </c>
      <c r="BX77" s="456">
        <f>INDEX(Tiere!T$30:T$85,'Berechnung Nährstoffe und Lager'!$BM77)</f>
        <v>0</v>
      </c>
      <c r="BY77" s="457">
        <f>INDEX(Tiere!U$30:U$85,'Berechnung Nährstoffe und Lager'!$BM77)</f>
        <v>0</v>
      </c>
      <c r="BZ77" s="460">
        <f>INDEX(Tiere!AA$30:AA$85,'Berechnung Nährstoffe und Lager'!$BM77)</f>
        <v>0</v>
      </c>
      <c r="CA77" s="457">
        <f>INDEX(Tiere!AB$30:AB$85,'Berechnung Nährstoffe und Lager'!$BM77)</f>
        <v>0</v>
      </c>
      <c r="CB77" s="463">
        <f>INDEX(Tiere!AK$30:AK$85,'Berechnung Nährstoffe und Lager'!$BM77)</f>
        <v>0</v>
      </c>
      <c r="CC77" s="457">
        <f>INDEX(Tiere!M$30:M$85,'Berechnung Nährstoffe und Lager'!$BM77)</f>
        <v>0</v>
      </c>
      <c r="CD77" s="457">
        <f>INDEX(Tiere!N$30:N$85,'Berechnung Nährstoffe und Lager'!$BM77)</f>
        <v>0</v>
      </c>
      <c r="CE77" s="457">
        <f>INDEX(Tiere!O$30:O$85,'Berechnung Nährstoffe und Lager'!$BM77)</f>
        <v>0</v>
      </c>
      <c r="CF77" s="422">
        <v>5</v>
      </c>
      <c r="CG77" s="422">
        <v>3</v>
      </c>
      <c r="CH77" s="444">
        <v>17</v>
      </c>
      <c r="CI77" s="450">
        <f>INDEX(Tiere!AN$30:AN$85,'Berechnung Nährstoffe und Lager'!$BM77)</f>
        <v>0</v>
      </c>
      <c r="CJ77" s="450">
        <f t="shared" si="31"/>
        <v>0</v>
      </c>
      <c r="CK77" s="450">
        <f t="shared" si="32"/>
        <v>0</v>
      </c>
      <c r="CL77" s="454">
        <f t="shared" si="33"/>
        <v>0</v>
      </c>
      <c r="CM77" s="422"/>
      <c r="CN77" s="656" t="b">
        <f t="shared" si="34"/>
        <v>0</v>
      </c>
      <c r="CO77" s="422"/>
      <c r="CP77" s="460">
        <f>INDEX(Tiere!AO$30:AO$85,'Berechnung Nährstoffe und Lager'!$BM77)</f>
        <v>0</v>
      </c>
      <c r="CQ77" s="460">
        <f>INDEX(Tiere!AP$30:AP$85,'Berechnung Nährstoffe und Lager'!$BM77)</f>
        <v>0</v>
      </c>
      <c r="CR77" s="460">
        <f>INDEX(Tiere!AQ$30:AQ$85,'Berechnung Nährstoffe und Lager'!$BM77)</f>
        <v>0</v>
      </c>
      <c r="CS77" s="324">
        <f t="shared" si="35"/>
        <v>0</v>
      </c>
      <c r="CT77" s="327">
        <f t="shared" si="36"/>
        <v>0</v>
      </c>
      <c r="CU77" s="327">
        <f t="shared" si="71"/>
        <v>0</v>
      </c>
      <c r="CV77" s="327">
        <f t="shared" si="37"/>
        <v>0</v>
      </c>
      <c r="CW77" s="327">
        <f t="shared" si="38"/>
        <v>0</v>
      </c>
      <c r="CX77" s="327">
        <f t="shared" si="39"/>
        <v>0</v>
      </c>
      <c r="CY77" s="327">
        <f t="shared" si="40"/>
        <v>0</v>
      </c>
      <c r="CZ77" s="327">
        <f t="shared" si="41"/>
        <v>0</v>
      </c>
      <c r="DA77" s="327">
        <f t="shared" si="42"/>
        <v>0</v>
      </c>
      <c r="DB77" s="327">
        <f t="shared" si="43"/>
        <v>0</v>
      </c>
      <c r="DC77" s="327"/>
      <c r="DD77" s="327">
        <f t="shared" si="72"/>
        <v>0</v>
      </c>
      <c r="DE77" s="327">
        <f t="shared" si="44"/>
        <v>0</v>
      </c>
      <c r="DF77" s="327">
        <f t="shared" si="45"/>
        <v>0</v>
      </c>
      <c r="DG77" s="327">
        <f t="shared" si="46"/>
        <v>0</v>
      </c>
      <c r="DH77" s="327">
        <f>+DD77-DG77</f>
        <v>0</v>
      </c>
      <c r="DI77" s="327">
        <f t="shared" si="47"/>
        <v>55</v>
      </c>
      <c r="DJ77" s="327">
        <f t="shared" si="48"/>
        <v>0</v>
      </c>
      <c r="DK77" s="422" t="b">
        <v>0</v>
      </c>
      <c r="DL77" s="450">
        <f>IF(DK77=TRUE,1,0)</f>
        <v>0</v>
      </c>
      <c r="DM77" s="646">
        <f>INDEX(Tiere!AS$30:AS$85,'Berechnung Nährstoffe und Lager'!$BM77)</f>
        <v>0</v>
      </c>
      <c r="DN77" s="460">
        <f>INDEX(Tiere!AT$30:AT$85,'Berechnung Nährstoffe und Lager'!$BM77)</f>
        <v>0</v>
      </c>
      <c r="DO77" s="460">
        <f>INDEX(Tiere!AU$30:AU$85,'Berechnung Nährstoffe und Lager'!$BM77)</f>
        <v>0</v>
      </c>
      <c r="DP77" s="646">
        <f>INDEX(Tiere!AV$30:AV$85,'Berechnung Nährstoffe und Lager'!$BM77)</f>
        <v>0</v>
      </c>
      <c r="DQ77" s="460">
        <f>INDEX(Tiere!AW$30:AW$85,'Berechnung Nährstoffe und Lager'!$BM77)</f>
        <v>0</v>
      </c>
      <c r="DR77" s="460">
        <f>INDEX(Tiere!AX$30:AX$85,'Berechnung Nährstoffe und Lager'!$BM77)</f>
        <v>0</v>
      </c>
      <c r="DS77" s="460">
        <f>INDEX(Tiere!AY$30:AY$85,'Berechnung Nährstoffe und Lager'!$BM77)</f>
        <v>0</v>
      </c>
      <c r="DT77" s="460">
        <f>INDEX(Tiere!AZ$30:AZ$85,'Berechnung Nährstoffe und Lager'!$BM77)</f>
        <v>0</v>
      </c>
      <c r="DU77" s="456">
        <f>IF(DK77=TRUE,(DW77*DS77+DY77*DT77),0)</f>
        <v>0</v>
      </c>
      <c r="DV77" s="456">
        <f t="shared" si="49"/>
        <v>0</v>
      </c>
      <c r="DW77" s="456">
        <f t="shared" si="50"/>
        <v>0</v>
      </c>
      <c r="DX77" s="456">
        <f t="shared" si="51"/>
        <v>0</v>
      </c>
      <c r="DY77" s="456">
        <f t="shared" si="52"/>
        <v>0</v>
      </c>
      <c r="DZ77" s="811">
        <f t="shared" si="76"/>
        <v>0</v>
      </c>
      <c r="EA77" s="654">
        <f>+DZ77*DO77/100</f>
        <v>0</v>
      </c>
      <c r="EB77" s="811">
        <f t="shared" si="53"/>
        <v>0</v>
      </c>
      <c r="EC77" s="654">
        <f>+EB77*DR77/100</f>
        <v>0</v>
      </c>
      <c r="ED77" s="654">
        <f t="shared" si="79"/>
        <v>0</v>
      </c>
      <c r="EE77" s="324">
        <f t="shared" si="80"/>
        <v>0</v>
      </c>
      <c r="EF77" s="654">
        <f>+ED77-EE77</f>
        <v>0</v>
      </c>
      <c r="EG77" s="324" t="e">
        <f>+EE77/ED77</f>
        <v>#DIV/0!</v>
      </c>
      <c r="EH77" s="324">
        <f t="shared" si="54"/>
        <v>0</v>
      </c>
      <c r="EI77" s="365" t="e">
        <f t="shared" si="91"/>
        <v>#DIV/0!</v>
      </c>
      <c r="EJ77" s="365" t="e">
        <f>(DW77+DY77)*EI77*((EA77+EC77)/(DZ77+EB77))/22.26*0.01605</f>
        <v>#DIV/0!</v>
      </c>
      <c r="EK77" s="365" t="e">
        <f t="shared" si="83"/>
        <v>#DIV/0!</v>
      </c>
      <c r="EL77" s="324">
        <f>IF(ED77=0,0,EJ77+EK77)</f>
        <v>0</v>
      </c>
      <c r="EM77" s="324">
        <f>+DN77/887*100</f>
        <v>0</v>
      </c>
      <c r="EN77" s="411">
        <f>15.44*EM77/100</f>
        <v>0</v>
      </c>
      <c r="EO77" s="562">
        <f>+EL77-EP77</f>
        <v>0</v>
      </c>
      <c r="EP77" s="562">
        <f>+EL77*EN77/100</f>
        <v>0</v>
      </c>
      <c r="ES77" s="324">
        <f t="shared" si="55"/>
        <v>0</v>
      </c>
      <c r="ET77" s="324">
        <f t="shared" si="56"/>
        <v>0</v>
      </c>
      <c r="EU77" s="324">
        <f t="shared" si="89"/>
        <v>0</v>
      </c>
      <c r="EV77" s="324">
        <f t="shared" si="90"/>
        <v>0</v>
      </c>
      <c r="EW77" s="324" cm="1">
        <f t="array" ref="EW77">INDEX(Tiere!$AJ$30:$AJ$85,BM77)</f>
        <v>0</v>
      </c>
    </row>
    <row r="78" spans="1:153" ht="18" customHeight="1" x14ac:dyDescent="0.2">
      <c r="A78" s="2649"/>
      <c r="B78" s="2650"/>
      <c r="C78" s="2650"/>
      <c r="D78" s="2650"/>
      <c r="E78" s="352"/>
      <c r="F78" s="357"/>
      <c r="G78" s="290"/>
      <c r="H78" s="352"/>
      <c r="I78" s="702"/>
      <c r="J78" s="574" t="str">
        <f t="shared" si="1"/>
        <v xml:space="preserve"> </v>
      </c>
      <c r="K78" s="2693" t="str">
        <f t="shared" si="2"/>
        <v xml:space="preserve"> </v>
      </c>
      <c r="L78" s="2529"/>
      <c r="M78" s="801"/>
      <c r="N78" s="17"/>
      <c r="O78" s="17"/>
      <c r="P78" s="422"/>
      <c r="Q78" s="450" t="str">
        <f t="shared" si="3"/>
        <v xml:space="preserve"> </v>
      </c>
      <c r="R78" s="450" t="str">
        <f t="shared" si="4"/>
        <v xml:space="preserve"> </v>
      </c>
      <c r="S78" s="450">
        <f t="shared" si="5"/>
        <v>0</v>
      </c>
      <c r="T78" s="531">
        <f t="shared" si="6"/>
        <v>0</v>
      </c>
      <c r="U78" s="450">
        <f t="shared" si="57"/>
        <v>0</v>
      </c>
      <c r="V78" s="450">
        <f t="shared" si="7"/>
        <v>0</v>
      </c>
      <c r="W78" s="450">
        <f t="shared" si="8"/>
        <v>0</v>
      </c>
      <c r="X78" s="450">
        <f t="shared" si="9"/>
        <v>0</v>
      </c>
      <c r="Y78" s="450" t="str">
        <f>IF(X78=0," ",(X78*(1/CB78)))</f>
        <v xml:space="preserve"> </v>
      </c>
      <c r="Z78" s="451">
        <f t="shared" si="10"/>
        <v>0</v>
      </c>
      <c r="AA78" s="452">
        <f t="shared" si="11"/>
        <v>0</v>
      </c>
      <c r="AB78" s="531">
        <f>+(AZ78*BR78*(100-BZ78)/100)+(BF78*BH78*BA78)</f>
        <v>0</v>
      </c>
      <c r="AC78" s="531">
        <f>IF(BK78=2,AB78,0)</f>
        <v>0</v>
      </c>
      <c r="AD78" s="531">
        <f>AZ78*BS78+BA78*BF78*BI78</f>
        <v>0</v>
      </c>
      <c r="AE78" s="531">
        <f>AZ78*BT78+BA78*BF78*BJ78</f>
        <v>0</v>
      </c>
      <c r="AF78" s="453">
        <f>+(BC78*BR78*(100-BZ78)/100)+(BF78*BH78*BD78)</f>
        <v>0</v>
      </c>
      <c r="AG78" s="450">
        <f>IF(BK78=2,AF78,0)</f>
        <v>0</v>
      </c>
      <c r="AH78" s="450">
        <f>BC78*BS78+BD78*BF78*BI78</f>
        <v>0</v>
      </c>
      <c r="AI78" s="454">
        <f>BC78*BT78+BD78*BF78*BJ78</f>
        <v>0</v>
      </c>
      <c r="AJ78" s="455">
        <f>INDEX(Tiere!L$30:L$85,'Berechnung Nährstoffe und Lager'!$BM78)</f>
        <v>0</v>
      </c>
      <c r="AK78" s="455">
        <f>INDEX(Tiere!Z$30:Z$85,'Berechnung Nährstoffe und Lager'!BM78)</f>
        <v>0</v>
      </c>
      <c r="AL78" s="450">
        <f>+(BA78*BR78*(100-CA78)/100)-BF78*BA78*BH78</f>
        <v>0</v>
      </c>
      <c r="AM78" s="450">
        <f>BA78*BS78-BA78*BF78*BI78</f>
        <v>0</v>
      </c>
      <c r="AN78" s="450">
        <f>BA78*BT78-BA78*BF78*BJ78</f>
        <v>0</v>
      </c>
      <c r="AO78" s="453">
        <f>+(BD78*BR78*(100-CA78)/100)-BF78*BD78*BH78</f>
        <v>0</v>
      </c>
      <c r="AP78" s="450">
        <f>BD78*BS78-BD78*BF78*BI78</f>
        <v>0</v>
      </c>
      <c r="AQ78" s="454">
        <f>BD78*BT78-BD78*BF78*BJ78</f>
        <v>0</v>
      </c>
      <c r="AR78" s="455" cm="1">
        <f t="array" ref="AR78">IF(BN78=1,INDEX(Tiere!V$30:V$85,'Berechnung Nährstoffe und Lager'!$BM78),IF(BN78=2,INDEX(Tiere!W$30:W$85,'Berechnung Nährstoffe und Lager'!$BM78),INDEX(Tiere!X$30:X$85,'Berechnung Nährstoffe und Lager'!$BM78)))</f>
        <v>0</v>
      </c>
      <c r="AS78" s="456">
        <f t="shared" si="19"/>
        <v>0</v>
      </c>
      <c r="AT78" s="456">
        <f t="shared" si="20"/>
        <v>0</v>
      </c>
      <c r="AU78" s="456">
        <f t="shared" si="21"/>
        <v>0</v>
      </c>
      <c r="AV78" s="453">
        <f t="shared" si="22"/>
        <v>0</v>
      </c>
      <c r="AW78" s="450">
        <f t="shared" si="23"/>
        <v>0</v>
      </c>
      <c r="AX78" s="454">
        <f t="shared" si="24"/>
        <v>0</v>
      </c>
      <c r="AY78" s="450"/>
      <c r="AZ78" s="528">
        <f>+Z78*(100-$H78)/100</f>
        <v>0</v>
      </c>
      <c r="BA78" s="529">
        <f>+AA78*(100-$H78)/100</f>
        <v>0</v>
      </c>
      <c r="BB78" s="529">
        <f t="shared" si="27"/>
        <v>0</v>
      </c>
      <c r="BC78" s="453">
        <f>+Z78*(100-$I78)/100</f>
        <v>0</v>
      </c>
      <c r="BD78" s="450">
        <f>+AA78*(100-$I78)/100</f>
        <v>0</v>
      </c>
      <c r="BE78" s="454">
        <f t="shared" si="30"/>
        <v>0</v>
      </c>
      <c r="BF78" s="460">
        <f>IF(BN78=1,BV78,IF(BN78=2,BV78/2,0))</f>
        <v>0</v>
      </c>
      <c r="BG78" s="457">
        <f>IF(BN78=1,BW78,IF(BN78=2,BX78,BY78))</f>
        <v>0</v>
      </c>
      <c r="BH78" s="1335">
        <f>INDEX(Tiere!BH$30:BH$85,'Berechnung Nährstoffe und Lager'!$BM78)</f>
        <v>0</v>
      </c>
      <c r="BI78" s="1335">
        <f>INDEX(Tiere!BI$30:BI$85,'Berechnung Nährstoffe und Lager'!$BM78)</f>
        <v>0</v>
      </c>
      <c r="BJ78" s="1335">
        <f>INDEX(Tiere!BJ$30:BJ$85,'Berechnung Nährstoffe und Lager'!$BM78)</f>
        <v>0</v>
      </c>
      <c r="BK78" s="1106">
        <f t="shared" si="68"/>
        <v>1</v>
      </c>
      <c r="BL78" s="1106" cm="1">
        <f t="array" ref="BL78">INDEX(Tiere!$C$30:$C$85,BM78)</f>
        <v>0</v>
      </c>
      <c r="BM78" s="462">
        <v>1</v>
      </c>
      <c r="BN78" s="462">
        <v>1</v>
      </c>
      <c r="BO78" s="461">
        <f>INDEX(Tiere!D$30:D$85,'Berechnung Nährstoffe und Lager'!$BM78)</f>
        <v>0</v>
      </c>
      <c r="BP78" s="461" t="str">
        <f>IF(BO78&gt;0.001,BO78,"1")</f>
        <v>1</v>
      </c>
      <c r="BQ78" s="461">
        <f t="shared" si="70"/>
        <v>0</v>
      </c>
      <c r="BR78" s="460">
        <f>INDEX(Tiere!E$30:E$85,'Berechnung Nährstoffe und Lager'!$BM78)</f>
        <v>0</v>
      </c>
      <c r="BS78" s="456">
        <f>INDEX(Tiere!F$30:F$85,'Berechnung Nährstoffe und Lager'!$BM78)</f>
        <v>0</v>
      </c>
      <c r="BT78" s="457">
        <f>INDEX(Tiere!G$30:G$85,'Berechnung Nährstoffe und Lager'!$BM78)</f>
        <v>0</v>
      </c>
      <c r="BU78" s="456">
        <f>INDEX(Tiere!K$30:K$85,'Berechnung Nährstoffe und Lager'!$BM78)</f>
        <v>0</v>
      </c>
      <c r="BV78" s="456">
        <f>INDEX(Tiere!Y$30:Y$85,'Berechnung Nährstoffe und Lager'!$BM78)</f>
        <v>0</v>
      </c>
      <c r="BW78" s="460">
        <f>INDEX(Tiere!S$30:S$85,'Berechnung Nährstoffe und Lager'!$BM78)</f>
        <v>0</v>
      </c>
      <c r="BX78" s="456">
        <f>INDEX(Tiere!T$30:T$85,'Berechnung Nährstoffe und Lager'!$BM78)</f>
        <v>0</v>
      </c>
      <c r="BY78" s="457">
        <f>INDEX(Tiere!U$30:U$85,'Berechnung Nährstoffe und Lager'!$BM78)</f>
        <v>0</v>
      </c>
      <c r="BZ78" s="460">
        <f>INDEX(Tiere!AA$30:AA$85,'Berechnung Nährstoffe und Lager'!$BM78)</f>
        <v>0</v>
      </c>
      <c r="CA78" s="457">
        <f>INDEX(Tiere!AB$30:AB$85,'Berechnung Nährstoffe und Lager'!$BM78)</f>
        <v>0</v>
      </c>
      <c r="CB78" s="463">
        <f>INDEX(Tiere!AK$30:AK$85,'Berechnung Nährstoffe und Lager'!$BM78)</f>
        <v>0</v>
      </c>
      <c r="CC78" s="457">
        <f>INDEX(Tiere!M$30:M$85,'Berechnung Nährstoffe und Lager'!$BM78)</f>
        <v>0</v>
      </c>
      <c r="CD78" s="457">
        <f>INDEX(Tiere!N$30:N$85,'Berechnung Nährstoffe und Lager'!$BM78)</f>
        <v>0</v>
      </c>
      <c r="CE78" s="457">
        <f>INDEX(Tiere!O$30:O$85,'Berechnung Nährstoffe und Lager'!$BM78)</f>
        <v>0</v>
      </c>
      <c r="CF78" s="422">
        <v>5</v>
      </c>
      <c r="CG78" s="422">
        <v>3</v>
      </c>
      <c r="CH78" s="444">
        <v>17</v>
      </c>
      <c r="CI78" s="450">
        <f>INDEX(Tiere!AN$30:AN$85,'Berechnung Nährstoffe und Lager'!$BM78)</f>
        <v>0</v>
      </c>
      <c r="CJ78" s="450">
        <f t="shared" si="31"/>
        <v>0</v>
      </c>
      <c r="CK78" s="450">
        <f t="shared" si="32"/>
        <v>0</v>
      </c>
      <c r="CL78" s="454">
        <f t="shared" si="33"/>
        <v>0</v>
      </c>
      <c r="CM78" s="422"/>
      <c r="CN78" s="656" t="b">
        <f t="shared" si="34"/>
        <v>0</v>
      </c>
      <c r="CO78" s="422"/>
      <c r="CP78" s="460">
        <f>INDEX(Tiere!AO$30:AO$85,'Berechnung Nährstoffe und Lager'!$BM78)</f>
        <v>0</v>
      </c>
      <c r="CQ78" s="460">
        <f>INDEX(Tiere!AP$30:AP$85,'Berechnung Nährstoffe und Lager'!$BM78)</f>
        <v>0</v>
      </c>
      <c r="CR78" s="460">
        <f>INDEX(Tiere!AQ$30:AQ$85,'Berechnung Nährstoffe und Lager'!$BM78)</f>
        <v>0</v>
      </c>
      <c r="CS78" s="324">
        <f t="shared" si="35"/>
        <v>0</v>
      </c>
      <c r="CT78" s="327">
        <f t="shared" si="36"/>
        <v>0</v>
      </c>
      <c r="CU78" s="327">
        <f t="shared" si="71"/>
        <v>0</v>
      </c>
      <c r="CV78" s="327">
        <f t="shared" si="37"/>
        <v>0</v>
      </c>
      <c r="CW78" s="327">
        <f t="shared" si="38"/>
        <v>0</v>
      </c>
      <c r="CX78" s="327">
        <f t="shared" si="39"/>
        <v>0</v>
      </c>
      <c r="CY78" s="327">
        <f t="shared" si="40"/>
        <v>0</v>
      </c>
      <c r="CZ78" s="327">
        <f t="shared" si="41"/>
        <v>0</v>
      </c>
      <c r="DA78" s="327">
        <f t="shared" si="42"/>
        <v>0</v>
      </c>
      <c r="DB78" s="327">
        <f t="shared" si="43"/>
        <v>0</v>
      </c>
      <c r="DC78" s="327"/>
      <c r="DD78" s="327">
        <f t="shared" si="72"/>
        <v>0</v>
      </c>
      <c r="DE78" s="327">
        <f t="shared" si="44"/>
        <v>0</v>
      </c>
      <c r="DF78" s="327">
        <f t="shared" si="45"/>
        <v>0</v>
      </c>
      <c r="DG78" s="327">
        <f t="shared" si="46"/>
        <v>0</v>
      </c>
      <c r="DH78" s="327">
        <f>+DD78-DG78</f>
        <v>0</v>
      </c>
      <c r="DI78" s="327">
        <f t="shared" si="47"/>
        <v>55</v>
      </c>
      <c r="DJ78" s="327">
        <f t="shared" si="48"/>
        <v>0</v>
      </c>
      <c r="DK78" s="422" t="b">
        <v>0</v>
      </c>
      <c r="DL78" s="450">
        <f>IF(DK78=TRUE,1,0)</f>
        <v>0</v>
      </c>
      <c r="DM78" s="646">
        <f>INDEX(Tiere!AS$30:AS$85,'Berechnung Nährstoffe und Lager'!$BM78)</f>
        <v>0</v>
      </c>
      <c r="DN78" s="460">
        <f>INDEX(Tiere!AT$30:AT$85,'Berechnung Nährstoffe und Lager'!$BM78)</f>
        <v>0</v>
      </c>
      <c r="DO78" s="460">
        <f>INDEX(Tiere!AU$30:AU$85,'Berechnung Nährstoffe und Lager'!$BM78)</f>
        <v>0</v>
      </c>
      <c r="DP78" s="646">
        <f>INDEX(Tiere!AV$30:AV$85,'Berechnung Nährstoffe und Lager'!$BM78)</f>
        <v>0</v>
      </c>
      <c r="DQ78" s="460">
        <f>INDEX(Tiere!AW$30:AW$85,'Berechnung Nährstoffe und Lager'!$BM78)</f>
        <v>0</v>
      </c>
      <c r="DR78" s="460">
        <f>INDEX(Tiere!AX$30:AX$85,'Berechnung Nährstoffe und Lager'!$BM78)</f>
        <v>0</v>
      </c>
      <c r="DS78" s="460">
        <f>INDEX(Tiere!AY$30:AY$85,'Berechnung Nährstoffe und Lager'!$BM78)</f>
        <v>0</v>
      </c>
      <c r="DT78" s="460">
        <f>INDEX(Tiere!AZ$30:AZ$85,'Berechnung Nährstoffe und Lager'!$BM78)</f>
        <v>0</v>
      </c>
      <c r="DU78" s="456">
        <f>IF(DK78=TRUE,(DW78*DS78+DY78*DT78),0)</f>
        <v>0</v>
      </c>
      <c r="DV78" s="456">
        <f t="shared" si="49"/>
        <v>0</v>
      </c>
      <c r="DW78" s="456">
        <f t="shared" si="50"/>
        <v>0</v>
      </c>
      <c r="DX78" s="456">
        <f t="shared" si="51"/>
        <v>0</v>
      </c>
      <c r="DY78" s="456">
        <f t="shared" si="52"/>
        <v>0</v>
      </c>
      <c r="DZ78" s="811">
        <f t="shared" si="76"/>
        <v>0</v>
      </c>
      <c r="EA78" s="654">
        <f>+DZ78*DO78/100</f>
        <v>0</v>
      </c>
      <c r="EB78" s="811">
        <f t="shared" si="53"/>
        <v>0</v>
      </c>
      <c r="EC78" s="654">
        <f>+EB78*DR78/100</f>
        <v>0</v>
      </c>
      <c r="ED78" s="654">
        <f t="shared" si="79"/>
        <v>0</v>
      </c>
      <c r="EE78" s="324">
        <f t="shared" si="80"/>
        <v>0</v>
      </c>
      <c r="EF78" s="654">
        <f>+ED78-EE78</f>
        <v>0</v>
      </c>
      <c r="EG78" s="324" t="e">
        <f>+EE78/ED78</f>
        <v>#DIV/0!</v>
      </c>
      <c r="EH78" s="324">
        <f t="shared" si="54"/>
        <v>0</v>
      </c>
      <c r="EI78" s="365" t="e">
        <f t="shared" si="91"/>
        <v>#DIV/0!</v>
      </c>
      <c r="EJ78" s="365" t="e">
        <f>(DW78+DY78)*EI78*((EA78+EC78)/(DZ78+EB78))/22.26*0.01605</f>
        <v>#DIV/0!</v>
      </c>
      <c r="EK78" s="365" t="e">
        <f t="shared" si="83"/>
        <v>#DIV/0!</v>
      </c>
      <c r="EL78" s="324">
        <f>IF(ED78=0,0,EJ78+EK78)</f>
        <v>0</v>
      </c>
      <c r="EM78" s="324">
        <f>+DN78/887*100</f>
        <v>0</v>
      </c>
      <c r="EN78" s="411">
        <f>15.44*EM78/100</f>
        <v>0</v>
      </c>
      <c r="EO78" s="562">
        <f>+EL78-EP78</f>
        <v>0</v>
      </c>
      <c r="EP78" s="562">
        <f>+EL78*EN78/100</f>
        <v>0</v>
      </c>
      <c r="ES78" s="324">
        <f t="shared" si="55"/>
        <v>0</v>
      </c>
      <c r="ET78" s="324">
        <f t="shared" si="56"/>
        <v>0</v>
      </c>
      <c r="EU78" s="324">
        <f t="shared" si="89"/>
        <v>0</v>
      </c>
      <c r="EV78" s="324">
        <f t="shared" si="90"/>
        <v>0</v>
      </c>
      <c r="EW78" s="324" cm="1">
        <f t="array" ref="EW78">INDEX(Tiere!$AJ$30:$AJ$85,BM78)</f>
        <v>0</v>
      </c>
    </row>
    <row r="79" spans="1:153" ht="18" customHeight="1" x14ac:dyDescent="0.2">
      <c r="A79" s="2649"/>
      <c r="B79" s="2650"/>
      <c r="C79" s="2650"/>
      <c r="D79" s="2650"/>
      <c r="E79" s="352"/>
      <c r="F79" s="357"/>
      <c r="G79" s="290"/>
      <c r="H79" s="352"/>
      <c r="I79" s="702"/>
      <c r="J79" s="574" t="str">
        <f t="shared" si="1"/>
        <v xml:space="preserve"> </v>
      </c>
      <c r="K79" s="2693" t="str">
        <f t="shared" si="2"/>
        <v xml:space="preserve"> </v>
      </c>
      <c r="L79" s="2529"/>
      <c r="M79" s="800"/>
      <c r="N79" s="17"/>
      <c r="O79" s="17"/>
      <c r="P79" s="422"/>
      <c r="Q79" s="450" t="str">
        <f t="shared" si="3"/>
        <v xml:space="preserve"> </v>
      </c>
      <c r="R79" s="450" t="str">
        <f t="shared" si="4"/>
        <v xml:space="preserve"> </v>
      </c>
      <c r="S79" s="450">
        <f t="shared" si="5"/>
        <v>0</v>
      </c>
      <c r="T79" s="531">
        <f t="shared" si="6"/>
        <v>0</v>
      </c>
      <c r="U79" s="450">
        <f t="shared" si="57"/>
        <v>0</v>
      </c>
      <c r="V79" s="450">
        <f t="shared" si="7"/>
        <v>0</v>
      </c>
      <c r="W79" s="450">
        <f t="shared" si="8"/>
        <v>0</v>
      </c>
      <c r="X79" s="450">
        <f t="shared" si="9"/>
        <v>0</v>
      </c>
      <c r="Y79" s="450" t="str">
        <f t="shared" si="58"/>
        <v xml:space="preserve"> </v>
      </c>
      <c r="Z79" s="451">
        <f t="shared" si="10"/>
        <v>0</v>
      </c>
      <c r="AA79" s="452">
        <f t="shared" si="11"/>
        <v>0</v>
      </c>
      <c r="AB79" s="531">
        <f t="shared" si="59"/>
        <v>0</v>
      </c>
      <c r="AC79" s="531">
        <f t="shared" si="60"/>
        <v>0</v>
      </c>
      <c r="AD79" s="531">
        <f t="shared" si="61"/>
        <v>0</v>
      </c>
      <c r="AE79" s="531">
        <f t="shared" si="62"/>
        <v>0</v>
      </c>
      <c r="AF79" s="453">
        <f t="shared" si="12"/>
        <v>0</v>
      </c>
      <c r="AG79" s="450">
        <f t="shared" si="13"/>
        <v>0</v>
      </c>
      <c r="AH79" s="450">
        <f t="shared" si="14"/>
        <v>0</v>
      </c>
      <c r="AI79" s="454">
        <f t="shared" si="15"/>
        <v>0</v>
      </c>
      <c r="AJ79" s="455">
        <f>INDEX(Tiere!L$30:L$85,'Berechnung Nährstoffe und Lager'!$BM79)</f>
        <v>0</v>
      </c>
      <c r="AK79" s="455">
        <f>INDEX(Tiere!Z$30:Z$85,'Berechnung Nährstoffe und Lager'!BM79)</f>
        <v>0</v>
      </c>
      <c r="AL79" s="450">
        <f t="shared" si="63"/>
        <v>0</v>
      </c>
      <c r="AM79" s="450">
        <f t="shared" si="64"/>
        <v>0</v>
      </c>
      <c r="AN79" s="450">
        <f t="shared" si="65"/>
        <v>0</v>
      </c>
      <c r="AO79" s="453">
        <f t="shared" si="16"/>
        <v>0</v>
      </c>
      <c r="AP79" s="450">
        <f t="shared" si="17"/>
        <v>0</v>
      </c>
      <c r="AQ79" s="454">
        <f t="shared" si="18"/>
        <v>0</v>
      </c>
      <c r="AR79" s="455" cm="1">
        <f t="array" ref="AR79">IF(BN79=1,INDEX(Tiere!V$30:V$85,'Berechnung Nährstoffe und Lager'!$BM79),IF(BN79=2,INDEX(Tiere!W$30:W$85,'Berechnung Nährstoffe und Lager'!$BM79),INDEX(Tiere!X$30:X$85,'Berechnung Nährstoffe und Lager'!$BM79)))</f>
        <v>0</v>
      </c>
      <c r="AS79" s="456">
        <f t="shared" si="19"/>
        <v>0</v>
      </c>
      <c r="AT79" s="456">
        <f t="shared" si="20"/>
        <v>0</v>
      </c>
      <c r="AU79" s="456">
        <f t="shared" si="21"/>
        <v>0</v>
      </c>
      <c r="AV79" s="453">
        <f t="shared" si="22"/>
        <v>0</v>
      </c>
      <c r="AW79" s="450">
        <f t="shared" si="23"/>
        <v>0</v>
      </c>
      <c r="AX79" s="454">
        <f t="shared" si="24"/>
        <v>0</v>
      </c>
      <c r="AY79" s="450"/>
      <c r="AZ79" s="528">
        <f t="shared" si="25"/>
        <v>0</v>
      </c>
      <c r="BA79" s="529">
        <f t="shared" si="26"/>
        <v>0</v>
      </c>
      <c r="BB79" s="529">
        <f t="shared" si="27"/>
        <v>0</v>
      </c>
      <c r="BC79" s="453">
        <f t="shared" si="28"/>
        <v>0</v>
      </c>
      <c r="BD79" s="450">
        <f t="shared" si="29"/>
        <v>0</v>
      </c>
      <c r="BE79" s="454">
        <f t="shared" si="30"/>
        <v>0</v>
      </c>
      <c r="BF79" s="460">
        <f t="shared" si="66"/>
        <v>0</v>
      </c>
      <c r="BG79" s="457">
        <f t="shared" si="67"/>
        <v>0</v>
      </c>
      <c r="BH79" s="1335">
        <f>INDEX(Tiere!BH$30:BH$85,'Berechnung Nährstoffe und Lager'!$BM79)</f>
        <v>0</v>
      </c>
      <c r="BI79" s="1335">
        <f>INDEX(Tiere!BI$30:BI$85,'Berechnung Nährstoffe und Lager'!$BM79)</f>
        <v>0</v>
      </c>
      <c r="BJ79" s="1335">
        <f>INDEX(Tiere!BJ$30:BJ$85,'Berechnung Nährstoffe und Lager'!$BM79)</f>
        <v>0</v>
      </c>
      <c r="BK79" s="1106">
        <f t="shared" si="68"/>
        <v>1</v>
      </c>
      <c r="BL79" s="1106" cm="1">
        <f t="array" ref="BL79">INDEX(Tiere!$C$30:$C$85,BM79)</f>
        <v>0</v>
      </c>
      <c r="BM79" s="462">
        <v>1</v>
      </c>
      <c r="BN79" s="462">
        <v>1</v>
      </c>
      <c r="BO79" s="461">
        <f>INDEX(Tiere!D$30:D$85,'Berechnung Nährstoffe und Lager'!$BM79)</f>
        <v>0</v>
      </c>
      <c r="BP79" s="461" t="str">
        <f t="shared" si="69"/>
        <v>1</v>
      </c>
      <c r="BQ79" s="461">
        <f t="shared" si="70"/>
        <v>0</v>
      </c>
      <c r="BR79" s="460">
        <f>INDEX(Tiere!E$30:E$85,'Berechnung Nährstoffe und Lager'!$BM79)</f>
        <v>0</v>
      </c>
      <c r="BS79" s="456">
        <f>INDEX(Tiere!F$30:F$85,'Berechnung Nährstoffe und Lager'!$BM79)</f>
        <v>0</v>
      </c>
      <c r="BT79" s="457">
        <f>INDEX(Tiere!G$30:G$85,'Berechnung Nährstoffe und Lager'!$BM79)</f>
        <v>0</v>
      </c>
      <c r="BU79" s="456">
        <f>INDEX(Tiere!K$30:K$85,'Berechnung Nährstoffe und Lager'!$BM79)</f>
        <v>0</v>
      </c>
      <c r="BV79" s="456">
        <f>INDEX(Tiere!Y$30:Y$85,'Berechnung Nährstoffe und Lager'!$BM79)</f>
        <v>0</v>
      </c>
      <c r="BW79" s="460">
        <f>INDEX(Tiere!S$30:S$85,'Berechnung Nährstoffe und Lager'!$BM79)</f>
        <v>0</v>
      </c>
      <c r="BX79" s="456">
        <f>INDEX(Tiere!T$30:T$85,'Berechnung Nährstoffe und Lager'!$BM79)</f>
        <v>0</v>
      </c>
      <c r="BY79" s="457">
        <f>INDEX(Tiere!U$30:U$85,'Berechnung Nährstoffe und Lager'!$BM79)</f>
        <v>0</v>
      </c>
      <c r="BZ79" s="460">
        <f>INDEX(Tiere!AA$30:AA$85,'Berechnung Nährstoffe und Lager'!$BM79)</f>
        <v>0</v>
      </c>
      <c r="CA79" s="457">
        <f>INDEX(Tiere!AB$30:AB$85,'Berechnung Nährstoffe und Lager'!$BM79)</f>
        <v>0</v>
      </c>
      <c r="CB79" s="463">
        <f>INDEX(Tiere!AK$30:AK$85,'Berechnung Nährstoffe und Lager'!$BM79)</f>
        <v>0</v>
      </c>
      <c r="CC79" s="457">
        <f>INDEX(Tiere!M$30:M$85,'Berechnung Nährstoffe und Lager'!$BM79)</f>
        <v>0</v>
      </c>
      <c r="CD79" s="457">
        <f>INDEX(Tiere!N$30:N$85,'Berechnung Nährstoffe und Lager'!$BM79)</f>
        <v>0</v>
      </c>
      <c r="CE79" s="457">
        <f>INDEX(Tiere!O$30:O$85,'Berechnung Nährstoffe und Lager'!$BM79)</f>
        <v>0</v>
      </c>
      <c r="CF79" s="422">
        <v>5</v>
      </c>
      <c r="CG79" s="422">
        <v>3</v>
      </c>
      <c r="CH79" s="444">
        <v>17</v>
      </c>
      <c r="CI79" s="450">
        <f>INDEX(Tiere!AN$30:AN$85,'Berechnung Nährstoffe und Lager'!$BM79)</f>
        <v>0</v>
      </c>
      <c r="CJ79" s="450">
        <f t="shared" si="31"/>
        <v>0</v>
      </c>
      <c r="CK79" s="450">
        <f t="shared" si="32"/>
        <v>0</v>
      </c>
      <c r="CL79" s="454">
        <f t="shared" si="33"/>
        <v>0</v>
      </c>
      <c r="CM79" s="422"/>
      <c r="CN79" s="656" t="b">
        <f t="shared" si="34"/>
        <v>0</v>
      </c>
      <c r="CO79" s="422"/>
      <c r="CP79" s="460">
        <f>INDEX(Tiere!AO$30:AO$85,'Berechnung Nährstoffe und Lager'!$BM79)</f>
        <v>0</v>
      </c>
      <c r="CQ79" s="460">
        <f>INDEX(Tiere!AP$30:AP$85,'Berechnung Nährstoffe und Lager'!$BM79)</f>
        <v>0</v>
      </c>
      <c r="CR79" s="460">
        <f>INDEX(Tiere!AQ$30:AQ$85,'Berechnung Nährstoffe und Lager'!$BM79)</f>
        <v>0</v>
      </c>
      <c r="CS79" s="324">
        <f t="shared" si="35"/>
        <v>0</v>
      </c>
      <c r="CT79" s="327">
        <f t="shared" si="36"/>
        <v>0</v>
      </c>
      <c r="CU79" s="327">
        <f t="shared" si="71"/>
        <v>0</v>
      </c>
      <c r="CV79" s="327">
        <f t="shared" si="37"/>
        <v>0</v>
      </c>
      <c r="CW79" s="327">
        <f t="shared" si="38"/>
        <v>0</v>
      </c>
      <c r="CX79" s="327">
        <f t="shared" si="39"/>
        <v>0</v>
      </c>
      <c r="CY79" s="327">
        <f t="shared" si="40"/>
        <v>0</v>
      </c>
      <c r="CZ79" s="327">
        <f t="shared" si="41"/>
        <v>0</v>
      </c>
      <c r="DA79" s="327">
        <f t="shared" si="42"/>
        <v>0</v>
      </c>
      <c r="DB79" s="327">
        <f t="shared" si="43"/>
        <v>0</v>
      </c>
      <c r="DC79" s="327"/>
      <c r="DD79" s="327">
        <f t="shared" si="72"/>
        <v>0</v>
      </c>
      <c r="DE79" s="327">
        <f t="shared" si="44"/>
        <v>0</v>
      </c>
      <c r="DF79" s="327">
        <f t="shared" si="45"/>
        <v>0</v>
      </c>
      <c r="DG79" s="327">
        <f t="shared" si="46"/>
        <v>0</v>
      </c>
      <c r="DH79" s="327">
        <f t="shared" si="73"/>
        <v>0</v>
      </c>
      <c r="DI79" s="327">
        <f t="shared" si="47"/>
        <v>55</v>
      </c>
      <c r="DJ79" s="327">
        <f t="shared" si="48"/>
        <v>0</v>
      </c>
      <c r="DK79" s="422" t="b">
        <v>0</v>
      </c>
      <c r="DL79" s="450">
        <f t="shared" si="74"/>
        <v>0</v>
      </c>
      <c r="DM79" s="646">
        <f>INDEX(Tiere!AS$30:AS$85,'Berechnung Nährstoffe und Lager'!$BM79)</f>
        <v>0</v>
      </c>
      <c r="DN79" s="460">
        <f>INDEX(Tiere!AT$30:AT$85,'Berechnung Nährstoffe und Lager'!$BM79)</f>
        <v>0</v>
      </c>
      <c r="DO79" s="460">
        <f>INDEX(Tiere!AU$30:AU$85,'Berechnung Nährstoffe und Lager'!$BM79)</f>
        <v>0</v>
      </c>
      <c r="DP79" s="646">
        <f>INDEX(Tiere!AV$30:AV$85,'Berechnung Nährstoffe und Lager'!$BM79)</f>
        <v>0</v>
      </c>
      <c r="DQ79" s="460">
        <f>INDEX(Tiere!AW$30:AW$85,'Berechnung Nährstoffe und Lager'!$BM79)</f>
        <v>0</v>
      </c>
      <c r="DR79" s="460">
        <f>INDEX(Tiere!AX$30:AX$85,'Berechnung Nährstoffe und Lager'!$BM79)</f>
        <v>0</v>
      </c>
      <c r="DS79" s="460">
        <f>INDEX(Tiere!AY$30:AY$85,'Berechnung Nährstoffe und Lager'!$BM79)</f>
        <v>0</v>
      </c>
      <c r="DT79" s="460">
        <f>INDEX(Tiere!AZ$30:AZ$85,'Berechnung Nährstoffe und Lager'!$BM79)</f>
        <v>0</v>
      </c>
      <c r="DU79" s="456">
        <f t="shared" si="75"/>
        <v>0</v>
      </c>
      <c r="DV79" s="456">
        <f t="shared" si="49"/>
        <v>0</v>
      </c>
      <c r="DW79" s="456">
        <f t="shared" si="50"/>
        <v>0</v>
      </c>
      <c r="DX79" s="456">
        <f t="shared" si="51"/>
        <v>0</v>
      </c>
      <c r="DY79" s="456">
        <f t="shared" si="52"/>
        <v>0</v>
      </c>
      <c r="DZ79" s="811">
        <f t="shared" si="76"/>
        <v>0</v>
      </c>
      <c r="EA79" s="654">
        <f t="shared" si="77"/>
        <v>0</v>
      </c>
      <c r="EB79" s="811">
        <f t="shared" si="53"/>
        <v>0</v>
      </c>
      <c r="EC79" s="654">
        <f t="shared" si="78"/>
        <v>0</v>
      </c>
      <c r="ED79" s="654">
        <f t="shared" si="79"/>
        <v>0</v>
      </c>
      <c r="EE79" s="324">
        <f t="shared" si="80"/>
        <v>0</v>
      </c>
      <c r="EF79" s="654">
        <f t="shared" si="81"/>
        <v>0</v>
      </c>
      <c r="EG79" s="324" t="e">
        <f t="shared" si="82"/>
        <v>#DIV/0!</v>
      </c>
      <c r="EH79" s="324">
        <f t="shared" si="54"/>
        <v>0</v>
      </c>
      <c r="EI79" s="365" t="e">
        <f t="shared" si="91"/>
        <v>#DIV/0!</v>
      </c>
      <c r="EJ79" s="365" t="e">
        <f t="shared" si="92"/>
        <v>#DIV/0!</v>
      </c>
      <c r="EK79" s="365" t="e">
        <f t="shared" si="83"/>
        <v>#DIV/0!</v>
      </c>
      <c r="EL79" s="324">
        <f t="shared" si="84"/>
        <v>0</v>
      </c>
      <c r="EM79" s="324">
        <f t="shared" si="85"/>
        <v>0</v>
      </c>
      <c r="EN79" s="411">
        <f t="shared" si="86"/>
        <v>0</v>
      </c>
      <c r="EO79" s="562">
        <f t="shared" si="87"/>
        <v>0</v>
      </c>
      <c r="EP79" s="562">
        <f t="shared" si="88"/>
        <v>0</v>
      </c>
      <c r="ES79" s="324">
        <f t="shared" si="55"/>
        <v>0</v>
      </c>
      <c r="ET79" s="324">
        <f t="shared" si="56"/>
        <v>0</v>
      </c>
      <c r="EU79" s="324">
        <f t="shared" si="89"/>
        <v>0</v>
      </c>
      <c r="EV79" s="324">
        <f t="shared" si="90"/>
        <v>0</v>
      </c>
      <c r="EW79" s="324" cm="1">
        <f t="array" ref="EW79">INDEX(Tiere!$AJ$30:$AJ$85,BM79)</f>
        <v>0</v>
      </c>
    </row>
    <row r="80" spans="1:153" ht="18" customHeight="1" x14ac:dyDescent="0.2">
      <c r="A80" s="2649"/>
      <c r="B80" s="2650"/>
      <c r="C80" s="2650"/>
      <c r="D80" s="2650"/>
      <c r="E80" s="352"/>
      <c r="F80" s="357"/>
      <c r="G80" s="290"/>
      <c r="H80" s="352"/>
      <c r="I80" s="702"/>
      <c r="J80" s="574" t="str">
        <f t="shared" si="1"/>
        <v xml:space="preserve"> </v>
      </c>
      <c r="K80" s="2693" t="str">
        <f t="shared" si="2"/>
        <v xml:space="preserve"> </v>
      </c>
      <c r="L80" s="2529"/>
      <c r="M80" s="800"/>
      <c r="N80" s="17"/>
      <c r="O80" s="17"/>
      <c r="P80" s="422"/>
      <c r="Q80" s="450" t="str">
        <f t="shared" si="3"/>
        <v xml:space="preserve"> </v>
      </c>
      <c r="R80" s="450" t="str">
        <f t="shared" si="4"/>
        <v xml:space="preserve"> </v>
      </c>
      <c r="S80" s="450">
        <f t="shared" si="5"/>
        <v>0</v>
      </c>
      <c r="T80" s="531">
        <f t="shared" si="6"/>
        <v>0</v>
      </c>
      <c r="U80" s="450">
        <f t="shared" si="57"/>
        <v>0</v>
      </c>
      <c r="V80" s="450">
        <f t="shared" si="7"/>
        <v>0</v>
      </c>
      <c r="W80" s="450">
        <f t="shared" si="8"/>
        <v>0</v>
      </c>
      <c r="X80" s="450">
        <f t="shared" si="9"/>
        <v>0</v>
      </c>
      <c r="Y80" s="450" t="str">
        <f t="shared" si="58"/>
        <v xml:space="preserve"> </v>
      </c>
      <c r="Z80" s="451">
        <f t="shared" si="10"/>
        <v>0</v>
      </c>
      <c r="AA80" s="452">
        <f t="shared" si="11"/>
        <v>0</v>
      </c>
      <c r="AB80" s="531">
        <f t="shared" si="59"/>
        <v>0</v>
      </c>
      <c r="AC80" s="531">
        <f t="shared" si="60"/>
        <v>0</v>
      </c>
      <c r="AD80" s="531">
        <f t="shared" si="61"/>
        <v>0</v>
      </c>
      <c r="AE80" s="531">
        <f t="shared" si="62"/>
        <v>0</v>
      </c>
      <c r="AF80" s="453">
        <f t="shared" si="12"/>
        <v>0</v>
      </c>
      <c r="AG80" s="450">
        <f t="shared" si="13"/>
        <v>0</v>
      </c>
      <c r="AH80" s="450">
        <f t="shared" si="14"/>
        <v>0</v>
      </c>
      <c r="AI80" s="454">
        <f t="shared" si="15"/>
        <v>0</v>
      </c>
      <c r="AJ80" s="455">
        <f>INDEX(Tiere!L$30:L$85,'Berechnung Nährstoffe und Lager'!$BM80)</f>
        <v>0</v>
      </c>
      <c r="AK80" s="455">
        <f>INDEX(Tiere!Z$30:Z$85,'Berechnung Nährstoffe und Lager'!BM80)</f>
        <v>0</v>
      </c>
      <c r="AL80" s="450">
        <f t="shared" si="63"/>
        <v>0</v>
      </c>
      <c r="AM80" s="450">
        <f t="shared" si="64"/>
        <v>0</v>
      </c>
      <c r="AN80" s="450">
        <f t="shared" si="65"/>
        <v>0</v>
      </c>
      <c r="AO80" s="453">
        <f t="shared" si="16"/>
        <v>0</v>
      </c>
      <c r="AP80" s="450">
        <f t="shared" si="17"/>
        <v>0</v>
      </c>
      <c r="AQ80" s="454">
        <f t="shared" si="18"/>
        <v>0</v>
      </c>
      <c r="AR80" s="455" cm="1">
        <f t="array" ref="AR80">IF(BN80=1,INDEX(Tiere!V$30:V$85,'Berechnung Nährstoffe und Lager'!$BM80),IF(BN80=2,INDEX(Tiere!W$30:W$85,'Berechnung Nährstoffe und Lager'!$BM80),INDEX(Tiere!X$30:X$85,'Berechnung Nährstoffe und Lager'!$BM80)))</f>
        <v>0</v>
      </c>
      <c r="AS80" s="456">
        <f t="shared" si="19"/>
        <v>0</v>
      </c>
      <c r="AT80" s="456">
        <f t="shared" si="20"/>
        <v>0</v>
      </c>
      <c r="AU80" s="456">
        <f t="shared" si="21"/>
        <v>0</v>
      </c>
      <c r="AV80" s="453">
        <f t="shared" si="22"/>
        <v>0</v>
      </c>
      <c r="AW80" s="450">
        <f t="shared" si="23"/>
        <v>0</v>
      </c>
      <c r="AX80" s="454">
        <f t="shared" si="24"/>
        <v>0</v>
      </c>
      <c r="AY80" s="450"/>
      <c r="AZ80" s="528">
        <f t="shared" si="25"/>
        <v>0</v>
      </c>
      <c r="BA80" s="529">
        <f t="shared" si="26"/>
        <v>0</v>
      </c>
      <c r="BB80" s="529">
        <f t="shared" si="27"/>
        <v>0</v>
      </c>
      <c r="BC80" s="453">
        <f t="shared" si="28"/>
        <v>0</v>
      </c>
      <c r="BD80" s="450">
        <f t="shared" si="29"/>
        <v>0</v>
      </c>
      <c r="BE80" s="454">
        <f t="shared" si="30"/>
        <v>0</v>
      </c>
      <c r="BF80" s="460">
        <f t="shared" si="66"/>
        <v>0</v>
      </c>
      <c r="BG80" s="457">
        <f t="shared" si="67"/>
        <v>0</v>
      </c>
      <c r="BH80" s="1335">
        <f>INDEX(Tiere!BH$30:BH$85,'Berechnung Nährstoffe und Lager'!$BM80)</f>
        <v>0</v>
      </c>
      <c r="BI80" s="1335">
        <f>INDEX(Tiere!BI$30:BI$85,'Berechnung Nährstoffe und Lager'!$BM80)</f>
        <v>0</v>
      </c>
      <c r="BJ80" s="1335">
        <f>INDEX(Tiere!BJ$30:BJ$85,'Berechnung Nährstoffe und Lager'!$BM80)</f>
        <v>0</v>
      </c>
      <c r="BK80" s="1106">
        <f t="shared" si="68"/>
        <v>1</v>
      </c>
      <c r="BL80" s="1106" cm="1">
        <f t="array" ref="BL80">INDEX(Tiere!$C$30:$C$85,BM80)</f>
        <v>0</v>
      </c>
      <c r="BM80" s="462">
        <v>1</v>
      </c>
      <c r="BN80" s="462">
        <v>1</v>
      </c>
      <c r="BO80" s="461">
        <f>INDEX(Tiere!D$30:D$85,'Berechnung Nährstoffe und Lager'!$BM80)</f>
        <v>0</v>
      </c>
      <c r="BP80" s="461" t="str">
        <f t="shared" si="69"/>
        <v>1</v>
      </c>
      <c r="BQ80" s="461">
        <f t="shared" si="70"/>
        <v>0</v>
      </c>
      <c r="BR80" s="460">
        <f>INDEX(Tiere!E$30:E$85,'Berechnung Nährstoffe und Lager'!$BM80)</f>
        <v>0</v>
      </c>
      <c r="BS80" s="456">
        <f>INDEX(Tiere!F$30:F$85,'Berechnung Nährstoffe und Lager'!$BM80)</f>
        <v>0</v>
      </c>
      <c r="BT80" s="457">
        <f>INDEX(Tiere!G$30:G$85,'Berechnung Nährstoffe und Lager'!$BM80)</f>
        <v>0</v>
      </c>
      <c r="BU80" s="456">
        <f>INDEX(Tiere!K$30:K$85,'Berechnung Nährstoffe und Lager'!$BM80)</f>
        <v>0</v>
      </c>
      <c r="BV80" s="456">
        <f>INDEX(Tiere!Y$30:Y$85,'Berechnung Nährstoffe und Lager'!$BM80)</f>
        <v>0</v>
      </c>
      <c r="BW80" s="460">
        <f>INDEX(Tiere!S$30:S$85,'Berechnung Nährstoffe und Lager'!$BM80)</f>
        <v>0</v>
      </c>
      <c r="BX80" s="456">
        <f>INDEX(Tiere!T$30:T$85,'Berechnung Nährstoffe und Lager'!$BM80)</f>
        <v>0</v>
      </c>
      <c r="BY80" s="457">
        <f>INDEX(Tiere!U$30:U$85,'Berechnung Nährstoffe und Lager'!$BM80)</f>
        <v>0</v>
      </c>
      <c r="BZ80" s="460">
        <f>INDEX(Tiere!AA$30:AA$85,'Berechnung Nährstoffe und Lager'!$BM80)</f>
        <v>0</v>
      </c>
      <c r="CA80" s="457">
        <f>INDEX(Tiere!AB$30:AB$85,'Berechnung Nährstoffe und Lager'!$BM80)</f>
        <v>0</v>
      </c>
      <c r="CB80" s="463">
        <f>INDEX(Tiere!AK$30:AK$85,'Berechnung Nährstoffe und Lager'!$BM80)</f>
        <v>0</v>
      </c>
      <c r="CC80" s="457">
        <f>INDEX(Tiere!M$30:M$85,'Berechnung Nährstoffe und Lager'!$BM80)</f>
        <v>0</v>
      </c>
      <c r="CD80" s="457">
        <f>INDEX(Tiere!N$30:N$85,'Berechnung Nährstoffe und Lager'!$BM80)</f>
        <v>0</v>
      </c>
      <c r="CE80" s="457">
        <f>INDEX(Tiere!O$30:O$85,'Berechnung Nährstoffe und Lager'!$BM80)</f>
        <v>0</v>
      </c>
      <c r="CF80" s="422">
        <v>5</v>
      </c>
      <c r="CG80" s="422">
        <v>3</v>
      </c>
      <c r="CH80" s="444">
        <v>17</v>
      </c>
      <c r="CI80" s="450">
        <f>INDEX(Tiere!AN$30:AN$85,'Berechnung Nährstoffe und Lager'!$BM80)</f>
        <v>0</v>
      </c>
      <c r="CJ80" s="450">
        <f t="shared" si="31"/>
        <v>0</v>
      </c>
      <c r="CK80" s="450">
        <f t="shared" si="32"/>
        <v>0</v>
      </c>
      <c r="CL80" s="454">
        <f t="shared" si="33"/>
        <v>0</v>
      </c>
      <c r="CM80" s="422"/>
      <c r="CN80" s="656" t="b">
        <f t="shared" si="34"/>
        <v>0</v>
      </c>
      <c r="CO80" s="422"/>
      <c r="CP80" s="460">
        <f>INDEX(Tiere!AO$30:AO$85,'Berechnung Nährstoffe und Lager'!$BM80)</f>
        <v>0</v>
      </c>
      <c r="CQ80" s="460">
        <f>INDEX(Tiere!AP$30:AP$85,'Berechnung Nährstoffe und Lager'!$BM80)</f>
        <v>0</v>
      </c>
      <c r="CR80" s="460">
        <f>INDEX(Tiere!AQ$30:AQ$85,'Berechnung Nährstoffe und Lager'!$BM80)</f>
        <v>0</v>
      </c>
      <c r="CS80" s="324">
        <f t="shared" si="35"/>
        <v>0</v>
      </c>
      <c r="CT80" s="327">
        <f t="shared" si="36"/>
        <v>0</v>
      </c>
      <c r="CU80" s="327">
        <f t="shared" si="71"/>
        <v>0</v>
      </c>
      <c r="CV80" s="327">
        <f t="shared" si="37"/>
        <v>0</v>
      </c>
      <c r="CW80" s="327">
        <f t="shared" si="38"/>
        <v>0</v>
      </c>
      <c r="CX80" s="327">
        <f t="shared" si="39"/>
        <v>0</v>
      </c>
      <c r="CY80" s="327">
        <f t="shared" si="40"/>
        <v>0</v>
      </c>
      <c r="CZ80" s="327">
        <f t="shared" si="41"/>
        <v>0</v>
      </c>
      <c r="DA80" s="327">
        <f t="shared" si="42"/>
        <v>0</v>
      </c>
      <c r="DB80" s="327">
        <f t="shared" si="43"/>
        <v>0</v>
      </c>
      <c r="DC80" s="327"/>
      <c r="DD80" s="327">
        <f t="shared" si="72"/>
        <v>0</v>
      </c>
      <c r="DE80" s="327">
        <f t="shared" si="44"/>
        <v>0</v>
      </c>
      <c r="DF80" s="327">
        <f t="shared" si="45"/>
        <v>0</v>
      </c>
      <c r="DG80" s="327">
        <f t="shared" si="46"/>
        <v>0</v>
      </c>
      <c r="DH80" s="327">
        <f t="shared" si="73"/>
        <v>0</v>
      </c>
      <c r="DI80" s="327">
        <f t="shared" si="47"/>
        <v>55</v>
      </c>
      <c r="DJ80" s="327">
        <f t="shared" si="48"/>
        <v>0</v>
      </c>
      <c r="DK80" s="422" t="b">
        <v>0</v>
      </c>
      <c r="DL80" s="450">
        <f t="shared" si="74"/>
        <v>0</v>
      </c>
      <c r="DM80" s="646">
        <f>INDEX(Tiere!AS$30:AS$85,'Berechnung Nährstoffe und Lager'!$BM80)</f>
        <v>0</v>
      </c>
      <c r="DN80" s="460">
        <f>INDEX(Tiere!AT$30:AT$85,'Berechnung Nährstoffe und Lager'!$BM80)</f>
        <v>0</v>
      </c>
      <c r="DO80" s="460">
        <f>INDEX(Tiere!AU$30:AU$85,'Berechnung Nährstoffe und Lager'!$BM80)</f>
        <v>0</v>
      </c>
      <c r="DP80" s="646">
        <f>INDEX(Tiere!AV$30:AV$85,'Berechnung Nährstoffe und Lager'!$BM80)</f>
        <v>0</v>
      </c>
      <c r="DQ80" s="460">
        <f>INDEX(Tiere!AW$30:AW$85,'Berechnung Nährstoffe und Lager'!$BM80)</f>
        <v>0</v>
      </c>
      <c r="DR80" s="460">
        <f>INDEX(Tiere!AX$30:AX$85,'Berechnung Nährstoffe und Lager'!$BM80)</f>
        <v>0</v>
      </c>
      <c r="DS80" s="460">
        <f>INDEX(Tiere!AY$30:AY$85,'Berechnung Nährstoffe und Lager'!$BM80)</f>
        <v>0</v>
      </c>
      <c r="DT80" s="460">
        <f>INDEX(Tiere!AZ$30:AZ$85,'Berechnung Nährstoffe und Lager'!$BM80)</f>
        <v>0</v>
      </c>
      <c r="DU80" s="456">
        <f t="shared" si="75"/>
        <v>0</v>
      </c>
      <c r="DV80" s="456">
        <f t="shared" si="49"/>
        <v>0</v>
      </c>
      <c r="DW80" s="456">
        <f t="shared" si="50"/>
        <v>0</v>
      </c>
      <c r="DX80" s="456">
        <f t="shared" si="51"/>
        <v>0</v>
      </c>
      <c r="DY80" s="456">
        <f t="shared" si="52"/>
        <v>0</v>
      </c>
      <c r="DZ80" s="811">
        <f t="shared" si="76"/>
        <v>0</v>
      </c>
      <c r="EA80" s="654">
        <f t="shared" si="77"/>
        <v>0</v>
      </c>
      <c r="EB80" s="811">
        <f t="shared" si="53"/>
        <v>0</v>
      </c>
      <c r="EC80" s="654">
        <f t="shared" si="78"/>
        <v>0</v>
      </c>
      <c r="ED80" s="654">
        <f t="shared" si="79"/>
        <v>0</v>
      </c>
      <c r="EE80" s="324">
        <f t="shared" si="80"/>
        <v>0</v>
      </c>
      <c r="EF80" s="654">
        <f t="shared" si="81"/>
        <v>0</v>
      </c>
      <c r="EG80" s="324" t="e">
        <f t="shared" si="82"/>
        <v>#DIV/0!</v>
      </c>
      <c r="EH80" s="324">
        <f t="shared" si="54"/>
        <v>0</v>
      </c>
      <c r="EI80" s="365" t="e">
        <f t="shared" si="91"/>
        <v>#DIV/0!</v>
      </c>
      <c r="EJ80" s="365" t="e">
        <f t="shared" si="92"/>
        <v>#DIV/0!</v>
      </c>
      <c r="EK80" s="365" t="e">
        <f t="shared" si="83"/>
        <v>#DIV/0!</v>
      </c>
      <c r="EL80" s="324">
        <f t="shared" si="84"/>
        <v>0</v>
      </c>
      <c r="EM80" s="324">
        <f t="shared" si="85"/>
        <v>0</v>
      </c>
      <c r="EN80" s="411">
        <f t="shared" si="86"/>
        <v>0</v>
      </c>
      <c r="EO80" s="562">
        <f t="shared" si="87"/>
        <v>0</v>
      </c>
      <c r="EP80" s="562">
        <f t="shared" si="88"/>
        <v>0</v>
      </c>
      <c r="ES80" s="324">
        <f t="shared" si="55"/>
        <v>0</v>
      </c>
      <c r="ET80" s="324">
        <f t="shared" si="56"/>
        <v>0</v>
      </c>
      <c r="EU80" s="324">
        <f t="shared" si="89"/>
        <v>0</v>
      </c>
      <c r="EV80" s="324">
        <f t="shared" si="90"/>
        <v>0</v>
      </c>
      <c r="EW80" s="324" cm="1">
        <f t="array" ref="EW80">INDEX(Tiere!$AJ$30:$AJ$85,BM80)</f>
        <v>0</v>
      </c>
    </row>
    <row r="81" spans="1:153" ht="18" customHeight="1" x14ac:dyDescent="0.2">
      <c r="A81" s="2649"/>
      <c r="B81" s="2650"/>
      <c r="C81" s="2650"/>
      <c r="D81" s="2650"/>
      <c r="E81" s="358"/>
      <c r="F81" s="359"/>
      <c r="G81" s="290"/>
      <c r="H81" s="358"/>
      <c r="I81" s="361"/>
      <c r="J81" s="575" t="str">
        <f t="shared" si="1"/>
        <v xml:space="preserve"> </v>
      </c>
      <c r="K81" s="2691" t="str">
        <f t="shared" si="2"/>
        <v xml:space="preserve"> </v>
      </c>
      <c r="L81" s="2692"/>
      <c r="M81" s="2191"/>
      <c r="N81" s="17"/>
      <c r="O81" s="17"/>
      <c r="P81" s="422"/>
      <c r="Q81" s="450" t="str">
        <f t="shared" si="3"/>
        <v xml:space="preserve"> </v>
      </c>
      <c r="R81" s="450" t="str">
        <f t="shared" si="4"/>
        <v xml:space="preserve"> </v>
      </c>
      <c r="S81" s="450">
        <f t="shared" si="5"/>
        <v>0</v>
      </c>
      <c r="T81" s="531">
        <f t="shared" si="6"/>
        <v>0</v>
      </c>
      <c r="U81" s="450">
        <f t="shared" si="57"/>
        <v>0</v>
      </c>
      <c r="V81" s="450">
        <f t="shared" si="7"/>
        <v>0</v>
      </c>
      <c r="W81" s="450">
        <f t="shared" si="8"/>
        <v>0</v>
      </c>
      <c r="X81" s="450">
        <f t="shared" si="9"/>
        <v>0</v>
      </c>
      <c r="Y81" s="450" t="str">
        <f t="shared" si="58"/>
        <v xml:space="preserve"> </v>
      </c>
      <c r="Z81" s="451">
        <f t="shared" si="10"/>
        <v>0</v>
      </c>
      <c r="AA81" s="452">
        <f t="shared" si="11"/>
        <v>0</v>
      </c>
      <c r="AB81" s="531">
        <f t="shared" si="59"/>
        <v>0</v>
      </c>
      <c r="AC81" s="531">
        <f t="shared" si="60"/>
        <v>0</v>
      </c>
      <c r="AD81" s="531">
        <f t="shared" si="61"/>
        <v>0</v>
      </c>
      <c r="AE81" s="531">
        <f t="shared" si="62"/>
        <v>0</v>
      </c>
      <c r="AF81" s="453">
        <f t="shared" si="12"/>
        <v>0</v>
      </c>
      <c r="AG81" s="450">
        <f t="shared" si="13"/>
        <v>0</v>
      </c>
      <c r="AH81" s="450">
        <f t="shared" si="14"/>
        <v>0</v>
      </c>
      <c r="AI81" s="454">
        <f t="shared" si="15"/>
        <v>0</v>
      </c>
      <c r="AJ81" s="455">
        <f>INDEX(Tiere!L$30:L$85,'Berechnung Nährstoffe und Lager'!$BM81)</f>
        <v>0</v>
      </c>
      <c r="AK81" s="455">
        <f>INDEX(Tiere!Z$30:Z$85,'Berechnung Nährstoffe und Lager'!BM81)</f>
        <v>0</v>
      </c>
      <c r="AL81" s="450">
        <f t="shared" si="63"/>
        <v>0</v>
      </c>
      <c r="AM81" s="450">
        <f t="shared" si="64"/>
        <v>0</v>
      </c>
      <c r="AN81" s="450">
        <f t="shared" si="65"/>
        <v>0</v>
      </c>
      <c r="AO81" s="453">
        <f t="shared" si="16"/>
        <v>0</v>
      </c>
      <c r="AP81" s="450">
        <f t="shared" si="17"/>
        <v>0</v>
      </c>
      <c r="AQ81" s="454">
        <f t="shared" si="18"/>
        <v>0</v>
      </c>
      <c r="AR81" s="455" cm="1">
        <f t="array" ref="AR81">IF(BN81=1,INDEX(Tiere!V$30:V$85,'Berechnung Nährstoffe und Lager'!$BM81),IF(BN81=2,INDEX(Tiere!W$30:W$85,'Berechnung Nährstoffe und Lager'!$BM81),INDEX(Tiere!X$30:X$85,'Berechnung Nährstoffe und Lager'!$BM81)))</f>
        <v>0</v>
      </c>
      <c r="AS81" s="456">
        <f t="shared" si="19"/>
        <v>0</v>
      </c>
      <c r="AT81" s="456">
        <f t="shared" si="20"/>
        <v>0</v>
      </c>
      <c r="AU81" s="456">
        <f t="shared" si="21"/>
        <v>0</v>
      </c>
      <c r="AV81" s="453">
        <f t="shared" si="22"/>
        <v>0</v>
      </c>
      <c r="AW81" s="450">
        <f t="shared" si="23"/>
        <v>0</v>
      </c>
      <c r="AX81" s="454">
        <f t="shared" si="24"/>
        <v>0</v>
      </c>
      <c r="AY81" s="450"/>
      <c r="AZ81" s="528">
        <f t="shared" si="25"/>
        <v>0</v>
      </c>
      <c r="BA81" s="529">
        <f t="shared" si="26"/>
        <v>0</v>
      </c>
      <c r="BB81" s="529">
        <f t="shared" si="27"/>
        <v>0</v>
      </c>
      <c r="BC81" s="453">
        <f t="shared" si="28"/>
        <v>0</v>
      </c>
      <c r="BD81" s="450">
        <f t="shared" si="29"/>
        <v>0</v>
      </c>
      <c r="BE81" s="454">
        <f t="shared" si="30"/>
        <v>0</v>
      </c>
      <c r="BF81" s="460">
        <f t="shared" si="66"/>
        <v>0</v>
      </c>
      <c r="BG81" s="457">
        <f t="shared" si="67"/>
        <v>0</v>
      </c>
      <c r="BH81" s="1335">
        <f>INDEX(Tiere!BH$30:BH$85,'Berechnung Nährstoffe und Lager'!$BM81)</f>
        <v>0</v>
      </c>
      <c r="BI81" s="1335">
        <f>INDEX(Tiere!BI$30:BI$85,'Berechnung Nährstoffe und Lager'!$BM81)</f>
        <v>0</v>
      </c>
      <c r="BJ81" s="1335">
        <f>INDEX(Tiere!BJ$30:BJ$85,'Berechnung Nährstoffe und Lager'!$BM81)</f>
        <v>0</v>
      </c>
      <c r="BK81" s="1106">
        <f t="shared" si="68"/>
        <v>1</v>
      </c>
      <c r="BL81" s="1106" cm="1">
        <f t="array" ref="BL81">INDEX(Tiere!$C$30:$C$85,BM81)</f>
        <v>0</v>
      </c>
      <c r="BM81" s="462">
        <v>1</v>
      </c>
      <c r="BN81" s="462">
        <v>1</v>
      </c>
      <c r="BO81" s="461">
        <f>INDEX(Tiere!D$30:D$85,'Berechnung Nährstoffe und Lager'!$BM81)</f>
        <v>0</v>
      </c>
      <c r="BP81" s="461" t="str">
        <f t="shared" si="69"/>
        <v>1</v>
      </c>
      <c r="BQ81" s="461">
        <f t="shared" si="70"/>
        <v>0</v>
      </c>
      <c r="BR81" s="460">
        <f>INDEX(Tiere!E$30:E$85,'Berechnung Nährstoffe und Lager'!$BM81)</f>
        <v>0</v>
      </c>
      <c r="BS81" s="456">
        <f>INDEX(Tiere!F$30:F$85,'Berechnung Nährstoffe und Lager'!$BM81)</f>
        <v>0</v>
      </c>
      <c r="BT81" s="457">
        <f>INDEX(Tiere!G$30:G$85,'Berechnung Nährstoffe und Lager'!$BM81)</f>
        <v>0</v>
      </c>
      <c r="BU81" s="456">
        <f>INDEX(Tiere!K$30:K$85,'Berechnung Nährstoffe und Lager'!$BM81)</f>
        <v>0</v>
      </c>
      <c r="BV81" s="456">
        <f>INDEX(Tiere!Y$30:Y$85,'Berechnung Nährstoffe und Lager'!$BM81)</f>
        <v>0</v>
      </c>
      <c r="BW81" s="460">
        <f>INDEX(Tiere!S$30:S$85,'Berechnung Nährstoffe und Lager'!$BM81)</f>
        <v>0</v>
      </c>
      <c r="BX81" s="456">
        <f>INDEX(Tiere!T$30:T$85,'Berechnung Nährstoffe und Lager'!$BM81)</f>
        <v>0</v>
      </c>
      <c r="BY81" s="457">
        <f>INDEX(Tiere!U$30:U$85,'Berechnung Nährstoffe und Lager'!$BM81)</f>
        <v>0</v>
      </c>
      <c r="BZ81" s="460">
        <f>INDEX(Tiere!AA$30:AA$85,'Berechnung Nährstoffe und Lager'!$BM81)</f>
        <v>0</v>
      </c>
      <c r="CA81" s="457">
        <f>INDEX(Tiere!AB$30:AB$85,'Berechnung Nährstoffe und Lager'!$BM81)</f>
        <v>0</v>
      </c>
      <c r="CB81" s="463">
        <f>INDEX(Tiere!AK$30:AK$85,'Berechnung Nährstoffe und Lager'!$BM81)</f>
        <v>0</v>
      </c>
      <c r="CC81" s="457">
        <f>INDEX(Tiere!M$30:M$85,'Berechnung Nährstoffe und Lager'!$BM81)</f>
        <v>0</v>
      </c>
      <c r="CD81" s="457">
        <f>INDEX(Tiere!N$30:N$85,'Berechnung Nährstoffe und Lager'!$BM81)</f>
        <v>0</v>
      </c>
      <c r="CE81" s="457">
        <f>INDEX(Tiere!O$30:O$85,'Berechnung Nährstoffe und Lager'!$BM81)</f>
        <v>0</v>
      </c>
      <c r="CF81" s="422">
        <v>5</v>
      </c>
      <c r="CG81" s="422">
        <v>3</v>
      </c>
      <c r="CH81" s="444">
        <v>17</v>
      </c>
      <c r="CI81" s="450">
        <f>INDEX(Tiere!AN$30:AN$85,'Berechnung Nährstoffe und Lager'!$BM81)</f>
        <v>0</v>
      </c>
      <c r="CJ81" s="450">
        <f t="shared" si="31"/>
        <v>0</v>
      </c>
      <c r="CK81" s="450">
        <f t="shared" si="32"/>
        <v>0</v>
      </c>
      <c r="CL81" s="454">
        <f t="shared" si="33"/>
        <v>0</v>
      </c>
      <c r="CM81" s="422"/>
      <c r="CN81" s="656" t="b">
        <f t="shared" si="34"/>
        <v>0</v>
      </c>
      <c r="CO81" s="422"/>
      <c r="CP81" s="460">
        <f>INDEX(Tiere!AO$30:AO$85,'Berechnung Nährstoffe und Lager'!$BM81)</f>
        <v>0</v>
      </c>
      <c r="CQ81" s="460">
        <f>INDEX(Tiere!AP$30:AP$85,'Berechnung Nährstoffe und Lager'!$BM81)</f>
        <v>0</v>
      </c>
      <c r="CR81" s="460">
        <f>INDEX(Tiere!AQ$30:AQ$85,'Berechnung Nährstoffe und Lager'!$BM81)</f>
        <v>0</v>
      </c>
      <c r="CS81" s="324">
        <f t="shared" si="35"/>
        <v>0</v>
      </c>
      <c r="CT81" s="327">
        <f t="shared" si="36"/>
        <v>0</v>
      </c>
      <c r="CU81" s="327">
        <f t="shared" si="71"/>
        <v>0</v>
      </c>
      <c r="CV81" s="327">
        <f t="shared" si="37"/>
        <v>0</v>
      </c>
      <c r="CW81" s="327">
        <f t="shared" si="38"/>
        <v>0</v>
      </c>
      <c r="CX81" s="327">
        <f t="shared" si="39"/>
        <v>0</v>
      </c>
      <c r="CY81" s="327">
        <f t="shared" si="40"/>
        <v>0</v>
      </c>
      <c r="CZ81" s="327">
        <f t="shared" si="41"/>
        <v>0</v>
      </c>
      <c r="DA81" s="327">
        <f t="shared" si="42"/>
        <v>0</v>
      </c>
      <c r="DB81" s="327">
        <f t="shared" si="43"/>
        <v>0</v>
      </c>
      <c r="DC81" s="327"/>
      <c r="DD81" s="327">
        <f t="shared" si="72"/>
        <v>0</v>
      </c>
      <c r="DE81" s="327">
        <f t="shared" si="44"/>
        <v>0</v>
      </c>
      <c r="DF81" s="327">
        <f t="shared" si="45"/>
        <v>0</v>
      </c>
      <c r="DG81" s="327">
        <f t="shared" si="46"/>
        <v>0</v>
      </c>
      <c r="DH81" s="327">
        <f t="shared" si="73"/>
        <v>0</v>
      </c>
      <c r="DI81" s="327">
        <f t="shared" si="47"/>
        <v>55</v>
      </c>
      <c r="DJ81" s="327">
        <f t="shared" si="48"/>
        <v>0</v>
      </c>
      <c r="DK81" s="422" t="b">
        <v>0</v>
      </c>
      <c r="DL81" s="450">
        <f t="shared" si="74"/>
        <v>0</v>
      </c>
      <c r="DM81" s="646">
        <f>INDEX(Tiere!AS$30:AS$85,'Berechnung Nährstoffe und Lager'!$BM81)</f>
        <v>0</v>
      </c>
      <c r="DN81" s="460">
        <f>INDEX(Tiere!AT$30:AT$85,'Berechnung Nährstoffe und Lager'!$BM81)</f>
        <v>0</v>
      </c>
      <c r="DO81" s="460">
        <f>INDEX(Tiere!AU$30:AU$85,'Berechnung Nährstoffe und Lager'!$BM81)</f>
        <v>0</v>
      </c>
      <c r="DP81" s="646">
        <f>INDEX(Tiere!AV$30:AV$85,'Berechnung Nährstoffe und Lager'!$BM81)</f>
        <v>0</v>
      </c>
      <c r="DQ81" s="460">
        <f>INDEX(Tiere!AW$30:AW$85,'Berechnung Nährstoffe und Lager'!$BM81)</f>
        <v>0</v>
      </c>
      <c r="DR81" s="460">
        <f>INDEX(Tiere!AX$30:AX$85,'Berechnung Nährstoffe und Lager'!$BM81)</f>
        <v>0</v>
      </c>
      <c r="DS81" s="460">
        <f>INDEX(Tiere!AY$30:AY$85,'Berechnung Nährstoffe und Lager'!$BM81)</f>
        <v>0</v>
      </c>
      <c r="DT81" s="460">
        <f>INDEX(Tiere!AZ$30:AZ$85,'Berechnung Nährstoffe und Lager'!$BM81)</f>
        <v>0</v>
      </c>
      <c r="DU81" s="456">
        <f t="shared" si="75"/>
        <v>0</v>
      </c>
      <c r="DV81" s="456">
        <f t="shared" si="49"/>
        <v>0</v>
      </c>
      <c r="DW81" s="456">
        <f t="shared" si="50"/>
        <v>0</v>
      </c>
      <c r="DX81" s="456">
        <f t="shared" si="51"/>
        <v>0</v>
      </c>
      <c r="DY81" s="456">
        <f t="shared" si="52"/>
        <v>0</v>
      </c>
      <c r="DZ81" s="811">
        <f t="shared" si="76"/>
        <v>0</v>
      </c>
      <c r="EA81" s="654">
        <f t="shared" si="77"/>
        <v>0</v>
      </c>
      <c r="EB81" s="811">
        <f t="shared" si="53"/>
        <v>0</v>
      </c>
      <c r="EC81" s="654">
        <f t="shared" si="78"/>
        <v>0</v>
      </c>
      <c r="ED81" s="654">
        <f t="shared" si="79"/>
        <v>0</v>
      </c>
      <c r="EE81" s="324">
        <f t="shared" si="80"/>
        <v>0</v>
      </c>
      <c r="EF81" s="654">
        <f t="shared" si="81"/>
        <v>0</v>
      </c>
      <c r="EG81" s="324" t="e">
        <f t="shared" si="82"/>
        <v>#DIV/0!</v>
      </c>
      <c r="EH81" s="324">
        <f t="shared" si="54"/>
        <v>0</v>
      </c>
      <c r="EI81" s="365" t="e">
        <f t="shared" si="91"/>
        <v>#DIV/0!</v>
      </c>
      <c r="EJ81" s="365" t="e">
        <f t="shared" si="92"/>
        <v>#DIV/0!</v>
      </c>
      <c r="EK81" s="365" t="e">
        <f t="shared" si="83"/>
        <v>#DIV/0!</v>
      </c>
      <c r="EL81" s="324">
        <f t="shared" si="84"/>
        <v>0</v>
      </c>
      <c r="EM81" s="324">
        <f t="shared" si="85"/>
        <v>0</v>
      </c>
      <c r="EN81" s="411">
        <f t="shared" si="86"/>
        <v>0</v>
      </c>
      <c r="EO81" s="562">
        <f t="shared" si="87"/>
        <v>0</v>
      </c>
      <c r="EP81" s="562">
        <f t="shared" si="88"/>
        <v>0</v>
      </c>
      <c r="ES81" s="324">
        <f t="shared" si="55"/>
        <v>0</v>
      </c>
      <c r="ET81" s="324">
        <f t="shared" si="56"/>
        <v>0</v>
      </c>
      <c r="EU81" s="324">
        <f t="shared" si="89"/>
        <v>0</v>
      </c>
      <c r="EV81" s="324">
        <f t="shared" si="90"/>
        <v>0</v>
      </c>
      <c r="EW81" s="324" cm="1">
        <f t="array" ref="EW81">INDEX(Tiere!$AJ$30:$AJ$85,BM81)</f>
        <v>0</v>
      </c>
    </row>
    <row r="82" spans="1:153" ht="18" customHeight="1" x14ac:dyDescent="0.2">
      <c r="A82" s="2688" t="s">
        <v>837</v>
      </c>
      <c r="B82" s="2689"/>
      <c r="C82" s="2689"/>
      <c r="D82" s="2689"/>
      <c r="E82" s="2689"/>
      <c r="F82" s="2689"/>
      <c r="G82" s="2689"/>
      <c r="H82" s="2689"/>
      <c r="I82" s="2690"/>
      <c r="J82" s="876"/>
      <c r="K82" s="2762"/>
      <c r="L82" s="2763"/>
      <c r="M82" s="2192"/>
      <c r="N82" s="17"/>
      <c r="O82" s="17"/>
      <c r="P82" s="422"/>
      <c r="Q82" s="450"/>
      <c r="R82" s="450"/>
      <c r="S82" s="450"/>
      <c r="T82" s="531"/>
      <c r="U82" s="450"/>
      <c r="V82" s="450"/>
      <c r="W82" s="450"/>
      <c r="X82" s="450"/>
      <c r="Y82" s="450"/>
      <c r="Z82" s="451"/>
      <c r="AA82" s="452"/>
      <c r="AB82" s="531">
        <f t="shared" si="59"/>
        <v>0</v>
      </c>
      <c r="AC82" s="531">
        <f t="shared" si="60"/>
        <v>0</v>
      </c>
      <c r="AD82" s="531">
        <f t="shared" si="61"/>
        <v>0</v>
      </c>
      <c r="AE82" s="531">
        <f t="shared" si="62"/>
        <v>0</v>
      </c>
      <c r="AF82" s="453"/>
      <c r="AG82" s="450"/>
      <c r="AH82" s="450"/>
      <c r="AI82" s="454"/>
      <c r="AJ82" s="464"/>
      <c r="AK82" s="464"/>
      <c r="AL82" s="450">
        <v>0</v>
      </c>
      <c r="AM82" s="450"/>
      <c r="AN82" s="450"/>
      <c r="AO82" s="453"/>
      <c r="AP82" s="450"/>
      <c r="AQ82" s="454"/>
      <c r="AR82" s="464"/>
      <c r="AS82" s="456"/>
      <c r="AT82" s="456"/>
      <c r="AU82" s="456"/>
      <c r="AV82" s="453"/>
      <c r="AW82" s="450"/>
      <c r="AX82" s="454"/>
      <c r="AY82" s="422"/>
      <c r="AZ82" s="528"/>
      <c r="BA82" s="529"/>
      <c r="BB82" s="529">
        <f t="shared" si="27"/>
        <v>0</v>
      </c>
      <c r="BC82" s="453"/>
      <c r="BD82" s="450"/>
      <c r="BE82" s="454">
        <f t="shared" si="30"/>
        <v>0</v>
      </c>
      <c r="BF82" s="443"/>
      <c r="BG82" s="444"/>
      <c r="BH82" s="460"/>
      <c r="BI82" s="456"/>
      <c r="BJ82" s="457"/>
      <c r="BK82" s="461"/>
      <c r="BL82" s="1106"/>
      <c r="BM82" s="438"/>
      <c r="BN82" s="438">
        <v>1</v>
      </c>
      <c r="BO82" s="438"/>
      <c r="BP82" s="461"/>
      <c r="BQ82" s="461"/>
      <c r="BR82" s="443"/>
      <c r="BS82" s="422"/>
      <c r="BT82" s="444"/>
      <c r="BU82" s="422"/>
      <c r="BV82" s="422"/>
      <c r="BW82" s="443"/>
      <c r="BX82" s="422"/>
      <c r="BY82" s="444"/>
      <c r="BZ82" s="443"/>
      <c r="CA82" s="444"/>
      <c r="CB82" s="465"/>
      <c r="CC82" s="422"/>
      <c r="CD82" s="422"/>
      <c r="CE82" s="422"/>
      <c r="CF82" s="422"/>
      <c r="CG82" s="422"/>
      <c r="CH82" s="422"/>
      <c r="CI82" s="450"/>
      <c r="CJ82" s="450"/>
      <c r="CK82" s="450"/>
      <c r="CL82" s="454"/>
      <c r="CM82" s="422"/>
      <c r="CN82" s="656"/>
      <c r="CO82" s="422"/>
      <c r="CP82" s="460"/>
      <c r="CQ82" s="460"/>
      <c r="CR82" s="460"/>
      <c r="CS82" s="324">
        <f t="shared" si="35"/>
        <v>0</v>
      </c>
      <c r="CT82" s="327">
        <f t="shared" si="36"/>
        <v>0</v>
      </c>
      <c r="CU82" s="327">
        <f t="shared" si="71"/>
        <v>0</v>
      </c>
      <c r="CV82" s="327">
        <f t="shared" si="37"/>
        <v>0</v>
      </c>
      <c r="CW82" s="327">
        <f t="shared" si="38"/>
        <v>0</v>
      </c>
      <c r="CX82" s="327">
        <f t="shared" si="39"/>
        <v>0</v>
      </c>
      <c r="CY82" s="327">
        <f t="shared" si="40"/>
        <v>0</v>
      </c>
      <c r="CZ82" s="327">
        <f t="shared" si="41"/>
        <v>0</v>
      </c>
      <c r="DA82" s="327">
        <f t="shared" si="42"/>
        <v>0</v>
      </c>
      <c r="DB82" s="327">
        <f t="shared" si="43"/>
        <v>0</v>
      </c>
      <c r="DC82" s="327"/>
      <c r="DD82" s="327">
        <f t="shared" si="72"/>
        <v>0</v>
      </c>
      <c r="DE82" s="327">
        <f t="shared" si="44"/>
        <v>0</v>
      </c>
      <c r="DF82" s="327">
        <f t="shared" si="45"/>
        <v>0</v>
      </c>
      <c r="DG82" s="327">
        <f t="shared" si="46"/>
        <v>0</v>
      </c>
      <c r="DH82" s="327">
        <f t="shared" si="73"/>
        <v>0</v>
      </c>
      <c r="DI82" s="327">
        <f t="shared" si="47"/>
        <v>55</v>
      </c>
      <c r="DJ82" s="327">
        <f t="shared" si="48"/>
        <v>0</v>
      </c>
      <c r="DK82" s="422"/>
      <c r="DL82" s="450">
        <f t="shared" si="74"/>
        <v>0</v>
      </c>
      <c r="DM82" s="646"/>
      <c r="DN82" s="460"/>
      <c r="DO82" s="460"/>
      <c r="DP82" s="646"/>
      <c r="DQ82" s="460"/>
      <c r="DR82" s="460"/>
      <c r="DS82" s="460"/>
      <c r="DT82" s="460"/>
      <c r="DU82" s="456">
        <f t="shared" si="75"/>
        <v>0</v>
      </c>
      <c r="DV82" s="456">
        <v>0</v>
      </c>
      <c r="DW82" s="456">
        <f t="shared" si="50"/>
        <v>0</v>
      </c>
      <c r="DX82" s="456">
        <f t="shared" si="51"/>
        <v>0</v>
      </c>
      <c r="DY82" s="456">
        <f t="shared" si="52"/>
        <v>0</v>
      </c>
      <c r="DZ82" s="811">
        <f t="shared" si="76"/>
        <v>0</v>
      </c>
      <c r="EA82" s="654">
        <f t="shared" si="77"/>
        <v>0</v>
      </c>
      <c r="EB82" s="811">
        <f t="shared" si="53"/>
        <v>0</v>
      </c>
      <c r="EC82" s="654">
        <f t="shared" si="78"/>
        <v>0</v>
      </c>
      <c r="ED82" s="654">
        <f t="shared" si="79"/>
        <v>0</v>
      </c>
      <c r="EE82" s="324">
        <f t="shared" si="80"/>
        <v>0</v>
      </c>
      <c r="EF82" s="654">
        <f t="shared" si="81"/>
        <v>0</v>
      </c>
      <c r="EG82" s="324" t="e">
        <f t="shared" si="82"/>
        <v>#DIV/0!</v>
      </c>
      <c r="EH82" s="324">
        <f t="shared" si="54"/>
        <v>0</v>
      </c>
      <c r="EI82" s="365" t="e">
        <f t="shared" si="91"/>
        <v>#DIV/0!</v>
      </c>
      <c r="EJ82" s="365" t="e">
        <f t="shared" si="92"/>
        <v>#DIV/0!</v>
      </c>
      <c r="EK82" s="365" t="e">
        <f t="shared" si="83"/>
        <v>#DIV/0!</v>
      </c>
      <c r="EL82" s="324">
        <f t="shared" si="84"/>
        <v>0</v>
      </c>
      <c r="EM82" s="324">
        <f t="shared" si="85"/>
        <v>0</v>
      </c>
      <c r="EN82" s="411">
        <f t="shared" si="86"/>
        <v>0</v>
      </c>
      <c r="EO82" s="562">
        <f t="shared" si="87"/>
        <v>0</v>
      </c>
      <c r="EP82" s="562">
        <f t="shared" si="88"/>
        <v>0</v>
      </c>
      <c r="ES82" s="324">
        <f t="shared" si="55"/>
        <v>0</v>
      </c>
      <c r="ET82" s="324">
        <f t="shared" si="56"/>
        <v>0</v>
      </c>
      <c r="EU82" s="324">
        <f t="shared" si="89"/>
        <v>0</v>
      </c>
      <c r="EV82" s="324">
        <f t="shared" si="90"/>
        <v>0</v>
      </c>
    </row>
    <row r="83" spans="1:153" ht="18" customHeight="1" x14ac:dyDescent="0.2">
      <c r="A83" s="2657" t="str">
        <f>+'Abweichende Werte'!$AD7</f>
        <v xml:space="preserve"> -- - </v>
      </c>
      <c r="B83" s="2658"/>
      <c r="C83" s="2658"/>
      <c r="D83" s="2658"/>
      <c r="E83" s="351"/>
      <c r="F83" s="410"/>
      <c r="G83" s="291"/>
      <c r="H83" s="351"/>
      <c r="I83" s="360"/>
      <c r="J83" s="573" t="str">
        <f t="shared" ref="J83:K87" si="93">IF(U83+W83=0," ",(U83+W83)/2)</f>
        <v xml:space="preserve"> </v>
      </c>
      <c r="K83" s="2694" t="str">
        <f t="shared" si="93"/>
        <v xml:space="preserve"> </v>
      </c>
      <c r="L83" s="2695"/>
      <c r="M83" s="2190"/>
      <c r="N83" s="17"/>
      <c r="O83" s="17"/>
      <c r="P83" s="422">
        <f>IF(E83+F83&gt;=1,IF(BK83=1,1,0),0)</f>
        <v>0</v>
      </c>
      <c r="Q83" s="450" t="str">
        <f>IF(K83=" "," ",(K83*(1/CB83)))</f>
        <v xml:space="preserve"> </v>
      </c>
      <c r="R83" s="450" t="str">
        <f>IF(DL83=1,0,Y83)</f>
        <v xml:space="preserve"> </v>
      </c>
      <c r="S83" s="450">
        <f>IF(DL83=1,0,W83)</f>
        <v>0</v>
      </c>
      <c r="T83" s="812">
        <f>IF(DL83=1,0,U83)</f>
        <v>0</v>
      </c>
      <c r="U83" s="450">
        <f>IF(CN83=FALSE,0,IF(Z83+AA83=0,0,IF(AZ83*BU83+BA83*BF83=0,0,AZ83*BU83+BA83*BF83)))</f>
        <v>0</v>
      </c>
      <c r="V83" s="450">
        <f>IF(CN83=FALSE,0,IF(AA83=0,0,IF(BD83+BA83=0,0,IF(BK83=4,BA83*BG83-(E83*(1-H83/100)*BG83)*((1220/1000)/(2*11)),BA83*BG83))))</f>
        <v>0</v>
      </c>
      <c r="W83" s="450">
        <f>IF(CN83=FALSE,0,IF(Z83+AA83=0,0,IF(BC83*BU83+BD83*BF83=0,0,BC83*BU83+BD83*BF83)))</f>
        <v>0</v>
      </c>
      <c r="X83" s="450">
        <f>IF(CN83=FALSE,0,IF(AA83=0,0,IF(BD83+BA83=0,0,IF(BK83=4,BD83*BG83-(E83*(1-I83/100)*BG83)*((1220/1000)/(2*11)),BD83*BG83))))</f>
        <v>0</v>
      </c>
      <c r="Y83" s="450" t="str">
        <f>IF(X83=0," ",(X83*(1/CB83)))</f>
        <v xml:space="preserve"> </v>
      </c>
      <c r="Z83" s="451">
        <f>IF(BU83=0,0,E83)</f>
        <v>0</v>
      </c>
      <c r="AA83" s="828">
        <f>IF(BU83=0,E83+F83,F83)</f>
        <v>0</v>
      </c>
      <c r="AB83" s="812">
        <f t="shared" si="59"/>
        <v>0</v>
      </c>
      <c r="AC83" s="812">
        <f t="shared" si="60"/>
        <v>0</v>
      </c>
      <c r="AD83" s="812">
        <f t="shared" si="61"/>
        <v>0</v>
      </c>
      <c r="AE83" s="812">
        <f t="shared" si="62"/>
        <v>0</v>
      </c>
      <c r="AF83" s="453">
        <f>+(BC83*BR83*(100-BZ83)/100)+(BF83*BH83*BD83)</f>
        <v>0</v>
      </c>
      <c r="AG83" s="450">
        <f>IF(BK83=2,AF83,0)</f>
        <v>0</v>
      </c>
      <c r="AH83" s="450">
        <f>BC83*BS83+BD83*BF83*BI83</f>
        <v>0</v>
      </c>
      <c r="AI83" s="454">
        <f>BC83*BT83+BD83*BF83*BJ83</f>
        <v>0</v>
      </c>
      <c r="AJ83" s="456">
        <f>'Abweichende Werte'!$L7</f>
        <v>0</v>
      </c>
      <c r="AK83" s="456">
        <f>'Abweichende Werte'!$M7</f>
        <v>0</v>
      </c>
      <c r="AL83" s="450">
        <f t="shared" si="63"/>
        <v>0</v>
      </c>
      <c r="AM83" s="450">
        <f t="shared" si="64"/>
        <v>0</v>
      </c>
      <c r="AN83" s="450">
        <f t="shared" si="65"/>
        <v>0</v>
      </c>
      <c r="AO83" s="453">
        <f>+(BD83*BR83*(100-CA83)/100)-BF83*BD83*BH83</f>
        <v>0</v>
      </c>
      <c r="AP83" s="450">
        <f>BD83*BS83-BD83*BF83*BI83</f>
        <v>0</v>
      </c>
      <c r="AQ83" s="454">
        <f>BD83*BT83-BD83*BF83*BJ83</f>
        <v>0</v>
      </c>
      <c r="AR83" s="456">
        <f>'Abweichende Werte'!$N7</f>
        <v>0</v>
      </c>
      <c r="AS83" s="456">
        <f>IF(BN83=1,BB83*CC83*BP83*365/1000*CF83,IF(BN83=2,BB83*CD83*BP83*365/1000*CF83,BB83*CE83*BP83*365/1000*CF83))</f>
        <v>0</v>
      </c>
      <c r="AT83" s="456">
        <f>IF(BN83=1,BB83*CC83*BP83*365/1000*CG83,IF(BN83=2,BB83*CD83*BP83*365/1000*CG83,BB83*CE83*BP83*365/1000*CG83))</f>
        <v>0</v>
      </c>
      <c r="AU83" s="456">
        <f>IF(BN83=1,BB83*CC83*BP83*365/1000*CH83,IF(BN83=2,BB83*CD83*BP83*365/1000*CH83,BB83*CE83*BP83*365/1000*CH83))</f>
        <v>0</v>
      </c>
      <c r="AV83" s="453">
        <f>IF(BN83=1,BE83*CC83*BP83*365/1000*CF83,IF(BN83=2,BE83*CD83*BP83*365/1000*CF83,BE83*CE83*BP83*365/1000*CF83))</f>
        <v>0</v>
      </c>
      <c r="AW83" s="450">
        <f>IF(BN83=1,BE83*CC83*BP83*365/1000*CG83,IF(BN83=2,BE83*CD83*BP83*365/1000*CG83,BE83*CE83*BP83*365/1000*CG83))</f>
        <v>0</v>
      </c>
      <c r="AX83" s="454">
        <f>IF(BN83=1,BE83*CC83*BP83*365/1000*CH83,IF(BN83=2,BE83*CD83*BP83*365/1000*CH83,BE83*CE83*BP83*365/1000*CH83))</f>
        <v>0</v>
      </c>
      <c r="AY83" s="450"/>
      <c r="AZ83" s="460">
        <f t="shared" ref="AZ83:BA87" si="94">+Z83*(100-$H83)/100</f>
        <v>0</v>
      </c>
      <c r="BA83" s="456">
        <f t="shared" si="94"/>
        <v>0</v>
      </c>
      <c r="BB83" s="456">
        <f t="shared" si="27"/>
        <v>0</v>
      </c>
      <c r="BC83" s="453">
        <f t="shared" ref="BC83:BD87" si="95">+Z83*(100-$I83)/100</f>
        <v>0</v>
      </c>
      <c r="BD83" s="450">
        <f t="shared" si="95"/>
        <v>0</v>
      </c>
      <c r="BE83" s="454">
        <f t="shared" si="30"/>
        <v>0</v>
      </c>
      <c r="BF83" s="460">
        <f>IF(BN83=1,BV83,IF(BN83=2,BV83/2,0))</f>
        <v>0</v>
      </c>
      <c r="BG83" s="457">
        <f>IF(BN83=1,BW83,IF(BN83=2,BX83,BY83))</f>
        <v>0</v>
      </c>
      <c r="BH83" s="1335" cm="1">
        <f t="array" ref="BH83">IF($BL83=0,0,INDEX(Tiere!BM$9:BM$13,'Berechnung Nährstoffe und Lager'!$BL83))</f>
        <v>0</v>
      </c>
      <c r="BI83" s="1335" cm="1">
        <f t="array" ref="BI83">IF($BL83=0,0,INDEX(Tiere!BN$9:BN$13,'Berechnung Nährstoffe und Lager'!$BL83))</f>
        <v>0</v>
      </c>
      <c r="BJ83" s="1335" cm="1">
        <f t="array" ref="BJ83">IF($BL83=0,0,INDEX(Tiere!BO$9:BO$13,'Berechnung Nährstoffe und Lager'!$BL83))</f>
        <v>0</v>
      </c>
      <c r="BK83" s="461">
        <f>'Abweichende Werte'!$AB7</f>
        <v>1</v>
      </c>
      <c r="BL83" s="1106">
        <f>BK83-1</f>
        <v>0</v>
      </c>
      <c r="BM83" s="462">
        <f>+BK83</f>
        <v>1</v>
      </c>
      <c r="BN83" s="462">
        <v>1</v>
      </c>
      <c r="BO83" s="461">
        <f>'Abweichende Werte'!$C7</f>
        <v>0</v>
      </c>
      <c r="BP83" s="461" t="str">
        <f>IF(BO83&gt;0.001,BO83,"1")</f>
        <v>1</v>
      </c>
      <c r="BQ83" s="460">
        <f>E83*BO83+F83*BO83</f>
        <v>0</v>
      </c>
      <c r="BR83" s="460">
        <f>'Abweichende Werte'!$D7</f>
        <v>0</v>
      </c>
      <c r="BS83" s="456">
        <f>'Abweichende Werte'!$E7</f>
        <v>0</v>
      </c>
      <c r="BT83" s="457">
        <f>'Abweichende Werte'!$F7</f>
        <v>0</v>
      </c>
      <c r="BU83" s="460">
        <f>'Abweichende Werte'!$G7</f>
        <v>0</v>
      </c>
      <c r="BV83" s="457">
        <f>'Abweichende Werte'!$H7</f>
        <v>0</v>
      </c>
      <c r="BW83" s="456">
        <f>'Abweichende Werte'!$I7</f>
        <v>0</v>
      </c>
      <c r="BX83" s="456">
        <f>'Abweichende Werte'!$J7</f>
        <v>0</v>
      </c>
      <c r="BY83" s="456">
        <f>'Abweichende Werte'!$K7</f>
        <v>0</v>
      </c>
      <c r="BZ83" s="460">
        <f>IF(BK83=2,15,IF(BK83=3,20,IF(BK83=4,40,IF(BK83=5,45,0))))</f>
        <v>0</v>
      </c>
      <c r="CA83" s="457">
        <f>IF(BK83=2,30,IF(BK83=3,30,IF(BK83=4,40,IF(BK83=5,45,0))))</f>
        <v>0</v>
      </c>
      <c r="CB83" s="457">
        <f>'Abweichende Werte'!$R7</f>
        <v>0</v>
      </c>
      <c r="CC83" s="422">
        <f>'Abweichende Werte'!$O7</f>
        <v>0</v>
      </c>
      <c r="CD83" s="438">
        <f>'Abweichende Werte'!$P7</f>
        <v>0</v>
      </c>
      <c r="CE83" s="422">
        <f>'Abweichende Werte'!$Q7</f>
        <v>0</v>
      </c>
      <c r="CF83" s="443">
        <v>5</v>
      </c>
      <c r="CG83" s="438">
        <v>3</v>
      </c>
      <c r="CH83" s="444">
        <v>17</v>
      </c>
      <c r="CI83" s="450">
        <f>IF(BK83=1,0,IF(BK83=2,2,IF(BK83=3,2,5)))</f>
        <v>0</v>
      </c>
      <c r="CJ83" s="450">
        <f>IF(R83=" ",0,CI83*R83)</f>
        <v>0</v>
      </c>
      <c r="CK83" s="450">
        <f>(AZ83+BC83)/2*BU83</f>
        <v>0</v>
      </c>
      <c r="CL83" s="454">
        <f>(BA83+BD83)/2*BF83</f>
        <v>0</v>
      </c>
      <c r="CM83" s="422"/>
      <c r="CN83" s="656" t="b">
        <f>AND(BM83&gt;1)</f>
        <v>0</v>
      </c>
      <c r="CO83" s="422"/>
      <c r="CP83" s="460">
        <f>INDEX(Tiere!G$89:G$93,'Berechnung Nährstoffe und Lager'!$BK83)</f>
        <v>0</v>
      </c>
      <c r="CQ83" s="460">
        <f>INDEX(Tiere!K$89:K$93,'Berechnung Nährstoffe und Lager'!$BK83)</f>
        <v>0</v>
      </c>
      <c r="CR83" s="460">
        <f>INDEX(Tiere!L$89:L$93,'Berechnung Nährstoffe und Lager'!$BK83)</f>
        <v>0</v>
      </c>
      <c r="CS83" s="365">
        <f t="shared" si="35"/>
        <v>0</v>
      </c>
      <c r="CT83" s="327">
        <f t="shared" si="36"/>
        <v>0</v>
      </c>
      <c r="CU83" s="327">
        <f t="shared" si="71"/>
        <v>0</v>
      </c>
      <c r="CV83" s="327">
        <f t="shared" si="37"/>
        <v>0</v>
      </c>
      <c r="CW83" s="327">
        <f t="shared" si="38"/>
        <v>0</v>
      </c>
      <c r="CX83" s="327">
        <f t="shared" si="39"/>
        <v>0</v>
      </c>
      <c r="CY83" s="327">
        <f t="shared" si="40"/>
        <v>0</v>
      </c>
      <c r="CZ83" s="327">
        <f t="shared" si="41"/>
        <v>0</v>
      </c>
      <c r="DA83" s="327">
        <f t="shared" si="42"/>
        <v>0</v>
      </c>
      <c r="DB83" s="327">
        <f t="shared" si="43"/>
        <v>0</v>
      </c>
      <c r="DC83" s="327"/>
      <c r="DD83" s="327">
        <f>IF($DK83=TRUE,(($E83*(100-BZ83)/100*(100-($H83+$I83)/2)/100+$F83*(100-CA83)/100*(100-($H83+$I83)/2)/100)*BR83+(AS83+AV83)/2),0)</f>
        <v>0</v>
      </c>
      <c r="DE83" s="327">
        <f t="shared" si="44"/>
        <v>0</v>
      </c>
      <c r="DF83" s="327">
        <f t="shared" si="45"/>
        <v>0</v>
      </c>
      <c r="DG83" s="327">
        <f t="shared" si="46"/>
        <v>0</v>
      </c>
      <c r="DH83" s="327">
        <f t="shared" si="73"/>
        <v>0</v>
      </c>
      <c r="DI83" s="327">
        <f t="shared" si="47"/>
        <v>55</v>
      </c>
      <c r="DJ83" s="327">
        <f>IF(BK83=4,70,IF(DD83=0,0,(DH83*55+DG83*DI83)/DD83))</f>
        <v>0</v>
      </c>
      <c r="DK83" s="422" t="b">
        <v>0</v>
      </c>
      <c r="DL83" s="450">
        <f t="shared" si="74"/>
        <v>0</v>
      </c>
      <c r="DM83" s="646">
        <f>+'Abweichende Werte'!$S7/100</f>
        <v>0</v>
      </c>
      <c r="DN83" s="460">
        <f>+'Abweichende Werte'!$T7</f>
        <v>0</v>
      </c>
      <c r="DO83" s="460">
        <f>+'Abweichende Werte'!$U7</f>
        <v>0</v>
      </c>
      <c r="DP83" s="646">
        <f>+'Abweichende Werte'!$V7/100</f>
        <v>0</v>
      </c>
      <c r="DQ83" s="460">
        <f>+'Abweichende Werte'!$W7</f>
        <v>0</v>
      </c>
      <c r="DR83" s="460">
        <f>+'Abweichende Werte'!$X7</f>
        <v>0</v>
      </c>
      <c r="DS83" s="460">
        <f>+'Abweichende Werte'!$AE7</f>
        <v>0</v>
      </c>
      <c r="DT83" s="460">
        <f>+'Abweichende Werte'!$AF7</f>
        <v>0</v>
      </c>
      <c r="DU83" s="456">
        <f t="shared" si="75"/>
        <v>0</v>
      </c>
      <c r="DV83" s="456">
        <f>IF(J83=" ",0,(CK83*AJ83+CL83*AK83)/(CK83+CL83))</f>
        <v>0</v>
      </c>
      <c r="DW83" s="456">
        <f t="shared" si="50"/>
        <v>0</v>
      </c>
      <c r="DX83" s="456">
        <f t="shared" si="51"/>
        <v>0</v>
      </c>
      <c r="DY83" s="456">
        <f t="shared" si="52"/>
        <v>0</v>
      </c>
      <c r="DZ83" s="811">
        <f>IF(DK83=TRUE,(DW83*DV83/100*DM83*DN83)/1000,0)</f>
        <v>0</v>
      </c>
      <c r="EA83" s="829">
        <f t="shared" si="77"/>
        <v>0</v>
      </c>
      <c r="EB83" s="811">
        <f t="shared" si="53"/>
        <v>0</v>
      </c>
      <c r="EC83" s="829">
        <f t="shared" si="78"/>
        <v>0</v>
      </c>
      <c r="ED83" s="829">
        <f t="shared" si="79"/>
        <v>0</v>
      </c>
      <c r="EE83" s="365">
        <f t="shared" si="80"/>
        <v>0</v>
      </c>
      <c r="EF83" s="829">
        <f t="shared" si="81"/>
        <v>0</v>
      </c>
      <c r="EG83" s="365" t="e">
        <f t="shared" si="82"/>
        <v>#DIV/0!</v>
      </c>
      <c r="EH83" s="365">
        <f t="shared" si="54"/>
        <v>0</v>
      </c>
      <c r="EI83" s="365" t="e">
        <f t="shared" si="91"/>
        <v>#DIV/0!</v>
      </c>
      <c r="EJ83" s="365" t="e">
        <f t="shared" si="92"/>
        <v>#DIV/0!</v>
      </c>
      <c r="EK83" s="365" t="e">
        <f t="shared" si="83"/>
        <v>#DIV/0!</v>
      </c>
      <c r="EL83" s="365">
        <f t="shared" si="84"/>
        <v>0</v>
      </c>
      <c r="EM83" s="365">
        <f t="shared" si="85"/>
        <v>0</v>
      </c>
      <c r="EN83" s="412">
        <f t="shared" si="86"/>
        <v>0</v>
      </c>
      <c r="EO83" s="560">
        <f t="shared" si="87"/>
        <v>0</v>
      </c>
      <c r="EP83" s="560">
        <f t="shared" si="88"/>
        <v>0</v>
      </c>
      <c r="EQ83" s="365"/>
      <c r="ER83" s="365"/>
      <c r="ES83" s="324">
        <f t="shared" si="55"/>
        <v>0</v>
      </c>
      <c r="ET83" s="324">
        <f t="shared" si="56"/>
        <v>0</v>
      </c>
      <c r="EU83" s="324">
        <f t="shared" si="89"/>
        <v>0</v>
      </c>
      <c r="EV83" s="324">
        <f t="shared" si="90"/>
        <v>0</v>
      </c>
    </row>
    <row r="84" spans="1:153" ht="18" customHeight="1" x14ac:dyDescent="0.2">
      <c r="A84" s="2657" t="str">
        <f>+'Abweichende Werte'!$AD8</f>
        <v xml:space="preserve"> -- - </v>
      </c>
      <c r="B84" s="2658"/>
      <c r="C84" s="2658"/>
      <c r="D84" s="2866"/>
      <c r="E84" s="351"/>
      <c r="F84" s="410"/>
      <c r="G84" s="291"/>
      <c r="H84" s="351"/>
      <c r="I84" s="360"/>
      <c r="J84" s="574" t="str">
        <f t="shared" si="93"/>
        <v xml:space="preserve"> </v>
      </c>
      <c r="K84" s="2693" t="str">
        <f t="shared" si="93"/>
        <v xml:space="preserve"> </v>
      </c>
      <c r="L84" s="2529"/>
      <c r="M84" s="2185"/>
      <c r="N84" s="17"/>
      <c r="O84" s="17"/>
      <c r="P84" s="422">
        <f>IF(E84+F84&gt;=1,IF(BK84=1,1,0),0)</f>
        <v>0</v>
      </c>
      <c r="Q84" s="450" t="str">
        <f>IF(K84=" "," ",(K84*(1/CB84)))</f>
        <v xml:space="preserve"> </v>
      </c>
      <c r="R84" s="450" t="str">
        <f>IF(DL84=1,0,Y84)</f>
        <v xml:space="preserve"> </v>
      </c>
      <c r="S84" s="450">
        <f>IF(DL84=1,0,W84)</f>
        <v>0</v>
      </c>
      <c r="T84" s="531">
        <f>IF(DL84=1,0,U84)</f>
        <v>0</v>
      </c>
      <c r="U84" s="450">
        <f>IF(CN84=FALSE,0,IF(Z84+AA84=0,0,IF(AZ84*BU84+BA84*BF84=0,0,AZ84*BU84+BA84*BF84)))</f>
        <v>0</v>
      </c>
      <c r="V84" s="450">
        <f>IF(CN84=FALSE,0,IF(AA84=0,0,IF(BD84+BA84=0,0,IF(BK84=4,BA84*BG84-(E84*(1-H84/100)*BG84)*((1220/1000)/(2*11)),BA84*BG84))))</f>
        <v>0</v>
      </c>
      <c r="W84" s="450">
        <f>IF(CN84=FALSE,0,IF(Z84+AA84=0,0,IF(BC84*BU84+BD84*BF84=0,0,BC84*BU84+BD84*BF84)))</f>
        <v>0</v>
      </c>
      <c r="X84" s="450">
        <f>IF(CN84=FALSE,0,IF(AA84=0,0,IF(BD84+BA84=0,0,IF(BK84=4,BD84*BG84-(E84*(1-I84/100)*BG84)*((1220/1000)/(2*11)),BD84*BG84))))</f>
        <v>0</v>
      </c>
      <c r="Y84" s="450" t="str">
        <f>IF(X84=0," ",(X84*(1/CB84)))</f>
        <v xml:space="preserve"> </v>
      </c>
      <c r="Z84" s="451">
        <f>IF(BU84=0,0,E84)</f>
        <v>0</v>
      </c>
      <c r="AA84" s="452">
        <f>IF(BU84=0,E84+F84,F84)</f>
        <v>0</v>
      </c>
      <c r="AB84" s="531">
        <f>+(AZ84*BR84*(100-BZ84)/100)+(BF84*BH84*BA84)</f>
        <v>0</v>
      </c>
      <c r="AC84" s="531">
        <f>IF(BK84=2,AB84,0)</f>
        <v>0</v>
      </c>
      <c r="AD84" s="531">
        <f>AZ84*BS84+BA84*BF84*BI84</f>
        <v>0</v>
      </c>
      <c r="AE84" s="531">
        <f>AZ84*BT84+BA84*BF84*BJ84</f>
        <v>0</v>
      </c>
      <c r="AF84" s="453">
        <f>+(BC84*BR84*(100-BZ84)/100)+(BF84*BH84*BD84)</f>
        <v>0</v>
      </c>
      <c r="AG84" s="450">
        <f>IF(BK84=2,AF84,0)</f>
        <v>0</v>
      </c>
      <c r="AH84" s="450">
        <f>BC84*BS84+BD84*BF84*BI84</f>
        <v>0</v>
      </c>
      <c r="AI84" s="454">
        <f>BC84*BT84+BD84*BF84*BJ84</f>
        <v>0</v>
      </c>
      <c r="AJ84" s="819">
        <f>'Abweichende Werte'!$L8</f>
        <v>0</v>
      </c>
      <c r="AK84" s="819">
        <f>'Abweichende Werte'!$M8</f>
        <v>0</v>
      </c>
      <c r="AL84" s="450">
        <f>+(BA84*BR84*(100-CA84)/100)-BF84*BA84*BH84</f>
        <v>0</v>
      </c>
      <c r="AM84" s="450">
        <f>BA84*BS84-BA84*BF84*BI84</f>
        <v>0</v>
      </c>
      <c r="AN84" s="450">
        <f>BA84*BT84-BA84*BF84*BJ84</f>
        <v>0</v>
      </c>
      <c r="AO84" s="453">
        <f>+(BD84*BR84*(100-CA84)/100)-BF84*BD84*BH84</f>
        <v>0</v>
      </c>
      <c r="AP84" s="450">
        <f>BD84*BS84-BD84*BF84*BI84</f>
        <v>0</v>
      </c>
      <c r="AQ84" s="454">
        <f>BD84*BT84-BD84*BF84*BJ84</f>
        <v>0</v>
      </c>
      <c r="AR84" s="819">
        <f>'Abweichende Werte'!$N8</f>
        <v>0</v>
      </c>
      <c r="AS84" s="456">
        <f>IF(BN84=1,BB84*CC84*BP84*365/1000*CF84,IF(BN84=2,BB84*CD84*BP84*365/1000*CF84,BB84*CE84*BP84*365/1000*CF84))</f>
        <v>0</v>
      </c>
      <c r="AT84" s="456">
        <f>IF(BN84=1,BB84*CC84*BP84*365/1000*CG84,IF(BN84=2,BB84*CD84*BP84*365/1000*CG84,BB84*CE84*BP84*365/1000*CG84))</f>
        <v>0</v>
      </c>
      <c r="AU84" s="456">
        <f>IF(BN84=1,BB84*CC84*BP84*365/1000*CH84,IF(BN84=2,BB84*CD84*BP84*365/1000*CH84,BB84*CE84*BP84*365/1000*CH84))</f>
        <v>0</v>
      </c>
      <c r="AV84" s="453">
        <f>IF(BN84=1,BE84*CC84*BP84*365/1000*CF84,IF(BN84=2,BE84*CD84*BP84*365/1000*CF84,BE84*CE84*BP84*365/1000*CF84))</f>
        <v>0</v>
      </c>
      <c r="AW84" s="450">
        <f>IF(BN84=1,BE84*CC84*BP84*365/1000*CG84,IF(BN84=2,BE84*CD84*BP84*365/1000*CG84,BE84*CE84*BP84*365/1000*CG84))</f>
        <v>0</v>
      </c>
      <c r="AX84" s="454">
        <f>IF(BN84=1,BE84*CC84*BP84*365/1000*CH84,IF(BN84=2,BE84*CD84*BP84*365/1000*CH84,BE84*CE84*BP84*365/1000*CH84))</f>
        <v>0</v>
      </c>
      <c r="AY84" s="450"/>
      <c r="AZ84" s="528">
        <f>+Z84*(100-$H84)/100</f>
        <v>0</v>
      </c>
      <c r="BA84" s="529">
        <f>+AA84*(100-$H84)/100</f>
        <v>0</v>
      </c>
      <c r="BB84" s="529">
        <f t="shared" si="27"/>
        <v>0</v>
      </c>
      <c r="BC84" s="453">
        <f>+Z84*(100-$I84)/100</f>
        <v>0</v>
      </c>
      <c r="BD84" s="450">
        <f>+AA84*(100-$I84)/100</f>
        <v>0</v>
      </c>
      <c r="BE84" s="454">
        <f t="shared" si="30"/>
        <v>0</v>
      </c>
      <c r="BF84" s="460">
        <f>IF(BN84=1,BV84,IF(BN84=2,BV84/2,0))</f>
        <v>0</v>
      </c>
      <c r="BG84" s="457">
        <f>IF(BN84=1,BW84,IF(BN84=2,BX84,BY84))</f>
        <v>0</v>
      </c>
      <c r="BH84" s="1335" cm="1">
        <f t="array" ref="BH84">IF($BL84=0,0,INDEX(Tiere!BM$9:BM$13,'Berechnung Nährstoffe und Lager'!$BL84))</f>
        <v>0</v>
      </c>
      <c r="BI84" s="1335" cm="1">
        <f t="array" ref="BI84">IF($BL84=0,0,INDEX(Tiere!BN$9:BN$13,'Berechnung Nährstoffe und Lager'!$BL84))</f>
        <v>0</v>
      </c>
      <c r="BJ84" s="1335" cm="1">
        <f t="array" ref="BJ84">IF($BL84=0,0,INDEX(Tiere!BO$9:BO$13,'Berechnung Nährstoffe und Lager'!$BL84))</f>
        <v>0</v>
      </c>
      <c r="BK84" s="822">
        <f>'Abweichende Werte'!$AB8</f>
        <v>1</v>
      </c>
      <c r="BL84" s="1106">
        <f t="shared" ref="BL84:BL87" si="96">BK84-1</f>
        <v>0</v>
      </c>
      <c r="BM84" s="462">
        <f>+BK84</f>
        <v>1</v>
      </c>
      <c r="BN84" s="462">
        <v>1</v>
      </c>
      <c r="BO84" s="822">
        <f>'Abweichende Werte'!$C8</f>
        <v>0</v>
      </c>
      <c r="BP84" s="461" t="str">
        <f>IF(BO84&gt;0.001,BO84,"1")</f>
        <v>1</v>
      </c>
      <c r="BQ84" s="460">
        <f>E84*BO84+F84*BO84</f>
        <v>0</v>
      </c>
      <c r="BR84" s="821">
        <f>'Abweichende Werte'!$D8</f>
        <v>0</v>
      </c>
      <c r="BS84" s="819">
        <f>'Abweichende Werte'!$E8</f>
        <v>0</v>
      </c>
      <c r="BT84" s="463">
        <f>'Abweichende Werte'!$F8</f>
        <v>0</v>
      </c>
      <c r="BU84" s="821">
        <f>'Abweichende Werte'!$G8</f>
        <v>0</v>
      </c>
      <c r="BV84" s="463">
        <f>'Abweichende Werte'!$H8</f>
        <v>0</v>
      </c>
      <c r="BW84" s="819">
        <f>'Abweichende Werte'!$I8</f>
        <v>0</v>
      </c>
      <c r="BX84" s="819">
        <f>'Abweichende Werte'!$J8</f>
        <v>0</v>
      </c>
      <c r="BY84" s="819">
        <f>'Abweichende Werte'!$K8</f>
        <v>0</v>
      </c>
      <c r="BZ84" s="460">
        <f>IF(BK84=2,15,IF(BK84=3,20,IF(BK84=4,40,IF(BK84=5,45,0))))</f>
        <v>0</v>
      </c>
      <c r="CA84" s="457">
        <f>IF(BK84=2,30,IF(BK84=3,30,IF(BK84=4,40,IF(BK84=5,45,0))))</f>
        <v>0</v>
      </c>
      <c r="CB84" s="463">
        <f>'Abweichende Werte'!$R8</f>
        <v>0</v>
      </c>
      <c r="CC84" s="465">
        <f>'Abweichende Werte'!$O8</f>
        <v>0</v>
      </c>
      <c r="CD84" s="823">
        <f>'Abweichende Werte'!$P8</f>
        <v>0</v>
      </c>
      <c r="CE84" s="465">
        <f>'Abweichende Werte'!$Q8</f>
        <v>0</v>
      </c>
      <c r="CF84" s="443">
        <v>5</v>
      </c>
      <c r="CG84" s="438">
        <v>3</v>
      </c>
      <c r="CH84" s="444">
        <v>17</v>
      </c>
      <c r="CI84" s="450">
        <f>IF(BK84=1,0,IF(BK84=2,2,IF(BK84=3,2,5)))</f>
        <v>0</v>
      </c>
      <c r="CJ84" s="450">
        <f>IF(R84=" ",0,CI84*R84)</f>
        <v>0</v>
      </c>
      <c r="CK84" s="450">
        <f>(AZ84+BC84)/2*BU84</f>
        <v>0</v>
      </c>
      <c r="CL84" s="454">
        <f>(BA84+BD84)/2*BF84</f>
        <v>0</v>
      </c>
      <c r="CM84" s="422"/>
      <c r="CN84" s="656" t="b">
        <f>AND(BM84&gt;1)</f>
        <v>0</v>
      </c>
      <c r="CO84" s="422"/>
      <c r="CP84" s="460">
        <f>INDEX(Tiere!G$89:G$93,'Berechnung Nährstoffe und Lager'!$BK84)</f>
        <v>0</v>
      </c>
      <c r="CQ84" s="460">
        <f>INDEX(Tiere!K$89:K$93,'Berechnung Nährstoffe und Lager'!$BK84)</f>
        <v>0</v>
      </c>
      <c r="CR84" s="460">
        <f>INDEX(Tiere!L$89:L$93,'Berechnung Nährstoffe und Lager'!$BK84)</f>
        <v>0</v>
      </c>
      <c r="CS84" s="324">
        <f t="shared" si="35"/>
        <v>0</v>
      </c>
      <c r="CT84" s="327">
        <f t="shared" si="36"/>
        <v>0</v>
      </c>
      <c r="CU84" s="327">
        <f t="shared" si="71"/>
        <v>0</v>
      </c>
      <c r="CV84" s="327">
        <f t="shared" si="37"/>
        <v>0</v>
      </c>
      <c r="CW84" s="327">
        <f t="shared" si="38"/>
        <v>0</v>
      </c>
      <c r="CX84" s="327">
        <f t="shared" si="39"/>
        <v>0</v>
      </c>
      <c r="CY84" s="327">
        <f t="shared" si="40"/>
        <v>0</v>
      </c>
      <c r="CZ84" s="327">
        <f t="shared" si="41"/>
        <v>0</v>
      </c>
      <c r="DA84" s="327">
        <f t="shared" si="42"/>
        <v>0</v>
      </c>
      <c r="DB84" s="327">
        <f t="shared" si="43"/>
        <v>0</v>
      </c>
      <c r="DC84" s="327"/>
      <c r="DD84" s="327">
        <f t="shared" si="72"/>
        <v>0</v>
      </c>
      <c r="DE84" s="327">
        <f t="shared" si="44"/>
        <v>0</v>
      </c>
      <c r="DF84" s="327">
        <f t="shared" si="45"/>
        <v>0</v>
      </c>
      <c r="DG84" s="327">
        <f t="shared" si="46"/>
        <v>0</v>
      </c>
      <c r="DH84" s="327">
        <f>+DD84-DG84</f>
        <v>0</v>
      </c>
      <c r="DI84" s="327">
        <f t="shared" si="47"/>
        <v>55</v>
      </c>
      <c r="DJ84" s="327">
        <f t="shared" si="48"/>
        <v>0</v>
      </c>
      <c r="DK84" s="422" t="b">
        <v>0</v>
      </c>
      <c r="DL84" s="450">
        <f>IF(DK84=TRUE,1,0)</f>
        <v>0</v>
      </c>
      <c r="DM84" s="646">
        <f>+'Abweichende Werte'!$S8/100</f>
        <v>0</v>
      </c>
      <c r="DN84" s="821">
        <f>+'Abweichende Werte'!$T8</f>
        <v>0</v>
      </c>
      <c r="DO84" s="821">
        <f>+'Abweichende Werte'!$U8</f>
        <v>0</v>
      </c>
      <c r="DP84" s="646">
        <f>+'Abweichende Werte'!$V8/100</f>
        <v>0</v>
      </c>
      <c r="DQ84" s="821">
        <f>+'Abweichende Werte'!$W8</f>
        <v>0</v>
      </c>
      <c r="DR84" s="821">
        <f>+'Abweichende Werte'!$X8</f>
        <v>0</v>
      </c>
      <c r="DS84" s="821">
        <f>+'Abweichende Werte'!$AE8</f>
        <v>0</v>
      </c>
      <c r="DT84" s="821">
        <f>+'Abweichende Werte'!$AF8</f>
        <v>0</v>
      </c>
      <c r="DU84" s="456">
        <f>IF(DK84=TRUE,(DW84*DS84+DY84*DT84),0)</f>
        <v>0</v>
      </c>
      <c r="DV84" s="456">
        <f>IF(J84=" ",0,(CK84*AJ84+CL84*AK84)/(CK84+CL84))</f>
        <v>0</v>
      </c>
      <c r="DW84" s="456">
        <f t="shared" si="50"/>
        <v>0</v>
      </c>
      <c r="DX84" s="456">
        <f t="shared" si="51"/>
        <v>0</v>
      </c>
      <c r="DY84" s="456">
        <f t="shared" si="52"/>
        <v>0</v>
      </c>
      <c r="DZ84" s="811">
        <f>IF(DK84=TRUE,(DW84*DV84/100*DM84*DN84)/1000,0)</f>
        <v>0</v>
      </c>
      <c r="EA84" s="654">
        <f>+DZ84*DO84/100</f>
        <v>0</v>
      </c>
      <c r="EB84" s="811">
        <f t="shared" si="53"/>
        <v>0</v>
      </c>
      <c r="EC84" s="654">
        <f>+EB84*DR84/100</f>
        <v>0</v>
      </c>
      <c r="ED84" s="654">
        <f t="shared" si="79"/>
        <v>0</v>
      </c>
      <c r="EE84" s="324">
        <f t="shared" si="80"/>
        <v>0</v>
      </c>
      <c r="EF84" s="654">
        <f>+ED84-EE84</f>
        <v>0</v>
      </c>
      <c r="EG84" s="324" t="e">
        <f>+EE84/ED84</f>
        <v>#DIV/0!</v>
      </c>
      <c r="EH84" s="324">
        <f t="shared" si="54"/>
        <v>0</v>
      </c>
      <c r="EI84" s="324" t="e">
        <f t="shared" si="91"/>
        <v>#DIV/0!</v>
      </c>
      <c r="EJ84" s="324" t="e">
        <f>(DW84+DY84)*EI84*((EA84+EC84)/(DZ84+EB84))/22.26*0.01605</f>
        <v>#DIV/0!</v>
      </c>
      <c r="EK84" s="365" t="e">
        <f t="shared" si="83"/>
        <v>#DIV/0!</v>
      </c>
      <c r="EL84" s="324">
        <f>IF(ED84=0,0,EJ84+EK84)</f>
        <v>0</v>
      </c>
      <c r="EM84" s="324">
        <f>+DN84/887*100</f>
        <v>0</v>
      </c>
      <c r="EN84" s="411">
        <f>15.44*EM84/100</f>
        <v>0</v>
      </c>
      <c r="EO84" s="562">
        <f>+EL84-EP84</f>
        <v>0</v>
      </c>
      <c r="EP84" s="562">
        <f>+EL84*EN84/100</f>
        <v>0</v>
      </c>
      <c r="ES84" s="324">
        <f t="shared" si="55"/>
        <v>0</v>
      </c>
      <c r="ET84" s="324">
        <f t="shared" si="56"/>
        <v>0</v>
      </c>
      <c r="EU84" s="324">
        <f t="shared" si="89"/>
        <v>0</v>
      </c>
      <c r="EV84" s="324">
        <f t="shared" si="90"/>
        <v>0</v>
      </c>
    </row>
    <row r="85" spans="1:153" ht="18" customHeight="1" x14ac:dyDescent="0.2">
      <c r="A85" s="2657" t="str">
        <f>+'Abweichende Werte'!$AD9</f>
        <v xml:space="preserve"> -- - </v>
      </c>
      <c r="B85" s="2658"/>
      <c r="C85" s="2658"/>
      <c r="D85" s="2866"/>
      <c r="E85" s="352"/>
      <c r="F85" s="362"/>
      <c r="G85" s="291"/>
      <c r="H85" s="352"/>
      <c r="I85" s="702"/>
      <c r="J85" s="574" t="str">
        <f t="shared" si="93"/>
        <v xml:space="preserve"> </v>
      </c>
      <c r="K85" s="2693" t="str">
        <f t="shared" si="93"/>
        <v xml:space="preserve"> </v>
      </c>
      <c r="L85" s="2529"/>
      <c r="M85" s="699"/>
      <c r="N85" s="17"/>
      <c r="O85" s="17"/>
      <c r="P85" s="456">
        <f>IF(E85+F85&gt;=1,IF(BK85=1,1,0),0)</f>
        <v>0</v>
      </c>
      <c r="Q85" s="450" t="str">
        <f>IF(K85=" "," ",(K85*(1/CB85)))</f>
        <v xml:space="preserve"> </v>
      </c>
      <c r="R85" s="450" t="str">
        <f>IF(DL85=1,0,Y85)</f>
        <v xml:space="preserve"> </v>
      </c>
      <c r="S85" s="450">
        <f>IF(DL85=1,0,W85)</f>
        <v>0</v>
      </c>
      <c r="T85" s="531">
        <f>IF(DL85=1,0,U85)</f>
        <v>0</v>
      </c>
      <c r="U85" s="450">
        <f>IF(CN85=FALSE,0,IF(Z85+AA85=0,0,IF(AZ85*BU85+BA85*BF85=0,0,AZ85*BU85+BA85*BF85)))</f>
        <v>0</v>
      </c>
      <c r="V85" s="450">
        <f>IF(CN85=FALSE,0,IF(AA85=0,0,IF(BD85+BA85=0,0,IF(BK85=4,BA85*BG85-(E85*(1-H85/100)*BG85)*((1220/1000)/(2*11)),BA85*BG85))))</f>
        <v>0</v>
      </c>
      <c r="W85" s="450">
        <f>IF(CN85=FALSE,0,IF(Z85+AA85=0,0,IF(BC85*BU85+BD85*BF85=0,0,BC85*BU85+BD85*BF85)))</f>
        <v>0</v>
      </c>
      <c r="X85" s="450">
        <f>IF(CN85=FALSE,0,IF(AA85=0,0,IF(BD85+BA85=0,0,IF(BK85=4,BD85*BG85-(E85*(1-I85/100)*BG85)*((1220/1000)/(2*11)),BD85*BG85))))</f>
        <v>0</v>
      </c>
      <c r="Y85" s="450" t="str">
        <f>IF(X85=0," ",(X85*(1/CB85)))</f>
        <v xml:space="preserve"> </v>
      </c>
      <c r="Z85" s="451">
        <f>IF(BU85=0,0,E85)</f>
        <v>0</v>
      </c>
      <c r="AA85" s="452">
        <f>IF(BU85=0,E85+F85,F85)</f>
        <v>0</v>
      </c>
      <c r="AB85" s="531">
        <f>+(AZ85*BR85*(100-BZ85)/100)+(BF85*BH85*BA85)</f>
        <v>0</v>
      </c>
      <c r="AC85" s="531">
        <f>IF(BK85=2,AB85,0)</f>
        <v>0</v>
      </c>
      <c r="AD85" s="531">
        <f>AZ85*BS85+BA85*BF85*BI85</f>
        <v>0</v>
      </c>
      <c r="AE85" s="531">
        <f>AZ85*BT85+BA85*BF85*BJ85</f>
        <v>0</v>
      </c>
      <c r="AF85" s="453">
        <f>+(BC85*BR85*(100-BZ85)/100)+(BF85*BH85*BD85)</f>
        <v>0</v>
      </c>
      <c r="AG85" s="450">
        <f>IF(BK85=2,AF85,0)</f>
        <v>0</v>
      </c>
      <c r="AH85" s="450">
        <f>BC85*BS85+BD85*BF85*BI85</f>
        <v>0</v>
      </c>
      <c r="AI85" s="454">
        <f>BC85*BT85+BD85*BF85*BJ85</f>
        <v>0</v>
      </c>
      <c r="AJ85" s="819">
        <f>'Abweichende Werte'!$L9</f>
        <v>0</v>
      </c>
      <c r="AK85" s="819">
        <f>'Abweichende Werte'!$M9</f>
        <v>0</v>
      </c>
      <c r="AL85" s="450">
        <f>+(BA85*BR85*(100-CA85)/100)-BF85*BA85*BH85</f>
        <v>0</v>
      </c>
      <c r="AM85" s="450">
        <f>BA85*BS85-BA85*BF85*BI85</f>
        <v>0</v>
      </c>
      <c r="AN85" s="450">
        <f>BA85*BT85-BA85*BF85*BJ85</f>
        <v>0</v>
      </c>
      <c r="AO85" s="453">
        <f>+(BD85*BR85*(100-CA85)/100)-BF85*BD85*BH85</f>
        <v>0</v>
      </c>
      <c r="AP85" s="450">
        <f>BD85*BS85-BD85*BF85*BI85</f>
        <v>0</v>
      </c>
      <c r="AQ85" s="454">
        <f>BD85*BT85-BD85*BF85*BJ85</f>
        <v>0</v>
      </c>
      <c r="AR85" s="819">
        <f>'Abweichende Werte'!$N9</f>
        <v>0</v>
      </c>
      <c r="AS85" s="456">
        <f>IF(BN85=1,BB85*CC85*BP85*365/1000*CF85,IF(BN85=2,BB85*CD85*BP85*365/1000*CF85,BB85*CE85*BP85*365/1000*CF85))</f>
        <v>0</v>
      </c>
      <c r="AT85" s="456">
        <f>IF(BN85=1,BB85*CC85*BP85*365/1000*CG85,IF(BN85=2,BB85*CD85*BP85*365/1000*CG85,BB85*CE85*BP85*365/1000*CG85))</f>
        <v>0</v>
      </c>
      <c r="AU85" s="456">
        <f>IF(BN85=1,BB85*CC85*BP85*365/1000*CH85,IF(BN85=2,BB85*CD85*BP85*365/1000*CH85,BB85*CE85*BP85*365/1000*CH85))</f>
        <v>0</v>
      </c>
      <c r="AV85" s="453">
        <f>IF(BN85=1,BE85*CC85*BP85*365/1000*CF85,IF(BN85=2,BE85*CD85*BP85*365/1000*CF85,BE85*CE85*BP85*365/1000*CF85))</f>
        <v>0</v>
      </c>
      <c r="AW85" s="450">
        <f>IF(BN85=1,BE85*CC85*BP85*365/1000*CG85,IF(BN85=2,BE85*CD85*BP85*365/1000*CG85,BE85*CE85*BP85*365/1000*CG85))</f>
        <v>0</v>
      </c>
      <c r="AX85" s="454">
        <f>IF(BN85=1,BE85*CC85*BP85*365/1000*CH85,IF(BN85=2,BE85*CD85*BP85*365/1000*CH85,BE85*CE85*BP85*365/1000*CH85))</f>
        <v>0</v>
      </c>
      <c r="AY85" s="450"/>
      <c r="AZ85" s="528">
        <f>+Z85*(100-$H85)/100</f>
        <v>0</v>
      </c>
      <c r="BA85" s="529">
        <f>+AA85*(100-$H85)/100</f>
        <v>0</v>
      </c>
      <c r="BB85" s="529">
        <f t="shared" si="27"/>
        <v>0</v>
      </c>
      <c r="BC85" s="453">
        <f>+Z85*(100-$I85)/100</f>
        <v>0</v>
      </c>
      <c r="BD85" s="450">
        <f>+AA85*(100-$I85)/100</f>
        <v>0</v>
      </c>
      <c r="BE85" s="454">
        <f t="shared" si="30"/>
        <v>0</v>
      </c>
      <c r="BF85" s="460">
        <f>IF(BN85=1,BV85,IF(BN85=2,BV85/2,0))</f>
        <v>0</v>
      </c>
      <c r="BG85" s="457">
        <f>IF(BN85=1,BW85,IF(BN85=2,BX85,BY85))</f>
        <v>0</v>
      </c>
      <c r="BH85" s="1335" cm="1">
        <f t="array" ref="BH85">IF($BL85=0,0,INDEX(Tiere!BM$9:BM$13,'Berechnung Nährstoffe und Lager'!$BL85))</f>
        <v>0</v>
      </c>
      <c r="BI85" s="1335" cm="1">
        <f t="array" ref="BI85">IF($BL85=0,0,INDEX(Tiere!BN$9:BN$13,'Berechnung Nährstoffe und Lager'!$BL85))</f>
        <v>0</v>
      </c>
      <c r="BJ85" s="1335" cm="1">
        <f t="array" ref="BJ85">IF($BL85=0,0,INDEX(Tiere!BO$9:BO$13,'Berechnung Nährstoffe und Lager'!$BL85))</f>
        <v>0</v>
      </c>
      <c r="BK85" s="822">
        <f>'Abweichende Werte'!$AB9</f>
        <v>1</v>
      </c>
      <c r="BL85" s="1106">
        <f t="shared" si="96"/>
        <v>0</v>
      </c>
      <c r="BM85" s="462">
        <f>+BK85</f>
        <v>1</v>
      </c>
      <c r="BN85" s="462">
        <v>1</v>
      </c>
      <c r="BO85" s="822">
        <f>'Abweichende Werte'!$C9</f>
        <v>0</v>
      </c>
      <c r="BP85" s="461" t="str">
        <f>IF(BO85&gt;0.001,BO85,"1")</f>
        <v>1</v>
      </c>
      <c r="BQ85" s="460">
        <f>E85*BO85+F85*BO85</f>
        <v>0</v>
      </c>
      <c r="BR85" s="821">
        <f>'Abweichende Werte'!$D9</f>
        <v>0</v>
      </c>
      <c r="BS85" s="819">
        <f>'Abweichende Werte'!$E9</f>
        <v>0</v>
      </c>
      <c r="BT85" s="463">
        <f>'Abweichende Werte'!$F9</f>
        <v>0</v>
      </c>
      <c r="BU85" s="821">
        <f>'Abweichende Werte'!$G9</f>
        <v>0</v>
      </c>
      <c r="BV85" s="463">
        <f>'Abweichende Werte'!$H9</f>
        <v>0</v>
      </c>
      <c r="BW85" s="819">
        <f>'Abweichende Werte'!$I9</f>
        <v>0</v>
      </c>
      <c r="BX85" s="819">
        <f>'Abweichende Werte'!$J9</f>
        <v>0</v>
      </c>
      <c r="BY85" s="819">
        <f>'Abweichende Werte'!$K9</f>
        <v>0</v>
      </c>
      <c r="BZ85" s="460">
        <f>IF(BK85=2,15,IF(BK85=3,20,IF(BK85=4,40,IF(BK85=5,45,0))))</f>
        <v>0</v>
      </c>
      <c r="CA85" s="457">
        <f>IF(BK85=2,30,IF(BK85=3,30,IF(BK85=4,40,IF(BK85=5,45,0))))</f>
        <v>0</v>
      </c>
      <c r="CB85" s="463">
        <f>'Abweichende Werte'!$R9</f>
        <v>0</v>
      </c>
      <c r="CC85" s="465">
        <f>'Abweichende Werte'!$O9</f>
        <v>0</v>
      </c>
      <c r="CD85" s="823">
        <f>'Abweichende Werte'!$P9</f>
        <v>0</v>
      </c>
      <c r="CE85" s="465">
        <f>'Abweichende Werte'!$Q9</f>
        <v>0</v>
      </c>
      <c r="CF85" s="443">
        <v>5</v>
      </c>
      <c r="CG85" s="438">
        <v>3</v>
      </c>
      <c r="CH85" s="444">
        <v>17</v>
      </c>
      <c r="CI85" s="450">
        <f>IF(BK85=1,0,IF(BK85=2,2,IF(BK85=3,2,5)))</f>
        <v>0</v>
      </c>
      <c r="CJ85" s="450">
        <f>IF(R85=" ",0,CI85*R85)</f>
        <v>0</v>
      </c>
      <c r="CK85" s="450">
        <f>(AZ85+BC85)/2*BU85</f>
        <v>0</v>
      </c>
      <c r="CL85" s="454">
        <f>(BA85+BD85)/2*BF85</f>
        <v>0</v>
      </c>
      <c r="CM85" s="422"/>
      <c r="CN85" s="656" t="b">
        <f>AND(BM85&gt;1)</f>
        <v>0</v>
      </c>
      <c r="CO85" s="422"/>
      <c r="CP85" s="460">
        <f>INDEX(Tiere!G$89:G$93,'Berechnung Nährstoffe und Lager'!$BK85)</f>
        <v>0</v>
      </c>
      <c r="CQ85" s="460">
        <f>INDEX(Tiere!K$89:K$93,'Berechnung Nährstoffe und Lager'!$BK85)</f>
        <v>0</v>
      </c>
      <c r="CR85" s="460">
        <f>INDEX(Tiere!L$89:L$93,'Berechnung Nährstoffe und Lager'!$BK85)</f>
        <v>0</v>
      </c>
      <c r="CS85" s="324">
        <f t="shared" si="35"/>
        <v>0</v>
      </c>
      <c r="CT85" s="327">
        <f t="shared" si="36"/>
        <v>0</v>
      </c>
      <c r="CU85" s="327">
        <f t="shared" si="71"/>
        <v>0</v>
      </c>
      <c r="CV85" s="327">
        <f t="shared" si="37"/>
        <v>0</v>
      </c>
      <c r="CW85" s="327">
        <f t="shared" si="38"/>
        <v>0</v>
      </c>
      <c r="CX85" s="327">
        <f t="shared" si="39"/>
        <v>0</v>
      </c>
      <c r="CY85" s="327">
        <f t="shared" si="40"/>
        <v>0</v>
      </c>
      <c r="CZ85" s="327">
        <f t="shared" si="41"/>
        <v>0</v>
      </c>
      <c r="DA85" s="327">
        <f t="shared" si="42"/>
        <v>0</v>
      </c>
      <c r="DB85" s="327">
        <f t="shared" si="43"/>
        <v>0</v>
      </c>
      <c r="DC85" s="327"/>
      <c r="DD85" s="327">
        <f t="shared" si="72"/>
        <v>0</v>
      </c>
      <c r="DE85" s="327">
        <f t="shared" si="44"/>
        <v>0</v>
      </c>
      <c r="DF85" s="327">
        <f t="shared" si="45"/>
        <v>0</v>
      </c>
      <c r="DG85" s="327">
        <f t="shared" si="46"/>
        <v>0</v>
      </c>
      <c r="DH85" s="327">
        <f>+DD85-DG85</f>
        <v>0</v>
      </c>
      <c r="DI85" s="327">
        <f t="shared" si="47"/>
        <v>55</v>
      </c>
      <c r="DJ85" s="327">
        <f t="shared" si="48"/>
        <v>0</v>
      </c>
      <c r="DK85" s="422" t="b">
        <v>0</v>
      </c>
      <c r="DL85" s="450">
        <f>IF(DK85=TRUE,1,0)</f>
        <v>0</v>
      </c>
      <c r="DM85" s="646">
        <f>+'Abweichende Werte'!$S9/100</f>
        <v>0</v>
      </c>
      <c r="DN85" s="821">
        <f>+'Abweichende Werte'!$T9</f>
        <v>0</v>
      </c>
      <c r="DO85" s="821">
        <f>+'Abweichende Werte'!$U9</f>
        <v>0</v>
      </c>
      <c r="DP85" s="646">
        <f>+'Abweichende Werte'!$V9/100</f>
        <v>0</v>
      </c>
      <c r="DQ85" s="821">
        <f>+'Abweichende Werte'!$W9</f>
        <v>0</v>
      </c>
      <c r="DR85" s="821">
        <f>+'Abweichende Werte'!$X9</f>
        <v>0</v>
      </c>
      <c r="DS85" s="821">
        <f>+'Abweichende Werte'!$AE9</f>
        <v>0</v>
      </c>
      <c r="DT85" s="821">
        <f>+'Abweichende Werte'!$AF9</f>
        <v>0</v>
      </c>
      <c r="DU85" s="456">
        <f>IF(DK85=TRUE,(DW85*DS85+DY85*DT85),0)</f>
        <v>0</v>
      </c>
      <c r="DV85" s="456">
        <f>IF(J85=" ",0,(CK85*AJ85+CL85*AK85)/(CK85+CL85))</f>
        <v>0</v>
      </c>
      <c r="DW85" s="456">
        <f t="shared" si="50"/>
        <v>0</v>
      </c>
      <c r="DX85" s="456">
        <f t="shared" si="51"/>
        <v>0</v>
      </c>
      <c r="DY85" s="456">
        <f t="shared" si="52"/>
        <v>0</v>
      </c>
      <c r="DZ85" s="811">
        <f>IF(DK85=TRUE,(DW85*DV85/100*DM85*DN85)/1000,0)</f>
        <v>0</v>
      </c>
      <c r="EA85" s="654">
        <f>+DZ85*DO85/100</f>
        <v>0</v>
      </c>
      <c r="EB85" s="811">
        <f t="shared" si="53"/>
        <v>0</v>
      </c>
      <c r="EC85" s="654">
        <f>+EB85*DR85/100</f>
        <v>0</v>
      </c>
      <c r="ED85" s="654">
        <f t="shared" si="79"/>
        <v>0</v>
      </c>
      <c r="EE85" s="324">
        <f t="shared" si="80"/>
        <v>0</v>
      </c>
      <c r="EF85" s="654">
        <f>+ED85-EE85</f>
        <v>0</v>
      </c>
      <c r="EG85" s="324" t="e">
        <f>+EE85/ED85</f>
        <v>#DIV/0!</v>
      </c>
      <c r="EH85" s="324">
        <f t="shared" si="54"/>
        <v>0</v>
      </c>
      <c r="EI85" s="324" t="e">
        <f t="shared" si="91"/>
        <v>#DIV/0!</v>
      </c>
      <c r="EJ85" s="324" t="e">
        <f>(DW85+DY85)*EI85*((EA85+EC85)/(DZ85+EB85))/22.26*0.01605</f>
        <v>#DIV/0!</v>
      </c>
      <c r="EK85" s="365" t="e">
        <f t="shared" si="83"/>
        <v>#DIV/0!</v>
      </c>
      <c r="EL85" s="324">
        <f>IF(ED85=0,0,EJ85+EK85)</f>
        <v>0</v>
      </c>
      <c r="EM85" s="324">
        <f>+DN85/887*100</f>
        <v>0</v>
      </c>
      <c r="EN85" s="411">
        <f>15.44*EM85/100</f>
        <v>0</v>
      </c>
      <c r="EO85" s="562">
        <f>+EL85-EP85</f>
        <v>0</v>
      </c>
      <c r="EP85" s="562">
        <f>+EL85*EN85/100</f>
        <v>0</v>
      </c>
      <c r="ES85" s="324">
        <f t="shared" si="55"/>
        <v>0</v>
      </c>
      <c r="ET85" s="324">
        <f t="shared" si="56"/>
        <v>0</v>
      </c>
      <c r="EU85" s="324">
        <f t="shared" si="89"/>
        <v>0</v>
      </c>
      <c r="EV85" s="324">
        <f t="shared" si="90"/>
        <v>0</v>
      </c>
    </row>
    <row r="86" spans="1:153" ht="18" customHeight="1" x14ac:dyDescent="0.2">
      <c r="A86" s="2657" t="str">
        <f>+'Abweichende Werte'!$AD10</f>
        <v xml:space="preserve"> -- - </v>
      </c>
      <c r="B86" s="2658"/>
      <c r="C86" s="2658"/>
      <c r="D86" s="2866"/>
      <c r="E86" s="352"/>
      <c r="F86" s="362"/>
      <c r="G86" s="291"/>
      <c r="H86" s="352"/>
      <c r="I86" s="702"/>
      <c r="J86" s="574" t="str">
        <f t="shared" si="93"/>
        <v xml:space="preserve"> </v>
      </c>
      <c r="K86" s="2693" t="str">
        <f t="shared" si="93"/>
        <v xml:space="preserve"> </v>
      </c>
      <c r="L86" s="2529"/>
      <c r="M86" s="699"/>
      <c r="N86" s="17"/>
      <c r="O86" s="17"/>
      <c r="P86" s="422">
        <f>IF(E86+F86&gt;=1,IF(BK86=1,1,0),0)</f>
        <v>0</v>
      </c>
      <c r="Q86" s="450" t="str">
        <f>IF(K86=" "," ",(K86*(1/CB86)))</f>
        <v xml:space="preserve"> </v>
      </c>
      <c r="R86" s="450" t="str">
        <f>IF(DL86=1,0,Y86)</f>
        <v xml:space="preserve"> </v>
      </c>
      <c r="S86" s="450">
        <f>IF(DL86=1,0,W86)</f>
        <v>0</v>
      </c>
      <c r="T86" s="531">
        <f>IF(DL86=1,0,U86)</f>
        <v>0</v>
      </c>
      <c r="U86" s="450">
        <f>IF(CN86=FALSE,0,IF(Z86+AA86=0,0,IF(AZ86*BU86+BA86*BF86=0,0,AZ86*BU86+BA86*BF86)))</f>
        <v>0</v>
      </c>
      <c r="V86" s="450">
        <f>IF(CN86=FALSE,0,IF(AA86=0,0,IF(BD86+BA86=0,0,IF(BK86=4,BA86*BG86-(E86*(1-H86/100)*BG86)*((1220/1000)/(2*11)),BA86*BG86))))</f>
        <v>0</v>
      </c>
      <c r="W86" s="450">
        <f>IF(CN86=FALSE,0,IF(Z86+AA86=0,0,IF(BC86*BU86+BD86*BF86=0,0,BC86*BU86+BD86*BF86)))</f>
        <v>0</v>
      </c>
      <c r="X86" s="450">
        <f>IF(CN86=FALSE,0,IF(AA86=0,0,IF(BD86+BA86=0,0,IF(BK86=4,BD86*BG86-(E86*(1-I86/100)*BG86)*((1220/1000)/(2*11)),BD86*BG86))))</f>
        <v>0</v>
      </c>
      <c r="Y86" s="450" t="str">
        <f>IF(X86=0," ",(X86*(1/CB86)))</f>
        <v xml:space="preserve"> </v>
      </c>
      <c r="Z86" s="451">
        <f>IF(BU86=0,0,E86)</f>
        <v>0</v>
      </c>
      <c r="AA86" s="452">
        <f>IF(BU86=0,E86+F86,F86)</f>
        <v>0</v>
      </c>
      <c r="AB86" s="531">
        <f t="shared" si="59"/>
        <v>0</v>
      </c>
      <c r="AC86" s="531">
        <f t="shared" si="60"/>
        <v>0</v>
      </c>
      <c r="AD86" s="531">
        <f t="shared" si="61"/>
        <v>0</v>
      </c>
      <c r="AE86" s="531">
        <f t="shared" si="62"/>
        <v>0</v>
      </c>
      <c r="AF86" s="453">
        <f>+(BC86*BR86*(100-BZ86)/100)+(BF86*BH86*BD86)</f>
        <v>0</v>
      </c>
      <c r="AG86" s="450">
        <f>IF(BK86=2,AF86,0)</f>
        <v>0</v>
      </c>
      <c r="AH86" s="450">
        <f>BC86*BS86+BD86*BF86*BI86</f>
        <v>0</v>
      </c>
      <c r="AI86" s="454">
        <f>BC86*BT86+BD86*BF86*BJ86</f>
        <v>0</v>
      </c>
      <c r="AJ86" s="819">
        <f>'Abweichende Werte'!$L10</f>
        <v>0</v>
      </c>
      <c r="AK86" s="819">
        <f>'Abweichende Werte'!$M10</f>
        <v>0</v>
      </c>
      <c r="AL86" s="450">
        <f t="shared" si="63"/>
        <v>0</v>
      </c>
      <c r="AM86" s="450">
        <f t="shared" si="64"/>
        <v>0</v>
      </c>
      <c r="AN86" s="450">
        <f t="shared" si="65"/>
        <v>0</v>
      </c>
      <c r="AO86" s="453">
        <f>+(BD86*BR86*(100-CA86)/100)-BF86*BD86*BH86</f>
        <v>0</v>
      </c>
      <c r="AP86" s="450">
        <f>BD86*BS86-BD86*BF86*BI86</f>
        <v>0</v>
      </c>
      <c r="AQ86" s="454">
        <f>BD86*BT86-BD86*BF86*BJ86</f>
        <v>0</v>
      </c>
      <c r="AR86" s="819">
        <f>'Abweichende Werte'!$N10</f>
        <v>0</v>
      </c>
      <c r="AS86" s="456">
        <f>IF(BN86=1,BB86*CC86*BP86*365/1000*CF86,IF(BN86=2,BB86*CD86*BP86*365/1000*CF86,BB86*CE86*BP86*365/1000*CF86))</f>
        <v>0</v>
      </c>
      <c r="AT86" s="456">
        <f>IF(BN86=1,BB86*CC86*BP86*365/1000*CG86,IF(BN86=2,BB86*CD86*BP86*365/1000*CG86,BB86*CE86*BP86*365/1000*CG86))</f>
        <v>0</v>
      </c>
      <c r="AU86" s="456">
        <f>IF(BN86=1,BB86*CC86*BP86*365/1000*CH86,IF(BN86=2,BB86*CD86*BP86*365/1000*CH86,BB86*CE86*BP86*365/1000*CH86))</f>
        <v>0</v>
      </c>
      <c r="AV86" s="453">
        <f>IF(BN86=1,BE86*CC86*BP86*365/1000*CF86,IF(BN86=2,BE86*CD86*BP86*365/1000*CF86,BE86*CE86*BP86*365/1000*CF86))</f>
        <v>0</v>
      </c>
      <c r="AW86" s="450">
        <f>IF(BN86=1,BE86*CC86*BP86*365/1000*CG86,IF(BN86=2,BE86*CD86*BP86*365/1000*CG86,BE86*CE86*BP86*365/1000*CG86))</f>
        <v>0</v>
      </c>
      <c r="AX86" s="454">
        <f>IF(BN86=1,BE86*CC86*BP86*365/1000*CH86,IF(BN86=2,BE86*CD86*BP86*365/1000*CH86,BE86*CE86*BP86*365/1000*CH86))</f>
        <v>0</v>
      </c>
      <c r="AY86" s="450"/>
      <c r="AZ86" s="528">
        <f t="shared" si="94"/>
        <v>0</v>
      </c>
      <c r="BA86" s="529">
        <f t="shared" si="94"/>
        <v>0</v>
      </c>
      <c r="BB86" s="529">
        <f t="shared" si="27"/>
        <v>0</v>
      </c>
      <c r="BC86" s="453">
        <f t="shared" si="95"/>
        <v>0</v>
      </c>
      <c r="BD86" s="450">
        <f t="shared" si="95"/>
        <v>0</v>
      </c>
      <c r="BE86" s="454">
        <f t="shared" si="30"/>
        <v>0</v>
      </c>
      <c r="BF86" s="460">
        <f>IF(BN86=1,BV86,IF(BN86=2,BV86/2,0))</f>
        <v>0</v>
      </c>
      <c r="BG86" s="457">
        <f>IF(BN86=1,BW86,IF(BN86=2,BX86,BY86))</f>
        <v>0</v>
      </c>
      <c r="BH86" s="1335" cm="1">
        <f t="array" ref="BH86">IF($BL86=0,0,INDEX(Tiere!BM$9:BM$13,'Berechnung Nährstoffe und Lager'!$BL86))</f>
        <v>0</v>
      </c>
      <c r="BI86" s="1335" cm="1">
        <f t="array" ref="BI86">IF($BL86=0,0,INDEX(Tiere!BN$9:BN$13,'Berechnung Nährstoffe und Lager'!$BL86))</f>
        <v>0</v>
      </c>
      <c r="BJ86" s="1335" cm="1">
        <f t="array" ref="BJ86">IF($BL86=0,0,INDEX(Tiere!BO$9:BO$13,'Berechnung Nährstoffe und Lager'!$BL86))</f>
        <v>0</v>
      </c>
      <c r="BK86" s="822">
        <f>'Abweichende Werte'!$AB10</f>
        <v>1</v>
      </c>
      <c r="BL86" s="1106">
        <f t="shared" si="96"/>
        <v>0</v>
      </c>
      <c r="BM86" s="462">
        <f>+BK86</f>
        <v>1</v>
      </c>
      <c r="BN86" s="462">
        <v>1</v>
      </c>
      <c r="BO86" s="822">
        <f>'Abweichende Werte'!$C10</f>
        <v>0</v>
      </c>
      <c r="BP86" s="461" t="str">
        <f t="shared" si="69"/>
        <v>1</v>
      </c>
      <c r="BQ86" s="460">
        <f>E86*BO86+F86*BO86</f>
        <v>0</v>
      </c>
      <c r="BR86" s="821">
        <f>'Abweichende Werte'!$D10</f>
        <v>0</v>
      </c>
      <c r="BS86" s="819">
        <f>'Abweichende Werte'!$E10</f>
        <v>0</v>
      </c>
      <c r="BT86" s="463">
        <f>'Abweichende Werte'!$F10</f>
        <v>0</v>
      </c>
      <c r="BU86" s="821">
        <f>'Abweichende Werte'!$G10</f>
        <v>0</v>
      </c>
      <c r="BV86" s="463">
        <f>'Abweichende Werte'!$H10</f>
        <v>0</v>
      </c>
      <c r="BW86" s="819">
        <f>'Abweichende Werte'!$I10</f>
        <v>0</v>
      </c>
      <c r="BX86" s="819">
        <f>'Abweichende Werte'!$J10</f>
        <v>0</v>
      </c>
      <c r="BY86" s="819">
        <f>'Abweichende Werte'!$K10</f>
        <v>0</v>
      </c>
      <c r="BZ86" s="460">
        <f>IF(BK86=2,15,IF(BK86=3,20,IF(BK86=4,40,IF(BK86=5,45,0))))</f>
        <v>0</v>
      </c>
      <c r="CA86" s="457">
        <f>IF(BK86=2,30,IF(BK86=3,30,IF(BK86=4,40,IF(BK86=5,45,0))))</f>
        <v>0</v>
      </c>
      <c r="CB86" s="463">
        <f>'Abweichende Werte'!$R10</f>
        <v>0</v>
      </c>
      <c r="CC86" s="465">
        <f>'Abweichende Werte'!$O10</f>
        <v>0</v>
      </c>
      <c r="CD86" s="823">
        <f>'Abweichende Werte'!$P10</f>
        <v>0</v>
      </c>
      <c r="CE86" s="465">
        <f>'Abweichende Werte'!$Q10</f>
        <v>0</v>
      </c>
      <c r="CF86" s="443">
        <v>5</v>
      </c>
      <c r="CG86" s="438">
        <v>3</v>
      </c>
      <c r="CH86" s="444">
        <v>17</v>
      </c>
      <c r="CI86" s="450">
        <f>IF(BK86=1,0,IF(BK86=2,2,IF(BK86=3,2,5)))</f>
        <v>0</v>
      </c>
      <c r="CJ86" s="450">
        <f>IF(R86=" ",0,CI86*R86)</f>
        <v>0</v>
      </c>
      <c r="CK86" s="450">
        <f>(AZ86+BC86)/2*BU86</f>
        <v>0</v>
      </c>
      <c r="CL86" s="454">
        <f>(BA86+BD86)/2*BF86</f>
        <v>0</v>
      </c>
      <c r="CM86" s="422"/>
      <c r="CN86" s="656" t="b">
        <f>AND(BM86&gt;1)</f>
        <v>0</v>
      </c>
      <c r="CO86" s="422"/>
      <c r="CP86" s="460">
        <f>INDEX(Tiere!G$89:G$93,'Berechnung Nährstoffe und Lager'!$BK86)</f>
        <v>0</v>
      </c>
      <c r="CQ86" s="460">
        <f>INDEX(Tiere!K$89:K$93,'Berechnung Nährstoffe und Lager'!$BK86)</f>
        <v>0</v>
      </c>
      <c r="CR86" s="460">
        <f>INDEX(Tiere!L$89:L$93,'Berechnung Nährstoffe und Lager'!$BK86)</f>
        <v>0</v>
      </c>
      <c r="CS86" s="324">
        <f t="shared" si="35"/>
        <v>0</v>
      </c>
      <c r="CT86" s="327">
        <f t="shared" si="36"/>
        <v>0</v>
      </c>
      <c r="CU86" s="327">
        <f t="shared" si="71"/>
        <v>0</v>
      </c>
      <c r="CV86" s="327">
        <f t="shared" si="37"/>
        <v>0</v>
      </c>
      <c r="CW86" s="327">
        <f t="shared" si="38"/>
        <v>0</v>
      </c>
      <c r="CX86" s="327">
        <f t="shared" si="39"/>
        <v>0</v>
      </c>
      <c r="CY86" s="327">
        <f t="shared" si="40"/>
        <v>0</v>
      </c>
      <c r="CZ86" s="327">
        <f t="shared" si="41"/>
        <v>0</v>
      </c>
      <c r="DA86" s="327">
        <f t="shared" si="42"/>
        <v>0</v>
      </c>
      <c r="DB86" s="327">
        <f t="shared" si="43"/>
        <v>0</v>
      </c>
      <c r="DC86" s="327"/>
      <c r="DD86" s="327">
        <f t="shared" si="72"/>
        <v>0</v>
      </c>
      <c r="DE86" s="327">
        <f t="shared" si="44"/>
        <v>0</v>
      </c>
      <c r="DF86" s="327">
        <f t="shared" si="45"/>
        <v>0</v>
      </c>
      <c r="DG86" s="327">
        <f t="shared" si="46"/>
        <v>0</v>
      </c>
      <c r="DH86" s="327">
        <f t="shared" si="73"/>
        <v>0</v>
      </c>
      <c r="DI86" s="327">
        <f t="shared" si="47"/>
        <v>55</v>
      </c>
      <c r="DJ86" s="327">
        <f t="shared" si="48"/>
        <v>0</v>
      </c>
      <c r="DK86" s="422" t="b">
        <v>0</v>
      </c>
      <c r="DL86" s="450">
        <f t="shared" si="74"/>
        <v>0</v>
      </c>
      <c r="DM86" s="646">
        <f>+'Abweichende Werte'!$S10/100</f>
        <v>0</v>
      </c>
      <c r="DN86" s="821">
        <f>+'Abweichende Werte'!$T10</f>
        <v>0</v>
      </c>
      <c r="DO86" s="821">
        <f>+'Abweichende Werte'!$U10</f>
        <v>0</v>
      </c>
      <c r="DP86" s="646">
        <f>+'Abweichende Werte'!$V10/100</f>
        <v>0</v>
      </c>
      <c r="DQ86" s="821">
        <f>+'Abweichende Werte'!$W10</f>
        <v>0</v>
      </c>
      <c r="DR86" s="821">
        <f>+'Abweichende Werte'!$X10</f>
        <v>0</v>
      </c>
      <c r="DS86" s="821">
        <f>+'Abweichende Werte'!$AE10</f>
        <v>0</v>
      </c>
      <c r="DT86" s="821">
        <f>+'Abweichende Werte'!$AF10</f>
        <v>0</v>
      </c>
      <c r="DU86" s="456">
        <f t="shared" si="75"/>
        <v>0</v>
      </c>
      <c r="DV86" s="456">
        <f>IF(J86=" ",0,(CK86*AJ86+CL86*AK86)/(CK86+CL86))</f>
        <v>0</v>
      </c>
      <c r="DW86" s="456">
        <f t="shared" si="50"/>
        <v>0</v>
      </c>
      <c r="DX86" s="456">
        <f t="shared" si="51"/>
        <v>0</v>
      </c>
      <c r="DY86" s="456">
        <f t="shared" si="52"/>
        <v>0</v>
      </c>
      <c r="DZ86" s="811">
        <f>IF(DK86=TRUE,(DW86*DV86/100*DM86*DN86)/1000,0)</f>
        <v>0</v>
      </c>
      <c r="EA86" s="654">
        <f t="shared" si="77"/>
        <v>0</v>
      </c>
      <c r="EB86" s="811">
        <f t="shared" si="53"/>
        <v>0</v>
      </c>
      <c r="EC86" s="654">
        <f t="shared" si="78"/>
        <v>0</v>
      </c>
      <c r="ED86" s="654">
        <f t="shared" si="79"/>
        <v>0</v>
      </c>
      <c r="EE86" s="324">
        <f t="shared" si="80"/>
        <v>0</v>
      </c>
      <c r="EF86" s="654">
        <f t="shared" si="81"/>
        <v>0</v>
      </c>
      <c r="EG86" s="324" t="e">
        <f t="shared" si="82"/>
        <v>#DIV/0!</v>
      </c>
      <c r="EH86" s="324">
        <f t="shared" si="54"/>
        <v>0</v>
      </c>
      <c r="EI86" s="324" t="e">
        <f t="shared" si="91"/>
        <v>#DIV/0!</v>
      </c>
      <c r="EJ86" s="324" t="e">
        <f t="shared" si="92"/>
        <v>#DIV/0!</v>
      </c>
      <c r="EK86" s="365" t="e">
        <f t="shared" si="83"/>
        <v>#DIV/0!</v>
      </c>
      <c r="EL86" s="324">
        <f t="shared" si="84"/>
        <v>0</v>
      </c>
      <c r="EM86" s="324">
        <f t="shared" si="85"/>
        <v>0</v>
      </c>
      <c r="EN86" s="411">
        <f t="shared" si="86"/>
        <v>0</v>
      </c>
      <c r="EO86" s="562">
        <f t="shared" si="87"/>
        <v>0</v>
      </c>
      <c r="EP86" s="562">
        <f t="shared" si="88"/>
        <v>0</v>
      </c>
      <c r="ES86" s="324">
        <f t="shared" si="55"/>
        <v>0</v>
      </c>
      <c r="ET86" s="324">
        <f t="shared" si="56"/>
        <v>0</v>
      </c>
      <c r="EU86" s="324">
        <f t="shared" si="89"/>
        <v>0</v>
      </c>
      <c r="EV86" s="324">
        <f t="shared" si="90"/>
        <v>0</v>
      </c>
    </row>
    <row r="87" spans="1:153" ht="18" customHeight="1" thickBot="1" x14ac:dyDescent="0.25">
      <c r="A87" s="2869" t="str">
        <f>+'Abweichende Werte'!$AD11</f>
        <v xml:space="preserve"> -- - </v>
      </c>
      <c r="B87" s="2870"/>
      <c r="C87" s="2870"/>
      <c r="D87" s="2871"/>
      <c r="E87" s="544"/>
      <c r="F87" s="545"/>
      <c r="G87" s="546"/>
      <c r="H87" s="544"/>
      <c r="I87" s="703"/>
      <c r="J87" s="575" t="str">
        <f t="shared" si="93"/>
        <v xml:space="preserve"> </v>
      </c>
      <c r="K87" s="2665" t="str">
        <f t="shared" si="93"/>
        <v xml:space="preserve"> </v>
      </c>
      <c r="L87" s="2537"/>
      <c r="M87" s="700"/>
      <c r="N87" s="576"/>
      <c r="O87" s="576"/>
      <c r="P87" s="422">
        <f>IF(E87+F87&gt;=1,IF(BK87=1,1,0),0)</f>
        <v>0</v>
      </c>
      <c r="Q87" s="450" t="str">
        <f>IF(K87=" "," ",(K87*(1/CB87)))</f>
        <v xml:space="preserve"> </v>
      </c>
      <c r="R87" s="450" t="str">
        <f>IF(DL87=1,0,Y87)</f>
        <v xml:space="preserve"> </v>
      </c>
      <c r="S87" s="450">
        <f>IF(DL87=1,0,W87)</f>
        <v>0</v>
      </c>
      <c r="T87" s="812">
        <f>IF(DL87=1,0,U87)</f>
        <v>0</v>
      </c>
      <c r="U87" s="450">
        <f>IF(CN87=FALSE,0,IF(Z87+AA87=0,0,IF(AZ87*BU87+BA87*BF87=0,0,AZ87*BU87+BA87*BF87)))</f>
        <v>0</v>
      </c>
      <c r="V87" s="450">
        <f>IF(CN87=FALSE,0,IF(AA87=0,0,IF(BD87+BA87=0,0,IF(BK87=4,BA87*BG87-(E87*(1-H87/100)*BG87)*((1220/1000)/(2*11)),BA87*BG87))))</f>
        <v>0</v>
      </c>
      <c r="W87" s="450">
        <f>IF(CN87=FALSE,0,IF(Z87+AA87=0,0,IF(BC87*BU87+BD87*BF87=0,0,BC87*BU87+BD87*BF87)))</f>
        <v>0</v>
      </c>
      <c r="X87" s="450">
        <f>IF(CN87=FALSE,0,IF(AA87=0,0,IF(BD87+BA87=0,0,IF(BK87=4,BD87*BG87-(E87*(1-I87/100)*BG87)*((1220/1000)/(2*11)),BD87*BG87))))</f>
        <v>0</v>
      </c>
      <c r="Y87" s="450" t="str">
        <f>IF(X87=0," ",(X87*(1/CB87)))</f>
        <v xml:space="preserve"> </v>
      </c>
      <c r="Z87" s="451">
        <f>IF(BU87=0,0,E87)</f>
        <v>0</v>
      </c>
      <c r="AA87" s="452">
        <f>IF(BU87=0,E87+F87,F87)</f>
        <v>0</v>
      </c>
      <c r="AB87" s="812">
        <f t="shared" si="59"/>
        <v>0</v>
      </c>
      <c r="AC87" s="812">
        <f t="shared" si="60"/>
        <v>0</v>
      </c>
      <c r="AD87" s="812">
        <f t="shared" si="61"/>
        <v>0</v>
      </c>
      <c r="AE87" s="531">
        <f t="shared" si="62"/>
        <v>0</v>
      </c>
      <c r="AF87" s="453">
        <f>+(BC87*BR87*(100-BZ87)/100)+(BF87*BH87*BD87)</f>
        <v>0</v>
      </c>
      <c r="AG87" s="450">
        <f>IF(BK87=2,AF87,0)</f>
        <v>0</v>
      </c>
      <c r="AH87" s="450">
        <f>BC87*BS87+BD87*BF87*BI87</f>
        <v>0</v>
      </c>
      <c r="AI87" s="454">
        <f>BC87*BT87+BD87*BF87*BJ87</f>
        <v>0</v>
      </c>
      <c r="AJ87" s="819">
        <f>'Abweichende Werte'!$L11</f>
        <v>0</v>
      </c>
      <c r="AK87" s="819">
        <f>'Abweichende Werte'!$M11</f>
        <v>0</v>
      </c>
      <c r="AL87" s="450">
        <f t="shared" si="63"/>
        <v>0</v>
      </c>
      <c r="AM87" s="450">
        <f t="shared" si="64"/>
        <v>0</v>
      </c>
      <c r="AN87" s="450">
        <f t="shared" si="65"/>
        <v>0</v>
      </c>
      <c r="AO87" s="453">
        <f>+(BD87*BR87*(100-CA87)/100)-BF87*BD87*BH87</f>
        <v>0</v>
      </c>
      <c r="AP87" s="450">
        <f>BD87*BS87-BD87*BF87*BI87</f>
        <v>0</v>
      </c>
      <c r="AQ87" s="454">
        <f>BD87*BT87-BD87*BF87*BJ87</f>
        <v>0</v>
      </c>
      <c r="AR87" s="819">
        <f>'Abweichende Werte'!$N11</f>
        <v>0</v>
      </c>
      <c r="AS87" s="456">
        <f>IF(BN87=1,BB87*CC87*BP87*365/1000*CF87,IF(BN87=2,BB87*CD87*BP87*365/1000*CF87,BB87*CE87*BP87*365/1000*CF87))</f>
        <v>0</v>
      </c>
      <c r="AT87" s="456">
        <f>IF(BN87=1,BB87*CC87*BP87*365/1000*CG87,IF(BN87=2,BB87*CD87*BP87*365/1000*CG87,BB87*CE87*BP87*365/1000*CG87))</f>
        <v>0</v>
      </c>
      <c r="AU87" s="456">
        <f>IF(BN87=1,BB87*CC87*BP87*365/1000*CH87,IF(BN87=2,BB87*CD87*BP87*365/1000*CH87,BB87*CE87*BP87*365/1000*CH87))</f>
        <v>0</v>
      </c>
      <c r="AV87" s="453">
        <f>IF(BN87=1,BE87*CC87*BP87*365/1000*CF87,IF(BN87=2,BE87*CD87*BP87*365/1000*CF87,BE87*CE87*BP87*365/1000*CF87))</f>
        <v>0</v>
      </c>
      <c r="AW87" s="450">
        <f>IF(BN87=1,BE87*CC87*BP87*365/1000*CG87,IF(BN87=2,BE87*CD87*BP87*365/1000*CG87,BE87*CE87*BP87*365/1000*CG87))</f>
        <v>0</v>
      </c>
      <c r="AX87" s="454">
        <f>IF(BN87=1,BE87*CC87*BP87*365/1000*CH87,IF(BN87=2,BE87*CD87*BP87*365/1000*CH87,BE87*CE87*BP87*365/1000*CH87))</f>
        <v>0</v>
      </c>
      <c r="AY87" s="450"/>
      <c r="AZ87" s="528">
        <f t="shared" si="94"/>
        <v>0</v>
      </c>
      <c r="BA87" s="529">
        <f t="shared" si="94"/>
        <v>0</v>
      </c>
      <c r="BB87" s="529">
        <f t="shared" si="27"/>
        <v>0</v>
      </c>
      <c r="BC87" s="527">
        <f t="shared" si="95"/>
        <v>0</v>
      </c>
      <c r="BD87" s="530">
        <f t="shared" si="95"/>
        <v>0</v>
      </c>
      <c r="BE87" s="454">
        <f t="shared" si="30"/>
        <v>0</v>
      </c>
      <c r="BF87" s="460">
        <f>IF(BN87=1,BV87,IF(BN87=2,BV87/2,0))</f>
        <v>0</v>
      </c>
      <c r="BG87" s="457">
        <f>IF(BN87=1,BW87,IF(BN87=2,BX87,BY87))</f>
        <v>0</v>
      </c>
      <c r="BH87" s="1335" cm="1">
        <f t="array" ref="BH87">IF($BL87=0,0,INDEX(Tiere!BM$9:BM$13,'Berechnung Nährstoffe und Lager'!$BL87))</f>
        <v>0</v>
      </c>
      <c r="BI87" s="1335" cm="1">
        <f t="array" ref="BI87">IF($BL87=0,0,INDEX(Tiere!BN$9:BN$13,'Berechnung Nährstoffe und Lager'!$BL87))</f>
        <v>0</v>
      </c>
      <c r="BJ87" s="1335" cm="1">
        <f t="array" ref="BJ87">IF($BL87=0,0,INDEX(Tiere!BO$9:BO$13,'Berechnung Nährstoffe und Lager'!$BL87))</f>
        <v>0</v>
      </c>
      <c r="BK87" s="822">
        <f>'Abweichende Werte'!$AB11</f>
        <v>1</v>
      </c>
      <c r="BL87" s="1106">
        <f t="shared" si="96"/>
        <v>0</v>
      </c>
      <c r="BM87" s="462">
        <f>+BK87</f>
        <v>1</v>
      </c>
      <c r="BN87" s="462">
        <v>1</v>
      </c>
      <c r="BO87" s="822">
        <f>'Abweichende Werte'!$C11</f>
        <v>0</v>
      </c>
      <c r="BP87" s="461" t="str">
        <f t="shared" si="69"/>
        <v>1</v>
      </c>
      <c r="BQ87" s="460">
        <f>E87*BO87+F87*BO87</f>
        <v>0</v>
      </c>
      <c r="BR87" s="821">
        <f>'Abweichende Werte'!$D11</f>
        <v>0</v>
      </c>
      <c r="BS87" s="819">
        <f>'Abweichende Werte'!$E11</f>
        <v>0</v>
      </c>
      <c r="BT87" s="463">
        <f>'Abweichende Werte'!$F11</f>
        <v>0</v>
      </c>
      <c r="BU87" s="821">
        <f>'Abweichende Werte'!$G11</f>
        <v>0</v>
      </c>
      <c r="BV87" s="463">
        <f>'Abweichende Werte'!$H11</f>
        <v>0</v>
      </c>
      <c r="BW87" s="819">
        <f>'Abweichende Werte'!$I11</f>
        <v>0</v>
      </c>
      <c r="BX87" s="819">
        <f>'Abweichende Werte'!$J11</f>
        <v>0</v>
      </c>
      <c r="BY87" s="819">
        <f>'Abweichende Werte'!$K11</f>
        <v>0</v>
      </c>
      <c r="BZ87" s="460">
        <f>IF(BK87=2,15,IF(BK87=3,20,IF(BK87=4,40,IF(BK87=5,45,0))))</f>
        <v>0</v>
      </c>
      <c r="CA87" s="457">
        <f>IF(BK87=2,30,IF(BK87=3,30,IF(BK87=4,40,IF(BK87=5,45,0))))</f>
        <v>0</v>
      </c>
      <c r="CB87" s="463">
        <f>'Abweichende Werte'!$R11</f>
        <v>0</v>
      </c>
      <c r="CC87" s="465">
        <f>'Abweichende Werte'!$O11</f>
        <v>0</v>
      </c>
      <c r="CD87" s="823">
        <f>'Abweichende Werte'!$P11</f>
        <v>0</v>
      </c>
      <c r="CE87" s="465">
        <f>'Abweichende Werte'!$Q11</f>
        <v>0</v>
      </c>
      <c r="CF87" s="443">
        <v>5</v>
      </c>
      <c r="CG87" s="438">
        <v>3</v>
      </c>
      <c r="CH87" s="444">
        <v>17</v>
      </c>
      <c r="CI87" s="450">
        <f>IF(BK87=1,0,IF(BK87=2,2,IF(BK87=3,2,5)))</f>
        <v>0</v>
      </c>
      <c r="CJ87" s="450">
        <f>IF(R87=" ",0,CI87*R87)</f>
        <v>0</v>
      </c>
      <c r="CK87" s="450">
        <f>(AZ87+BC87)/2*BU87</f>
        <v>0</v>
      </c>
      <c r="CL87" s="454">
        <f>(BA87+BD87)/2*BF87</f>
        <v>0</v>
      </c>
      <c r="CM87" s="422"/>
      <c r="CN87" s="656" t="b">
        <f>AND(BM87&gt;1)</f>
        <v>0</v>
      </c>
      <c r="CO87" s="422"/>
      <c r="CP87" s="460">
        <f>INDEX(Tiere!G$89:G$93,'Berechnung Nährstoffe und Lager'!$BK87)</f>
        <v>0</v>
      </c>
      <c r="CQ87" s="460">
        <f>INDEX(Tiere!K$89:K$93,'Berechnung Nährstoffe und Lager'!$BK87)</f>
        <v>0</v>
      </c>
      <c r="CR87" s="460">
        <f>INDEX(Tiere!L$89:L$93,'Berechnung Nährstoffe und Lager'!$BK87)</f>
        <v>0</v>
      </c>
      <c r="CS87" s="324">
        <f t="shared" si="35"/>
        <v>0</v>
      </c>
      <c r="CT87" s="327">
        <f t="shared" si="36"/>
        <v>0</v>
      </c>
      <c r="CU87" s="327">
        <f t="shared" si="71"/>
        <v>0</v>
      </c>
      <c r="CV87" s="327">
        <f t="shared" si="37"/>
        <v>0</v>
      </c>
      <c r="CW87" s="327">
        <f t="shared" si="38"/>
        <v>0</v>
      </c>
      <c r="CX87" s="327">
        <f t="shared" si="39"/>
        <v>0</v>
      </c>
      <c r="CY87" s="327">
        <f t="shared" si="40"/>
        <v>0</v>
      </c>
      <c r="CZ87" s="327">
        <f t="shared" si="41"/>
        <v>0</v>
      </c>
      <c r="DA87" s="327">
        <f t="shared" si="42"/>
        <v>0</v>
      </c>
      <c r="DB87" s="327">
        <f t="shared" si="43"/>
        <v>0</v>
      </c>
      <c r="DC87" s="327"/>
      <c r="DD87" s="327">
        <f t="shared" si="72"/>
        <v>0</v>
      </c>
      <c r="DE87" s="327">
        <f t="shared" si="44"/>
        <v>0</v>
      </c>
      <c r="DF87" s="327">
        <f t="shared" si="45"/>
        <v>0</v>
      </c>
      <c r="DG87" s="327">
        <f t="shared" si="46"/>
        <v>0</v>
      </c>
      <c r="DH87" s="327">
        <f t="shared" si="73"/>
        <v>0</v>
      </c>
      <c r="DI87" s="327">
        <f t="shared" si="47"/>
        <v>55</v>
      </c>
      <c r="DJ87" s="327">
        <f t="shared" si="48"/>
        <v>0</v>
      </c>
      <c r="DK87" s="422" t="b">
        <v>0</v>
      </c>
      <c r="DL87" s="450">
        <f t="shared" si="74"/>
        <v>0</v>
      </c>
      <c r="DM87" s="646">
        <f>+'Abweichende Werte'!$S11/100</f>
        <v>0</v>
      </c>
      <c r="DN87" s="821">
        <f>+'Abweichende Werte'!$T11</f>
        <v>0</v>
      </c>
      <c r="DO87" s="821">
        <f>+'Abweichende Werte'!$U11</f>
        <v>0</v>
      </c>
      <c r="DP87" s="646">
        <f>+'Abweichende Werte'!$V11/100</f>
        <v>0</v>
      </c>
      <c r="DQ87" s="821">
        <f>+'Abweichende Werte'!$W11</f>
        <v>0</v>
      </c>
      <c r="DR87" s="821">
        <f>+'Abweichende Werte'!$X11</f>
        <v>0</v>
      </c>
      <c r="DS87" s="821">
        <f>+'Abweichende Werte'!$AE11</f>
        <v>0</v>
      </c>
      <c r="DT87" s="821">
        <f>+'Abweichende Werte'!$AF11</f>
        <v>0</v>
      </c>
      <c r="DU87" s="456">
        <f t="shared" si="75"/>
        <v>0</v>
      </c>
      <c r="DV87" s="456">
        <f>IF(J87=" ",0,(CK87*AJ87+CL87*AK87)/(CK87+CL87))</f>
        <v>0</v>
      </c>
      <c r="DW87" s="456">
        <f t="shared" si="50"/>
        <v>0</v>
      </c>
      <c r="DX87" s="456">
        <f t="shared" si="51"/>
        <v>0</v>
      </c>
      <c r="DY87" s="456">
        <f t="shared" si="52"/>
        <v>0</v>
      </c>
      <c r="DZ87" s="811">
        <f>IF(DK87=TRUE,(DW87*DV87/100*DM87*DN87)/1000,0)</f>
        <v>0</v>
      </c>
      <c r="EA87" s="654">
        <f t="shared" si="77"/>
        <v>0</v>
      </c>
      <c r="EB87" s="811">
        <f t="shared" si="53"/>
        <v>0</v>
      </c>
      <c r="EC87" s="654">
        <f t="shared" si="78"/>
        <v>0</v>
      </c>
      <c r="ED87" s="654">
        <f t="shared" si="79"/>
        <v>0</v>
      </c>
      <c r="EE87" s="324">
        <f t="shared" si="80"/>
        <v>0</v>
      </c>
      <c r="EF87" s="654">
        <f t="shared" si="81"/>
        <v>0</v>
      </c>
      <c r="EG87" s="324" t="e">
        <f t="shared" si="82"/>
        <v>#DIV/0!</v>
      </c>
      <c r="EH87" s="324">
        <f t="shared" si="54"/>
        <v>0</v>
      </c>
      <c r="EI87" s="324" t="e">
        <f t="shared" si="91"/>
        <v>#DIV/0!</v>
      </c>
      <c r="EJ87" s="324" t="e">
        <f t="shared" si="92"/>
        <v>#DIV/0!</v>
      </c>
      <c r="EK87" s="365" t="e">
        <f t="shared" si="83"/>
        <v>#DIV/0!</v>
      </c>
      <c r="EL87" s="324">
        <f t="shared" si="84"/>
        <v>0</v>
      </c>
      <c r="EM87" s="324">
        <f t="shared" si="85"/>
        <v>0</v>
      </c>
      <c r="EN87" s="411">
        <f t="shared" si="86"/>
        <v>0</v>
      </c>
      <c r="EO87" s="562">
        <f t="shared" si="87"/>
        <v>0</v>
      </c>
      <c r="EP87" s="562">
        <f t="shared" si="88"/>
        <v>0</v>
      </c>
      <c r="ES87" s="1243">
        <f t="shared" si="55"/>
        <v>0</v>
      </c>
      <c r="ET87" s="1243">
        <f t="shared" si="56"/>
        <v>0</v>
      </c>
      <c r="EU87" s="1243">
        <f t="shared" si="89"/>
        <v>0</v>
      </c>
      <c r="EV87" s="324">
        <f t="shared" si="90"/>
        <v>0</v>
      </c>
    </row>
    <row r="88" spans="1:153" ht="18.75" customHeight="1" thickBot="1" x14ac:dyDescent="0.25">
      <c r="A88" s="669" t="s">
        <v>487</v>
      </c>
      <c r="B88" s="670"/>
      <c r="C88" s="670"/>
      <c r="D88" s="670"/>
      <c r="E88" s="670"/>
      <c r="F88" s="670"/>
      <c r="G88" s="670"/>
      <c r="H88" s="670"/>
      <c r="I88" s="670"/>
      <c r="J88" s="671">
        <f>SUM(J68:J87)</f>
        <v>0</v>
      </c>
      <c r="K88" s="2801">
        <f>SUM(K68:K87)</f>
        <v>0</v>
      </c>
      <c r="L88" s="2802">
        <f>SUM(L68:L87)</f>
        <v>0</v>
      </c>
      <c r="M88" s="668"/>
      <c r="N88" s="17"/>
      <c r="P88" s="324"/>
      <c r="Q88" s="324"/>
      <c r="R88" s="450">
        <f>SUM(R68:R87)</f>
        <v>0</v>
      </c>
      <c r="S88" s="477">
        <f>SUM(S68:S87)</f>
        <v>0</v>
      </c>
      <c r="T88" s="477">
        <f>SUM(T68:T87)</f>
        <v>0</v>
      </c>
      <c r="U88" s="477">
        <f>SUM(U68:U87)</f>
        <v>0</v>
      </c>
      <c r="V88" s="422"/>
      <c r="W88" s="477">
        <f>SUM(W68:W87)</f>
        <v>0</v>
      </c>
      <c r="X88" s="422"/>
      <c r="Y88" s="813">
        <f>SUM(Y68:Y87)</f>
        <v>0</v>
      </c>
      <c r="Z88" s="422"/>
      <c r="AA88" s="422"/>
      <c r="AB88" s="542">
        <f t="shared" ref="AB88:AI88" si="97">SUM(AB68:AB87)</f>
        <v>0</v>
      </c>
      <c r="AC88" s="542">
        <f t="shared" si="97"/>
        <v>0</v>
      </c>
      <c r="AD88" s="542">
        <f t="shared" si="97"/>
        <v>0</v>
      </c>
      <c r="AE88" s="542">
        <f t="shared" si="97"/>
        <v>0</v>
      </c>
      <c r="AF88" s="542">
        <f>SUM(AF68:AF87)</f>
        <v>0</v>
      </c>
      <c r="AG88" s="542">
        <f t="shared" si="97"/>
        <v>0</v>
      </c>
      <c r="AH88" s="542">
        <f t="shared" si="97"/>
        <v>0</v>
      </c>
      <c r="AI88" s="542">
        <f t="shared" si="97"/>
        <v>0</v>
      </c>
      <c r="AJ88" s="543"/>
      <c r="AK88" s="543"/>
      <c r="AL88" s="542">
        <f t="shared" ref="AL88:AQ88" si="98">SUM(AL68:AL87)</f>
        <v>0</v>
      </c>
      <c r="AM88" s="542">
        <f>SUM(AM68:AM87)</f>
        <v>0</v>
      </c>
      <c r="AN88" s="542">
        <f t="shared" si="98"/>
        <v>0</v>
      </c>
      <c r="AO88" s="542">
        <f t="shared" si="98"/>
        <v>0</v>
      </c>
      <c r="AP88" s="542">
        <f t="shared" si="98"/>
        <v>0</v>
      </c>
      <c r="AQ88" s="542">
        <f t="shared" si="98"/>
        <v>0</v>
      </c>
      <c r="AR88" s="543"/>
      <c r="AS88" s="542">
        <f t="shared" ref="AS88:AX88" si="99">SUM(AS68:AS87)</f>
        <v>0</v>
      </c>
      <c r="AT88" s="542">
        <f t="shared" si="99"/>
        <v>0</v>
      </c>
      <c r="AU88" s="542">
        <f t="shared" si="99"/>
        <v>0</v>
      </c>
      <c r="AV88" s="542">
        <f t="shared" si="99"/>
        <v>0</v>
      </c>
      <c r="AW88" s="542">
        <f t="shared" si="99"/>
        <v>0</v>
      </c>
      <c r="AX88" s="542">
        <f t="shared" si="99"/>
        <v>0</v>
      </c>
      <c r="AY88" s="422"/>
      <c r="AZ88" s="422"/>
      <c r="BA88" s="422"/>
      <c r="BB88" s="422"/>
      <c r="BC88" s="422"/>
      <c r="BD88" s="422"/>
      <c r="BE88" s="422"/>
      <c r="BF88" s="422"/>
      <c r="BG88" s="422"/>
      <c r="BH88" s="422"/>
      <c r="BI88" s="422"/>
      <c r="BJ88" s="422"/>
      <c r="BK88" s="422"/>
      <c r="BL88" s="1073"/>
      <c r="BM88" s="422">
        <f>IF(OR(BM68=2,BM69=2,BM70=2,BM71=2,BM72=2,BM73=2,BM74=2,BM75=2,BM76=2,BM79=2,BM80=2,BM81=2,),2,1)</f>
        <v>1</v>
      </c>
      <c r="BN88" s="450"/>
      <c r="BO88" s="450"/>
      <c r="BP88" s="450"/>
      <c r="BQ88" s="541">
        <f>SUM(BQ68:BQ87)</f>
        <v>0</v>
      </c>
      <c r="BR88" s="422"/>
      <c r="BS88" s="422"/>
      <c r="BT88" s="422"/>
      <c r="BU88" s="456"/>
      <c r="BV88" s="456"/>
      <c r="BW88" s="456"/>
      <c r="BX88" s="456"/>
      <c r="BY88" s="456"/>
      <c r="BZ88" s="422"/>
      <c r="CA88" s="422"/>
      <c r="CB88" s="465"/>
      <c r="CC88" s="422"/>
      <c r="CD88" s="422"/>
      <c r="CE88" s="422"/>
      <c r="CF88" s="422"/>
      <c r="CG88" s="422"/>
      <c r="CH88" s="422"/>
      <c r="CI88" s="466"/>
      <c r="CJ88" s="467"/>
      <c r="CK88" s="468">
        <f>SUM(CK68:CK87)</f>
        <v>0</v>
      </c>
      <c r="CL88" s="469">
        <f>SUM(CL68:CL87)</f>
        <v>0</v>
      </c>
      <c r="CM88" s="422"/>
      <c r="CN88" s="422"/>
      <c r="CO88" s="422"/>
      <c r="CP88" s="422"/>
      <c r="CQ88" s="17"/>
      <c r="CR88" s="17"/>
      <c r="CS88" s="16">
        <f>SUM(CS68:CS87)</f>
        <v>0</v>
      </c>
      <c r="CT88" s="16">
        <f>SUM(CT68:CT87)</f>
        <v>0</v>
      </c>
      <c r="CU88" s="16">
        <f t="shared" ref="CU88:DF88" si="100">SUM(CU68:CU87)</f>
        <v>0</v>
      </c>
      <c r="CV88" s="16">
        <f t="shared" si="100"/>
        <v>0</v>
      </c>
      <c r="CW88" s="16">
        <f t="shared" si="100"/>
        <v>0</v>
      </c>
      <c r="CX88" s="16">
        <f t="shared" si="100"/>
        <v>0</v>
      </c>
      <c r="CY88" s="16">
        <f t="shared" si="100"/>
        <v>0</v>
      </c>
      <c r="CZ88" s="16">
        <f t="shared" si="100"/>
        <v>0</v>
      </c>
      <c r="DA88" s="16">
        <f t="shared" si="100"/>
        <v>0</v>
      </c>
      <c r="DB88" s="16">
        <f t="shared" si="100"/>
        <v>0</v>
      </c>
      <c r="DC88" s="16"/>
      <c r="DD88" s="16">
        <f t="shared" si="100"/>
        <v>0</v>
      </c>
      <c r="DE88" s="16">
        <f t="shared" si="100"/>
        <v>0</v>
      </c>
      <c r="DF88" s="16">
        <f t="shared" si="100"/>
        <v>0</v>
      </c>
      <c r="DG88" s="16"/>
      <c r="DH88" s="16"/>
      <c r="DI88" s="16"/>
      <c r="DJ88" s="16">
        <f>SUMPRODUCT(DD68:DD87,DJ68:DJ87)</f>
        <v>0</v>
      </c>
      <c r="DK88" s="17"/>
      <c r="DL88" s="17"/>
      <c r="DM88" s="17"/>
      <c r="DN88" s="17"/>
      <c r="DO88" s="17"/>
      <c r="DP88" s="17"/>
      <c r="DQ88" s="17"/>
      <c r="DU88" s="653">
        <f>SUM(DU68:DU87)</f>
        <v>0</v>
      </c>
      <c r="DV88" s="655">
        <f>SUMPRODUCT(DV68:DV87,DW68:DW87)</f>
        <v>0</v>
      </c>
      <c r="DW88" s="642">
        <f t="shared" ref="DW88:EF88" si="101">SUM(DW68:DW87)</f>
        <v>0</v>
      </c>
      <c r="DX88" s="655">
        <f>SUMPRODUCT(DX68:DX87,DY68:DY87)</f>
        <v>0</v>
      </c>
      <c r="DY88" s="642">
        <f>SUM(DY68:DY87)</f>
        <v>0</v>
      </c>
      <c r="DZ88" s="658">
        <f>SUM(DZ68:DZ87)</f>
        <v>0</v>
      </c>
      <c r="EA88" s="658">
        <f t="shared" si="101"/>
        <v>0</v>
      </c>
      <c r="EB88" s="658">
        <f t="shared" si="101"/>
        <v>0</v>
      </c>
      <c r="EC88" s="658">
        <f t="shared" si="101"/>
        <v>0</v>
      </c>
      <c r="ED88" s="642">
        <f t="shared" si="101"/>
        <v>0</v>
      </c>
      <c r="EE88" s="642">
        <f t="shared" si="101"/>
        <v>0</v>
      </c>
      <c r="EF88" s="642">
        <f t="shared" si="101"/>
        <v>0</v>
      </c>
      <c r="EG88" s="324" t="e">
        <f>+EE88/ED88</f>
        <v>#DIV/0!</v>
      </c>
      <c r="EH88" s="642">
        <f>SUM(EH68:EH87)</f>
        <v>0</v>
      </c>
      <c r="EL88" s="642">
        <f>SUM(EL68:EL87)</f>
        <v>0</v>
      </c>
      <c r="EO88" s="642">
        <f>SUM(EO68:EO87)</f>
        <v>0</v>
      </c>
      <c r="EP88" s="642">
        <f>SUM(EP68:EP87)</f>
        <v>0</v>
      </c>
      <c r="ES88" s="324">
        <f>SUM(ES68:ES87)</f>
        <v>0</v>
      </c>
      <c r="ET88" s="324">
        <f>SUM(ET68:ET87)</f>
        <v>0</v>
      </c>
      <c r="EU88" s="324">
        <f>SUM(EU68:EU87)</f>
        <v>0</v>
      </c>
      <c r="EW88" s="324">
        <f>SUM(EW68:EW81)</f>
        <v>0</v>
      </c>
    </row>
    <row r="89" spans="1:153" ht="27.75" customHeight="1" thickBot="1" x14ac:dyDescent="0.25">
      <c r="A89" s="579"/>
      <c r="B89" s="27"/>
      <c r="C89" s="27"/>
      <c r="D89" s="27"/>
      <c r="E89" s="27"/>
      <c r="F89" s="27"/>
      <c r="G89" s="27"/>
      <c r="H89" s="27"/>
      <c r="I89" s="27"/>
      <c r="J89" s="324"/>
      <c r="K89" s="324"/>
      <c r="L89" s="324"/>
      <c r="M89" s="27"/>
      <c r="N89" s="17"/>
      <c r="P89" s="324"/>
      <c r="Q89" s="2441" t="s">
        <v>1058</v>
      </c>
      <c r="R89" s="2441"/>
      <c r="S89" s="423" t="s">
        <v>768</v>
      </c>
      <c r="T89" s="422"/>
      <c r="U89" s="477"/>
      <c r="V89" s="477"/>
      <c r="W89" s="477"/>
      <c r="X89" s="422"/>
      <c r="Y89" s="422"/>
      <c r="Z89" s="422"/>
      <c r="AA89" s="422"/>
      <c r="AB89" s="411" t="s">
        <v>1150</v>
      </c>
      <c r="AJ89" s="543"/>
      <c r="AK89" s="543"/>
      <c r="AL89" s="2768" t="s">
        <v>893</v>
      </c>
      <c r="AM89" s="2768"/>
      <c r="AN89" s="2768"/>
      <c r="AO89" s="2768"/>
      <c r="AP89" s="2768"/>
      <c r="AQ89" s="2768"/>
      <c r="AR89" s="543"/>
      <c r="AS89" s="2768" t="s">
        <v>910</v>
      </c>
      <c r="AT89" s="2768"/>
      <c r="AU89" s="2768"/>
      <c r="AV89" s="2768"/>
      <c r="AW89" s="2768"/>
      <c r="AX89" s="2768"/>
      <c r="AY89" s="422"/>
      <c r="AZ89" s="422"/>
      <c r="BA89" s="422"/>
      <c r="BB89" s="422"/>
      <c r="BC89" s="422"/>
      <c r="BD89" s="422"/>
      <c r="BE89" s="422"/>
      <c r="BF89" s="422"/>
      <c r="BG89" s="422"/>
      <c r="BH89" s="422"/>
      <c r="BI89" s="422"/>
      <c r="BJ89" s="422"/>
      <c r="BK89" s="422"/>
      <c r="BL89" s="1073"/>
      <c r="BM89" s="422"/>
      <c r="BN89" s="450"/>
      <c r="BO89" s="450"/>
      <c r="BP89" s="450"/>
      <c r="BQ89" s="480"/>
      <c r="BR89" s="422"/>
      <c r="BS89" s="422"/>
      <c r="BT89" s="422"/>
      <c r="BU89" s="456"/>
      <c r="BV89" s="456"/>
      <c r="BW89" s="456"/>
      <c r="BX89" s="456"/>
      <c r="BY89" s="456"/>
      <c r="BZ89" s="422"/>
      <c r="CA89" s="422"/>
      <c r="CB89" s="465"/>
      <c r="CC89" s="422"/>
      <c r="CD89" s="422"/>
      <c r="CE89" s="422"/>
      <c r="CF89" s="422"/>
      <c r="CG89" s="422"/>
      <c r="CH89" s="422"/>
      <c r="CI89" s="466"/>
      <c r="CJ89" s="467"/>
      <c r="CK89" s="475" t="str">
        <f>IF(CK88=0,"1",SUM(CK68:CK87))</f>
        <v>1</v>
      </c>
      <c r="CL89" s="473" t="str">
        <f>IF(CL88=0,"1",SUM(CL68:CL87))</f>
        <v>1</v>
      </c>
      <c r="CM89" s="422"/>
      <c r="CN89" s="422"/>
      <c r="CO89" s="422"/>
      <c r="CP89" s="422"/>
      <c r="CQ89" s="17"/>
      <c r="CR89" s="17"/>
      <c r="CS89" s="1065" t="s">
        <v>1057</v>
      </c>
      <c r="CU89" s="16"/>
      <c r="CV89" s="16"/>
      <c r="CW89" s="16"/>
      <c r="CX89" s="16"/>
      <c r="CY89" s="16"/>
      <c r="CZ89" s="16"/>
      <c r="DA89" s="16"/>
      <c r="DB89" s="16"/>
      <c r="DC89" s="16"/>
      <c r="DD89" s="16"/>
      <c r="DE89" s="16"/>
      <c r="DF89" s="16"/>
      <c r="DG89" s="16"/>
      <c r="DH89" s="16"/>
      <c r="DI89" s="16" t="s">
        <v>814</v>
      </c>
      <c r="DJ89" s="16">
        <f>IF(DD88=0,0,DJ88/DD88)</f>
        <v>0</v>
      </c>
      <c r="DK89" s="17"/>
      <c r="DL89" s="17"/>
      <c r="DM89" s="17"/>
      <c r="DN89" s="17"/>
      <c r="DO89" s="17"/>
      <c r="DP89" s="17"/>
      <c r="DQ89" s="17"/>
      <c r="DV89" s="655" t="e">
        <f>+DV88/DW88</f>
        <v>#DIV/0!</v>
      </c>
      <c r="DW89" s="523" t="s">
        <v>314</v>
      </c>
      <c r="DX89" s="655" t="e">
        <f>+DX88/DY88</f>
        <v>#DIV/0!</v>
      </c>
      <c r="DY89" s="523" t="s">
        <v>314</v>
      </c>
      <c r="DZ89" s="658">
        <f>+DZ88+EB88</f>
        <v>0</v>
      </c>
      <c r="EA89" s="658">
        <f>IF(DZ89=0,0,(EA88+EC88)/DZ89*100)</f>
        <v>0</v>
      </c>
      <c r="EB89" s="666" t="s">
        <v>706</v>
      </c>
      <c r="EC89" s="667"/>
    </row>
    <row r="90" spans="1:153" ht="18" customHeight="1" x14ac:dyDescent="0.35">
      <c r="A90" s="907" t="s">
        <v>839</v>
      </c>
      <c r="B90" s="908"/>
      <c r="C90" s="908"/>
      <c r="D90" s="908"/>
      <c r="E90" s="909"/>
      <c r="F90" s="2880" t="s">
        <v>470</v>
      </c>
      <c r="G90" s="2881"/>
      <c r="H90" s="2867" t="s">
        <v>211</v>
      </c>
      <c r="I90" s="2868"/>
      <c r="J90" s="910" t="s">
        <v>4</v>
      </c>
      <c r="K90" s="2769" t="s">
        <v>856</v>
      </c>
      <c r="L90" s="2769"/>
      <c r="M90" s="911" t="s">
        <v>240</v>
      </c>
      <c r="N90" s="17"/>
      <c r="P90" s="324"/>
      <c r="Q90" s="523" t="s">
        <v>266</v>
      </c>
      <c r="R90" s="1067" t="s">
        <v>265</v>
      </c>
      <c r="S90" s="814">
        <f>+S88/12</f>
        <v>0</v>
      </c>
      <c r="T90" s="815">
        <f>+T88/12</f>
        <v>0</v>
      </c>
      <c r="U90" s="484"/>
      <c r="V90" s="475"/>
      <c r="W90" s="484"/>
      <c r="X90" s="422"/>
      <c r="Y90" s="422"/>
      <c r="Z90" s="422"/>
      <c r="AA90" s="422"/>
      <c r="AB90" s="411">
        <f>SUMPRODUCT(AB68:AB87,$DL$68:$DL$87)</f>
        <v>0</v>
      </c>
      <c r="AD90" s="411">
        <f>SUMPRODUCT(AD68:AD87,$DL$68:$DL$87)</f>
        <v>0</v>
      </c>
      <c r="AF90" s="411">
        <f>SUMPRODUCT(AF68:AF87,$DL$68:$DL$87)</f>
        <v>0</v>
      </c>
      <c r="AH90" s="411">
        <f>SUMPRODUCT(AH68:AH87,$DL$68:$DL$87)</f>
        <v>0</v>
      </c>
      <c r="AJ90" s="543"/>
      <c r="AK90" s="543"/>
      <c r="AL90" s="475">
        <f>SUMPRODUCT(AL68:AL87,DL68:DL87)</f>
        <v>0</v>
      </c>
      <c r="AM90" s="475">
        <f>SUMPRODUCT(AM68:AM87,DL68:DL87)</f>
        <v>0</v>
      </c>
      <c r="AN90" s="1066">
        <f>SUMPRODUCT(AN68:AN87,DL68:DL87)</f>
        <v>0</v>
      </c>
      <c r="AO90" s="475">
        <f>SUMPRODUCT(AO68:AO87,DL68:DL87)</f>
        <v>0</v>
      </c>
      <c r="AP90" s="475">
        <f>SUMPRODUCT(AP68:AP87,DL68:DL87)</f>
        <v>0</v>
      </c>
      <c r="AQ90" s="1066">
        <f>SUMPRODUCT(AQ68:AQ87,DL68:DL87)</f>
        <v>0</v>
      </c>
      <c r="AR90" s="543"/>
      <c r="AS90" s="475">
        <f t="shared" ref="AS90:AX90" si="102">SUMPRODUCT(AS68:AS87,$DL$68:$DL$87)</f>
        <v>0</v>
      </c>
      <c r="AT90" s="411">
        <f>SUMPRODUCT(AT68:AT87,$DL$68:$DL$87)</f>
        <v>0</v>
      </c>
      <c r="AU90" s="1066">
        <f t="shared" si="102"/>
        <v>0</v>
      </c>
      <c r="AV90" s="1066">
        <f t="shared" si="102"/>
        <v>0</v>
      </c>
      <c r="AW90" s="1066">
        <f t="shared" si="102"/>
        <v>0</v>
      </c>
      <c r="AX90" s="1066">
        <f t="shared" si="102"/>
        <v>0</v>
      </c>
      <c r="AY90" s="422"/>
      <c r="AZ90" s="422"/>
      <c r="BA90" s="422"/>
      <c r="BB90" s="422"/>
      <c r="BC90" s="422"/>
      <c r="BD90" s="422"/>
      <c r="BE90" s="422"/>
      <c r="BF90" s="422"/>
      <c r="BG90" s="422"/>
      <c r="BH90" s="422"/>
      <c r="BI90" s="422"/>
      <c r="BJ90" s="422"/>
      <c r="BK90" s="422"/>
      <c r="BL90" s="1073"/>
      <c r="BM90" s="422"/>
      <c r="BN90" s="450"/>
      <c r="BO90" s="450"/>
      <c r="BP90" s="450"/>
      <c r="BQ90" s="480"/>
      <c r="BR90" s="422"/>
      <c r="BS90" s="422"/>
      <c r="BT90" s="422"/>
      <c r="BU90" s="456"/>
      <c r="BV90" s="456"/>
      <c r="BW90" s="456"/>
      <c r="BX90" s="456"/>
      <c r="BY90" s="456"/>
      <c r="BZ90" s="422"/>
      <c r="CA90" s="422"/>
      <c r="CB90" s="465"/>
      <c r="CC90" s="422"/>
      <c r="CD90" s="422"/>
      <c r="CE90" s="422"/>
      <c r="CF90" s="422"/>
      <c r="CG90" s="422"/>
      <c r="CH90" s="422"/>
      <c r="CI90" s="672"/>
      <c r="CJ90" s="673"/>
      <c r="CK90" s="475" t="s">
        <v>1057</v>
      </c>
      <c r="CL90" s="475"/>
      <c r="CM90" s="422"/>
      <c r="CN90" s="422"/>
      <c r="CO90" s="422"/>
      <c r="CP90" s="422"/>
      <c r="CQ90" s="17"/>
      <c r="CR90" s="17"/>
      <c r="CS90" s="16">
        <f>SUMIF(DL68:DL87,0,CS68:CS87)</f>
        <v>0</v>
      </c>
      <c r="CT90" s="16">
        <f>SUMIF(DL68:DL87,0,CT68:CT87)</f>
        <v>0</v>
      </c>
      <c r="CU90" s="16"/>
      <c r="CV90" s="16"/>
      <c r="CW90" s="16"/>
      <c r="CX90" s="16"/>
      <c r="CY90" s="16"/>
      <c r="CZ90" s="16"/>
      <c r="DA90" s="16"/>
      <c r="DB90" s="16"/>
      <c r="DC90" s="16"/>
      <c r="DD90" s="16"/>
      <c r="DE90" s="16"/>
      <c r="DF90" s="16"/>
      <c r="DG90" s="16"/>
      <c r="DH90" s="16"/>
      <c r="DI90" s="16"/>
      <c r="DJ90" s="16"/>
      <c r="DK90" s="17"/>
      <c r="DL90" s="17"/>
      <c r="DM90" s="17"/>
      <c r="DN90" s="17"/>
      <c r="DO90" s="17"/>
      <c r="DP90" s="17"/>
      <c r="DQ90" s="17"/>
      <c r="DV90" s="655"/>
      <c r="DW90" s="523"/>
      <c r="DX90" s="523"/>
      <c r="DY90" s="523"/>
      <c r="DZ90" s="658"/>
      <c r="EA90" s="658"/>
      <c r="EB90" s="666"/>
      <c r="EC90" s="667"/>
    </row>
    <row r="91" spans="1:153" ht="18" customHeight="1" thickBot="1" x14ac:dyDescent="0.25">
      <c r="A91" s="912" t="s">
        <v>855</v>
      </c>
      <c r="B91" s="913"/>
      <c r="C91" s="913"/>
      <c r="D91" s="913"/>
      <c r="E91" s="914"/>
      <c r="F91" s="2794" t="s">
        <v>739</v>
      </c>
      <c r="G91" s="2795"/>
      <c r="H91" s="2795"/>
      <c r="I91" s="2796"/>
      <c r="J91" s="2794" t="s">
        <v>739</v>
      </c>
      <c r="K91" s="2795"/>
      <c r="L91" s="2795"/>
      <c r="M91" s="2796"/>
      <c r="N91" s="17"/>
      <c r="P91" s="324"/>
      <c r="Q91" s="523">
        <f>SUMIF(DL68:DL87,0,K68:L87)</f>
        <v>0</v>
      </c>
      <c r="R91" s="365">
        <f>SUMIF(DL68:DL87,0,Q68:Q87)</f>
        <v>0</v>
      </c>
      <c r="S91" s="365"/>
      <c r="T91" s="422"/>
      <c r="U91" s="422"/>
      <c r="V91" s="422"/>
      <c r="W91" s="422"/>
      <c r="X91" s="422"/>
      <c r="Y91" s="422"/>
      <c r="Z91" s="422"/>
      <c r="AA91" s="422"/>
      <c r="AB91" s="475"/>
      <c r="AC91" s="475" t="s">
        <v>1063</v>
      </c>
      <c r="AD91" s="475"/>
      <c r="AE91" s="475"/>
      <c r="AF91" s="475"/>
      <c r="AG91" s="475"/>
      <c r="AH91" s="475"/>
      <c r="AI91" s="475"/>
      <c r="AJ91" s="543"/>
      <c r="AK91" s="543"/>
      <c r="AL91" s="2768" t="s">
        <v>894</v>
      </c>
      <c r="AM91" s="2768"/>
      <c r="AN91" s="2768"/>
      <c r="AO91" s="2768"/>
      <c r="AP91" s="2768"/>
      <c r="AQ91" s="2768"/>
      <c r="AR91" s="543" t="s">
        <v>1059</v>
      </c>
      <c r="AS91" s="475"/>
      <c r="AT91" s="475"/>
      <c r="AU91" s="475" t="s">
        <v>1060</v>
      </c>
      <c r="AV91" s="475"/>
      <c r="AW91" s="475"/>
      <c r="AX91" s="475"/>
      <c r="AY91" s="422"/>
      <c r="AZ91" s="422"/>
      <c r="BA91" s="422"/>
      <c r="BB91" s="422"/>
      <c r="BC91" s="422"/>
      <c r="BD91" s="422"/>
      <c r="BE91" s="422"/>
      <c r="BF91" s="422"/>
      <c r="BG91" s="422"/>
      <c r="BH91" s="422"/>
      <c r="BI91" s="422"/>
      <c r="BJ91" s="422"/>
      <c r="BK91" s="422"/>
      <c r="BL91" s="1073"/>
      <c r="BM91" s="422"/>
      <c r="BN91" s="450"/>
      <c r="BO91" s="450"/>
      <c r="BP91" s="450"/>
      <c r="BQ91" s="480"/>
      <c r="BR91" s="422"/>
      <c r="BS91" s="422"/>
      <c r="BT91" s="422"/>
      <c r="BU91" s="456"/>
      <c r="BV91" s="456"/>
      <c r="BW91" s="456"/>
      <c r="BX91" s="456"/>
      <c r="BY91" s="456"/>
      <c r="BZ91" s="422"/>
      <c r="CA91" s="422"/>
      <c r="CB91" s="465"/>
      <c r="CC91" s="422"/>
      <c r="CD91" s="422"/>
      <c r="CE91" s="422"/>
      <c r="CF91" s="422"/>
      <c r="CG91" s="422"/>
      <c r="CH91" s="422"/>
      <c r="CI91" s="672"/>
      <c r="CJ91" s="673"/>
      <c r="CK91" s="475">
        <f>SUMIF($DL$68:$DL$87,0,CK68:CK87)</f>
        <v>0</v>
      </c>
      <c r="CL91" s="475"/>
      <c r="CM91" s="422"/>
      <c r="CN91" s="422"/>
      <c r="CO91" s="422"/>
      <c r="CP91" s="422"/>
      <c r="CQ91" s="17"/>
      <c r="CR91" s="17"/>
      <c r="CS91" s="16"/>
      <c r="CT91" s="16"/>
      <c r="CU91" s="16"/>
      <c r="CV91" s="16"/>
      <c r="CW91" s="16"/>
      <c r="CX91" s="16"/>
      <c r="CY91" s="16"/>
      <c r="CZ91" s="16"/>
      <c r="DA91" s="16"/>
      <c r="DB91" s="16"/>
      <c r="DC91" s="16"/>
      <c r="DD91" s="16"/>
      <c r="DE91" s="16"/>
      <c r="DF91" s="16"/>
      <c r="DG91" s="16"/>
      <c r="DH91" s="16"/>
      <c r="DI91" s="16"/>
      <c r="DJ91" s="16"/>
      <c r="DK91" s="17"/>
      <c r="DL91" s="17"/>
      <c r="DM91" s="17"/>
      <c r="DN91" s="17"/>
      <c r="DO91" s="17"/>
      <c r="DP91" s="17"/>
      <c r="DQ91" s="17"/>
      <c r="DV91" s="655">
        <f>+DV88+DX88</f>
        <v>0</v>
      </c>
      <c r="DW91" s="676">
        <f>+DW88+DY88</f>
        <v>0</v>
      </c>
      <c r="DX91" s="523"/>
      <c r="DY91" s="523"/>
      <c r="DZ91" s="658"/>
      <c r="EA91" s="658"/>
      <c r="EB91" s="666"/>
      <c r="EC91" s="667"/>
    </row>
    <row r="92" spans="1:153" ht="18" customHeight="1" x14ac:dyDescent="0.2">
      <c r="A92" s="846" t="s">
        <v>735</v>
      </c>
      <c r="B92" s="847"/>
      <c r="C92" s="847"/>
      <c r="D92" s="847"/>
      <c r="E92" s="848"/>
      <c r="F92" s="2661">
        <f>+J88</f>
        <v>0</v>
      </c>
      <c r="G92" s="2662"/>
      <c r="H92" s="2681">
        <f>+K88</f>
        <v>0</v>
      </c>
      <c r="I92" s="2682"/>
      <c r="J92" s="855">
        <f>+J93+J95+J99</f>
        <v>0</v>
      </c>
      <c r="K92" s="2793">
        <f>+K93+K95+K99</f>
        <v>0</v>
      </c>
      <c r="L92" s="2793"/>
      <c r="M92" s="856">
        <f>+M93+M95+M99</f>
        <v>0</v>
      </c>
      <c r="N92" s="17"/>
      <c r="P92" s="324" t="s">
        <v>827</v>
      </c>
      <c r="Q92" s="523"/>
      <c r="R92" s="365"/>
      <c r="S92" s="365"/>
      <c r="T92" s="422"/>
      <c r="U92" s="422"/>
      <c r="V92" s="422"/>
      <c r="W92" s="422"/>
      <c r="X92" s="422"/>
      <c r="Y92" s="422"/>
      <c r="Z92" s="422"/>
      <c r="AA92" s="422"/>
      <c r="AB92" s="475">
        <f t="shared" ref="AB92:AI92" si="103">SUMIF($DL$68:$DL$87,0,AB68:AB87)</f>
        <v>0</v>
      </c>
      <c r="AC92" s="1066">
        <f t="shared" si="103"/>
        <v>0</v>
      </c>
      <c r="AD92" s="1066">
        <f t="shared" si="103"/>
        <v>0</v>
      </c>
      <c r="AE92" s="1066">
        <f t="shared" si="103"/>
        <v>0</v>
      </c>
      <c r="AF92" s="1066">
        <f t="shared" si="103"/>
        <v>0</v>
      </c>
      <c r="AG92" s="1066">
        <f t="shared" si="103"/>
        <v>0</v>
      </c>
      <c r="AH92" s="1066">
        <f t="shared" si="103"/>
        <v>0</v>
      </c>
      <c r="AI92" s="1066">
        <f t="shared" si="103"/>
        <v>0</v>
      </c>
      <c r="AJ92" s="1099">
        <f>SUMPRODUCT(AJ68:AJ87,CK68:CK87)/CK89</f>
        <v>0</v>
      </c>
      <c r="AK92" s="1099">
        <f>SUMPRODUCT(AK68:AK87,CL68:CL87)/CL89</f>
        <v>0</v>
      </c>
      <c r="AL92" s="475">
        <f>+AL88-AL90</f>
        <v>0</v>
      </c>
      <c r="AM92" s="475">
        <f>+AM88-AM90</f>
        <v>0</v>
      </c>
      <c r="AN92" s="1066">
        <f t="shared" ref="AN92:AQ92" si="104">+AN88-AN90</f>
        <v>0</v>
      </c>
      <c r="AO92" s="1066">
        <f t="shared" si="104"/>
        <v>0</v>
      </c>
      <c r="AP92" s="1066">
        <f t="shared" si="104"/>
        <v>0</v>
      </c>
      <c r="AQ92" s="1066">
        <f t="shared" si="104"/>
        <v>0</v>
      </c>
      <c r="AR92" s="543" t="e" cm="1">
        <f t="array" ref="AR92">SUMPRODUCT(AR68:AR87,K68:K87,(DL68:DL87=0)*1)/Q91</f>
        <v>#DIV/0!</v>
      </c>
      <c r="AS92" s="475">
        <f>AS88-AS90</f>
        <v>0</v>
      </c>
      <c r="AT92" s="1066">
        <f t="shared" ref="AT92:AX92" si="105">AT88-AT90</f>
        <v>0</v>
      </c>
      <c r="AU92" s="1066">
        <f t="shared" si="105"/>
        <v>0</v>
      </c>
      <c r="AV92" s="1066">
        <f t="shared" si="105"/>
        <v>0</v>
      </c>
      <c r="AW92" s="1066">
        <f t="shared" si="105"/>
        <v>0</v>
      </c>
      <c r="AX92" s="1066">
        <f t="shared" si="105"/>
        <v>0</v>
      </c>
      <c r="AY92" s="422"/>
      <c r="AZ92" s="422"/>
      <c r="BA92" s="422"/>
      <c r="BB92" s="422"/>
      <c r="BC92" s="422"/>
      <c r="BD92" s="422"/>
      <c r="BE92" s="422"/>
      <c r="BF92" s="422"/>
      <c r="BG92" s="422"/>
      <c r="BH92" s="422"/>
      <c r="BI92" s="422"/>
      <c r="BJ92" s="422"/>
      <c r="BK92" s="422"/>
      <c r="BL92" s="1073"/>
      <c r="BM92" s="422"/>
      <c r="BN92" s="450"/>
      <c r="BO92" s="450"/>
      <c r="BP92" s="450"/>
      <c r="BQ92" s="480"/>
      <c r="BR92" s="422"/>
      <c r="BS92" s="422"/>
      <c r="BT92" s="422"/>
      <c r="BU92" s="456"/>
      <c r="BV92" s="456"/>
      <c r="BW92" s="456"/>
      <c r="BX92" s="456"/>
      <c r="BY92" s="456"/>
      <c r="BZ92" s="422"/>
      <c r="CA92" s="422"/>
      <c r="CB92" s="465"/>
      <c r="CC92" s="422"/>
      <c r="CD92" s="422"/>
      <c r="CE92" s="422"/>
      <c r="CF92" s="422"/>
      <c r="CG92" s="422"/>
      <c r="CH92" s="422"/>
      <c r="CI92" s="672"/>
      <c r="CJ92" s="673"/>
      <c r="CK92" s="475"/>
      <c r="CL92" s="475"/>
      <c r="CM92" s="422"/>
      <c r="CN92" s="422"/>
      <c r="CO92" s="422"/>
      <c r="CP92" s="422"/>
      <c r="CQ92" s="17"/>
      <c r="CR92" s="17"/>
      <c r="CS92" s="16"/>
      <c r="CT92" s="16"/>
      <c r="CU92" s="16"/>
      <c r="CV92" s="16"/>
      <c r="CW92" s="16"/>
      <c r="CX92" s="16"/>
      <c r="CY92" s="16"/>
      <c r="CZ92" s="16"/>
      <c r="DA92" s="16"/>
      <c r="DB92" s="16"/>
      <c r="DC92" s="16"/>
      <c r="DD92" s="16"/>
      <c r="DE92" s="16"/>
      <c r="DF92" s="16"/>
      <c r="DG92" s="16"/>
      <c r="DH92" s="16"/>
      <c r="DI92" s="16"/>
      <c r="DJ92" s="16"/>
      <c r="DK92" s="17"/>
      <c r="DL92" s="17"/>
      <c r="DM92" s="17"/>
      <c r="DN92" s="17"/>
      <c r="DO92" s="17"/>
      <c r="DP92" s="17"/>
      <c r="DQ92" s="17"/>
      <c r="DV92" s="655">
        <f>IF(DW91=0,0,DV91/DW91)</f>
        <v>0</v>
      </c>
      <c r="DW92" s="523" t="s">
        <v>314</v>
      </c>
      <c r="DX92" s="523"/>
      <c r="DY92" s="523"/>
      <c r="DZ92" s="658"/>
      <c r="EA92" s="658"/>
      <c r="EB92" s="666"/>
      <c r="EC92" s="667"/>
    </row>
    <row r="93" spans="1:153" ht="18" customHeight="1" x14ac:dyDescent="0.2">
      <c r="A93" s="849" t="s">
        <v>736</v>
      </c>
      <c r="B93" s="850"/>
      <c r="C93" s="850"/>
      <c r="D93" s="850"/>
      <c r="E93" s="851"/>
      <c r="F93" s="2679">
        <f>SUMPRODUCT(J68:J87,DL68:DL87)</f>
        <v>0</v>
      </c>
      <c r="G93" s="2680"/>
      <c r="H93" s="2655">
        <f>SUMPRODUCT(K68:K87,DL68:DL87)</f>
        <v>0</v>
      </c>
      <c r="I93" s="2656"/>
      <c r="J93" s="857">
        <f>+DD88/1000</f>
        <v>0</v>
      </c>
      <c r="K93" s="2472">
        <f>+DE88/1000</f>
        <v>0</v>
      </c>
      <c r="L93" s="2472">
        <f>+DF88/1000</f>
        <v>0</v>
      </c>
      <c r="M93" s="858">
        <f>+DF88/1000</f>
        <v>0</v>
      </c>
      <c r="N93" s="17"/>
      <c r="P93" s="324" t="s">
        <v>827</v>
      </c>
      <c r="Q93" s="324"/>
      <c r="R93" s="365"/>
      <c r="S93" s="365"/>
      <c r="T93" s="422"/>
      <c r="U93" s="422"/>
      <c r="V93" s="422"/>
      <c r="W93" s="422"/>
      <c r="X93" s="422"/>
      <c r="Y93" s="422"/>
      <c r="Z93" s="422"/>
      <c r="AA93" s="422"/>
      <c r="AB93" s="475"/>
      <c r="AC93" s="475" t="s">
        <v>1064</v>
      </c>
      <c r="AD93" s="475"/>
      <c r="AE93" s="475"/>
      <c r="AF93" s="475"/>
      <c r="AG93" s="475"/>
      <c r="AH93" s="475"/>
      <c r="AI93" s="475"/>
      <c r="AJ93" s="543"/>
      <c r="AK93" s="543"/>
      <c r="AL93" s="475"/>
      <c r="AM93" s="475"/>
      <c r="AN93" s="475" t="s">
        <v>1061</v>
      </c>
      <c r="AO93" s="475"/>
      <c r="AP93" s="475"/>
      <c r="AQ93" s="475"/>
      <c r="AR93" s="543"/>
      <c r="AS93" s="475"/>
      <c r="AT93" s="475"/>
      <c r="AU93" s="475" t="s">
        <v>1062</v>
      </c>
      <c r="AV93" s="475"/>
      <c r="AW93" s="475"/>
      <c r="AX93" s="475"/>
      <c r="AY93" s="422"/>
      <c r="AZ93" s="422"/>
      <c r="BA93" s="422"/>
      <c r="BB93" s="422"/>
      <c r="BC93" s="422"/>
      <c r="BD93" s="422"/>
      <c r="BE93" s="422"/>
      <c r="BF93" s="422"/>
      <c r="BG93" s="422"/>
      <c r="BH93" s="422"/>
      <c r="BI93" s="422"/>
      <c r="BJ93" s="422"/>
      <c r="BK93" s="422"/>
      <c r="BL93" s="1073"/>
      <c r="BM93" s="422"/>
      <c r="BN93" s="450"/>
      <c r="BO93" s="450"/>
      <c r="BP93" s="450"/>
      <c r="BQ93" s="480"/>
      <c r="BR93" s="422"/>
      <c r="BS93" s="422"/>
      <c r="BT93" s="422"/>
      <c r="BU93" s="456"/>
      <c r="BV93" s="456"/>
      <c r="BW93" s="456"/>
      <c r="BX93" s="456"/>
      <c r="BY93" s="456"/>
      <c r="BZ93" s="422"/>
      <c r="CA93" s="422"/>
      <c r="CB93" s="465"/>
      <c r="CC93" s="422"/>
      <c r="CD93" s="422"/>
      <c r="CE93" s="422"/>
      <c r="CF93" s="422"/>
      <c r="CG93" s="422"/>
      <c r="CH93" s="422"/>
      <c r="CI93" s="672"/>
      <c r="CJ93" s="673"/>
      <c r="CK93" s="475"/>
      <c r="CL93" s="475"/>
      <c r="CM93" s="422"/>
      <c r="CN93" s="422"/>
      <c r="CO93" s="422"/>
      <c r="CP93" s="422"/>
      <c r="CQ93" s="17"/>
      <c r="CR93" s="17"/>
      <c r="CS93" s="16"/>
      <c r="CT93" s="16"/>
      <c r="CU93" s="16"/>
      <c r="CV93" s="16"/>
      <c r="CW93" s="16"/>
      <c r="CX93" s="16"/>
      <c r="CY93" s="16"/>
      <c r="CZ93" s="16"/>
      <c r="DA93" s="16"/>
      <c r="DB93" s="16"/>
      <c r="DC93" s="16"/>
      <c r="DD93" s="16"/>
      <c r="DE93" s="16"/>
      <c r="DF93" s="16"/>
      <c r="DG93" s="16"/>
      <c r="DH93" s="16"/>
      <c r="DI93" s="16"/>
      <c r="DJ93" s="16"/>
      <c r="DK93" s="17"/>
      <c r="DL93" s="17"/>
      <c r="DM93" s="17"/>
      <c r="DN93" s="17"/>
      <c r="DO93" s="17"/>
      <c r="DP93" s="17"/>
      <c r="DQ93" s="17"/>
      <c r="DV93" s="655" t="s">
        <v>320</v>
      </c>
      <c r="DW93" s="523" t="s">
        <v>215</v>
      </c>
      <c r="DX93" s="523" t="s">
        <v>322</v>
      </c>
      <c r="DY93" s="523"/>
      <c r="DZ93" s="658"/>
      <c r="EA93" s="658"/>
      <c r="EB93" s="666"/>
      <c r="EC93" s="667"/>
    </row>
    <row r="94" spans="1:153" ht="18" hidden="1" customHeight="1" x14ac:dyDescent="0.2">
      <c r="A94" s="849"/>
      <c r="B94" s="850"/>
      <c r="C94" s="850"/>
      <c r="D94" s="850"/>
      <c r="E94" s="851"/>
      <c r="F94" s="986"/>
      <c r="G94" s="987"/>
      <c r="H94" s="984"/>
      <c r="I94" s="985"/>
      <c r="J94" s="857">
        <f>+(AS90+AV90)/2/1000</f>
        <v>0</v>
      </c>
      <c r="K94" s="2472">
        <f>+(AT90+AW90)/2/1000</f>
        <v>0</v>
      </c>
      <c r="L94" s="2472"/>
      <c r="M94" s="858"/>
      <c r="N94" s="17"/>
      <c r="P94" s="324" t="s">
        <v>259</v>
      </c>
      <c r="Q94" s="988" t="s">
        <v>909</v>
      </c>
      <c r="R94" s="365"/>
      <c r="S94" s="365"/>
      <c r="T94" s="422"/>
      <c r="U94" s="422"/>
      <c r="V94" s="422"/>
      <c r="W94" s="422"/>
      <c r="X94" s="422"/>
      <c r="Y94" s="422"/>
      <c r="Z94" s="422"/>
      <c r="AA94" s="422"/>
      <c r="AB94" s="475" t="e">
        <f>AB92/$F$96</f>
        <v>#DIV/0!</v>
      </c>
      <c r="AC94" s="1066" t="e">
        <f t="shared" ref="AC94:AI94" si="106">AC92/$F$96</f>
        <v>#DIV/0!</v>
      </c>
      <c r="AD94" s="1066" t="e">
        <f t="shared" si="106"/>
        <v>#DIV/0!</v>
      </c>
      <c r="AE94" s="1066" t="e">
        <f t="shared" si="106"/>
        <v>#DIV/0!</v>
      </c>
      <c r="AF94" s="1066" t="e">
        <f t="shared" si="106"/>
        <v>#DIV/0!</v>
      </c>
      <c r="AG94" s="1066" t="e">
        <f t="shared" si="106"/>
        <v>#DIV/0!</v>
      </c>
      <c r="AH94" s="1066" t="e">
        <f t="shared" si="106"/>
        <v>#DIV/0!</v>
      </c>
      <c r="AI94" s="1066" t="e">
        <f t="shared" si="106"/>
        <v>#DIV/0!</v>
      </c>
      <c r="AJ94" s="543"/>
      <c r="AK94" s="543"/>
      <c r="AL94" s="475"/>
      <c r="AM94" s="475"/>
      <c r="AN94" s="475"/>
      <c r="AO94" s="475"/>
      <c r="AP94" s="475"/>
      <c r="AQ94" s="475"/>
      <c r="AR94" s="543"/>
      <c r="AS94" s="475"/>
      <c r="AT94" s="475"/>
      <c r="AU94" s="475"/>
      <c r="AV94" s="475"/>
      <c r="AW94" s="475"/>
      <c r="AX94" s="475"/>
      <c r="AY94" s="422"/>
      <c r="AZ94" s="422"/>
      <c r="BA94" s="422"/>
      <c r="BB94" s="422"/>
      <c r="BC94" s="422"/>
      <c r="BD94" s="422"/>
      <c r="BE94" s="422"/>
      <c r="BF94" s="422"/>
      <c r="BG94" s="422"/>
      <c r="BH94" s="422"/>
      <c r="BI94" s="422"/>
      <c r="BJ94" s="422"/>
      <c r="BK94" s="422"/>
      <c r="BL94" s="1073"/>
      <c r="BM94" s="422"/>
      <c r="BN94" s="450"/>
      <c r="BO94" s="450"/>
      <c r="BP94" s="450"/>
      <c r="BQ94" s="480"/>
      <c r="BR94" s="422"/>
      <c r="BS94" s="422"/>
      <c r="BT94" s="422"/>
      <c r="BU94" s="456"/>
      <c r="BV94" s="456"/>
      <c r="BW94" s="456"/>
      <c r="BX94" s="456"/>
      <c r="BY94" s="456"/>
      <c r="BZ94" s="422"/>
      <c r="CA94" s="422"/>
      <c r="CB94" s="465"/>
      <c r="CC94" s="422"/>
      <c r="CD94" s="422"/>
      <c r="CE94" s="422"/>
      <c r="CF94" s="422"/>
      <c r="CG94" s="422"/>
      <c r="CH94" s="422"/>
      <c r="CI94" s="672"/>
      <c r="CJ94" s="673"/>
      <c r="CK94" s="475"/>
      <c r="CL94" s="475"/>
      <c r="CM94" s="422"/>
      <c r="CN94" s="422"/>
      <c r="CO94" s="422"/>
      <c r="CP94" s="422"/>
      <c r="CQ94" s="17"/>
      <c r="CR94" s="17"/>
      <c r="CS94" s="16"/>
      <c r="CT94" s="16"/>
      <c r="CU94" s="16"/>
      <c r="CV94" s="16"/>
      <c r="CW94" s="16"/>
      <c r="CX94" s="16"/>
      <c r="CY94" s="16"/>
      <c r="CZ94" s="16"/>
      <c r="DA94" s="16"/>
      <c r="DB94" s="16"/>
      <c r="DC94" s="16"/>
      <c r="DD94" s="16"/>
      <c r="DE94" s="16"/>
      <c r="DF94" s="16"/>
      <c r="DG94" s="16"/>
      <c r="DH94" s="16"/>
      <c r="DI94" s="16"/>
      <c r="DJ94" s="16"/>
      <c r="DK94" s="17"/>
      <c r="DL94" s="17"/>
      <c r="DM94" s="17"/>
      <c r="DN94" s="17"/>
      <c r="DO94" s="17"/>
      <c r="DP94" s="17"/>
      <c r="DQ94" s="17"/>
      <c r="DV94" s="655"/>
      <c r="DW94" s="523"/>
      <c r="DX94" s="523"/>
      <c r="DY94" s="523"/>
      <c r="DZ94" s="658"/>
      <c r="EA94" s="658"/>
      <c r="EB94" s="666"/>
      <c r="EC94" s="667"/>
    </row>
    <row r="95" spans="1:153" ht="18" customHeight="1" x14ac:dyDescent="0.2">
      <c r="A95" s="849" t="s">
        <v>737</v>
      </c>
      <c r="B95" s="850"/>
      <c r="C95" s="850"/>
      <c r="D95" s="850"/>
      <c r="E95" s="851"/>
      <c r="F95" s="2679">
        <f>+F92-F93</f>
        <v>0</v>
      </c>
      <c r="G95" s="2680"/>
      <c r="H95" s="2655">
        <f>+H92-H93</f>
        <v>0</v>
      </c>
      <c r="I95" s="2656"/>
      <c r="J95" s="857">
        <f>+CX88/1000</f>
        <v>0</v>
      </c>
      <c r="K95" s="2472">
        <f>+CY88/1000</f>
        <v>0</v>
      </c>
      <c r="L95" s="2472"/>
      <c r="M95" s="858">
        <f>+CZ88/1000</f>
        <v>0</v>
      </c>
      <c r="N95" s="17"/>
      <c r="P95" s="324" t="s">
        <v>827</v>
      </c>
      <c r="Q95" s="324"/>
      <c r="R95" s="365"/>
      <c r="S95" s="365"/>
      <c r="T95" s="422"/>
      <c r="U95" s="422"/>
      <c r="V95" s="422"/>
      <c r="W95" s="422"/>
      <c r="X95" s="422"/>
      <c r="Y95" s="422"/>
      <c r="Z95" s="422"/>
      <c r="AA95" s="422"/>
      <c r="AB95" s="475"/>
      <c r="AC95" s="475"/>
      <c r="AD95" s="475"/>
      <c r="AE95" s="475"/>
      <c r="AF95" s="475"/>
      <c r="AG95" s="475"/>
      <c r="AH95" s="475"/>
      <c r="AI95" s="475"/>
      <c r="AJ95" s="543"/>
      <c r="AK95" s="543"/>
      <c r="AL95" s="1095" t="e">
        <f>AL92/$Q$91</f>
        <v>#DIV/0!</v>
      </c>
      <c r="AM95" s="1095"/>
      <c r="AN95" s="1095"/>
      <c r="AO95" s="1095" t="e">
        <f t="shared" ref="AO95" si="107">AO92/$Q$91</f>
        <v>#DIV/0!</v>
      </c>
      <c r="AP95" s="1095"/>
      <c r="AQ95" s="1095"/>
      <c r="AR95" s="543"/>
      <c r="AS95" s="475" t="e">
        <f>(AL92+AS92)/$Q$91</f>
        <v>#DIV/0!</v>
      </c>
      <c r="AT95" s="1066" t="e">
        <f t="shared" ref="AT95:AX95" si="108">(AM92+AT92)/$Q$91</f>
        <v>#DIV/0!</v>
      </c>
      <c r="AU95" s="1066" t="e">
        <f t="shared" si="108"/>
        <v>#DIV/0!</v>
      </c>
      <c r="AV95" s="1066" t="e">
        <f t="shared" si="108"/>
        <v>#DIV/0!</v>
      </c>
      <c r="AW95" s="1066" t="e">
        <f t="shared" si="108"/>
        <v>#DIV/0!</v>
      </c>
      <c r="AX95" s="1066" t="e">
        <f t="shared" si="108"/>
        <v>#DIV/0!</v>
      </c>
      <c r="AY95" s="422"/>
      <c r="AZ95" s="422"/>
      <c r="BA95" s="422"/>
      <c r="BB95" s="422"/>
      <c r="BC95" s="422"/>
      <c r="BD95" s="422"/>
      <c r="BE95" s="422"/>
      <c r="BF95" s="422"/>
      <c r="BG95" s="422"/>
      <c r="BH95" s="422"/>
      <c r="BI95" s="422"/>
      <c r="BJ95" s="422"/>
      <c r="BK95" s="422"/>
      <c r="BL95" s="1073"/>
      <c r="BM95" s="422"/>
      <c r="BN95" s="450"/>
      <c r="BO95" s="450"/>
      <c r="BP95" s="450"/>
      <c r="BQ95" s="480"/>
      <c r="BR95" s="422"/>
      <c r="BS95" s="422"/>
      <c r="BT95" s="422"/>
      <c r="BU95" s="456"/>
      <c r="BV95" s="456"/>
      <c r="BW95" s="456"/>
      <c r="BX95" s="456"/>
      <c r="BY95" s="456"/>
      <c r="BZ95" s="422"/>
      <c r="CA95" s="422"/>
      <c r="CB95" s="465"/>
      <c r="CC95" s="422"/>
      <c r="CD95" s="422"/>
      <c r="CE95" s="422"/>
      <c r="CF95" s="422"/>
      <c r="CG95" s="422"/>
      <c r="CH95" s="422"/>
      <c r="CI95" s="672"/>
      <c r="CJ95" s="673"/>
      <c r="CK95" s="475"/>
      <c r="CL95" s="475"/>
      <c r="CM95" s="422"/>
      <c r="CN95" s="422"/>
      <c r="CO95" s="422"/>
      <c r="CP95" s="422"/>
      <c r="CQ95" s="17"/>
      <c r="CR95" s="17"/>
      <c r="CS95" s="16"/>
      <c r="CT95" s="16"/>
      <c r="CU95" s="16"/>
      <c r="CV95" s="16"/>
      <c r="CW95" s="16"/>
      <c r="CX95" s="16"/>
      <c r="CY95" s="16"/>
      <c r="CZ95" s="16"/>
      <c r="DA95" s="16"/>
      <c r="DB95" s="16"/>
      <c r="DC95" s="16"/>
      <c r="DD95" s="16"/>
      <c r="DE95" s="16"/>
      <c r="DF95" s="16"/>
      <c r="DG95" s="16"/>
      <c r="DH95" s="16"/>
      <c r="DI95" s="16"/>
      <c r="DJ95" s="16"/>
      <c r="DK95" s="17"/>
      <c r="DL95" s="17"/>
      <c r="DM95" s="17"/>
      <c r="DN95" s="17"/>
      <c r="DO95" s="17"/>
      <c r="DP95" s="17"/>
      <c r="DQ95" s="17"/>
      <c r="DV95" s="655">
        <f>+DW91</f>
        <v>0</v>
      </c>
      <c r="DW95" s="523">
        <f>+DV95*DV92/100</f>
        <v>0</v>
      </c>
      <c r="DX95" s="677">
        <f>+DV95-DW95</f>
        <v>0</v>
      </c>
      <c r="DY95" s="523"/>
      <c r="DZ95" s="658"/>
      <c r="EA95" s="658"/>
      <c r="EB95" s="666"/>
      <c r="EC95" s="667"/>
    </row>
    <row r="96" spans="1:153" ht="12.75" customHeight="1" x14ac:dyDescent="0.2">
      <c r="A96" s="979" t="s">
        <v>900</v>
      </c>
      <c r="B96" s="980"/>
      <c r="C96" s="980"/>
      <c r="D96" s="980"/>
      <c r="E96" s="981"/>
      <c r="F96" s="2706">
        <f>+F95</f>
        <v>0</v>
      </c>
      <c r="G96" s="2707"/>
      <c r="H96" s="2473"/>
      <c r="I96" s="2474"/>
      <c r="J96" s="1003">
        <f>+DA88/1000</f>
        <v>0</v>
      </c>
      <c r="K96" s="2761">
        <f>+DB88/1000</f>
        <v>0</v>
      </c>
      <c r="L96" s="2761"/>
      <c r="M96" s="982"/>
      <c r="N96" s="17"/>
      <c r="P96" s="324"/>
      <c r="Q96" s="324"/>
      <c r="R96" s="324"/>
      <c r="S96" s="324"/>
      <c r="T96" s="422"/>
      <c r="U96" s="422"/>
      <c r="V96" s="422"/>
      <c r="W96" s="422"/>
      <c r="X96" s="422"/>
      <c r="Y96" s="422"/>
      <c r="Z96" s="422"/>
      <c r="AA96" s="422"/>
      <c r="AB96" s="475"/>
      <c r="AC96" s="475"/>
      <c r="AD96" s="475"/>
      <c r="AE96" s="475"/>
      <c r="AF96" s="475"/>
      <c r="AG96" s="475"/>
      <c r="AH96" s="475"/>
      <c r="AI96" s="475"/>
      <c r="AJ96" s="543"/>
      <c r="AK96" s="543"/>
      <c r="AL96" s="475"/>
      <c r="AM96" s="475"/>
      <c r="AN96" s="475"/>
      <c r="AO96" s="475"/>
      <c r="AP96" s="475"/>
      <c r="AQ96" s="475"/>
      <c r="AR96" s="543"/>
      <c r="AS96" s="475"/>
      <c r="AT96" s="475"/>
      <c r="AU96" s="475"/>
      <c r="AV96" s="475"/>
      <c r="AW96" s="475"/>
      <c r="AX96" s="475"/>
      <c r="AY96" s="422"/>
      <c r="AZ96" s="422"/>
      <c r="BA96" s="422"/>
      <c r="BB96" s="422"/>
      <c r="BC96" s="422"/>
      <c r="BD96" s="422"/>
      <c r="BE96" s="422"/>
      <c r="BF96" s="422"/>
      <c r="BG96" s="422"/>
      <c r="BH96" s="422"/>
      <c r="BI96" s="422"/>
      <c r="BJ96" s="422"/>
      <c r="BK96" s="422"/>
      <c r="BL96" s="1073"/>
      <c r="BM96" s="422"/>
      <c r="BN96" s="450"/>
      <c r="BO96" s="450"/>
      <c r="BP96" s="450"/>
      <c r="BQ96" s="480"/>
      <c r="BR96" s="422"/>
      <c r="BS96" s="422"/>
      <c r="BT96" s="422"/>
      <c r="BU96" s="456"/>
      <c r="BV96" s="456"/>
      <c r="BW96" s="456"/>
      <c r="BX96" s="456"/>
      <c r="BY96" s="456"/>
      <c r="BZ96" s="422"/>
      <c r="CA96" s="422"/>
      <c r="CB96" s="465"/>
      <c r="CC96" s="422"/>
      <c r="CD96" s="422"/>
      <c r="CE96" s="422"/>
      <c r="CF96" s="422"/>
      <c r="CG96" s="422"/>
      <c r="CH96" s="422"/>
      <c r="CI96" s="672"/>
      <c r="CJ96" s="673"/>
      <c r="CK96" s="475"/>
      <c r="CL96" s="475"/>
      <c r="CM96" s="422"/>
      <c r="CN96" s="422"/>
      <c r="CO96" s="422"/>
      <c r="CP96" s="422"/>
      <c r="CQ96" s="17"/>
      <c r="CR96" s="17"/>
      <c r="CS96" s="16"/>
      <c r="CT96" s="16"/>
      <c r="CU96" s="16"/>
      <c r="CV96" s="16"/>
      <c r="CW96" s="16"/>
      <c r="CX96" s="16"/>
      <c r="CY96" s="16"/>
      <c r="CZ96" s="16"/>
      <c r="DA96" s="16"/>
      <c r="DB96" s="16"/>
      <c r="DC96" s="16"/>
      <c r="DD96" s="16"/>
      <c r="DE96" s="16"/>
      <c r="DF96" s="16"/>
      <c r="DG96" s="16"/>
      <c r="DH96" s="16"/>
      <c r="DI96" s="16"/>
      <c r="DJ96" s="16"/>
      <c r="DK96" s="17"/>
      <c r="DL96" s="17"/>
      <c r="DM96" s="17"/>
      <c r="DN96" s="17"/>
      <c r="DO96" s="17"/>
      <c r="DP96" s="17"/>
      <c r="DQ96" s="17"/>
      <c r="DV96" s="655"/>
      <c r="DW96" s="523"/>
      <c r="DX96" s="677"/>
      <c r="DY96" s="523"/>
      <c r="DZ96" s="658"/>
      <c r="EA96" s="658"/>
      <c r="EB96" s="666"/>
      <c r="EC96" s="667"/>
    </row>
    <row r="97" spans="1:150" ht="12.75" customHeight="1" thickBot="1" x14ac:dyDescent="0.25">
      <c r="A97" s="979" t="s">
        <v>901</v>
      </c>
      <c r="B97" s="980"/>
      <c r="C97" s="980"/>
      <c r="D97" s="980"/>
      <c r="E97" s="981"/>
      <c r="F97" s="2704"/>
      <c r="G97" s="2705"/>
      <c r="H97" s="2475">
        <f>+H95</f>
        <v>0</v>
      </c>
      <c r="I97" s="2476"/>
      <c r="J97" s="1003">
        <f>+J95-J96</f>
        <v>0</v>
      </c>
      <c r="K97" s="2761">
        <f>+K95-K96</f>
        <v>0</v>
      </c>
      <c r="L97" s="2761"/>
      <c r="M97" s="982"/>
      <c r="N97" s="17"/>
      <c r="P97" s="324" t="s">
        <v>827</v>
      </c>
      <c r="Q97" s="324"/>
      <c r="R97" s="324"/>
      <c r="S97" s="324"/>
      <c r="T97" s="422"/>
      <c r="U97" s="422"/>
      <c r="V97" s="422"/>
      <c r="W97" s="422"/>
      <c r="X97" s="422"/>
      <c r="Y97" s="422"/>
      <c r="Z97" s="422"/>
      <c r="AA97" s="422"/>
      <c r="AB97" s="475"/>
      <c r="AC97" s="475"/>
      <c r="AD97" s="475"/>
      <c r="AE97" s="475"/>
      <c r="AF97" s="475"/>
      <c r="AG97" s="475"/>
      <c r="AH97" s="475"/>
      <c r="AI97" s="475"/>
      <c r="AJ97" s="543"/>
      <c r="AK97" s="543"/>
      <c r="AL97" s="475"/>
      <c r="AM97" s="475"/>
      <c r="AN97" s="475"/>
      <c r="AO97" s="475"/>
      <c r="AP97" s="475"/>
      <c r="AQ97" s="475"/>
      <c r="AR97" s="543"/>
      <c r="AS97" s="475"/>
      <c r="AT97" s="475"/>
      <c r="AU97" s="475"/>
      <c r="AV97" s="475"/>
      <c r="AW97" s="475"/>
      <c r="AX97" s="475"/>
      <c r="AY97" s="422"/>
      <c r="AZ97" s="422"/>
      <c r="BA97" s="422"/>
      <c r="BB97" s="422"/>
      <c r="BC97" s="422"/>
      <c r="BD97" s="422"/>
      <c r="BE97" s="422"/>
      <c r="BF97" s="422"/>
      <c r="BG97" s="422"/>
      <c r="BH97" s="422"/>
      <c r="BI97" s="422"/>
      <c r="BJ97" s="422"/>
      <c r="BK97" s="422"/>
      <c r="BL97" s="1073"/>
      <c r="BM97" s="422"/>
      <c r="BN97" s="450"/>
      <c r="BO97" s="450"/>
      <c r="BP97" s="450"/>
      <c r="BQ97" s="480"/>
      <c r="BR97" s="422"/>
      <c r="BS97" s="422"/>
      <c r="BT97" s="422"/>
      <c r="BU97" s="456"/>
      <c r="BV97" s="456"/>
      <c r="BW97" s="456"/>
      <c r="BX97" s="456"/>
      <c r="BY97" s="456"/>
      <c r="BZ97" s="422"/>
      <c r="CA97" s="422"/>
      <c r="CB97" s="465"/>
      <c r="CC97" s="422"/>
      <c r="CD97" s="422"/>
      <c r="CE97" s="422"/>
      <c r="CF97" s="422"/>
      <c r="CG97" s="422"/>
      <c r="CH97" s="422"/>
      <c r="CI97" s="672"/>
      <c r="CJ97" s="673"/>
      <c r="CK97" s="475"/>
      <c r="CL97" s="475"/>
      <c r="CM97" s="422"/>
      <c r="CN97" s="422"/>
      <c r="CO97" s="422"/>
      <c r="CP97" s="422"/>
      <c r="CQ97" s="17"/>
      <c r="CR97" s="17"/>
      <c r="CS97" s="16"/>
      <c r="CT97" s="16"/>
      <c r="CU97" s="16"/>
      <c r="CV97" s="16"/>
      <c r="CW97" s="16"/>
      <c r="CX97" s="16"/>
      <c r="CY97" s="16"/>
      <c r="CZ97" s="16"/>
      <c r="DA97" s="16"/>
      <c r="DB97" s="16"/>
      <c r="DC97" s="16"/>
      <c r="DD97" s="16"/>
      <c r="DE97" s="16"/>
      <c r="DF97" s="16"/>
      <c r="DG97" s="16"/>
      <c r="DH97" s="16"/>
      <c r="DI97" s="16"/>
      <c r="DJ97" s="16"/>
      <c r="DK97" s="17"/>
      <c r="DL97" s="17"/>
      <c r="DM97" s="17"/>
      <c r="DN97" s="17"/>
      <c r="DO97" s="17"/>
      <c r="DP97" s="17"/>
      <c r="DQ97" s="17"/>
      <c r="DV97" s="655"/>
      <c r="DW97" s="523"/>
      <c r="DX97" s="677"/>
      <c r="DY97" s="523"/>
      <c r="DZ97" s="658"/>
      <c r="EA97" s="658"/>
      <c r="EB97" s="666"/>
      <c r="EC97" s="667"/>
    </row>
    <row r="98" spans="1:150" ht="18" hidden="1" customHeight="1" thickBot="1" x14ac:dyDescent="0.25">
      <c r="A98" s="849" t="s">
        <v>781</v>
      </c>
      <c r="B98" s="971"/>
      <c r="C98" s="971"/>
      <c r="D98" s="971"/>
      <c r="E98" s="972"/>
      <c r="F98" s="973"/>
      <c r="G98" s="974"/>
      <c r="H98" s="2663"/>
      <c r="I98" s="2664"/>
      <c r="J98" s="975">
        <f>+J97-(AL92+AO92)/2/1000</f>
        <v>0</v>
      </c>
      <c r="K98" s="2759">
        <f>+K97-(AM92+AP92)/2/1000</f>
        <v>0</v>
      </c>
      <c r="L98" s="2759"/>
      <c r="M98" s="976"/>
      <c r="N98" s="17"/>
      <c r="P98" s="523" t="s">
        <v>259</v>
      </c>
      <c r="Q98" s="988" t="s">
        <v>909</v>
      </c>
      <c r="R98" s="324"/>
      <c r="S98" s="324"/>
      <c r="T98" s="422"/>
      <c r="U98" s="422"/>
      <c r="V98" s="422"/>
      <c r="W98" s="422"/>
      <c r="X98" s="422"/>
      <c r="Y98" s="422"/>
      <c r="Z98" s="422"/>
      <c r="AA98" s="422"/>
      <c r="AB98" s="475"/>
      <c r="AC98" s="475"/>
      <c r="AD98" s="475"/>
      <c r="AE98" s="475"/>
      <c r="AF98" s="475"/>
      <c r="AG98" s="475"/>
      <c r="AH98" s="475"/>
      <c r="AI98" s="475"/>
      <c r="AJ98" s="543"/>
      <c r="AK98" s="543"/>
      <c r="AL98" s="475"/>
      <c r="AM98" s="475"/>
      <c r="AN98" s="475"/>
      <c r="AO98" s="475"/>
      <c r="AP98" s="475"/>
      <c r="AQ98" s="475"/>
      <c r="AR98" s="543"/>
      <c r="AS98" s="475"/>
      <c r="AT98" s="475"/>
      <c r="AU98" s="475"/>
      <c r="AV98" s="475"/>
      <c r="AW98" s="475"/>
      <c r="AX98" s="475"/>
      <c r="AY98" s="422"/>
      <c r="AZ98" s="422"/>
      <c r="BA98" s="422"/>
      <c r="BB98" s="422"/>
      <c r="BC98" s="422"/>
      <c r="BD98" s="422"/>
      <c r="BE98" s="422"/>
      <c r="BF98" s="422"/>
      <c r="BG98" s="422"/>
      <c r="BH98" s="422"/>
      <c r="BI98" s="422"/>
      <c r="BJ98" s="422"/>
      <c r="BK98" s="422"/>
      <c r="BL98" s="1073"/>
      <c r="BM98" s="422"/>
      <c r="BN98" s="450"/>
      <c r="BO98" s="450"/>
      <c r="BP98" s="450"/>
      <c r="BQ98" s="480"/>
      <c r="BR98" s="422"/>
      <c r="BS98" s="422"/>
      <c r="BT98" s="422"/>
      <c r="BU98" s="456"/>
      <c r="BV98" s="456"/>
      <c r="BW98" s="456"/>
      <c r="BX98" s="456"/>
      <c r="BY98" s="456"/>
      <c r="BZ98" s="422"/>
      <c r="CA98" s="422"/>
      <c r="CB98" s="465"/>
      <c r="CC98" s="422"/>
      <c r="CD98" s="422"/>
      <c r="CE98" s="422"/>
      <c r="CF98" s="422"/>
      <c r="CG98" s="422"/>
      <c r="CH98" s="422"/>
      <c r="CI98" s="672"/>
      <c r="CJ98" s="673"/>
      <c r="CK98" s="475"/>
      <c r="CL98" s="475"/>
      <c r="CM98" s="422"/>
      <c r="CN98" s="422"/>
      <c r="CO98" s="422"/>
      <c r="CP98" s="422"/>
      <c r="CQ98" s="17"/>
      <c r="CR98" s="17"/>
      <c r="CS98" s="16"/>
      <c r="CT98" s="16"/>
      <c r="CU98" s="16"/>
      <c r="CV98" s="16"/>
      <c r="CW98" s="16"/>
      <c r="CX98" s="16"/>
      <c r="CY98" s="16"/>
      <c r="CZ98" s="16"/>
      <c r="DA98" s="16"/>
      <c r="DB98" s="16"/>
      <c r="DC98" s="16"/>
      <c r="DD98" s="16"/>
      <c r="DE98" s="16"/>
      <c r="DF98" s="16"/>
      <c r="DG98" s="16"/>
      <c r="DH98" s="16"/>
      <c r="DI98" s="16"/>
      <c r="DJ98" s="16"/>
      <c r="DK98" s="17"/>
      <c r="DL98" s="17"/>
      <c r="DM98" s="17"/>
      <c r="DN98" s="17"/>
      <c r="DO98" s="17"/>
      <c r="DP98" s="17"/>
      <c r="DQ98" s="17"/>
      <c r="DV98" s="655"/>
      <c r="DW98" s="523"/>
      <c r="DX98" s="677"/>
      <c r="DY98" s="523"/>
      <c r="DZ98" s="658"/>
      <c r="EA98" s="658"/>
      <c r="EB98" s="666"/>
      <c r="EC98" s="667"/>
    </row>
    <row r="99" spans="1:150" ht="18" customHeight="1" thickBot="1" x14ac:dyDescent="0.25">
      <c r="A99" s="852" t="s">
        <v>738</v>
      </c>
      <c r="B99" s="853"/>
      <c r="C99" s="853"/>
      <c r="D99" s="853"/>
      <c r="E99" s="854"/>
      <c r="F99" s="2659"/>
      <c r="G99" s="2660"/>
      <c r="H99" s="2864"/>
      <c r="I99" s="2865"/>
      <c r="J99" s="859">
        <f>+CU88/1000</f>
        <v>0</v>
      </c>
      <c r="K99" s="2760">
        <f>+CV88/1000</f>
        <v>0</v>
      </c>
      <c r="L99" s="2760"/>
      <c r="M99" s="860">
        <f>+CW88/1000</f>
        <v>0</v>
      </c>
      <c r="N99" s="17"/>
      <c r="P99" s="324" t="s">
        <v>828</v>
      </c>
      <c r="Q99" s="324"/>
      <c r="R99" s="324"/>
      <c r="S99" s="324"/>
      <c r="T99" s="422"/>
      <c r="U99" s="1107" t="s">
        <v>1066</v>
      </c>
      <c r="V99" s="1078"/>
      <c r="W99" s="1108" t="str">
        <f>CONCATENATE(Y99,AA99)</f>
        <v>Rinder - Jauche</v>
      </c>
      <c r="X99" s="1109"/>
      <c r="Y99" s="1108" t="str" cm="1">
        <f t="array" ref="Y99">INDEX(Tiere!$E$90:$E$93,MIN('Berechnung Nährstoffe und Lager'!AA101:AA104))</f>
        <v>Rinder</v>
      </c>
      <c r="Z99" s="1109"/>
      <c r="AA99" s="1110" t="str">
        <f>IF(CK91=0," - Jauche"," - Gülle")</f>
        <v xml:space="preserve"> - Jauche</v>
      </c>
      <c r="AB99" s="475"/>
      <c r="AC99" s="475"/>
      <c r="AD99" s="475"/>
      <c r="AE99" s="475"/>
      <c r="AF99" s="475"/>
      <c r="AG99" s="475"/>
      <c r="AH99" s="475"/>
      <c r="AI99" s="475"/>
      <c r="AJ99" s="543"/>
      <c r="AK99" s="543"/>
      <c r="AL99" s="475"/>
      <c r="AM99" s="475"/>
      <c r="AN99" s="475"/>
      <c r="AO99" s="475"/>
      <c r="AP99" s="475"/>
      <c r="AQ99" s="475"/>
      <c r="AR99" s="543"/>
      <c r="AS99" s="475"/>
      <c r="AT99" s="475"/>
      <c r="AU99" s="475"/>
      <c r="AV99" s="475"/>
      <c r="AW99" s="475"/>
      <c r="AX99" s="475"/>
      <c r="AY99" s="422"/>
      <c r="AZ99" s="422"/>
      <c r="BA99" s="422"/>
      <c r="BB99" s="422"/>
      <c r="BC99" s="422"/>
      <c r="BD99" s="422"/>
      <c r="BE99" s="422"/>
      <c r="BF99" s="422"/>
      <c r="BG99" s="422"/>
      <c r="BH99" s="422"/>
      <c r="BI99" s="422"/>
      <c r="BJ99" s="422"/>
      <c r="BK99" s="422"/>
      <c r="BL99" s="1073"/>
      <c r="BM99" s="422"/>
      <c r="BN99" s="450"/>
      <c r="BO99" s="450"/>
      <c r="BP99" s="450"/>
      <c r="BQ99" s="480"/>
      <c r="BR99" s="422"/>
      <c r="BS99" s="422"/>
      <c r="BT99" s="422"/>
      <c r="BU99" s="456"/>
      <c r="BV99" s="456"/>
      <c r="BW99" s="456"/>
      <c r="BX99" s="456"/>
      <c r="BY99" s="456"/>
      <c r="BZ99" s="422"/>
      <c r="CA99" s="422"/>
      <c r="CB99" s="465"/>
      <c r="CC99" s="422"/>
      <c r="CD99" s="422"/>
      <c r="CE99" s="422"/>
      <c r="CF99" s="422"/>
      <c r="CG99" s="422"/>
      <c r="CH99" s="422"/>
      <c r="CI99" s="672"/>
      <c r="CJ99" s="673"/>
      <c r="CK99" s="475"/>
      <c r="CL99" s="475"/>
      <c r="CM99" s="422"/>
      <c r="CN99" s="422"/>
      <c r="CO99" s="422"/>
      <c r="CP99" s="422"/>
      <c r="CQ99" s="17"/>
      <c r="CR99" s="17"/>
      <c r="CS99" s="16"/>
      <c r="CT99" s="16"/>
      <c r="CU99" s="16"/>
      <c r="CV99" s="16"/>
      <c r="CW99" s="16"/>
      <c r="CX99" s="16"/>
      <c r="CY99" s="16"/>
      <c r="CZ99" s="16"/>
      <c r="DA99" s="16"/>
      <c r="DB99" s="16"/>
      <c r="DC99" s="16"/>
      <c r="DD99" s="16"/>
      <c r="DE99" s="16"/>
      <c r="DF99" s="16"/>
      <c r="DG99" s="16"/>
      <c r="DH99" s="16"/>
      <c r="DI99" s="16"/>
      <c r="DJ99" s="16"/>
      <c r="DK99" s="17"/>
      <c r="DL99" s="17"/>
      <c r="DM99" s="17"/>
      <c r="DN99" s="17"/>
      <c r="DO99" s="17"/>
      <c r="DP99" s="17"/>
      <c r="DQ99" s="17"/>
      <c r="DV99" s="655"/>
      <c r="DW99" s="523"/>
      <c r="DX99" s="523"/>
      <c r="DY99" s="523"/>
      <c r="DZ99" s="658"/>
      <c r="EA99" s="658"/>
      <c r="EB99" s="666"/>
      <c r="EC99" s="667"/>
    </row>
    <row r="100" spans="1:150" ht="18" customHeight="1" thickBot="1" x14ac:dyDescent="0.25">
      <c r="A100" s="579"/>
      <c r="B100" s="27"/>
      <c r="C100" s="27"/>
      <c r="D100" s="27"/>
      <c r="E100" s="27"/>
      <c r="F100" s="16"/>
      <c r="G100" s="16"/>
      <c r="H100" s="16"/>
      <c r="I100" s="16"/>
      <c r="J100" s="802"/>
      <c r="K100" s="802"/>
      <c r="L100" s="802"/>
      <c r="M100" s="802"/>
      <c r="N100" s="17"/>
      <c r="P100" s="324"/>
      <c r="Q100" s="324"/>
      <c r="R100" s="324"/>
      <c r="S100" s="324"/>
      <c r="T100" s="422"/>
      <c r="U100" s="1080" t="s">
        <v>1057</v>
      </c>
      <c r="V100" s="1076"/>
      <c r="W100" s="1111" t="s">
        <v>1067</v>
      </c>
      <c r="X100" s="1111" t="s">
        <v>1068</v>
      </c>
      <c r="Y100" s="679"/>
      <c r="Z100" s="1111" t="s">
        <v>1069</v>
      </c>
      <c r="AA100" s="1112"/>
      <c r="AB100" s="475"/>
      <c r="AC100" s="475"/>
      <c r="AD100" s="475"/>
      <c r="AE100" s="475"/>
      <c r="AF100" s="475"/>
      <c r="AG100" s="475"/>
      <c r="AH100" s="475"/>
      <c r="AI100" s="475"/>
      <c r="AJ100" s="543"/>
      <c r="AK100" s="543"/>
      <c r="AL100" s="475"/>
      <c r="AM100" s="475"/>
      <c r="AN100" s="475"/>
      <c r="AO100" s="475"/>
      <c r="AP100" s="475"/>
      <c r="AQ100" s="475"/>
      <c r="AR100" s="543"/>
      <c r="AS100" s="475"/>
      <c r="AT100" s="475"/>
      <c r="AU100" s="475"/>
      <c r="AV100" s="475"/>
      <c r="AW100" s="475"/>
      <c r="AX100" s="475"/>
      <c r="AY100" s="422"/>
      <c r="AZ100" s="422"/>
      <c r="BA100" s="422"/>
      <c r="BB100" s="422"/>
      <c r="BC100" s="422"/>
      <c r="BD100" s="422"/>
      <c r="BE100" s="422"/>
      <c r="BF100" s="422"/>
      <c r="BG100" s="422"/>
      <c r="BH100" s="422"/>
      <c r="BI100" s="422"/>
      <c r="BJ100" s="422"/>
      <c r="BK100" s="422"/>
      <c r="BL100" s="1073"/>
      <c r="BM100" s="422"/>
      <c r="BN100" s="450"/>
      <c r="BO100" s="450"/>
      <c r="BP100" s="450"/>
      <c r="BQ100" s="480"/>
      <c r="BR100" s="422"/>
      <c r="BS100" s="422"/>
      <c r="BT100" s="422"/>
      <c r="BU100" s="456"/>
      <c r="BV100" s="456"/>
      <c r="BW100" s="456"/>
      <c r="BX100" s="456"/>
      <c r="BY100" s="456"/>
      <c r="BZ100" s="422"/>
      <c r="CA100" s="422"/>
      <c r="CB100" s="465"/>
      <c r="CC100" s="422"/>
      <c r="CD100" s="422"/>
      <c r="CE100" s="422"/>
      <c r="CF100" s="422"/>
      <c r="CG100" s="422"/>
      <c r="CH100" s="422"/>
      <c r="CI100" s="672"/>
      <c r="CJ100" s="673"/>
      <c r="CK100" s="475"/>
      <c r="CL100" s="475"/>
      <c r="CM100" s="422"/>
      <c r="CN100" s="422"/>
      <c r="CO100" s="422"/>
      <c r="CP100" s="422"/>
      <c r="CQ100" s="17"/>
      <c r="CR100" s="17"/>
      <c r="CS100" s="16"/>
      <c r="CT100" s="16"/>
      <c r="CU100" s="16"/>
      <c r="CV100" s="16"/>
      <c r="CW100" s="16"/>
      <c r="CX100" s="16"/>
      <c r="CY100" s="16"/>
      <c r="CZ100" s="16"/>
      <c r="DA100" s="16"/>
      <c r="DB100" s="16"/>
      <c r="DC100" s="16"/>
      <c r="DD100" s="16"/>
      <c r="DE100" s="16"/>
      <c r="DF100" s="16"/>
      <c r="DG100" s="16"/>
      <c r="DH100" s="16"/>
      <c r="DI100" s="16"/>
      <c r="DJ100" s="16"/>
      <c r="DK100" s="17"/>
      <c r="DL100" s="17"/>
      <c r="DM100" s="17"/>
      <c r="DN100" s="17"/>
      <c r="DO100" s="17"/>
      <c r="DP100" s="17"/>
      <c r="DQ100" s="17"/>
      <c r="DV100" s="655"/>
      <c r="DW100" s="523"/>
      <c r="DX100" s="523"/>
      <c r="DY100" s="523"/>
      <c r="DZ100" s="658"/>
      <c r="EA100" s="658"/>
      <c r="EB100" s="666"/>
      <c r="EC100" s="667"/>
    </row>
    <row r="101" spans="1:150" ht="18" customHeight="1" x14ac:dyDescent="0.2">
      <c r="A101" s="998" t="s">
        <v>1023</v>
      </c>
      <c r="B101" s="999"/>
      <c r="C101" s="999"/>
      <c r="D101" s="1002" t="str">
        <f>IF(J99&gt;0,IF(D102&lt;0.1,"Flächenangabe fehlt"," ")," ")</f>
        <v xml:space="preserve"> </v>
      </c>
      <c r="E101" s="1000"/>
      <c r="F101" s="16"/>
      <c r="G101" s="16"/>
      <c r="H101" s="16"/>
      <c r="I101" s="16"/>
      <c r="J101" s="802"/>
      <c r="K101" s="802"/>
      <c r="L101" s="802"/>
      <c r="M101" s="802"/>
      <c r="N101" s="17"/>
      <c r="P101" s="324"/>
      <c r="Q101" s="324"/>
      <c r="R101" s="324"/>
      <c r="S101" s="324"/>
      <c r="T101" s="422"/>
      <c r="U101" s="1080">
        <v>1</v>
      </c>
      <c r="V101" s="1076" t="s">
        <v>217</v>
      </c>
      <c r="W101" s="1076">
        <f>SUMIF($BL$68:$BL$87,$U101,$AB$68:$AB$87)</f>
        <v>0</v>
      </c>
      <c r="X101" s="1076">
        <f>SUMIF($BL$68:$BL$87,$U101,$AF$68:$AF$87)</f>
        <v>0</v>
      </c>
      <c r="Y101" s="1076"/>
      <c r="Z101" s="1076">
        <f>SUM(W101:X101)</f>
        <v>0</v>
      </c>
      <c r="AA101" s="1081">
        <f>IF(Z101=MAX($Z$101:$Z$104),U101,"")</f>
        <v>1</v>
      </c>
      <c r="AB101" s="475"/>
      <c r="AC101" s="475"/>
      <c r="AD101" s="475"/>
      <c r="AE101" s="475"/>
      <c r="AF101" s="475"/>
      <c r="AG101" s="475"/>
      <c r="AH101" s="475"/>
      <c r="AI101" s="475"/>
      <c r="AJ101" s="543"/>
      <c r="AK101" s="543"/>
      <c r="AL101" s="475"/>
      <c r="AM101" s="475"/>
      <c r="AN101" s="475"/>
      <c r="AO101" s="475"/>
      <c r="AP101" s="475"/>
      <c r="AQ101" s="475"/>
      <c r="AR101" s="543"/>
      <c r="AS101" s="475"/>
      <c r="AT101" s="475"/>
      <c r="AU101" s="475"/>
      <c r="AV101" s="475"/>
      <c r="AW101" s="475"/>
      <c r="AX101" s="475"/>
      <c r="AY101" s="422"/>
      <c r="AZ101" s="422"/>
      <c r="BA101" s="422"/>
      <c r="BB101" s="422"/>
      <c r="BC101" s="422"/>
      <c r="BD101" s="422"/>
      <c r="BE101" s="422"/>
      <c r="BF101" s="422"/>
      <c r="BG101" s="422"/>
      <c r="BH101" s="422"/>
      <c r="BI101" s="422"/>
      <c r="BJ101" s="422"/>
      <c r="BK101" s="422"/>
      <c r="BL101" s="1073"/>
      <c r="BM101" s="422"/>
      <c r="BN101" s="450"/>
      <c r="BO101" s="450"/>
      <c r="BP101" s="450"/>
      <c r="BQ101" s="480"/>
      <c r="BR101" s="422"/>
      <c r="BS101" s="422"/>
      <c r="BT101" s="422"/>
      <c r="BU101" s="456"/>
      <c r="BV101" s="456"/>
      <c r="BW101" s="456"/>
      <c r="BX101" s="456"/>
      <c r="BY101" s="456"/>
      <c r="BZ101" s="422"/>
      <c r="CA101" s="422"/>
      <c r="CB101" s="465"/>
      <c r="CC101" s="422"/>
      <c r="CD101" s="422"/>
      <c r="CE101" s="422"/>
      <c r="CF101" s="422"/>
      <c r="CG101" s="422"/>
      <c r="CH101" s="422"/>
      <c r="CI101" s="672"/>
      <c r="CJ101" s="673"/>
      <c r="CK101" s="475"/>
      <c r="CL101" s="475"/>
      <c r="CM101" s="422"/>
      <c r="CN101" s="422"/>
      <c r="CO101" s="422"/>
      <c r="CP101" s="422"/>
      <c r="CQ101" s="17"/>
      <c r="CR101" s="17"/>
      <c r="CS101" s="16"/>
      <c r="CT101" s="16"/>
      <c r="CU101" s="16"/>
      <c r="CV101" s="16"/>
      <c r="CW101" s="16"/>
      <c r="CX101" s="16"/>
      <c r="CY101" s="16"/>
      <c r="CZ101" s="16"/>
      <c r="DA101" s="16"/>
      <c r="DB101" s="16"/>
      <c r="DC101" s="16"/>
      <c r="DD101" s="16"/>
      <c r="DE101" s="16"/>
      <c r="DF101" s="16"/>
      <c r="DG101" s="16"/>
      <c r="DH101" s="16"/>
      <c r="DI101" s="16"/>
      <c r="DJ101" s="16"/>
      <c r="DK101" s="17"/>
      <c r="DL101" s="17"/>
      <c r="DM101" s="17"/>
      <c r="DN101" s="17"/>
      <c r="DO101" s="17"/>
      <c r="DP101" s="17"/>
      <c r="DQ101" s="17"/>
      <c r="DV101" s="655"/>
      <c r="DW101" s="523"/>
      <c r="DX101" s="523"/>
      <c r="DY101" s="523"/>
      <c r="DZ101" s="658"/>
      <c r="EA101" s="658"/>
      <c r="EB101" s="666"/>
      <c r="EC101" s="667"/>
    </row>
    <row r="102" spans="1:150" ht="18" customHeight="1" x14ac:dyDescent="0.2">
      <c r="A102" s="2666" t="s">
        <v>825</v>
      </c>
      <c r="B102" s="2667"/>
      <c r="C102" s="2667"/>
      <c r="D102" s="1001"/>
      <c r="E102" s="803" t="s">
        <v>354</v>
      </c>
      <c r="F102" s="1004" t="str">
        <f>IF(D102&gt;Z5,"Weidefläche zu hoch"," ")</f>
        <v xml:space="preserve"> </v>
      </c>
      <c r="G102" s="16"/>
      <c r="H102" s="16"/>
      <c r="I102" s="16"/>
      <c r="J102" s="802"/>
      <c r="K102" s="802"/>
      <c r="L102" s="802"/>
      <c r="M102" s="802"/>
      <c r="N102" s="17"/>
      <c r="P102" s="324"/>
      <c r="Q102" s="324"/>
      <c r="R102" s="324"/>
      <c r="S102" s="324"/>
      <c r="T102" s="422"/>
      <c r="U102" s="1080">
        <v>2</v>
      </c>
      <c r="V102" s="1076" t="s">
        <v>218</v>
      </c>
      <c r="W102" s="1076">
        <f>SUMIF($BL$68:$BL$87,$U102,$AB$68:$AB$87)</f>
        <v>0</v>
      </c>
      <c r="X102" s="1076">
        <f t="shared" ref="X102:X104" si="109">SUMIF($BL$68:$BL$87,$U102,$AF$68:$AF$87)</f>
        <v>0</v>
      </c>
      <c r="Y102" s="1076"/>
      <c r="Z102" s="1076">
        <f t="shared" ref="Z102:Z104" si="110">SUM(W102:X102)</f>
        <v>0</v>
      </c>
      <c r="AA102" s="1081">
        <f t="shared" ref="AA102:AA104" si="111">IF(Z102=MAX($Z$101:$Z$104),U102,"")</f>
        <v>2</v>
      </c>
      <c r="AB102" s="475"/>
      <c r="AC102" s="475"/>
      <c r="AD102" s="475"/>
      <c r="AE102" s="475"/>
      <c r="AF102" s="475"/>
      <c r="AG102" s="475"/>
      <c r="AH102" s="475"/>
      <c r="AI102" s="475"/>
      <c r="AJ102" s="543"/>
      <c r="AK102" s="543"/>
      <c r="AL102" s="475"/>
      <c r="AM102" s="475"/>
      <c r="AN102" s="475"/>
      <c r="AO102" s="475"/>
      <c r="AP102" s="475"/>
      <c r="AQ102" s="475"/>
      <c r="AR102" s="543"/>
      <c r="AS102" s="475"/>
      <c r="AT102" s="475"/>
      <c r="AU102" s="475"/>
      <c r="AV102" s="475"/>
      <c r="AW102" s="475"/>
      <c r="AX102" s="475"/>
      <c r="AY102" s="422"/>
      <c r="AZ102" s="422"/>
      <c r="BA102" s="422"/>
      <c r="BB102" s="422"/>
      <c r="BC102" s="422"/>
      <c r="BD102" s="422"/>
      <c r="BE102" s="422"/>
      <c r="BF102" s="422"/>
      <c r="BG102" s="422"/>
      <c r="BH102" s="422"/>
      <c r="BI102" s="422"/>
      <c r="BJ102" s="422"/>
      <c r="BK102" s="422"/>
      <c r="BL102" s="1073"/>
      <c r="BM102" s="422"/>
      <c r="BN102" s="450"/>
      <c r="BO102" s="450"/>
      <c r="BP102" s="450"/>
      <c r="BQ102" s="480"/>
      <c r="BR102" s="422"/>
      <c r="BS102" s="422"/>
      <c r="BT102" s="422"/>
      <c r="BU102" s="456"/>
      <c r="BV102" s="456"/>
      <c r="BW102" s="456"/>
      <c r="BX102" s="456"/>
      <c r="BY102" s="456"/>
      <c r="BZ102" s="422"/>
      <c r="CA102" s="422"/>
      <c r="CB102" s="465"/>
      <c r="CC102" s="422"/>
      <c r="CD102" s="422"/>
      <c r="CE102" s="422"/>
      <c r="CF102" s="422"/>
      <c r="CG102" s="422"/>
      <c r="CH102" s="422"/>
      <c r="CI102" s="672"/>
      <c r="CJ102" s="673"/>
      <c r="CK102" s="475"/>
      <c r="CL102" s="475"/>
      <c r="CM102" s="422"/>
      <c r="CN102" s="422"/>
      <c r="CO102" s="422"/>
      <c r="CP102" s="422"/>
      <c r="CQ102" s="17"/>
      <c r="CR102" s="17"/>
      <c r="CS102" s="16"/>
      <c r="CT102" s="16"/>
      <c r="CU102" s="16"/>
      <c r="CV102" s="16"/>
      <c r="CW102" s="16"/>
      <c r="CX102" s="16"/>
      <c r="CY102" s="16"/>
      <c r="CZ102" s="16"/>
      <c r="DA102" s="16"/>
      <c r="DB102" s="16"/>
      <c r="DC102" s="16"/>
      <c r="DD102" s="16"/>
      <c r="DE102" s="16"/>
      <c r="DF102" s="16"/>
      <c r="DG102" s="16"/>
      <c r="DH102" s="16"/>
      <c r="DI102" s="16"/>
      <c r="DJ102" s="16"/>
      <c r="DK102" s="17"/>
      <c r="DL102" s="17"/>
      <c r="DM102" s="17"/>
      <c r="DN102" s="17"/>
      <c r="DO102" s="17"/>
      <c r="DP102" s="17"/>
      <c r="DQ102" s="17"/>
      <c r="DV102" s="655"/>
      <c r="DW102" s="523"/>
      <c r="DX102" s="523"/>
      <c r="DY102" s="523"/>
      <c r="DZ102" s="658"/>
      <c r="EA102" s="658"/>
      <c r="EB102" s="666"/>
      <c r="EC102" s="667"/>
    </row>
    <row r="103" spans="1:150" ht="18" customHeight="1" x14ac:dyDescent="0.2">
      <c r="A103" s="2666" t="s">
        <v>826</v>
      </c>
      <c r="B103" s="2667"/>
      <c r="C103" s="2667"/>
      <c r="D103" s="996">
        <f>IF(D102=0,0,J99*1000/D102)</f>
        <v>0</v>
      </c>
      <c r="E103" s="803" t="s">
        <v>4</v>
      </c>
      <c r="F103" s="16"/>
      <c r="G103" s="16"/>
      <c r="H103" s="16"/>
      <c r="I103" s="16"/>
      <c r="J103" s="802"/>
      <c r="K103" s="802"/>
      <c r="L103" s="802"/>
      <c r="M103" s="802"/>
      <c r="N103" s="17"/>
      <c r="P103" s="324"/>
      <c r="Q103" s="324"/>
      <c r="R103" s="324"/>
      <c r="S103" s="324"/>
      <c r="T103" s="422"/>
      <c r="U103" s="1080">
        <v>3</v>
      </c>
      <c r="V103" s="1076" t="s">
        <v>94</v>
      </c>
      <c r="W103" s="1076">
        <f t="shared" ref="W103:W104" si="112">SUMIF($BL$68:$BL$87,$U103,$AB$68:$AB$87)</f>
        <v>0</v>
      </c>
      <c r="X103" s="1076">
        <f t="shared" si="109"/>
        <v>0</v>
      </c>
      <c r="Y103" s="1076"/>
      <c r="Z103" s="1076">
        <f t="shared" si="110"/>
        <v>0</v>
      </c>
      <c r="AA103" s="1081">
        <f t="shared" si="111"/>
        <v>3</v>
      </c>
      <c r="AB103" s="475"/>
      <c r="AC103" s="475"/>
      <c r="AD103" s="475"/>
      <c r="AE103" s="475"/>
      <c r="AF103" s="475"/>
      <c r="AG103" s="475"/>
      <c r="AH103" s="475"/>
      <c r="AI103" s="475"/>
      <c r="AJ103" s="543"/>
      <c r="AK103" s="543"/>
      <c r="AL103" s="475"/>
      <c r="AM103" s="475"/>
      <c r="AN103" s="475"/>
      <c r="AO103" s="475"/>
      <c r="AP103" s="475"/>
      <c r="AQ103" s="475"/>
      <c r="AR103" s="543"/>
      <c r="AS103" s="475"/>
      <c r="AT103" s="475"/>
      <c r="AU103" s="475"/>
      <c r="AV103" s="475"/>
      <c r="AW103" s="475"/>
      <c r="AX103" s="475"/>
      <c r="AY103" s="422"/>
      <c r="AZ103" s="422"/>
      <c r="BA103" s="422"/>
      <c r="BB103" s="422"/>
      <c r="BC103" s="422"/>
      <c r="BD103" s="422"/>
      <c r="BE103" s="422"/>
      <c r="BF103" s="422"/>
      <c r="BG103" s="422"/>
      <c r="BH103" s="422"/>
      <c r="BI103" s="422"/>
      <c r="BJ103" s="422"/>
      <c r="BK103" s="422"/>
      <c r="BL103" s="1073"/>
      <c r="BM103" s="422"/>
      <c r="BN103" s="450"/>
      <c r="BO103" s="450"/>
      <c r="BP103" s="450"/>
      <c r="BQ103" s="480"/>
      <c r="BR103" s="422"/>
      <c r="BS103" s="422"/>
      <c r="BT103" s="422"/>
      <c r="BU103" s="456"/>
      <c r="BV103" s="456"/>
      <c r="BW103" s="456"/>
      <c r="BX103" s="456"/>
      <c r="BY103" s="456"/>
      <c r="BZ103" s="422"/>
      <c r="CA103" s="422"/>
      <c r="CB103" s="465"/>
      <c r="CC103" s="422"/>
      <c r="CD103" s="422"/>
      <c r="CE103" s="422"/>
      <c r="CF103" s="422"/>
      <c r="CG103" s="422"/>
      <c r="CH103" s="422"/>
      <c r="CI103" s="672"/>
      <c r="CJ103" s="673"/>
      <c r="CK103" s="475"/>
      <c r="CL103" s="475"/>
      <c r="CM103" s="422"/>
      <c r="CN103" s="422"/>
      <c r="CO103" s="422"/>
      <c r="CP103" s="422"/>
      <c r="CQ103" s="17"/>
      <c r="CR103" s="17"/>
      <c r="CS103" s="16"/>
      <c r="CT103" s="16"/>
      <c r="CU103" s="16"/>
      <c r="CV103" s="16"/>
      <c r="CW103" s="16"/>
      <c r="CX103" s="16"/>
      <c r="CY103" s="16"/>
      <c r="CZ103" s="16"/>
      <c r="DA103" s="16"/>
      <c r="DB103" s="16"/>
      <c r="DC103" s="16"/>
      <c r="DD103" s="16"/>
      <c r="DE103" s="16"/>
      <c r="DF103" s="16"/>
      <c r="DG103" s="16"/>
      <c r="DH103" s="16"/>
      <c r="DI103" s="16"/>
      <c r="DJ103" s="16"/>
      <c r="DK103" s="17"/>
      <c r="DL103" s="17"/>
      <c r="DM103" s="17"/>
      <c r="DN103" s="17"/>
      <c r="DO103" s="17"/>
      <c r="DP103" s="17"/>
      <c r="DQ103" s="17"/>
      <c r="DV103" s="655"/>
      <c r="DW103" s="523"/>
      <c r="DX103" s="523"/>
      <c r="DY103" s="523"/>
      <c r="DZ103" s="658"/>
      <c r="EA103" s="658"/>
      <c r="EB103" s="666"/>
      <c r="EC103" s="667"/>
    </row>
    <row r="104" spans="1:150" ht="18" customHeight="1" thickBot="1" x14ac:dyDescent="0.25">
      <c r="A104" s="2666"/>
      <c r="B104" s="2667"/>
      <c r="C104" s="2667"/>
      <c r="D104" s="996">
        <f>IF(D102=0,0,K99*1000/D102)</f>
        <v>0</v>
      </c>
      <c r="E104" s="803" t="s">
        <v>352</v>
      </c>
      <c r="F104" s="16"/>
      <c r="G104" s="16"/>
      <c r="H104" s="16"/>
      <c r="I104" s="16"/>
      <c r="J104" s="802"/>
      <c r="K104" s="802"/>
      <c r="L104" s="802"/>
      <c r="M104" s="802"/>
      <c r="N104" s="17"/>
      <c r="P104" s="324"/>
      <c r="Q104" s="324"/>
      <c r="R104" s="324"/>
      <c r="S104" s="324"/>
      <c r="T104" s="422"/>
      <c r="U104" s="1113">
        <v>4</v>
      </c>
      <c r="V104" s="1089" t="s">
        <v>1070</v>
      </c>
      <c r="W104" s="1076">
        <f t="shared" si="112"/>
        <v>0</v>
      </c>
      <c r="X104" s="1076">
        <f t="shared" si="109"/>
        <v>0</v>
      </c>
      <c r="Y104" s="1089"/>
      <c r="Z104" s="1089">
        <f t="shared" si="110"/>
        <v>0</v>
      </c>
      <c r="AA104" s="1081">
        <f t="shared" si="111"/>
        <v>4</v>
      </c>
      <c r="AB104" s="475"/>
      <c r="AC104" s="475"/>
      <c r="AD104" s="475"/>
      <c r="AE104" s="475"/>
      <c r="AF104" s="475"/>
      <c r="AG104" s="475"/>
      <c r="AH104" s="475"/>
      <c r="AI104" s="475"/>
      <c r="AJ104" s="543"/>
      <c r="AK104" s="543"/>
      <c r="AL104" s="475"/>
      <c r="AM104" s="475"/>
      <c r="AN104" s="475"/>
      <c r="AO104" s="475"/>
      <c r="AP104" s="475"/>
      <c r="AQ104" s="475"/>
      <c r="AR104" s="543"/>
      <c r="AS104" s="475"/>
      <c r="AT104" s="475"/>
      <c r="AU104" s="475"/>
      <c r="AV104" s="475"/>
      <c r="AW104" s="475"/>
      <c r="AX104" s="475"/>
      <c r="AY104" s="422"/>
      <c r="AZ104" s="422"/>
      <c r="BA104" s="422"/>
      <c r="BB104" s="422"/>
      <c r="BC104" s="422"/>
      <c r="BD104" s="422"/>
      <c r="BE104" s="422"/>
      <c r="BF104" s="422"/>
      <c r="BG104" s="422"/>
      <c r="BH104" s="422"/>
      <c r="BI104" s="422"/>
      <c r="BJ104" s="422"/>
      <c r="BK104" s="422"/>
      <c r="BL104" s="1073"/>
      <c r="BM104" s="422"/>
      <c r="BN104" s="450"/>
      <c r="BO104" s="450"/>
      <c r="BP104" s="450"/>
      <c r="BQ104" s="480"/>
      <c r="BR104" s="422"/>
      <c r="BS104" s="422"/>
      <c r="BT104" s="422"/>
      <c r="BU104" s="456"/>
      <c r="BV104" s="456"/>
      <c r="BW104" s="456"/>
      <c r="BX104" s="456"/>
      <c r="BY104" s="456"/>
      <c r="BZ104" s="422"/>
      <c r="CA104" s="422"/>
      <c r="CB104" s="465"/>
      <c r="CC104" s="422"/>
      <c r="CD104" s="422"/>
      <c r="CE104" s="422"/>
      <c r="CF104" s="422"/>
      <c r="CG104" s="422"/>
      <c r="CH104" s="422"/>
      <c r="CI104" s="672"/>
      <c r="CJ104" s="673"/>
      <c r="CK104" s="475"/>
      <c r="CL104" s="475"/>
      <c r="CM104" s="422"/>
      <c r="CN104" s="422"/>
      <c r="CO104" s="422"/>
      <c r="CP104" s="422"/>
      <c r="CQ104" s="17"/>
      <c r="CR104" s="17"/>
      <c r="CS104" s="16"/>
      <c r="CT104" s="16"/>
      <c r="CU104" s="16"/>
      <c r="CV104" s="16"/>
      <c r="CW104" s="16"/>
      <c r="CX104" s="16"/>
      <c r="CY104" s="16"/>
      <c r="CZ104" s="16"/>
      <c r="DA104" s="16"/>
      <c r="DB104" s="16"/>
      <c r="DC104" s="16"/>
      <c r="DD104" s="16"/>
      <c r="DE104" s="16"/>
      <c r="DF104" s="16"/>
      <c r="DG104" s="16"/>
      <c r="DH104" s="16"/>
      <c r="DI104" s="16"/>
      <c r="DJ104" s="16"/>
      <c r="DK104" s="17"/>
      <c r="DL104" s="17"/>
      <c r="DM104" s="17"/>
      <c r="DN104" s="17"/>
      <c r="DO104" s="17"/>
      <c r="DP104" s="17"/>
      <c r="DQ104" s="17"/>
      <c r="DV104" s="655"/>
      <c r="DW104" s="523"/>
      <c r="DX104" s="523"/>
      <c r="DY104" s="523"/>
      <c r="DZ104" s="658"/>
      <c r="EA104" s="658"/>
      <c r="EB104" s="666"/>
      <c r="EC104" s="667"/>
    </row>
    <row r="105" spans="1:150" ht="18" customHeight="1" thickBot="1" x14ac:dyDescent="0.25">
      <c r="A105" s="2668"/>
      <c r="B105" s="2669"/>
      <c r="C105" s="2669"/>
      <c r="D105" s="997">
        <f>IF(D102=0,0,M99*1000/D102)</f>
        <v>0</v>
      </c>
      <c r="E105" s="804" t="s">
        <v>353</v>
      </c>
      <c r="F105" s="16"/>
      <c r="G105" s="16"/>
      <c r="H105" s="16"/>
      <c r="I105" s="16"/>
      <c r="J105" s="802"/>
      <c r="K105" s="802"/>
      <c r="L105" s="802"/>
      <c r="M105" s="802"/>
      <c r="N105" s="17"/>
      <c r="P105" s="324"/>
      <c r="Q105" s="324"/>
      <c r="R105" s="324"/>
      <c r="S105" s="324"/>
      <c r="T105" s="422"/>
      <c r="U105" s="422"/>
      <c r="V105" s="422"/>
      <c r="W105" s="422"/>
      <c r="X105" s="422"/>
      <c r="Y105" s="422"/>
      <c r="Z105" s="422"/>
      <c r="AA105" s="422"/>
      <c r="AB105" s="475"/>
      <c r="AC105" s="475"/>
      <c r="AD105" s="475"/>
      <c r="AE105" s="475"/>
      <c r="AF105" s="475"/>
      <c r="AG105" s="475"/>
      <c r="AH105" s="475"/>
      <c r="AI105" s="475"/>
      <c r="AJ105" s="543"/>
      <c r="AK105" s="543"/>
      <c r="AL105" s="475"/>
      <c r="AM105" s="475"/>
      <c r="AN105" s="475"/>
      <c r="AO105" s="475"/>
      <c r="AP105" s="475"/>
      <c r="AQ105" s="475"/>
      <c r="AR105" s="543"/>
      <c r="AS105" s="475"/>
      <c r="AT105" s="475"/>
      <c r="AU105" s="475"/>
      <c r="AV105" s="475"/>
      <c r="AW105" s="475"/>
      <c r="AX105" s="475"/>
      <c r="AY105" s="422"/>
      <c r="AZ105" s="422"/>
      <c r="BA105" s="422"/>
      <c r="BB105" s="422"/>
      <c r="BC105" s="422"/>
      <c r="BD105" s="422"/>
      <c r="BE105" s="422"/>
      <c r="BF105" s="422"/>
      <c r="BG105" s="422"/>
      <c r="BH105" s="422"/>
      <c r="BI105" s="422"/>
      <c r="BJ105" s="422"/>
      <c r="BK105" s="422"/>
      <c r="BL105" s="1073"/>
      <c r="BM105" s="422"/>
      <c r="BN105" s="450"/>
      <c r="BO105" s="450"/>
      <c r="BP105" s="450"/>
      <c r="BQ105" s="480"/>
      <c r="BR105" s="422"/>
      <c r="BS105" s="422"/>
      <c r="BT105" s="422"/>
      <c r="BU105" s="456"/>
      <c r="BV105" s="456"/>
      <c r="BW105" s="456"/>
      <c r="BX105" s="456"/>
      <c r="BY105" s="456"/>
      <c r="BZ105" s="422"/>
      <c r="CA105" s="422"/>
      <c r="CB105" s="465"/>
      <c r="CC105" s="422"/>
      <c r="CD105" s="422"/>
      <c r="CE105" s="422"/>
      <c r="CF105" s="422"/>
      <c r="CG105" s="422"/>
      <c r="CH105" s="422"/>
      <c r="CI105" s="672"/>
      <c r="CJ105" s="673"/>
      <c r="CK105" s="475"/>
      <c r="CL105" s="475"/>
      <c r="CM105" s="422"/>
      <c r="CN105" s="422"/>
      <c r="CO105" s="422"/>
      <c r="CP105" s="422"/>
      <c r="CQ105" s="17"/>
      <c r="CR105" s="17"/>
      <c r="CS105" s="16"/>
      <c r="CT105" s="16"/>
      <c r="CU105" s="16"/>
      <c r="CV105" s="16"/>
      <c r="CW105" s="16"/>
      <c r="CX105" s="16"/>
      <c r="CY105" s="16"/>
      <c r="CZ105" s="16"/>
      <c r="DA105" s="16"/>
      <c r="DB105" s="16"/>
      <c r="DC105" s="16"/>
      <c r="DD105" s="16"/>
      <c r="DE105" s="16"/>
      <c r="DF105" s="16"/>
      <c r="DG105" s="16"/>
      <c r="DH105" s="16"/>
      <c r="DI105" s="16"/>
      <c r="DJ105" s="16"/>
      <c r="DK105" s="17"/>
      <c r="DL105" s="17"/>
      <c r="DM105" s="17"/>
      <c r="DN105" s="17"/>
      <c r="DO105" s="17"/>
      <c r="DP105" s="17"/>
      <c r="DQ105" s="17"/>
      <c r="DV105" s="655"/>
      <c r="DW105" s="523"/>
      <c r="DX105" s="523"/>
      <c r="DY105" s="523"/>
      <c r="DZ105" s="658"/>
      <c r="EA105" s="658"/>
      <c r="EB105" s="666"/>
      <c r="EC105" s="667"/>
    </row>
    <row r="106" spans="1:150" ht="32.25" customHeight="1" thickBot="1" x14ac:dyDescent="0.25">
      <c r="A106" s="324"/>
      <c r="B106" s="324"/>
      <c r="C106" s="324"/>
      <c r="D106" s="324"/>
      <c r="E106" s="324"/>
      <c r="F106" s="324"/>
      <c r="G106" s="324"/>
      <c r="H106" s="324"/>
      <c r="I106" s="324"/>
      <c r="J106" s="324"/>
      <c r="K106" s="324"/>
      <c r="L106" s="324"/>
      <c r="M106" s="324"/>
      <c r="N106" s="17"/>
      <c r="P106" s="324"/>
      <c r="Q106" s="324"/>
      <c r="R106" s="422"/>
      <c r="S106" s="422"/>
      <c r="T106" s="422"/>
      <c r="U106" s="422"/>
      <c r="V106" s="422"/>
      <c r="W106" s="422"/>
      <c r="X106" s="422"/>
      <c r="Y106" s="422"/>
      <c r="Z106" s="475"/>
      <c r="AA106" s="475"/>
      <c r="AB106" s="475"/>
      <c r="AC106" s="475"/>
      <c r="AD106" s="475"/>
      <c r="AE106" s="475"/>
      <c r="AF106" s="475"/>
      <c r="AG106" s="475"/>
      <c r="AH106" s="475"/>
      <c r="AI106" s="475"/>
      <c r="AJ106" s="475"/>
      <c r="AK106" s="475"/>
      <c r="AL106" s="475"/>
      <c r="AM106" s="475"/>
      <c r="AN106" s="475"/>
      <c r="AO106" s="475"/>
      <c r="AP106" s="475"/>
      <c r="AQ106" s="475"/>
      <c r="AR106" s="475"/>
      <c r="AS106" s="475"/>
      <c r="AT106" s="475"/>
      <c r="AU106" s="475"/>
      <c r="AV106" s="475"/>
      <c r="AW106" s="422"/>
      <c r="AX106" s="422"/>
      <c r="AY106" s="422"/>
      <c r="AZ106" s="422"/>
      <c r="BA106" s="422"/>
      <c r="BB106" s="422"/>
      <c r="BC106" s="422"/>
      <c r="BD106" s="422"/>
      <c r="BE106" s="422"/>
      <c r="BF106" s="422"/>
      <c r="BG106" s="422"/>
      <c r="BH106" s="422"/>
      <c r="BI106" s="422"/>
      <c r="BJ106" s="422"/>
      <c r="BK106" s="450"/>
      <c r="BL106" s="450"/>
      <c r="BM106" s="450"/>
      <c r="BN106" s="450"/>
      <c r="BO106" s="480"/>
      <c r="BP106" s="422"/>
      <c r="BQ106" s="422"/>
      <c r="BR106" s="422"/>
      <c r="BS106" s="456"/>
      <c r="BT106" s="456"/>
      <c r="BU106" s="456"/>
      <c r="BV106" s="456"/>
      <c r="BW106" s="456"/>
      <c r="BX106" s="422"/>
      <c r="BY106" s="422"/>
      <c r="BZ106" s="422"/>
      <c r="CA106" s="422"/>
      <c r="CB106" s="422"/>
      <c r="CC106" s="422"/>
      <c r="CD106" s="422"/>
      <c r="CE106" s="422"/>
      <c r="CF106" s="422"/>
      <c r="CG106" s="422"/>
      <c r="CH106" s="450"/>
      <c r="CI106" s="475"/>
      <c r="CJ106" s="475"/>
      <c r="CK106" s="422"/>
      <c r="CL106" s="422"/>
      <c r="CM106" s="422"/>
      <c r="CN106" s="422"/>
      <c r="CO106" s="17"/>
      <c r="CP106" s="17"/>
      <c r="CQ106" s="16"/>
      <c r="CR106" s="16"/>
      <c r="CS106" s="16"/>
      <c r="CT106" s="16"/>
      <c r="CU106" s="16"/>
      <c r="CV106" s="16"/>
      <c r="CW106" s="16"/>
      <c r="CX106" s="16"/>
      <c r="CY106" s="16"/>
      <c r="CZ106" s="16"/>
      <c r="DA106" s="16"/>
      <c r="DB106" s="16"/>
      <c r="DC106" s="16"/>
      <c r="DD106" s="16"/>
      <c r="DE106" s="16"/>
      <c r="DF106" s="16"/>
      <c r="DG106" s="17"/>
      <c r="DH106" s="17"/>
      <c r="DI106" s="17"/>
      <c r="DJ106" s="17"/>
      <c r="DK106" s="17"/>
      <c r="DL106" s="17"/>
      <c r="DM106" s="17"/>
      <c r="DN106" s="17"/>
      <c r="DO106" s="17"/>
    </row>
    <row r="107" spans="1:150" ht="16.5" customHeight="1" thickBot="1" x14ac:dyDescent="0.25">
      <c r="A107" s="1049" t="s">
        <v>1034</v>
      </c>
      <c r="B107" s="1053"/>
      <c r="C107" s="1053"/>
      <c r="D107" s="1053"/>
      <c r="E107" s="1053"/>
      <c r="F107" s="1053"/>
      <c r="G107" s="1053"/>
      <c r="H107" s="1053"/>
      <c r="I107" s="1053"/>
      <c r="J107" s="1053"/>
      <c r="K107" s="1053"/>
      <c r="L107" s="1053"/>
      <c r="M107" s="1054"/>
      <c r="N107" s="17"/>
      <c r="P107" s="324"/>
      <c r="Q107" s="324"/>
      <c r="R107" s="422"/>
      <c r="S107" s="422"/>
      <c r="T107" s="422"/>
      <c r="U107" s="422"/>
      <c r="V107" s="422"/>
      <c r="W107" s="422"/>
      <c r="X107" s="422"/>
      <c r="Y107" s="422"/>
      <c r="Z107" s="475"/>
      <c r="AA107" s="475"/>
      <c r="AB107" s="475"/>
      <c r="AC107" s="475"/>
      <c r="AD107" s="475"/>
      <c r="AE107" s="475"/>
      <c r="AF107" s="475"/>
      <c r="AG107" s="475"/>
      <c r="AH107" s="475"/>
      <c r="AI107" s="475"/>
      <c r="AJ107" s="475"/>
      <c r="AK107" s="475"/>
      <c r="AL107" s="475"/>
      <c r="AM107" s="475"/>
      <c r="AN107" s="475"/>
      <c r="AO107" s="475"/>
      <c r="AP107" s="475"/>
      <c r="AQ107" s="475"/>
      <c r="AR107" s="475"/>
      <c r="AS107" s="475"/>
      <c r="AT107" s="475"/>
      <c r="AU107" s="475"/>
      <c r="AV107" s="475"/>
      <c r="AW107" s="422"/>
      <c r="AX107" s="422"/>
      <c r="AY107" s="422"/>
      <c r="AZ107" s="422"/>
      <c r="BA107" s="422"/>
      <c r="BB107" s="422"/>
      <c r="BC107" s="422"/>
      <c r="BD107" s="422"/>
      <c r="BE107" s="422"/>
      <c r="BF107" s="422"/>
      <c r="BG107" s="422"/>
      <c r="BH107" s="422"/>
      <c r="BI107" s="422"/>
      <c r="BJ107" s="422"/>
      <c r="BK107" s="450"/>
      <c r="BL107" s="450"/>
      <c r="BM107" s="450"/>
      <c r="BN107" s="450"/>
      <c r="BO107" s="480"/>
      <c r="BP107" s="422"/>
      <c r="BQ107" s="422"/>
      <c r="BR107" s="422"/>
      <c r="BS107" s="456"/>
      <c r="BT107" s="456"/>
      <c r="BU107" s="456"/>
      <c r="BV107" s="456"/>
      <c r="BW107" s="456"/>
      <c r="BX107" s="422"/>
      <c r="BY107" s="422"/>
      <c r="BZ107" s="422"/>
      <c r="CA107" s="422"/>
      <c r="CB107" s="422"/>
      <c r="CC107" s="422"/>
      <c r="CD107" s="422"/>
      <c r="CE107" s="422"/>
      <c r="CF107" s="422"/>
      <c r="CG107" s="422"/>
      <c r="CH107" s="450"/>
      <c r="CI107" s="475"/>
      <c r="CJ107" s="475"/>
      <c r="CK107" s="422"/>
      <c r="CL107" s="422"/>
      <c r="CM107" s="422"/>
      <c r="CN107" s="422"/>
      <c r="CO107" s="17"/>
      <c r="CP107" s="17"/>
      <c r="CQ107" s="16"/>
      <c r="CR107" s="16"/>
      <c r="CS107" s="16"/>
      <c r="CT107" s="16"/>
      <c r="CU107" s="16"/>
      <c r="CV107" s="16"/>
      <c r="CW107" s="16"/>
      <c r="CX107" s="16"/>
      <c r="CY107" s="16"/>
      <c r="CZ107" s="16"/>
      <c r="DA107" s="16"/>
      <c r="DB107" s="16"/>
      <c r="DC107" s="16"/>
      <c r="DD107" s="16"/>
      <c r="DE107" s="16"/>
      <c r="DF107" s="16"/>
      <c r="DG107" s="17"/>
      <c r="DH107" s="17"/>
      <c r="DI107" s="17"/>
      <c r="DJ107" s="17"/>
      <c r="DK107" s="17"/>
      <c r="DL107" s="17"/>
      <c r="DM107" s="17"/>
      <c r="DN107" s="17"/>
      <c r="DO107" s="17"/>
    </row>
    <row r="108" spans="1:150" ht="15.75" customHeight="1" x14ac:dyDescent="0.2">
      <c r="A108" s="325" t="s">
        <v>876</v>
      </c>
      <c r="B108" s="324"/>
      <c r="C108" s="324"/>
      <c r="D108" s="324"/>
      <c r="E108" s="324"/>
      <c r="F108" s="324"/>
      <c r="G108" s="324"/>
      <c r="H108" s="324"/>
      <c r="I108" s="324"/>
      <c r="J108" s="324"/>
      <c r="K108" s="324"/>
      <c r="L108" s="324"/>
      <c r="M108" s="324"/>
      <c r="N108" s="17"/>
      <c r="P108" s="324"/>
      <c r="Q108" s="324"/>
      <c r="R108" s="422"/>
      <c r="S108" s="422"/>
      <c r="T108" s="422"/>
      <c r="U108" s="422"/>
      <c r="V108" s="422"/>
      <c r="W108" s="422"/>
      <c r="X108" s="422"/>
      <c r="Y108" s="422"/>
      <c r="Z108" s="475"/>
      <c r="AA108" s="475"/>
      <c r="AB108" s="475"/>
      <c r="AC108" s="475"/>
      <c r="AD108" s="475"/>
      <c r="AE108" s="475"/>
      <c r="AF108" s="475"/>
      <c r="AG108" s="475"/>
      <c r="AH108" s="475"/>
      <c r="AI108" s="475"/>
      <c r="AJ108" s="475"/>
      <c r="AK108" s="475"/>
      <c r="AL108" s="475"/>
      <c r="AM108" s="475"/>
      <c r="AN108" s="475"/>
      <c r="AO108" s="475"/>
      <c r="AP108" s="475"/>
      <c r="AQ108" s="475"/>
      <c r="AR108" s="475"/>
      <c r="AS108" s="475"/>
      <c r="AT108" s="475"/>
      <c r="AU108" s="475"/>
      <c r="AV108" s="475"/>
      <c r="AW108" s="475"/>
      <c r="AX108" s="422"/>
      <c r="AY108" s="422"/>
      <c r="AZ108" s="422"/>
      <c r="BA108" s="422"/>
      <c r="BB108" s="422"/>
      <c r="BC108" s="422"/>
      <c r="BD108" s="422"/>
      <c r="BE108" s="422"/>
      <c r="BF108" s="422"/>
      <c r="BG108" s="422"/>
      <c r="BH108" s="422"/>
      <c r="BI108" s="422"/>
      <c r="BJ108" s="422"/>
      <c r="BK108" s="422"/>
      <c r="BL108" s="1073"/>
      <c r="BM108" s="450"/>
      <c r="BN108" s="450"/>
      <c r="BO108" s="450"/>
      <c r="BP108" s="480"/>
      <c r="BQ108" s="422"/>
      <c r="BR108" s="422"/>
      <c r="BS108" s="422"/>
      <c r="BT108" s="456"/>
      <c r="BU108" s="456"/>
      <c r="BV108" s="456"/>
      <c r="BW108" s="456"/>
      <c r="BX108" s="456"/>
      <c r="BY108" s="422"/>
      <c r="BZ108" s="422"/>
      <c r="CA108" s="422"/>
      <c r="CB108" s="422"/>
      <c r="CC108" s="422"/>
      <c r="CD108" s="422"/>
      <c r="CE108" s="422"/>
      <c r="CF108" s="422"/>
      <c r="CG108" s="422"/>
      <c r="CH108" s="450"/>
      <c r="CI108" s="450"/>
      <c r="CJ108" s="475"/>
      <c r="CK108" s="475"/>
      <c r="CL108" s="422"/>
      <c r="CM108" s="422"/>
      <c r="CN108" s="422"/>
      <c r="CO108" s="422"/>
      <c r="CP108" s="17"/>
      <c r="CQ108" s="17"/>
      <c r="CR108" s="16"/>
      <c r="CS108" s="16"/>
      <c r="CT108" s="16"/>
      <c r="CU108" s="16"/>
      <c r="CV108" s="16"/>
      <c r="CW108" s="16"/>
      <c r="CX108" s="16"/>
      <c r="CY108" s="16"/>
      <c r="CZ108" s="16"/>
      <c r="DA108" s="16"/>
      <c r="DB108" s="16"/>
      <c r="DC108" s="16"/>
      <c r="DD108" s="16"/>
      <c r="DE108" s="16"/>
      <c r="DF108" s="16"/>
      <c r="DG108" s="16"/>
      <c r="DH108" s="17"/>
      <c r="DI108" s="17"/>
      <c r="DJ108" s="17"/>
      <c r="DK108" s="17"/>
      <c r="DL108" s="17"/>
      <c r="DM108" s="17"/>
      <c r="DN108" s="17"/>
      <c r="DO108" s="17"/>
      <c r="DP108" s="17"/>
    </row>
    <row r="109" spans="1:150" ht="17.25" customHeight="1" thickBot="1" x14ac:dyDescent="0.25">
      <c r="A109" s="4"/>
      <c r="B109" s="324"/>
      <c r="C109" s="680"/>
      <c r="D109" s="324"/>
      <c r="E109" s="324"/>
      <c r="F109" s="324"/>
      <c r="G109" s="324"/>
      <c r="H109" s="324"/>
      <c r="I109" s="324"/>
      <c r="J109" s="324"/>
      <c r="K109" s="324"/>
      <c r="L109" s="324"/>
      <c r="M109" s="324"/>
      <c r="N109" s="17"/>
      <c r="P109" s="324"/>
      <c r="Q109" s="324"/>
      <c r="R109" s="422"/>
      <c r="S109" s="422"/>
      <c r="T109" s="422"/>
      <c r="U109" s="422"/>
      <c r="V109" s="422"/>
      <c r="W109" s="422"/>
      <c r="X109" s="422"/>
      <c r="Y109" s="422"/>
      <c r="Z109" s="550" t="s">
        <v>488</v>
      </c>
      <c r="AA109" s="633" t="s">
        <v>489</v>
      </c>
      <c r="AB109" s="633" t="s">
        <v>707</v>
      </c>
      <c r="AC109" s="633" t="s">
        <v>489</v>
      </c>
      <c r="AD109" s="411" t="s">
        <v>713</v>
      </c>
      <c r="AF109" s="475" t="s">
        <v>711</v>
      </c>
      <c r="AG109" s="475" t="s">
        <v>712</v>
      </c>
      <c r="AH109" s="475" t="s">
        <v>717</v>
      </c>
      <c r="AJ109" s="475"/>
      <c r="AK109" s="475"/>
      <c r="AL109" s="475" t="s">
        <v>1200</v>
      </c>
      <c r="AM109" s="475"/>
      <c r="AN109" s="475"/>
      <c r="AO109" s="475"/>
      <c r="AP109" s="475"/>
      <c r="AQ109" s="475" t="s">
        <v>1201</v>
      </c>
      <c r="AR109" s="475"/>
      <c r="AS109" s="475"/>
      <c r="AT109" s="422"/>
      <c r="AU109" s="422"/>
      <c r="AV109" s="422"/>
      <c r="AW109" s="422"/>
      <c r="AX109" s="422"/>
      <c r="AY109" s="422"/>
      <c r="AZ109" s="422"/>
      <c r="BA109" s="422"/>
      <c r="BB109" s="422"/>
      <c r="BC109" s="422"/>
      <c r="BD109" s="422"/>
      <c r="BE109" s="422"/>
      <c r="BF109" s="422"/>
      <c r="BG109" s="422"/>
      <c r="BH109" s="422"/>
      <c r="BI109" s="450"/>
      <c r="BJ109" s="450"/>
      <c r="BK109" s="450"/>
      <c r="BL109" s="450"/>
      <c r="BM109" s="480"/>
      <c r="BN109" s="422"/>
      <c r="BO109" s="422"/>
      <c r="BP109" s="422"/>
      <c r="BQ109" s="456"/>
      <c r="BR109" s="456"/>
      <c r="BS109" s="456"/>
      <c r="BT109" s="456"/>
      <c r="BU109" s="456"/>
      <c r="BV109" s="422"/>
      <c r="BW109" s="422"/>
      <c r="BX109" s="422"/>
      <c r="BY109" s="422"/>
      <c r="BZ109" s="422"/>
      <c r="CA109" s="422"/>
      <c r="CB109" s="422"/>
      <c r="CC109" s="422"/>
      <c r="CD109" s="422"/>
      <c r="CE109" s="422"/>
      <c r="CF109" s="422"/>
      <c r="CG109" s="450"/>
      <c r="CH109" s="475"/>
      <c r="CI109" s="422"/>
      <c r="CJ109" s="422"/>
      <c r="CK109" s="422"/>
      <c r="CL109" s="422"/>
      <c r="CM109" s="17"/>
      <c r="CN109" s="17"/>
      <c r="CO109" s="16"/>
      <c r="CP109" s="16"/>
      <c r="CQ109" s="16"/>
      <c r="CR109" s="16"/>
      <c r="CS109" s="16"/>
      <c r="CT109" s="16"/>
      <c r="CU109" s="16"/>
      <c r="CV109" s="16"/>
      <c r="CW109" s="16"/>
      <c r="CX109" s="16"/>
      <c r="CY109" s="16"/>
      <c r="CZ109" s="16"/>
      <c r="DA109" s="16"/>
      <c r="DB109" s="16"/>
      <c r="DC109" s="16"/>
      <c r="DD109" s="16"/>
      <c r="DE109" s="17"/>
      <c r="DF109" s="17"/>
      <c r="DG109" s="17"/>
      <c r="DH109" s="17"/>
      <c r="DI109" s="17"/>
      <c r="DJ109" s="17"/>
      <c r="DK109" s="17"/>
      <c r="DL109" s="17"/>
      <c r="DM109" s="17"/>
    </row>
    <row r="110" spans="1:150" ht="15.75" customHeight="1" thickBot="1" x14ac:dyDescent="0.4">
      <c r="A110" s="861" t="s">
        <v>784</v>
      </c>
      <c r="B110" s="1269"/>
      <c r="C110" s="1266"/>
      <c r="D110" s="1114" t="s">
        <v>320</v>
      </c>
      <c r="E110" s="1114" t="s">
        <v>482</v>
      </c>
      <c r="F110" s="2967" t="s">
        <v>1169</v>
      </c>
      <c r="G110" s="1114" t="s">
        <v>1074</v>
      </c>
      <c r="H110" s="1131" t="s">
        <v>488</v>
      </c>
      <c r="I110" s="1132" t="s">
        <v>489</v>
      </c>
      <c r="J110" s="1131" t="s">
        <v>4</v>
      </c>
      <c r="K110" s="2767" t="s">
        <v>1075</v>
      </c>
      <c r="L110" s="2767"/>
      <c r="M110" s="1133" t="s">
        <v>353</v>
      </c>
      <c r="N110" s="577"/>
      <c r="Q110" s="549" t="s">
        <v>492</v>
      </c>
      <c r="R110" s="634" t="s">
        <v>489</v>
      </c>
      <c r="S110" s="550" t="s">
        <v>215</v>
      </c>
      <c r="T110" s="552" t="s">
        <v>322</v>
      </c>
      <c r="U110" s="552" t="s">
        <v>4</v>
      </c>
      <c r="V110" s="552" t="s">
        <v>490</v>
      </c>
      <c r="W110" s="551" t="s">
        <v>491</v>
      </c>
      <c r="X110" s="633"/>
      <c r="Y110" s="633" t="s">
        <v>708</v>
      </c>
      <c r="Z110" s="554" t="s">
        <v>496</v>
      </c>
      <c r="AA110" s="564"/>
      <c r="AB110" s="564"/>
      <c r="AC110" s="564" t="s">
        <v>710</v>
      </c>
      <c r="AD110" s="411" t="s">
        <v>714</v>
      </c>
      <c r="AF110" s="633" t="s">
        <v>489</v>
      </c>
      <c r="AG110" s="633" t="s">
        <v>489</v>
      </c>
      <c r="AH110" s="633"/>
      <c r="AJ110" s="633"/>
      <c r="AK110" s="633"/>
      <c r="AL110" s="1293" t="s">
        <v>514</v>
      </c>
      <c r="AM110" s="1294"/>
      <c r="AN110" s="1294"/>
      <c r="AO110" s="1294"/>
      <c r="AP110" s="1294"/>
      <c r="AQ110" s="1295" t="s">
        <v>673</v>
      </c>
      <c r="AR110" s="1294"/>
      <c r="AS110" s="1294"/>
      <c r="AT110" s="1294"/>
      <c r="AU110" s="1294"/>
      <c r="AV110" s="1277"/>
      <c r="AW110" s="475" t="s">
        <v>729</v>
      </c>
      <c r="AX110" s="422"/>
      <c r="AY110" s="425" t="s">
        <v>321</v>
      </c>
      <c r="AZ110" s="607" t="s">
        <v>4</v>
      </c>
      <c r="BA110" s="608" t="s">
        <v>239</v>
      </c>
      <c r="BB110" s="608" t="s">
        <v>240</v>
      </c>
      <c r="BC110" s="500" t="s">
        <v>671</v>
      </c>
      <c r="BD110" s="475" t="s">
        <v>488</v>
      </c>
      <c r="BE110" s="475" t="s">
        <v>489</v>
      </c>
      <c r="BF110" s="1265"/>
      <c r="BG110" s="475"/>
      <c r="BH110" s="475"/>
      <c r="BI110" s="2768" t="s">
        <v>720</v>
      </c>
      <c r="BJ110" s="2768"/>
      <c r="BK110" s="475"/>
      <c r="BL110" s="1074"/>
      <c r="BN110" s="475"/>
      <c r="BP110" s="475"/>
      <c r="BQ110" s="475"/>
      <c r="BR110" s="475"/>
      <c r="BS110" s="475"/>
      <c r="BT110" s="475"/>
      <c r="BU110" s="475"/>
      <c r="BV110" s="475"/>
      <c r="BW110" s="475"/>
      <c r="BX110" s="422"/>
      <c r="BY110" s="422"/>
      <c r="BZ110" s="422"/>
      <c r="CA110" s="422"/>
      <c r="CB110" s="422"/>
      <c r="CC110" s="422"/>
      <c r="CD110" s="422"/>
      <c r="CE110" s="422"/>
      <c r="CF110" s="422"/>
      <c r="CG110" s="422"/>
      <c r="CH110" s="422"/>
      <c r="CI110" s="422"/>
      <c r="CJ110" s="450"/>
      <c r="CK110" s="450"/>
      <c r="CL110" s="450"/>
      <c r="CM110" s="480"/>
      <c r="CN110" s="422"/>
      <c r="CO110" s="422"/>
      <c r="CP110" s="422"/>
      <c r="CQ110" s="456"/>
      <c r="CR110" s="456"/>
      <c r="CS110" s="456"/>
      <c r="CT110" s="456"/>
      <c r="CU110" s="456"/>
      <c r="CV110" s="422"/>
      <c r="CW110" s="422"/>
      <c r="CX110" s="422"/>
      <c r="CY110" s="422"/>
      <c r="CZ110" s="422"/>
      <c r="DA110" s="422"/>
      <c r="DB110" s="422"/>
      <c r="DC110" s="422"/>
      <c r="DD110" s="422"/>
      <c r="DE110" s="422"/>
      <c r="DF110" s="422"/>
      <c r="DG110" s="422"/>
      <c r="DH110" s="422"/>
      <c r="DI110" s="422"/>
      <c r="DJ110" s="422"/>
      <c r="DK110" s="422"/>
      <c r="DL110" s="422"/>
      <c r="DM110" s="450"/>
      <c r="DN110" s="450"/>
      <c r="DO110" s="450"/>
      <c r="DP110" s="450"/>
      <c r="DQ110" s="450"/>
      <c r="DR110" s="450"/>
      <c r="DS110" s="450"/>
      <c r="DT110" s="450"/>
      <c r="DU110" s="450"/>
      <c r="DV110" s="450"/>
      <c r="DW110" s="450"/>
      <c r="DX110" s="450"/>
      <c r="DY110" s="450"/>
      <c r="DZ110" s="450"/>
      <c r="EA110" s="450"/>
      <c r="EB110" s="450"/>
      <c r="EC110" s="450"/>
      <c r="ED110" s="450"/>
      <c r="EE110" s="475"/>
      <c r="EF110" s="475"/>
      <c r="EG110" s="422"/>
      <c r="EH110" s="422"/>
      <c r="EI110" s="422"/>
      <c r="EJ110" s="422"/>
      <c r="EK110" s="422"/>
      <c r="EL110" s="422"/>
      <c r="EM110" s="17"/>
      <c r="EN110" s="17"/>
      <c r="EO110" s="16"/>
      <c r="EP110" s="16"/>
      <c r="EQ110" s="17"/>
      <c r="ER110" s="17"/>
      <c r="ES110" s="17"/>
      <c r="ET110" s="17"/>
    </row>
    <row r="111" spans="1:150" ht="15.75" customHeight="1" x14ac:dyDescent="0.35">
      <c r="A111" s="864" t="s">
        <v>785</v>
      </c>
      <c r="B111" s="1270"/>
      <c r="C111" s="1267"/>
      <c r="D111" s="1134" t="s">
        <v>493</v>
      </c>
      <c r="E111" s="1135" t="s">
        <v>494</v>
      </c>
      <c r="F111" s="2968"/>
      <c r="G111" s="1134" t="s">
        <v>495</v>
      </c>
      <c r="H111" s="1136" t="s">
        <v>496</v>
      </c>
      <c r="I111" s="1137" t="s">
        <v>497</v>
      </c>
      <c r="J111" s="2797" t="s">
        <v>278</v>
      </c>
      <c r="K111" s="2798"/>
      <c r="L111" s="2798"/>
      <c r="M111" s="2799"/>
      <c r="N111" s="564"/>
      <c r="Q111" s="553" t="s">
        <v>498</v>
      </c>
      <c r="R111" s="635" t="s">
        <v>674</v>
      </c>
      <c r="S111" s="566" t="s">
        <v>499</v>
      </c>
      <c r="T111" s="567"/>
      <c r="U111" s="567"/>
      <c r="V111" s="567"/>
      <c r="W111" s="568"/>
      <c r="X111" s="564"/>
      <c r="Y111" s="564"/>
      <c r="Z111" s="554" t="s">
        <v>709</v>
      </c>
      <c r="AD111" s="411" t="s">
        <v>715</v>
      </c>
      <c r="AE111" s="411" t="s">
        <v>322</v>
      </c>
      <c r="AF111" s="564" t="s">
        <v>710</v>
      </c>
      <c r="AG111" s="564" t="s">
        <v>710</v>
      </c>
      <c r="AH111" s="440" t="s">
        <v>321</v>
      </c>
      <c r="AJ111" s="564"/>
      <c r="AK111" s="564"/>
      <c r="AL111" s="1282" t="s">
        <v>215</v>
      </c>
      <c r="AM111" s="1283" t="s">
        <v>322</v>
      </c>
      <c r="AN111" s="1283" t="s">
        <v>4</v>
      </c>
      <c r="AO111" s="1283" t="s">
        <v>490</v>
      </c>
      <c r="AP111" s="1284" t="s">
        <v>491</v>
      </c>
      <c r="AQ111" s="1282" t="s">
        <v>215</v>
      </c>
      <c r="AR111" s="1283" t="s">
        <v>322</v>
      </c>
      <c r="AS111" s="1283" t="s">
        <v>4</v>
      </c>
      <c r="AT111" s="1283" t="s">
        <v>490</v>
      </c>
      <c r="AU111" s="1284" t="s">
        <v>491</v>
      </c>
      <c r="AV111" s="1046"/>
      <c r="AW111" s="475" t="s">
        <v>730</v>
      </c>
      <c r="AX111" s="2250" t="s">
        <v>1198</v>
      </c>
      <c r="AY111" s="425"/>
      <c r="AZ111" s="475"/>
      <c r="BA111" s="475"/>
      <c r="BB111" s="475"/>
      <c r="BC111" s="475"/>
      <c r="BD111" s="475" t="s">
        <v>672</v>
      </c>
      <c r="BE111" s="475"/>
      <c r="BF111" s="475"/>
      <c r="BG111" s="475"/>
      <c r="BH111" s="475"/>
      <c r="BI111" s="475" t="s">
        <v>724</v>
      </c>
      <c r="BJ111" s="475" t="s">
        <v>542</v>
      </c>
      <c r="BK111" s="475"/>
      <c r="BL111" s="1074"/>
      <c r="BN111" s="475"/>
      <c r="BO111" s="475"/>
      <c r="BP111" s="475"/>
      <c r="BQ111" s="475"/>
      <c r="BR111" s="475"/>
      <c r="BS111" s="475"/>
      <c r="BT111" s="475"/>
      <c r="BU111" s="475"/>
      <c r="BV111" s="475"/>
      <c r="BW111" s="475"/>
      <c r="BX111" s="422"/>
      <c r="BY111" s="422"/>
      <c r="BZ111" s="422"/>
      <c r="CA111" s="422"/>
      <c r="CB111" s="422"/>
      <c r="CC111" s="422"/>
      <c r="CD111" s="422"/>
      <c r="CE111" s="422"/>
      <c r="CF111" s="422"/>
      <c r="CG111" s="422"/>
      <c r="CH111" s="422"/>
      <c r="CI111" s="422"/>
      <c r="CJ111" s="450"/>
      <c r="CK111" s="450"/>
      <c r="CL111" s="450"/>
      <c r="CM111" s="480"/>
      <c r="CN111" s="422"/>
      <c r="CO111" s="422"/>
      <c r="CP111" s="422"/>
      <c r="CQ111" s="456"/>
      <c r="CR111" s="456"/>
      <c r="CS111" s="456"/>
      <c r="CT111" s="456"/>
      <c r="CU111" s="456"/>
      <c r="CV111" s="422"/>
      <c r="CW111" s="422"/>
      <c r="CX111" s="422"/>
      <c r="CY111" s="422"/>
      <c r="CZ111" s="422"/>
      <c r="DA111" s="422"/>
      <c r="DB111" s="422"/>
      <c r="DC111" s="422"/>
      <c r="DD111" s="422"/>
      <c r="DE111" s="422"/>
      <c r="DF111" s="422"/>
      <c r="DG111" s="422"/>
      <c r="DH111" s="422"/>
      <c r="DI111" s="422"/>
      <c r="DJ111" s="422"/>
      <c r="DK111" s="422"/>
      <c r="DL111" s="422"/>
      <c r="DM111" s="450"/>
      <c r="DN111" s="450"/>
      <c r="DO111" s="450"/>
      <c r="DP111" s="450"/>
      <c r="DQ111" s="450"/>
      <c r="DR111" s="450"/>
      <c r="DS111" s="450"/>
      <c r="DT111" s="450"/>
      <c r="DU111" s="450"/>
      <c r="DV111" s="450"/>
      <c r="DW111" s="450"/>
      <c r="DX111" s="450"/>
      <c r="DY111" s="450"/>
      <c r="DZ111" s="450"/>
      <c r="EA111" s="450"/>
      <c r="EB111" s="450"/>
      <c r="EC111" s="450"/>
      <c r="ED111" s="450"/>
      <c r="EE111" s="475"/>
      <c r="EF111" s="475"/>
      <c r="EG111" s="422"/>
      <c r="EH111" s="422"/>
      <c r="EI111" s="422"/>
      <c r="EJ111" s="422"/>
      <c r="EK111" s="422"/>
      <c r="EL111" s="422"/>
      <c r="EM111" s="17"/>
      <c r="EN111" s="17"/>
      <c r="EO111" s="16"/>
      <c r="EP111" s="16"/>
      <c r="EQ111" s="17"/>
      <c r="ER111" s="17"/>
      <c r="ES111" s="17"/>
      <c r="ET111" s="17"/>
    </row>
    <row r="112" spans="1:150" ht="15.75" customHeight="1" thickBot="1" x14ac:dyDescent="0.25">
      <c r="A112" s="794" t="s">
        <v>1197</v>
      </c>
      <c r="B112" s="1271"/>
      <c r="C112" s="1268"/>
      <c r="D112" s="1116" t="s">
        <v>500</v>
      </c>
      <c r="E112" s="1138" t="s">
        <v>501</v>
      </c>
      <c r="F112" s="2969"/>
      <c r="G112" s="1116" t="s">
        <v>2</v>
      </c>
      <c r="H112" s="1115" t="s">
        <v>1073</v>
      </c>
      <c r="I112" s="1139" t="s">
        <v>2</v>
      </c>
      <c r="J112" s="2790" t="s">
        <v>500</v>
      </c>
      <c r="K112" s="2791"/>
      <c r="L112" s="2791"/>
      <c r="M112" s="2792"/>
      <c r="N112" s="564"/>
      <c r="Q112" s="569" t="s">
        <v>479</v>
      </c>
      <c r="R112" s="636" t="s">
        <v>497</v>
      </c>
      <c r="S112" s="570"/>
      <c r="T112" s="570"/>
      <c r="U112" s="570"/>
      <c r="V112" s="570"/>
      <c r="W112" s="571"/>
      <c r="X112" s="564"/>
      <c r="Y112" s="564" t="s">
        <v>40</v>
      </c>
      <c r="Z112" s="554"/>
      <c r="AA112" s="564" t="s">
        <v>40</v>
      </c>
      <c r="AB112" s="564" t="s">
        <v>40</v>
      </c>
      <c r="AC112" s="657" t="s">
        <v>40</v>
      </c>
      <c r="AE112" s="411" t="s">
        <v>2</v>
      </c>
      <c r="AF112" s="475" t="s">
        <v>40</v>
      </c>
      <c r="AG112" s="475" t="s">
        <v>40</v>
      </c>
      <c r="AH112" s="564"/>
      <c r="AJ112" s="564"/>
      <c r="AK112" s="564"/>
      <c r="AL112" s="1285" t="s">
        <v>499</v>
      </c>
      <c r="AM112" s="1286"/>
      <c r="AN112" s="1286"/>
      <c r="AO112" s="1286"/>
      <c r="AP112" s="1287"/>
      <c r="AQ112" s="1285" t="s">
        <v>499</v>
      </c>
      <c r="AR112" s="1286"/>
      <c r="AS112" s="1286"/>
      <c r="AT112" s="1286"/>
      <c r="AU112" s="1287"/>
      <c r="AV112" s="1046"/>
      <c r="AW112" s="475" t="s">
        <v>1202</v>
      </c>
      <c r="AX112" s="422"/>
      <c r="AY112" s="422"/>
      <c r="AZ112" s="475"/>
      <c r="BA112" s="475"/>
      <c r="BB112" s="475"/>
      <c r="BC112" s="475"/>
      <c r="BD112" s="475"/>
      <c r="BE112" s="475"/>
      <c r="BF112" s="1276"/>
      <c r="BG112" s="475"/>
      <c r="BH112" s="475"/>
      <c r="BI112" s="475"/>
      <c r="BJ112" s="475"/>
      <c r="BK112" s="475"/>
      <c r="BL112" s="1074"/>
      <c r="BN112" s="475"/>
      <c r="BO112" s="475"/>
      <c r="BP112" s="475"/>
      <c r="BQ112" s="475"/>
      <c r="BR112" s="475"/>
      <c r="BS112" s="475"/>
      <c r="BT112" s="475"/>
      <c r="BU112" s="475"/>
      <c r="BV112" s="475"/>
      <c r="BW112" s="475"/>
      <c r="BX112" s="422"/>
      <c r="BY112" s="422"/>
      <c r="BZ112" s="422"/>
      <c r="CA112" s="422"/>
      <c r="CB112" s="422"/>
      <c r="CC112" s="422"/>
      <c r="CD112" s="422"/>
      <c r="CE112" s="422"/>
      <c r="CF112" s="422"/>
      <c r="CG112" s="422"/>
      <c r="CH112" s="422"/>
      <c r="CI112" s="422"/>
      <c r="CJ112" s="450"/>
      <c r="CK112" s="450"/>
      <c r="CL112" s="450"/>
      <c r="CM112" s="480"/>
      <c r="CN112" s="422"/>
      <c r="CO112" s="422"/>
      <c r="CP112" s="422"/>
      <c r="CQ112" s="456"/>
      <c r="CR112" s="456"/>
      <c r="CS112" s="456"/>
      <c r="CT112" s="456"/>
      <c r="CU112" s="456"/>
      <c r="CV112" s="422"/>
      <c r="CW112" s="422"/>
      <c r="CX112" s="422"/>
      <c r="CY112" s="422"/>
      <c r="CZ112" s="422"/>
      <c r="DA112" s="422"/>
      <c r="DB112" s="422"/>
      <c r="DC112" s="422"/>
      <c r="DD112" s="422"/>
      <c r="DE112" s="422"/>
      <c r="DF112" s="422"/>
      <c r="DG112" s="422"/>
      <c r="DH112" s="422"/>
      <c r="DI112" s="422"/>
      <c r="DJ112" s="422"/>
      <c r="DK112" s="422"/>
      <c r="DL112" s="422"/>
      <c r="DM112" s="450"/>
      <c r="DN112" s="450"/>
      <c r="DO112" s="450"/>
      <c r="DP112" s="450"/>
      <c r="DQ112" s="450"/>
      <c r="DR112" s="450"/>
      <c r="DS112" s="450"/>
      <c r="DT112" s="450"/>
      <c r="DU112" s="450"/>
      <c r="DV112" s="450"/>
      <c r="DW112" s="450"/>
      <c r="DX112" s="450"/>
      <c r="DY112" s="450"/>
      <c r="DZ112" s="450"/>
      <c r="EA112" s="450"/>
      <c r="EB112" s="450"/>
      <c r="EC112" s="450"/>
      <c r="ED112" s="450"/>
      <c r="EE112" s="475"/>
      <c r="EF112" s="475"/>
      <c r="EG112" s="422"/>
      <c r="EH112" s="422"/>
      <c r="EI112" s="422"/>
      <c r="EJ112" s="422"/>
      <c r="EK112" s="422"/>
      <c r="EL112" s="422"/>
      <c r="EM112" s="17"/>
      <c r="EN112" s="17"/>
      <c r="EO112" s="16"/>
      <c r="EP112" s="16"/>
      <c r="EQ112" s="17"/>
      <c r="ER112" s="17"/>
      <c r="ES112" s="17"/>
      <c r="ET112" s="17"/>
    </row>
    <row r="113" spans="1:150" ht="15.75" customHeight="1" x14ac:dyDescent="0.25">
      <c r="A113" s="752"/>
      <c r="B113" s="744"/>
      <c r="C113" s="787"/>
      <c r="D113" s="783"/>
      <c r="E113" s="784"/>
      <c r="F113" s="745">
        <f>IF(E113&gt;1,E113,AY113)</f>
        <v>0</v>
      </c>
      <c r="G113" s="746">
        <f>+BC113*100</f>
        <v>0</v>
      </c>
      <c r="H113" s="2319">
        <f>BD113</f>
        <v>0</v>
      </c>
      <c r="I113" s="746">
        <f>+BE113*100</f>
        <v>0</v>
      </c>
      <c r="J113" s="747">
        <f>IF(AY113=0,,AZ113*F113/AY113)</f>
        <v>0</v>
      </c>
      <c r="K113" s="2860">
        <f>IF(AY113=0,,BA113*F113/AY113)</f>
        <v>0</v>
      </c>
      <c r="L113" s="2860"/>
      <c r="M113" s="753">
        <f>IF(AY113=0,,BB113*F113/AY113)</f>
        <v>0</v>
      </c>
      <c r="N113" s="560"/>
      <c r="O113" s="365"/>
      <c r="Q113" s="556">
        <f>+D113*F113/100*G113/100*H113/1000</f>
        <v>0</v>
      </c>
      <c r="R113" s="558">
        <f>+Q113*I113/100</f>
        <v>0</v>
      </c>
      <c r="S113" s="557">
        <f>+D113*F113/100</f>
        <v>0</v>
      </c>
      <c r="T113" s="557">
        <f>+D113-S113</f>
        <v>0</v>
      </c>
      <c r="U113" s="558">
        <f>+J113*$D113/1000</f>
        <v>0</v>
      </c>
      <c r="V113" s="558">
        <f>K113*$D113/1000</f>
        <v>0</v>
      </c>
      <c r="W113" s="559">
        <f>M113*$D113/1000</f>
        <v>0</v>
      </c>
      <c r="X113" s="562"/>
      <c r="Y113" s="562">
        <f>+D113*F113/100*G113/100</f>
        <v>0</v>
      </c>
      <c r="Z113" s="560">
        <f>IF(D113=0,0,Y113*H113/D113)</f>
        <v>0</v>
      </c>
      <c r="AA113" s="560">
        <f>D113*Z113*I113/100/22.26*0.01605</f>
        <v>0</v>
      </c>
      <c r="AB113" s="562">
        <f>D113*Z113*(1-I113/100)/22.26*0.04401</f>
        <v>0</v>
      </c>
      <c r="AC113" s="562">
        <f>+AA113+AB113</f>
        <v>0</v>
      </c>
      <c r="AD113" s="411">
        <f>+H113/887*100</f>
        <v>0</v>
      </c>
      <c r="AE113" s="411">
        <f>15.44*AD113/100</f>
        <v>0</v>
      </c>
      <c r="AF113" s="562">
        <f>+AC113-AG113</f>
        <v>0</v>
      </c>
      <c r="AG113" s="562">
        <f>+AC113*AE113/100</f>
        <v>0</v>
      </c>
      <c r="AH113" s="562" t="e">
        <f>+(D113*F113/100-AF113)/(D113-AC113)*100</f>
        <v>#DIV/0!</v>
      </c>
      <c r="AJ113" s="562"/>
      <c r="AK113" s="562"/>
      <c r="AL113" s="1288">
        <f>IF($AW113=1,0,S113)</f>
        <v>0</v>
      </c>
      <c r="AM113" s="1288">
        <f t="shared" ref="AM113:AP113" si="113">IF($AW113=1,0,T113)</f>
        <v>0</v>
      </c>
      <c r="AN113" s="1288">
        <f t="shared" si="113"/>
        <v>0</v>
      </c>
      <c r="AO113" s="1288">
        <f>IF($AW113=1,0,V113)</f>
        <v>0</v>
      </c>
      <c r="AP113" s="1288">
        <f t="shared" si="113"/>
        <v>0</v>
      </c>
      <c r="AQ113" s="1288">
        <f t="shared" ref="AQ113:AU115" si="114">+S113-AL113</f>
        <v>0</v>
      </c>
      <c r="AR113" s="1288">
        <f t="shared" si="114"/>
        <v>0</v>
      </c>
      <c r="AS113" s="1288">
        <f t="shared" si="114"/>
        <v>0</v>
      </c>
      <c r="AT113" s="1288">
        <f t="shared" si="114"/>
        <v>0</v>
      </c>
      <c r="AU113" s="1288">
        <f t="shared" si="114"/>
        <v>0</v>
      </c>
      <c r="AV113" s="1278"/>
      <c r="AW113" s="698">
        <f>INDEX(Pflanzen!$AH$5:$AH$109,'Berechnung Nährstoffe und Lager'!$AX113)</f>
        <v>0</v>
      </c>
      <c r="AX113" s="422">
        <v>1</v>
      </c>
      <c r="AY113" s="422">
        <f>INDEX(Pflanzen!$M$5:$M$109,'Berechnung Nährstoffe und Lager'!$AX113)</f>
        <v>0</v>
      </c>
      <c r="AZ113" s="422">
        <f>INDEX(Pflanzen!$AD$5:$AD$109,'Berechnung Nährstoffe und Lager'!$AX113)</f>
        <v>0</v>
      </c>
      <c r="BA113" s="422">
        <f>INDEX(Pflanzen!$AE$5:$AE$109,'Berechnung Nährstoffe und Lager'!$AX113)</f>
        <v>0</v>
      </c>
      <c r="BB113" s="422">
        <f>INDEX(Pflanzen!$AF$5:$AF$109,'Berechnung Nährstoffe und Lager'!$AX113)</f>
        <v>0</v>
      </c>
      <c r="BC113" s="422">
        <f>INDEX(Pflanzen!$T$5:$T$109,'Berechnung Nährstoffe und Lager'!$AX113)</f>
        <v>0</v>
      </c>
      <c r="BD113" s="422">
        <f>INDEX(Pflanzen!$V$5:$V$109,'Berechnung Nährstoffe und Lager'!$AX113)</f>
        <v>0</v>
      </c>
      <c r="BE113" s="422">
        <f>INDEX(Pflanzen!$AL$5:$AL$109,'Berechnung Nährstoffe und Lager'!$AX113)</f>
        <v>0</v>
      </c>
      <c r="BF113" s="1276"/>
      <c r="BG113" s="480"/>
      <c r="BH113" s="480"/>
      <c r="BI113" s="422">
        <f>INDEX(Pflanzen!$X$5:$X109,'Berechnung Nährstoffe und Lager'!$AX113)</f>
        <v>0</v>
      </c>
      <c r="BJ113" s="475">
        <f>+BI113*D113</f>
        <v>0</v>
      </c>
      <c r="BK113" s="475"/>
      <c r="BL113" s="1074"/>
      <c r="BN113" s="475"/>
      <c r="BO113" s="422">
        <f>INDEX(Pflanzen!$AM$5:$AM$109,'Berechnung Nährstoffe und Lager'!$AX113)</f>
        <v>0</v>
      </c>
      <c r="BP113" s="484">
        <f>+BO113*U113</f>
        <v>0</v>
      </c>
      <c r="BQ113" s="475"/>
      <c r="BR113" s="475"/>
      <c r="BS113" s="475"/>
      <c r="BT113" s="475"/>
      <c r="BU113" s="475"/>
      <c r="BV113" s="475"/>
      <c r="BW113" s="475"/>
      <c r="BX113" s="422"/>
      <c r="BY113" s="422"/>
      <c r="BZ113" s="422"/>
      <c r="CA113" s="422"/>
      <c r="CB113" s="422"/>
      <c r="CC113" s="422"/>
      <c r="CD113" s="422"/>
      <c r="CE113" s="422"/>
      <c r="CF113" s="422"/>
      <c r="CG113" s="422"/>
      <c r="CH113" s="422"/>
      <c r="CI113" s="422"/>
      <c r="CJ113" s="450"/>
      <c r="CK113" s="450"/>
      <c r="CL113" s="450"/>
      <c r="CM113" s="480"/>
      <c r="CN113" s="422"/>
      <c r="CO113" s="422"/>
      <c r="CP113" s="422"/>
      <c r="CQ113" s="456"/>
      <c r="CR113" s="456"/>
      <c r="CS113" s="456"/>
      <c r="CT113" s="456"/>
      <c r="CU113" s="456"/>
      <c r="CV113" s="422"/>
      <c r="CW113" s="422"/>
      <c r="CX113" s="422"/>
      <c r="CY113" s="422"/>
      <c r="CZ113" s="422"/>
      <c r="DA113" s="422"/>
      <c r="DB113" s="422"/>
      <c r="DC113" s="422"/>
      <c r="DD113" s="422"/>
      <c r="DE113" s="422"/>
      <c r="DF113" s="422"/>
      <c r="DG113" s="422"/>
      <c r="DH113" s="422"/>
      <c r="DI113" s="422"/>
      <c r="DJ113" s="422"/>
      <c r="DK113" s="422"/>
      <c r="DL113" s="422"/>
      <c r="DM113" s="450"/>
      <c r="DN113" s="450"/>
      <c r="DO113" s="450"/>
      <c r="DP113" s="450"/>
      <c r="DQ113" s="450"/>
      <c r="DR113" s="450"/>
      <c r="DS113" s="450"/>
      <c r="DT113" s="450"/>
      <c r="DU113" s="450"/>
      <c r="DV113" s="450"/>
      <c r="DW113" s="450"/>
      <c r="DX113" s="450"/>
      <c r="DY113" s="450"/>
      <c r="DZ113" s="450"/>
      <c r="EA113" s="450"/>
      <c r="EB113" s="450"/>
      <c r="EC113" s="450"/>
      <c r="ED113" s="450"/>
      <c r="EE113" s="475"/>
      <c r="EF113" s="475"/>
      <c r="EG113" s="422"/>
      <c r="EH113" s="422"/>
      <c r="EI113" s="422"/>
      <c r="EJ113" s="422"/>
      <c r="EK113" s="422"/>
      <c r="EL113" s="422"/>
      <c r="EM113" s="17"/>
      <c r="EN113" s="17"/>
      <c r="EO113" s="16"/>
      <c r="EP113" s="16"/>
      <c r="EQ113" s="17"/>
      <c r="ER113" s="17"/>
      <c r="ES113" s="17"/>
      <c r="ET113" s="17"/>
    </row>
    <row r="114" spans="1:150" ht="15.75" customHeight="1" x14ac:dyDescent="0.25">
      <c r="A114" s="754"/>
      <c r="B114" s="748"/>
      <c r="C114" s="788"/>
      <c r="D114" s="785"/>
      <c r="E114" s="763"/>
      <c r="F114" s="749">
        <f t="shared" ref="F114:F130" si="115">IF(E114&gt;1,E114,AY114)</f>
        <v>0</v>
      </c>
      <c r="G114" s="750">
        <f t="shared" ref="G114:G130" si="116">+BC114*100</f>
        <v>0</v>
      </c>
      <c r="H114" s="2320">
        <f>BD114</f>
        <v>0</v>
      </c>
      <c r="I114" s="750">
        <f t="shared" ref="I114:I130" si="117">+BE114*100</f>
        <v>0</v>
      </c>
      <c r="J114" s="751">
        <f t="shared" ref="J114:J130" si="118">IF(AY114=0,,AZ114*F114/AY114)</f>
        <v>0</v>
      </c>
      <c r="K114" s="2479">
        <f t="shared" ref="K114:K130" si="119">IF(AY114=0,,BA114*F114/AY114)</f>
        <v>0</v>
      </c>
      <c r="L114" s="2479"/>
      <c r="M114" s="755">
        <f t="shared" ref="M114:M130" si="120">IF(AY114=0,,BB114*F114/AY114)</f>
        <v>0</v>
      </c>
      <c r="N114" s="560"/>
      <c r="Q114" s="556">
        <f>+D114*F114/100*G114/100*H114/1000</f>
        <v>0</v>
      </c>
      <c r="R114" s="558">
        <f>+Q114*I114/100</f>
        <v>0</v>
      </c>
      <c r="S114" s="557">
        <f>+D114*F114/100</f>
        <v>0</v>
      </c>
      <c r="T114" s="557">
        <f>+D114-S114</f>
        <v>0</v>
      </c>
      <c r="U114" s="558">
        <f>+J114*$D114/1000</f>
        <v>0</v>
      </c>
      <c r="V114" s="558">
        <f>K114*$D114/1000</f>
        <v>0</v>
      </c>
      <c r="W114" s="559">
        <f>M114*$D114/1000</f>
        <v>0</v>
      </c>
      <c r="X114" s="562"/>
      <c r="Y114" s="562">
        <f>+D114*F114/100*G114/100</f>
        <v>0</v>
      </c>
      <c r="Z114" s="560">
        <f>IF(D114=0,0,Y114*H114/D114)</f>
        <v>0</v>
      </c>
      <c r="AA114" s="560">
        <f>D114*Z114*I114/100/22.26*0.01605</f>
        <v>0</v>
      </c>
      <c r="AB114" s="562">
        <f>D114*Z114*(1-I114/100)/22.26*0.04401</f>
        <v>0</v>
      </c>
      <c r="AC114" s="562">
        <f>+AA114+AB114</f>
        <v>0</v>
      </c>
      <c r="AD114" s="411">
        <f>+H114/887*100</f>
        <v>0</v>
      </c>
      <c r="AE114" s="411">
        <f>15.44*AD114/100</f>
        <v>0</v>
      </c>
      <c r="AF114" s="562">
        <f>+AC114-AG114</f>
        <v>0</v>
      </c>
      <c r="AG114" s="562">
        <f>+AC114*AE114/100</f>
        <v>0</v>
      </c>
      <c r="AH114" s="562" t="e">
        <f>+(D114*F114/100-AF114)/(D114-AC114)*100</f>
        <v>#DIV/0!</v>
      </c>
      <c r="AJ114" s="562"/>
      <c r="AK114" s="562"/>
      <c r="AL114" s="1288">
        <f t="shared" ref="AL114:AL130" si="121">IF($AW114=1,0,S114)</f>
        <v>0</v>
      </c>
      <c r="AM114" s="1288">
        <f t="shared" ref="AM114:AM130" si="122">IF($AW114=1,0,T114)</f>
        <v>0</v>
      </c>
      <c r="AN114" s="1288">
        <f t="shared" ref="AN114:AN130" si="123">IF($AW114=1,0,U114)</f>
        <v>0</v>
      </c>
      <c r="AO114" s="1288">
        <f t="shared" ref="AO114:AO130" si="124">IF($AW114=1,0,V114)</f>
        <v>0</v>
      </c>
      <c r="AP114" s="1288">
        <f t="shared" ref="AP114:AP130" si="125">IF($AW114=1,0,W114)</f>
        <v>0</v>
      </c>
      <c r="AQ114" s="1288">
        <f t="shared" si="114"/>
        <v>0</v>
      </c>
      <c r="AR114" s="1288">
        <f t="shared" si="114"/>
        <v>0</v>
      </c>
      <c r="AS114" s="1288">
        <f t="shared" si="114"/>
        <v>0</v>
      </c>
      <c r="AT114" s="1288">
        <f t="shared" si="114"/>
        <v>0</v>
      </c>
      <c r="AU114" s="1288">
        <f t="shared" si="114"/>
        <v>0</v>
      </c>
      <c r="AV114" s="1278"/>
      <c r="AW114" s="698">
        <f>INDEX(Pflanzen!$AH$5:$AH$109,'Berechnung Nährstoffe und Lager'!$AX114)</f>
        <v>0</v>
      </c>
      <c r="AX114" s="422">
        <v>1</v>
      </c>
      <c r="AY114" s="422">
        <f>INDEX(Pflanzen!$M$5:$M$109,'Berechnung Nährstoffe und Lager'!$AX114)</f>
        <v>0</v>
      </c>
      <c r="AZ114" s="422">
        <f>INDEX(Pflanzen!$AD$5:$AD$109,'Berechnung Nährstoffe und Lager'!$AX114)</f>
        <v>0</v>
      </c>
      <c r="BA114" s="422">
        <f>INDEX(Pflanzen!$AE$5:$AE$109,'Berechnung Nährstoffe und Lager'!$AX114)</f>
        <v>0</v>
      </c>
      <c r="BB114" s="422">
        <f>INDEX(Pflanzen!$AF$5:$AF$109,'Berechnung Nährstoffe und Lager'!$AX114)</f>
        <v>0</v>
      </c>
      <c r="BC114" s="422">
        <f>INDEX(Pflanzen!$T$5:$T$109,'Berechnung Nährstoffe und Lager'!$AX114)</f>
        <v>0</v>
      </c>
      <c r="BD114" s="422">
        <f>INDEX(Pflanzen!$V$5:$V$109,'Berechnung Nährstoffe und Lager'!$AX114)</f>
        <v>0</v>
      </c>
      <c r="BE114" s="422">
        <f>INDEX(Pflanzen!$AL$5:$AL$109,'Berechnung Nährstoffe und Lager'!$AX114)</f>
        <v>0</v>
      </c>
      <c r="BF114" s="1276"/>
      <c r="BG114" s="480"/>
      <c r="BH114" s="480"/>
      <c r="BI114" s="422">
        <f>INDEX(Pflanzen!$X$5:$X110,'Berechnung Nährstoffe und Lager'!$AX114)</f>
        <v>0</v>
      </c>
      <c r="BJ114" s="475">
        <f>+BI114*D114</f>
        <v>0</v>
      </c>
      <c r="BK114" s="475"/>
      <c r="BL114" s="1074"/>
      <c r="BN114" s="475"/>
      <c r="BO114" s="422">
        <f>INDEX(Pflanzen!$AM$5:$AM$109,'Berechnung Nährstoffe und Lager'!$AX114)</f>
        <v>0</v>
      </c>
      <c r="BP114" s="484">
        <f t="shared" ref="BP114:BP130" si="126">+BO114*U114</f>
        <v>0</v>
      </c>
      <c r="BQ114" s="475"/>
      <c r="BR114" s="475"/>
      <c r="BS114" s="475"/>
      <c r="BT114" s="475"/>
      <c r="BU114" s="475"/>
      <c r="BV114" s="475"/>
      <c r="BW114" s="475"/>
      <c r="BX114" s="422"/>
      <c r="BY114" s="422"/>
      <c r="BZ114" s="422"/>
      <c r="CA114" s="422"/>
      <c r="CB114" s="422"/>
      <c r="CC114" s="422"/>
      <c r="CD114" s="422"/>
      <c r="CE114" s="422"/>
      <c r="CF114" s="422"/>
      <c r="CG114" s="422"/>
      <c r="CH114" s="422"/>
      <c r="CI114" s="422"/>
      <c r="CJ114" s="450"/>
      <c r="CK114" s="450"/>
      <c r="CL114" s="450"/>
      <c r="CM114" s="480"/>
      <c r="CN114" s="422"/>
      <c r="CO114" s="422"/>
      <c r="CP114" s="422"/>
      <c r="CQ114" s="456"/>
      <c r="CR114" s="456"/>
      <c r="CS114" s="456"/>
      <c r="CT114" s="456"/>
      <c r="CU114" s="456"/>
      <c r="CV114" s="422"/>
      <c r="CW114" s="422"/>
      <c r="CX114" s="422"/>
      <c r="CY114" s="422"/>
      <c r="CZ114" s="422"/>
      <c r="DA114" s="422"/>
      <c r="DB114" s="422"/>
      <c r="DC114" s="422"/>
      <c r="DD114" s="422"/>
      <c r="DE114" s="422"/>
      <c r="DF114" s="422"/>
      <c r="DG114" s="422"/>
      <c r="DH114" s="422"/>
      <c r="DI114" s="422"/>
      <c r="DJ114" s="422"/>
      <c r="DK114" s="422"/>
      <c r="DL114" s="422"/>
      <c r="DM114" s="450"/>
      <c r="DN114" s="450"/>
      <c r="DO114" s="450"/>
      <c r="DP114" s="450"/>
      <c r="DQ114" s="450"/>
      <c r="DR114" s="450"/>
      <c r="DS114" s="450"/>
      <c r="DT114" s="450"/>
      <c r="DU114" s="450"/>
      <c r="DV114" s="450"/>
      <c r="DW114" s="450"/>
      <c r="DX114" s="450"/>
      <c r="DY114" s="450"/>
      <c r="DZ114" s="450"/>
      <c r="EA114" s="450"/>
      <c r="EB114" s="450"/>
      <c r="EC114" s="450"/>
      <c r="ED114" s="450"/>
      <c r="EE114" s="475"/>
      <c r="EF114" s="475"/>
      <c r="EG114" s="422"/>
      <c r="EH114" s="422"/>
      <c r="EI114" s="422"/>
      <c r="EJ114" s="422"/>
      <c r="EK114" s="422"/>
      <c r="EL114" s="422"/>
      <c r="EM114" s="17"/>
      <c r="EN114" s="17"/>
      <c r="EO114" s="16"/>
      <c r="EP114" s="16"/>
      <c r="EQ114" s="17"/>
      <c r="ER114" s="17"/>
      <c r="ES114" s="17"/>
      <c r="ET114" s="17"/>
    </row>
    <row r="115" spans="1:150" ht="15.75" customHeight="1" x14ac:dyDescent="0.25">
      <c r="A115" s="754"/>
      <c r="B115" s="748"/>
      <c r="C115" s="788"/>
      <c r="D115" s="785"/>
      <c r="E115" s="763"/>
      <c r="F115" s="749">
        <f t="shared" si="115"/>
        <v>0</v>
      </c>
      <c r="G115" s="750">
        <f t="shared" si="116"/>
        <v>0</v>
      </c>
      <c r="H115" s="2320">
        <f t="shared" ref="H115:H130" si="127">BD115</f>
        <v>0</v>
      </c>
      <c r="I115" s="750">
        <f t="shared" si="117"/>
        <v>0</v>
      </c>
      <c r="J115" s="751">
        <f t="shared" si="118"/>
        <v>0</v>
      </c>
      <c r="K115" s="2479">
        <f t="shared" si="119"/>
        <v>0</v>
      </c>
      <c r="L115" s="2479"/>
      <c r="M115" s="755">
        <f t="shared" si="120"/>
        <v>0</v>
      </c>
      <c r="N115" s="560"/>
      <c r="Q115" s="556">
        <f>+D115*F115/100*G115/100*H115/1000</f>
        <v>0</v>
      </c>
      <c r="R115" s="558">
        <f>+Q115*I115/100</f>
        <v>0</v>
      </c>
      <c r="S115" s="557">
        <f>+D115*F115/100</f>
        <v>0</v>
      </c>
      <c r="T115" s="557">
        <f>+D115-S115</f>
        <v>0</v>
      </c>
      <c r="U115" s="558">
        <f>+J115*$D115/1000</f>
        <v>0</v>
      </c>
      <c r="V115" s="558">
        <f>K115*$D115/1000</f>
        <v>0</v>
      </c>
      <c r="W115" s="559">
        <f>M115*$D115/1000</f>
        <v>0</v>
      </c>
      <c r="X115" s="562"/>
      <c r="Y115" s="562">
        <f>+D115*F115/100*G115/100</f>
        <v>0</v>
      </c>
      <c r="Z115" s="560">
        <f>IF(D115=0,0,Y115*H115/D115)</f>
        <v>0</v>
      </c>
      <c r="AA115" s="560">
        <f>D115*Z115*I115/100/22.26*0.01605</f>
        <v>0</v>
      </c>
      <c r="AB115" s="562">
        <f>D115*Z115*(1-I115/100)/22.26*0.04401</f>
        <v>0</v>
      </c>
      <c r="AC115" s="562">
        <f>+AA115+AB115</f>
        <v>0</v>
      </c>
      <c r="AD115" s="411">
        <f>+H115/887*100</f>
        <v>0</v>
      </c>
      <c r="AE115" s="411">
        <f>15.44*AD115/100</f>
        <v>0</v>
      </c>
      <c r="AF115" s="562">
        <f>+AC115-AG115</f>
        <v>0</v>
      </c>
      <c r="AG115" s="562">
        <f>+AC115*AE115/100</f>
        <v>0</v>
      </c>
      <c r="AH115" s="562" t="e">
        <f>+(D115*F115/100-AF115)/(D115-AC115)*100</f>
        <v>#DIV/0!</v>
      </c>
      <c r="AJ115" s="562"/>
      <c r="AK115" s="562"/>
      <c r="AL115" s="1288">
        <f t="shared" si="121"/>
        <v>0</v>
      </c>
      <c r="AM115" s="1288">
        <f t="shared" si="122"/>
        <v>0</v>
      </c>
      <c r="AN115" s="1288">
        <f t="shared" si="123"/>
        <v>0</v>
      </c>
      <c r="AO115" s="1288">
        <f t="shared" si="124"/>
        <v>0</v>
      </c>
      <c r="AP115" s="1288">
        <f t="shared" si="125"/>
        <v>0</v>
      </c>
      <c r="AQ115" s="1288">
        <f t="shared" si="114"/>
        <v>0</v>
      </c>
      <c r="AR115" s="1288">
        <f t="shared" si="114"/>
        <v>0</v>
      </c>
      <c r="AS115" s="1288">
        <f t="shared" si="114"/>
        <v>0</v>
      </c>
      <c r="AT115" s="1288">
        <f t="shared" si="114"/>
        <v>0</v>
      </c>
      <c r="AU115" s="1288">
        <f t="shared" si="114"/>
        <v>0</v>
      </c>
      <c r="AV115" s="1278"/>
      <c r="AW115" s="698">
        <f>INDEX(Pflanzen!$AH$5:$AH$109,'Berechnung Nährstoffe und Lager'!$AX115)</f>
        <v>0</v>
      </c>
      <c r="AX115" s="422">
        <v>1</v>
      </c>
      <c r="AY115" s="422">
        <f>INDEX(Pflanzen!$M$5:$M$109,'Berechnung Nährstoffe und Lager'!$AX115)</f>
        <v>0</v>
      </c>
      <c r="AZ115" s="422">
        <f>INDEX(Pflanzen!$AD$5:$AD$109,'Berechnung Nährstoffe und Lager'!$AX115)</f>
        <v>0</v>
      </c>
      <c r="BA115" s="422">
        <f>INDEX(Pflanzen!$AE$5:$AE$109,'Berechnung Nährstoffe und Lager'!$AX115)</f>
        <v>0</v>
      </c>
      <c r="BB115" s="422">
        <f>INDEX(Pflanzen!$AF$5:$AF$109,'Berechnung Nährstoffe und Lager'!$AX115)</f>
        <v>0</v>
      </c>
      <c r="BC115" s="422">
        <f>INDEX(Pflanzen!$T$5:$T$109,'Berechnung Nährstoffe und Lager'!$AX115)</f>
        <v>0</v>
      </c>
      <c r="BD115" s="422">
        <f>INDEX(Pflanzen!$V$5:$V$109,'Berechnung Nährstoffe und Lager'!$AX115)</f>
        <v>0</v>
      </c>
      <c r="BE115" s="422">
        <f>INDEX(Pflanzen!$AL$5:$AL$109,'Berechnung Nährstoffe und Lager'!$AX115)</f>
        <v>0</v>
      </c>
      <c r="BF115" s="1276"/>
      <c r="BG115" s="480"/>
      <c r="BH115" s="480"/>
      <c r="BI115" s="422">
        <f>INDEX(Pflanzen!$X$5:$X111,'Berechnung Nährstoffe und Lager'!$AX115)</f>
        <v>0</v>
      </c>
      <c r="BJ115" s="475">
        <f>+BI115*D115</f>
        <v>0</v>
      </c>
      <c r="BK115" s="475"/>
      <c r="BL115" s="1074"/>
      <c r="BN115" s="475"/>
      <c r="BO115" s="422">
        <f>INDEX(Pflanzen!$AM$5:$AM$109,'Berechnung Nährstoffe und Lager'!$AX115)</f>
        <v>0</v>
      </c>
      <c r="BP115" s="484">
        <f t="shared" si="126"/>
        <v>0</v>
      </c>
      <c r="BQ115" s="475"/>
      <c r="BR115" s="475"/>
      <c r="BS115" s="475"/>
      <c r="BT115" s="475"/>
      <c r="BU115" s="475"/>
      <c r="BV115" s="475"/>
      <c r="BW115" s="475"/>
      <c r="BX115" s="422"/>
      <c r="BY115" s="422"/>
      <c r="BZ115" s="422"/>
      <c r="CA115" s="422"/>
      <c r="CB115" s="422"/>
      <c r="CC115" s="422"/>
      <c r="CD115" s="422"/>
      <c r="CE115" s="422"/>
      <c r="CF115" s="422"/>
      <c r="CG115" s="422"/>
      <c r="CH115" s="422"/>
      <c r="CI115" s="422"/>
      <c r="CJ115" s="450"/>
      <c r="CK115" s="450"/>
      <c r="CL115" s="450"/>
      <c r="CM115" s="480"/>
      <c r="CN115" s="422"/>
      <c r="CO115" s="422"/>
      <c r="CP115" s="422"/>
      <c r="CQ115" s="456"/>
      <c r="CR115" s="456"/>
      <c r="CS115" s="456"/>
      <c r="CT115" s="456"/>
      <c r="CU115" s="456"/>
      <c r="CV115" s="422"/>
      <c r="CW115" s="422"/>
      <c r="CX115" s="422"/>
      <c r="CY115" s="422"/>
      <c r="CZ115" s="422"/>
      <c r="DA115" s="422"/>
      <c r="DB115" s="422"/>
      <c r="DC115" s="422"/>
      <c r="DD115" s="422"/>
      <c r="DE115" s="422"/>
      <c r="DF115" s="422"/>
      <c r="DG115" s="422"/>
      <c r="DH115" s="422"/>
      <c r="DI115" s="422"/>
      <c r="DJ115" s="422"/>
      <c r="DK115" s="422"/>
      <c r="DL115" s="422"/>
      <c r="DM115" s="450"/>
      <c r="DN115" s="450"/>
      <c r="DO115" s="450"/>
      <c r="DP115" s="450"/>
      <c r="DQ115" s="450"/>
      <c r="DR115" s="450"/>
      <c r="DS115" s="450"/>
      <c r="DT115" s="450"/>
      <c r="DU115" s="450"/>
      <c r="DV115" s="450"/>
      <c r="DW115" s="450"/>
      <c r="DX115" s="450"/>
      <c r="DY115" s="450"/>
      <c r="DZ115" s="450"/>
      <c r="EA115" s="450"/>
      <c r="EB115" s="450"/>
      <c r="EC115" s="450"/>
      <c r="ED115" s="450"/>
      <c r="EE115" s="475"/>
      <c r="EF115" s="475"/>
      <c r="EG115" s="422"/>
      <c r="EH115" s="422"/>
      <c r="EI115" s="422"/>
      <c r="EJ115" s="422"/>
      <c r="EK115" s="422"/>
      <c r="EL115" s="422"/>
      <c r="EM115" s="17"/>
      <c r="EN115" s="17"/>
      <c r="EO115" s="16"/>
      <c r="EP115" s="16"/>
      <c r="EQ115" s="17"/>
      <c r="ER115" s="17"/>
      <c r="ES115" s="17"/>
      <c r="ET115" s="17"/>
    </row>
    <row r="116" spans="1:150" ht="15.75" customHeight="1" x14ac:dyDescent="0.25">
      <c r="A116" s="754"/>
      <c r="B116" s="748"/>
      <c r="C116" s="788"/>
      <c r="D116" s="785"/>
      <c r="E116" s="763"/>
      <c r="F116" s="749">
        <f t="shared" si="115"/>
        <v>0</v>
      </c>
      <c r="G116" s="750">
        <f>+BC116*100</f>
        <v>0</v>
      </c>
      <c r="H116" s="2320">
        <f t="shared" si="127"/>
        <v>0</v>
      </c>
      <c r="I116" s="750">
        <f t="shared" si="117"/>
        <v>0</v>
      </c>
      <c r="J116" s="751">
        <f t="shared" si="118"/>
        <v>0</v>
      </c>
      <c r="K116" s="2479">
        <f t="shared" si="119"/>
        <v>0</v>
      </c>
      <c r="L116" s="2479"/>
      <c r="M116" s="755">
        <f t="shared" si="120"/>
        <v>0</v>
      </c>
      <c r="N116" s="560"/>
      <c r="Q116" s="556">
        <f t="shared" ref="Q116:Q130" si="128">+D116*F116/100*G116/100*H116/1000</f>
        <v>0</v>
      </c>
      <c r="R116" s="558">
        <f t="shared" ref="R116:R130" si="129">+Q116*I116/100</f>
        <v>0</v>
      </c>
      <c r="S116" s="557">
        <f t="shared" ref="S116:S130" si="130">+D116*F116/100</f>
        <v>0</v>
      </c>
      <c r="T116" s="557">
        <f t="shared" ref="T116:T130" si="131">+D116-S116</f>
        <v>0</v>
      </c>
      <c r="U116" s="558">
        <f t="shared" ref="U116:U130" si="132">+J116*$D116/1000</f>
        <v>0</v>
      </c>
      <c r="V116" s="558">
        <f t="shared" ref="V116:V130" si="133">K116*$D116/1000</f>
        <v>0</v>
      </c>
      <c r="W116" s="559">
        <f t="shared" ref="W116:W130" si="134">M116*$D116/1000</f>
        <v>0</v>
      </c>
      <c r="X116" s="562"/>
      <c r="Y116" s="562">
        <f t="shared" ref="Y116:Y130" si="135">+D116*F116/100*G116/100</f>
        <v>0</v>
      </c>
      <c r="Z116" s="560">
        <f t="shared" ref="Z116:Z130" si="136">IF(D116=0,0,Y116*H116/D116)</f>
        <v>0</v>
      </c>
      <c r="AA116" s="560">
        <f t="shared" ref="AA116:AA130" si="137">D116*Z116*I116/100/22.26*0.01605</f>
        <v>0</v>
      </c>
      <c r="AB116" s="562">
        <f t="shared" ref="AB116:AB130" si="138">D116*Z116*(1-I116/100)/22.26*0.04401</f>
        <v>0</v>
      </c>
      <c r="AC116" s="562">
        <f t="shared" ref="AC116:AC130" si="139">+AA116+AB116</f>
        <v>0</v>
      </c>
      <c r="AD116" s="411">
        <f t="shared" ref="AD116:AD130" si="140">+H116/887*100</f>
        <v>0</v>
      </c>
      <c r="AE116" s="411">
        <f t="shared" ref="AE116:AE130" si="141">15.44*AD116/100</f>
        <v>0</v>
      </c>
      <c r="AF116" s="562">
        <f t="shared" ref="AF116:AF130" si="142">+AC116-AG116</f>
        <v>0</v>
      </c>
      <c r="AG116" s="562">
        <f t="shared" ref="AG116:AG130" si="143">+AC116*AE116/100</f>
        <v>0</v>
      </c>
      <c r="AH116" s="562" t="e">
        <f t="shared" ref="AH116:AH130" si="144">+(D116*F116/100-AF116)/(D116-AC116)*100</f>
        <v>#DIV/0!</v>
      </c>
      <c r="AJ116" s="562"/>
      <c r="AK116" s="562"/>
      <c r="AL116" s="1288">
        <f t="shared" si="121"/>
        <v>0</v>
      </c>
      <c r="AM116" s="1288">
        <f t="shared" si="122"/>
        <v>0</v>
      </c>
      <c r="AN116" s="1288">
        <f t="shared" si="123"/>
        <v>0</v>
      </c>
      <c r="AO116" s="1288">
        <f t="shared" si="124"/>
        <v>0</v>
      </c>
      <c r="AP116" s="1288">
        <f t="shared" si="125"/>
        <v>0</v>
      </c>
      <c r="AQ116" s="1288">
        <f t="shared" ref="AQ116:AQ130" si="145">+S116-AL116</f>
        <v>0</v>
      </c>
      <c r="AR116" s="1288">
        <f t="shared" ref="AR116:AR130" si="146">+T116-AM116</f>
        <v>0</v>
      </c>
      <c r="AS116" s="1288">
        <f t="shared" ref="AS116:AS130" si="147">+U116-AN116</f>
        <v>0</v>
      </c>
      <c r="AT116" s="1288">
        <f t="shared" ref="AT116:AT130" si="148">+V116-AO116</f>
        <v>0</v>
      </c>
      <c r="AU116" s="1288">
        <f t="shared" ref="AU116:AU130" si="149">+W116-AP116</f>
        <v>0</v>
      </c>
      <c r="AV116" s="1278"/>
      <c r="AW116" s="698">
        <f>INDEX(Pflanzen!$AH$5:$AH$109,'Berechnung Nährstoffe und Lager'!$AX116)</f>
        <v>0</v>
      </c>
      <c r="AX116" s="422">
        <v>1</v>
      </c>
      <c r="AY116" s="422">
        <f>INDEX(Pflanzen!$M$5:$M$109,'Berechnung Nährstoffe und Lager'!$AX116)</f>
        <v>0</v>
      </c>
      <c r="AZ116" s="422">
        <f>INDEX(Pflanzen!$AD$5:$AD$109,'Berechnung Nährstoffe und Lager'!$AX116)</f>
        <v>0</v>
      </c>
      <c r="BA116" s="422">
        <f>INDEX(Pflanzen!$AE$5:$AE$109,'Berechnung Nährstoffe und Lager'!$AX116)</f>
        <v>0</v>
      </c>
      <c r="BB116" s="422">
        <f>INDEX(Pflanzen!$AF$5:$AF$109,'Berechnung Nährstoffe und Lager'!$AX116)</f>
        <v>0</v>
      </c>
      <c r="BC116" s="422">
        <f>INDEX(Pflanzen!$T$5:$T$109,'Berechnung Nährstoffe und Lager'!$AX116)</f>
        <v>0</v>
      </c>
      <c r="BD116" s="422">
        <f>INDEX(Pflanzen!$V$5:$V$109,'Berechnung Nährstoffe und Lager'!$AX116)</f>
        <v>0</v>
      </c>
      <c r="BE116" s="422">
        <f>INDEX(Pflanzen!$AL$5:$AL$109,'Berechnung Nährstoffe und Lager'!$AX116)</f>
        <v>0</v>
      </c>
      <c r="BF116" s="1276"/>
      <c r="BG116" s="480"/>
      <c r="BH116" s="480"/>
      <c r="BI116" s="422">
        <f>INDEX(Pflanzen!$X$5:$X112,'Berechnung Nährstoffe und Lager'!$AX116)</f>
        <v>0</v>
      </c>
      <c r="BJ116" s="475">
        <f t="shared" ref="BJ116:BJ130" si="150">+BI116*D116</f>
        <v>0</v>
      </c>
      <c r="BK116" s="475"/>
      <c r="BL116" s="1074"/>
      <c r="BN116" s="475"/>
      <c r="BO116" s="422">
        <f>INDEX(Pflanzen!$AM$5:$AM$109,'Berechnung Nährstoffe und Lager'!$AX116)</f>
        <v>0</v>
      </c>
      <c r="BP116" s="484">
        <f t="shared" si="126"/>
        <v>0</v>
      </c>
      <c r="BQ116" s="475"/>
      <c r="BR116" s="475"/>
      <c r="BS116" s="475"/>
      <c r="BT116" s="475"/>
      <c r="BU116" s="475"/>
      <c r="BV116" s="475"/>
      <c r="BW116" s="475"/>
      <c r="BX116" s="422"/>
      <c r="BY116" s="422"/>
      <c r="BZ116" s="422"/>
      <c r="CA116" s="422"/>
      <c r="CB116" s="422"/>
      <c r="CC116" s="422"/>
      <c r="CD116" s="422"/>
      <c r="CE116" s="422"/>
      <c r="CF116" s="422"/>
      <c r="CG116" s="422"/>
      <c r="CH116" s="422"/>
      <c r="CI116" s="422"/>
      <c r="CJ116" s="450"/>
      <c r="CK116" s="450"/>
      <c r="CL116" s="450"/>
      <c r="CM116" s="480"/>
      <c r="CN116" s="422"/>
      <c r="CO116" s="422"/>
      <c r="CP116" s="422"/>
      <c r="CQ116" s="456"/>
      <c r="CR116" s="456"/>
      <c r="CS116" s="456"/>
      <c r="CT116" s="456"/>
      <c r="CU116" s="456"/>
      <c r="CV116" s="422"/>
      <c r="CW116" s="422"/>
      <c r="CX116" s="422"/>
      <c r="CY116" s="422"/>
      <c r="CZ116" s="422"/>
      <c r="DA116" s="422"/>
      <c r="DB116" s="422"/>
      <c r="DC116" s="422"/>
      <c r="DD116" s="422"/>
      <c r="DE116" s="422"/>
      <c r="DF116" s="422"/>
      <c r="DG116" s="422"/>
      <c r="DH116" s="422"/>
      <c r="DI116" s="422"/>
      <c r="DJ116" s="422"/>
      <c r="DK116" s="422"/>
      <c r="DL116" s="422"/>
      <c r="DM116" s="450"/>
      <c r="DN116" s="450"/>
      <c r="DO116" s="450"/>
      <c r="DP116" s="450"/>
      <c r="DQ116" s="450"/>
      <c r="DR116" s="450"/>
      <c r="DS116" s="450"/>
      <c r="DT116" s="450"/>
      <c r="DU116" s="450"/>
      <c r="DV116" s="450"/>
      <c r="DW116" s="450"/>
      <c r="DX116" s="450"/>
      <c r="DY116" s="450"/>
      <c r="DZ116" s="450"/>
      <c r="EA116" s="450"/>
      <c r="EB116" s="450"/>
      <c r="EC116" s="450"/>
      <c r="ED116" s="450"/>
      <c r="EE116" s="475"/>
      <c r="EF116" s="475"/>
      <c r="EG116" s="422"/>
      <c r="EH116" s="422"/>
      <c r="EI116" s="422"/>
      <c r="EJ116" s="422"/>
      <c r="EK116" s="422"/>
      <c r="EL116" s="422"/>
      <c r="EM116" s="17"/>
      <c r="EN116" s="17"/>
      <c r="EO116" s="16"/>
      <c r="EP116" s="16"/>
      <c r="EQ116" s="17"/>
      <c r="ER116" s="17"/>
      <c r="ES116" s="17"/>
      <c r="ET116" s="17"/>
    </row>
    <row r="117" spans="1:150" ht="15.75" customHeight="1" x14ac:dyDescent="0.25">
      <c r="A117" s="754"/>
      <c r="B117" s="748"/>
      <c r="C117" s="788"/>
      <c r="D117" s="785"/>
      <c r="E117" s="763"/>
      <c r="F117" s="749">
        <f t="shared" si="115"/>
        <v>0</v>
      </c>
      <c r="G117" s="750">
        <f>+BC117*100</f>
        <v>0</v>
      </c>
      <c r="H117" s="2320">
        <f t="shared" si="127"/>
        <v>0</v>
      </c>
      <c r="I117" s="750">
        <f t="shared" si="117"/>
        <v>0</v>
      </c>
      <c r="J117" s="751">
        <f t="shared" si="118"/>
        <v>0</v>
      </c>
      <c r="K117" s="2479">
        <f t="shared" si="119"/>
        <v>0</v>
      </c>
      <c r="L117" s="2479"/>
      <c r="M117" s="755">
        <f t="shared" si="120"/>
        <v>0</v>
      </c>
      <c r="N117" s="560"/>
      <c r="Q117" s="556">
        <f t="shared" si="128"/>
        <v>0</v>
      </c>
      <c r="R117" s="558">
        <f t="shared" si="129"/>
        <v>0</v>
      </c>
      <c r="S117" s="557">
        <f t="shared" si="130"/>
        <v>0</v>
      </c>
      <c r="T117" s="557">
        <f t="shared" si="131"/>
        <v>0</v>
      </c>
      <c r="U117" s="558">
        <f t="shared" si="132"/>
        <v>0</v>
      </c>
      <c r="V117" s="558">
        <f t="shared" si="133"/>
        <v>0</v>
      </c>
      <c r="W117" s="559">
        <f t="shared" si="134"/>
        <v>0</v>
      </c>
      <c r="X117" s="562"/>
      <c r="Y117" s="562">
        <f t="shared" si="135"/>
        <v>0</v>
      </c>
      <c r="Z117" s="560">
        <f t="shared" si="136"/>
        <v>0</v>
      </c>
      <c r="AA117" s="560">
        <f t="shared" si="137"/>
        <v>0</v>
      </c>
      <c r="AB117" s="562">
        <f t="shared" si="138"/>
        <v>0</v>
      </c>
      <c r="AC117" s="562">
        <f t="shared" si="139"/>
        <v>0</v>
      </c>
      <c r="AD117" s="411">
        <f t="shared" si="140"/>
        <v>0</v>
      </c>
      <c r="AE117" s="411">
        <f t="shared" si="141"/>
        <v>0</v>
      </c>
      <c r="AF117" s="562">
        <f t="shared" si="142"/>
        <v>0</v>
      </c>
      <c r="AG117" s="562">
        <f t="shared" si="143"/>
        <v>0</v>
      </c>
      <c r="AH117" s="562" t="e">
        <f t="shared" si="144"/>
        <v>#DIV/0!</v>
      </c>
      <c r="AJ117" s="562"/>
      <c r="AK117" s="562"/>
      <c r="AL117" s="1288">
        <f t="shared" si="121"/>
        <v>0</v>
      </c>
      <c r="AM117" s="1288">
        <f t="shared" si="122"/>
        <v>0</v>
      </c>
      <c r="AN117" s="1288">
        <f t="shared" si="123"/>
        <v>0</v>
      </c>
      <c r="AO117" s="1288">
        <f t="shared" si="124"/>
        <v>0</v>
      </c>
      <c r="AP117" s="1288">
        <f t="shared" si="125"/>
        <v>0</v>
      </c>
      <c r="AQ117" s="1288">
        <f t="shared" si="145"/>
        <v>0</v>
      </c>
      <c r="AR117" s="1288">
        <f t="shared" si="146"/>
        <v>0</v>
      </c>
      <c r="AS117" s="1288">
        <f t="shared" si="147"/>
        <v>0</v>
      </c>
      <c r="AT117" s="1288">
        <f t="shared" si="148"/>
        <v>0</v>
      </c>
      <c r="AU117" s="1288">
        <f t="shared" si="149"/>
        <v>0</v>
      </c>
      <c r="AV117" s="1278"/>
      <c r="AW117" s="698">
        <f>INDEX(Pflanzen!$AH$5:$AH$109,'Berechnung Nährstoffe und Lager'!$AX117)</f>
        <v>0</v>
      </c>
      <c r="AX117" s="422">
        <v>1</v>
      </c>
      <c r="AY117" s="422">
        <f>INDEX(Pflanzen!$M$5:$M$109,'Berechnung Nährstoffe und Lager'!$AX117)</f>
        <v>0</v>
      </c>
      <c r="AZ117" s="422">
        <f>INDEX(Pflanzen!$AD$5:$AD$109,'Berechnung Nährstoffe und Lager'!$AX117)</f>
        <v>0</v>
      </c>
      <c r="BA117" s="422">
        <f>INDEX(Pflanzen!$AE$5:$AE$109,'Berechnung Nährstoffe und Lager'!$AX117)</f>
        <v>0</v>
      </c>
      <c r="BB117" s="422">
        <f>INDEX(Pflanzen!$AF$5:$AF$109,'Berechnung Nährstoffe und Lager'!$AX117)</f>
        <v>0</v>
      </c>
      <c r="BC117" s="422">
        <f>INDEX(Pflanzen!$T$5:$T$109,'Berechnung Nährstoffe und Lager'!$AX117)</f>
        <v>0</v>
      </c>
      <c r="BD117" s="422">
        <f>INDEX(Pflanzen!$V$5:$V$109,'Berechnung Nährstoffe und Lager'!$AX117)</f>
        <v>0</v>
      </c>
      <c r="BE117" s="422">
        <f>INDEX(Pflanzen!$AL$5:$AL$109,'Berechnung Nährstoffe und Lager'!$AX117)</f>
        <v>0</v>
      </c>
      <c r="BF117" s="1276"/>
      <c r="BG117" s="480"/>
      <c r="BH117" s="480"/>
      <c r="BI117" s="422">
        <f>INDEX(Pflanzen!$X$5:$X113,'Berechnung Nährstoffe und Lager'!$AX117)</f>
        <v>0</v>
      </c>
      <c r="BJ117" s="475">
        <f t="shared" si="150"/>
        <v>0</v>
      </c>
      <c r="BK117" s="475"/>
      <c r="BL117" s="1074"/>
      <c r="BN117" s="475"/>
      <c r="BO117" s="422">
        <f>INDEX(Pflanzen!$AM$5:$AM$109,'Berechnung Nährstoffe und Lager'!$AX117)</f>
        <v>0</v>
      </c>
      <c r="BP117" s="484">
        <f t="shared" si="126"/>
        <v>0</v>
      </c>
      <c r="BQ117" s="475"/>
      <c r="BR117" s="475"/>
      <c r="BS117" s="475"/>
      <c r="BT117" s="475"/>
      <c r="BU117" s="475"/>
      <c r="BV117" s="475"/>
      <c r="BW117" s="475"/>
      <c r="BX117" s="422"/>
      <c r="BY117" s="422"/>
      <c r="BZ117" s="422"/>
      <c r="CA117" s="422"/>
      <c r="CB117" s="422"/>
      <c r="CC117" s="422"/>
      <c r="CD117" s="422"/>
      <c r="CE117" s="422"/>
      <c r="CF117" s="422"/>
      <c r="CG117" s="422"/>
      <c r="CH117" s="422"/>
      <c r="CI117" s="422"/>
      <c r="CJ117" s="450"/>
      <c r="CK117" s="450"/>
      <c r="CL117" s="450"/>
      <c r="CM117" s="480"/>
      <c r="CN117" s="422"/>
      <c r="CO117" s="422"/>
      <c r="CP117" s="422"/>
      <c r="CQ117" s="456"/>
      <c r="CR117" s="456"/>
      <c r="CS117" s="456"/>
      <c r="CT117" s="456"/>
      <c r="CU117" s="456"/>
      <c r="CV117" s="422"/>
      <c r="CW117" s="422"/>
      <c r="CX117" s="422"/>
      <c r="CY117" s="422"/>
      <c r="CZ117" s="422"/>
      <c r="DA117" s="422"/>
      <c r="DB117" s="422"/>
      <c r="DC117" s="422"/>
      <c r="DD117" s="422"/>
      <c r="DE117" s="422"/>
      <c r="DF117" s="422"/>
      <c r="DG117" s="422"/>
      <c r="DH117" s="422"/>
      <c r="DI117" s="422"/>
      <c r="DJ117" s="422"/>
      <c r="DK117" s="422"/>
      <c r="DL117" s="422"/>
      <c r="DM117" s="450"/>
      <c r="DN117" s="450"/>
      <c r="DO117" s="450"/>
      <c r="DP117" s="450"/>
      <c r="DQ117" s="450"/>
      <c r="DR117" s="450"/>
      <c r="DS117" s="450"/>
      <c r="DT117" s="450"/>
      <c r="DU117" s="450"/>
      <c r="DV117" s="450"/>
      <c r="DW117" s="450"/>
      <c r="DX117" s="450"/>
      <c r="DY117" s="450"/>
      <c r="DZ117" s="450"/>
      <c r="EA117" s="450"/>
      <c r="EB117" s="450"/>
      <c r="EC117" s="450"/>
      <c r="ED117" s="450"/>
      <c r="EE117" s="475"/>
      <c r="EF117" s="475"/>
      <c r="EG117" s="422"/>
      <c r="EH117" s="422"/>
      <c r="EI117" s="422"/>
      <c r="EJ117" s="422"/>
      <c r="EK117" s="422"/>
      <c r="EL117" s="422"/>
      <c r="EM117" s="17"/>
      <c r="EN117" s="17"/>
      <c r="EO117" s="16"/>
      <c r="EP117" s="16"/>
      <c r="EQ117" s="17"/>
      <c r="ER117" s="17"/>
      <c r="ES117" s="17"/>
      <c r="ET117" s="17"/>
    </row>
    <row r="118" spans="1:150" ht="15.75" customHeight="1" x14ac:dyDescent="0.25">
      <c r="A118" s="754"/>
      <c r="B118" s="748"/>
      <c r="C118" s="788"/>
      <c r="D118" s="785"/>
      <c r="E118" s="763"/>
      <c r="F118" s="749">
        <f t="shared" si="115"/>
        <v>0</v>
      </c>
      <c r="G118" s="750">
        <f t="shared" si="116"/>
        <v>0</v>
      </c>
      <c r="H118" s="2320">
        <f t="shared" si="127"/>
        <v>0</v>
      </c>
      <c r="I118" s="750">
        <f t="shared" si="117"/>
        <v>0</v>
      </c>
      <c r="J118" s="751">
        <f t="shared" si="118"/>
        <v>0</v>
      </c>
      <c r="K118" s="2479">
        <f t="shared" si="119"/>
        <v>0</v>
      </c>
      <c r="L118" s="2479"/>
      <c r="M118" s="755">
        <f t="shared" si="120"/>
        <v>0</v>
      </c>
      <c r="N118" s="560"/>
      <c r="Q118" s="556">
        <f t="shared" si="128"/>
        <v>0</v>
      </c>
      <c r="R118" s="558">
        <f t="shared" si="129"/>
        <v>0</v>
      </c>
      <c r="S118" s="557">
        <f t="shared" si="130"/>
        <v>0</v>
      </c>
      <c r="T118" s="557">
        <f t="shared" si="131"/>
        <v>0</v>
      </c>
      <c r="U118" s="558">
        <f t="shared" si="132"/>
        <v>0</v>
      </c>
      <c r="V118" s="558">
        <f t="shared" si="133"/>
        <v>0</v>
      </c>
      <c r="W118" s="559">
        <f t="shared" si="134"/>
        <v>0</v>
      </c>
      <c r="X118" s="562"/>
      <c r="Y118" s="562">
        <f t="shared" si="135"/>
        <v>0</v>
      </c>
      <c r="Z118" s="560">
        <f t="shared" si="136"/>
        <v>0</v>
      </c>
      <c r="AA118" s="560">
        <f t="shared" si="137"/>
        <v>0</v>
      </c>
      <c r="AB118" s="562">
        <f t="shared" si="138"/>
        <v>0</v>
      </c>
      <c r="AC118" s="562">
        <f t="shared" si="139"/>
        <v>0</v>
      </c>
      <c r="AD118" s="411">
        <f t="shared" si="140"/>
        <v>0</v>
      </c>
      <c r="AE118" s="411">
        <f t="shared" si="141"/>
        <v>0</v>
      </c>
      <c r="AF118" s="562">
        <f t="shared" si="142"/>
        <v>0</v>
      </c>
      <c r="AG118" s="562">
        <f t="shared" si="143"/>
        <v>0</v>
      </c>
      <c r="AH118" s="562" t="e">
        <f t="shared" si="144"/>
        <v>#DIV/0!</v>
      </c>
      <c r="AJ118" s="562"/>
      <c r="AK118" s="562"/>
      <c r="AL118" s="1288">
        <f t="shared" si="121"/>
        <v>0</v>
      </c>
      <c r="AM118" s="1288">
        <f t="shared" si="122"/>
        <v>0</v>
      </c>
      <c r="AN118" s="1288">
        <f t="shared" si="123"/>
        <v>0</v>
      </c>
      <c r="AO118" s="1288">
        <f t="shared" si="124"/>
        <v>0</v>
      </c>
      <c r="AP118" s="1288">
        <f t="shared" si="125"/>
        <v>0</v>
      </c>
      <c r="AQ118" s="1288">
        <f t="shared" si="145"/>
        <v>0</v>
      </c>
      <c r="AR118" s="1288">
        <f t="shared" si="146"/>
        <v>0</v>
      </c>
      <c r="AS118" s="1288">
        <f t="shared" si="147"/>
        <v>0</v>
      </c>
      <c r="AT118" s="1288">
        <f t="shared" si="148"/>
        <v>0</v>
      </c>
      <c r="AU118" s="1288">
        <f t="shared" si="149"/>
        <v>0</v>
      </c>
      <c r="AV118" s="1278"/>
      <c r="AW118" s="698">
        <f>INDEX(Pflanzen!$AH$5:$AH$109,'Berechnung Nährstoffe und Lager'!$AX118)</f>
        <v>0</v>
      </c>
      <c r="AX118" s="422">
        <v>1</v>
      </c>
      <c r="AY118" s="422">
        <f>INDEX(Pflanzen!$M$5:$M$109,'Berechnung Nährstoffe und Lager'!$AX118)</f>
        <v>0</v>
      </c>
      <c r="AZ118" s="422">
        <f>INDEX(Pflanzen!$AD$5:$AD$109,'Berechnung Nährstoffe und Lager'!$AX118)</f>
        <v>0</v>
      </c>
      <c r="BA118" s="422">
        <f>INDEX(Pflanzen!$AE$5:$AE$109,'Berechnung Nährstoffe und Lager'!$AX118)</f>
        <v>0</v>
      </c>
      <c r="BB118" s="422">
        <f>INDEX(Pflanzen!$AF$5:$AF$109,'Berechnung Nährstoffe und Lager'!$AX118)</f>
        <v>0</v>
      </c>
      <c r="BC118" s="422">
        <f>INDEX(Pflanzen!$T$5:$T$109,'Berechnung Nährstoffe und Lager'!$AX118)</f>
        <v>0</v>
      </c>
      <c r="BD118" s="422">
        <f>INDEX(Pflanzen!$V$5:$V$109,'Berechnung Nährstoffe und Lager'!$AX118)</f>
        <v>0</v>
      </c>
      <c r="BE118" s="422">
        <f>INDEX(Pflanzen!$AL$5:$AL$109,'Berechnung Nährstoffe und Lager'!$AX118)</f>
        <v>0</v>
      </c>
      <c r="BF118" s="1276"/>
      <c r="BG118" s="480"/>
      <c r="BH118" s="480"/>
      <c r="BI118" s="422">
        <f>INDEX(Pflanzen!$X$5:$X114,'Berechnung Nährstoffe und Lager'!$AX118)</f>
        <v>0</v>
      </c>
      <c r="BJ118" s="475">
        <f t="shared" si="150"/>
        <v>0</v>
      </c>
      <c r="BK118" s="475"/>
      <c r="BL118" s="1074"/>
      <c r="BN118" s="475"/>
      <c r="BO118" s="422">
        <f>INDEX(Pflanzen!$AM$5:$AM$109,'Berechnung Nährstoffe und Lager'!$AX118)</f>
        <v>0</v>
      </c>
      <c r="BP118" s="484">
        <f t="shared" si="126"/>
        <v>0</v>
      </c>
      <c r="BQ118" s="475"/>
      <c r="BR118" s="475"/>
      <c r="BS118" s="475"/>
      <c r="BT118" s="475"/>
      <c r="BU118" s="475"/>
      <c r="BV118" s="475"/>
      <c r="BW118" s="475"/>
      <c r="BX118" s="422"/>
      <c r="BY118" s="422"/>
      <c r="BZ118" s="422"/>
      <c r="CA118" s="422"/>
      <c r="CB118" s="422"/>
      <c r="CC118" s="422"/>
      <c r="CD118" s="422"/>
      <c r="CE118" s="422"/>
      <c r="CF118" s="422"/>
      <c r="CG118" s="422"/>
      <c r="CH118" s="422"/>
      <c r="CI118" s="422"/>
      <c r="CJ118" s="450"/>
      <c r="CK118" s="450"/>
      <c r="CL118" s="450"/>
      <c r="CM118" s="480"/>
      <c r="CN118" s="422"/>
      <c r="CO118" s="422"/>
      <c r="CP118" s="422"/>
      <c r="CQ118" s="456"/>
      <c r="CR118" s="456"/>
      <c r="CS118" s="456"/>
      <c r="CT118" s="456"/>
      <c r="CU118" s="456"/>
      <c r="CV118" s="422"/>
      <c r="CW118" s="422"/>
      <c r="CX118" s="422"/>
      <c r="CY118" s="422"/>
      <c r="CZ118" s="422"/>
      <c r="DA118" s="422"/>
      <c r="DB118" s="422"/>
      <c r="DC118" s="422"/>
      <c r="DD118" s="422"/>
      <c r="DE118" s="422"/>
      <c r="DF118" s="422"/>
      <c r="DG118" s="422"/>
      <c r="DH118" s="422"/>
      <c r="DI118" s="422"/>
      <c r="DJ118" s="422"/>
      <c r="DK118" s="422"/>
      <c r="DL118" s="422"/>
      <c r="DM118" s="450"/>
      <c r="DN118" s="450"/>
      <c r="DO118" s="450"/>
      <c r="DP118" s="450"/>
      <c r="DQ118" s="450"/>
      <c r="DR118" s="450"/>
      <c r="DS118" s="450"/>
      <c r="DT118" s="450"/>
      <c r="DU118" s="450"/>
      <c r="DV118" s="450"/>
      <c r="DW118" s="450"/>
      <c r="DX118" s="450"/>
      <c r="DY118" s="450"/>
      <c r="DZ118" s="450"/>
      <c r="EA118" s="450"/>
      <c r="EB118" s="450"/>
      <c r="EC118" s="450"/>
      <c r="ED118" s="450"/>
      <c r="EE118" s="475"/>
      <c r="EF118" s="475"/>
      <c r="EG118" s="422"/>
      <c r="EH118" s="422"/>
      <c r="EI118" s="422"/>
      <c r="EJ118" s="422"/>
      <c r="EK118" s="422"/>
      <c r="EL118" s="422"/>
      <c r="EM118" s="17"/>
      <c r="EN118" s="17"/>
      <c r="EO118" s="16"/>
      <c r="EP118" s="16"/>
      <c r="EQ118" s="17"/>
      <c r="ER118" s="17"/>
      <c r="ES118" s="17"/>
      <c r="ET118" s="17"/>
    </row>
    <row r="119" spans="1:150" ht="15.75" customHeight="1" x14ac:dyDescent="0.25">
      <c r="A119" s="754"/>
      <c r="B119" s="748"/>
      <c r="C119" s="788"/>
      <c r="D119" s="785"/>
      <c r="E119" s="763"/>
      <c r="F119" s="749">
        <f t="shared" si="115"/>
        <v>0</v>
      </c>
      <c r="G119" s="750">
        <f t="shared" si="116"/>
        <v>0</v>
      </c>
      <c r="H119" s="2320">
        <f t="shared" si="127"/>
        <v>0</v>
      </c>
      <c r="I119" s="750">
        <f t="shared" si="117"/>
        <v>0</v>
      </c>
      <c r="J119" s="751">
        <f t="shared" si="118"/>
        <v>0</v>
      </c>
      <c r="K119" s="2479">
        <f t="shared" si="119"/>
        <v>0</v>
      </c>
      <c r="L119" s="2479"/>
      <c r="M119" s="755">
        <f t="shared" si="120"/>
        <v>0</v>
      </c>
      <c r="N119" s="560"/>
      <c r="Q119" s="556">
        <f t="shared" si="128"/>
        <v>0</v>
      </c>
      <c r="R119" s="558">
        <f t="shared" si="129"/>
        <v>0</v>
      </c>
      <c r="S119" s="557">
        <f t="shared" si="130"/>
        <v>0</v>
      </c>
      <c r="T119" s="557">
        <f t="shared" si="131"/>
        <v>0</v>
      </c>
      <c r="U119" s="558">
        <f t="shared" si="132"/>
        <v>0</v>
      </c>
      <c r="V119" s="558">
        <f t="shared" si="133"/>
        <v>0</v>
      </c>
      <c r="W119" s="559">
        <f t="shared" si="134"/>
        <v>0</v>
      </c>
      <c r="X119" s="562"/>
      <c r="Y119" s="562">
        <f t="shared" si="135"/>
        <v>0</v>
      </c>
      <c r="Z119" s="560">
        <f t="shared" si="136"/>
        <v>0</v>
      </c>
      <c r="AA119" s="560">
        <f t="shared" si="137"/>
        <v>0</v>
      </c>
      <c r="AB119" s="562">
        <f t="shared" si="138"/>
        <v>0</v>
      </c>
      <c r="AC119" s="562">
        <f t="shared" si="139"/>
        <v>0</v>
      </c>
      <c r="AD119" s="411">
        <f t="shared" si="140"/>
        <v>0</v>
      </c>
      <c r="AE119" s="411">
        <f t="shared" si="141"/>
        <v>0</v>
      </c>
      <c r="AF119" s="562">
        <f t="shared" si="142"/>
        <v>0</v>
      </c>
      <c r="AG119" s="562">
        <f t="shared" si="143"/>
        <v>0</v>
      </c>
      <c r="AH119" s="562" t="e">
        <f t="shared" si="144"/>
        <v>#DIV/0!</v>
      </c>
      <c r="AJ119" s="562"/>
      <c r="AK119" s="562"/>
      <c r="AL119" s="1288">
        <f t="shared" si="121"/>
        <v>0</v>
      </c>
      <c r="AM119" s="1288">
        <f t="shared" si="122"/>
        <v>0</v>
      </c>
      <c r="AN119" s="1288">
        <f t="shared" si="123"/>
        <v>0</v>
      </c>
      <c r="AO119" s="1288">
        <f t="shared" si="124"/>
        <v>0</v>
      </c>
      <c r="AP119" s="1288">
        <f t="shared" si="125"/>
        <v>0</v>
      </c>
      <c r="AQ119" s="1288">
        <f t="shared" si="145"/>
        <v>0</v>
      </c>
      <c r="AR119" s="1288">
        <f t="shared" si="146"/>
        <v>0</v>
      </c>
      <c r="AS119" s="1288">
        <f t="shared" si="147"/>
        <v>0</v>
      </c>
      <c r="AT119" s="1288">
        <f t="shared" si="148"/>
        <v>0</v>
      </c>
      <c r="AU119" s="1288">
        <f t="shared" si="149"/>
        <v>0</v>
      </c>
      <c r="AV119" s="1278"/>
      <c r="AW119" s="698">
        <f>INDEX(Pflanzen!$AH$5:$AH$109,'Berechnung Nährstoffe und Lager'!$AX119)</f>
        <v>0</v>
      </c>
      <c r="AX119" s="422">
        <v>1</v>
      </c>
      <c r="AY119" s="422">
        <f>INDEX(Pflanzen!$M$5:$M$109,'Berechnung Nährstoffe und Lager'!$AX119)</f>
        <v>0</v>
      </c>
      <c r="AZ119" s="422">
        <f>INDEX(Pflanzen!$AD$5:$AD$109,'Berechnung Nährstoffe und Lager'!$AX119)</f>
        <v>0</v>
      </c>
      <c r="BA119" s="422">
        <f>INDEX(Pflanzen!$AE$5:$AE$109,'Berechnung Nährstoffe und Lager'!$AX119)</f>
        <v>0</v>
      </c>
      <c r="BB119" s="422">
        <f>INDEX(Pflanzen!$AF$5:$AF$109,'Berechnung Nährstoffe und Lager'!$AX119)</f>
        <v>0</v>
      </c>
      <c r="BC119" s="422">
        <f>INDEX(Pflanzen!$T$5:$T$109,'Berechnung Nährstoffe und Lager'!$AX119)</f>
        <v>0</v>
      </c>
      <c r="BD119" s="422">
        <f>INDEX(Pflanzen!$V$5:$V$109,'Berechnung Nährstoffe und Lager'!$AX119)</f>
        <v>0</v>
      </c>
      <c r="BE119" s="422">
        <f>INDEX(Pflanzen!$AL$5:$AL$109,'Berechnung Nährstoffe und Lager'!$AX119)</f>
        <v>0</v>
      </c>
      <c r="BF119" s="1276"/>
      <c r="BG119" s="480"/>
      <c r="BH119" s="480"/>
      <c r="BI119" s="422">
        <f>INDEX(Pflanzen!$X$5:$X115,'Berechnung Nährstoffe und Lager'!$AX119)</f>
        <v>0</v>
      </c>
      <c r="BJ119" s="475">
        <f t="shared" si="150"/>
        <v>0</v>
      </c>
      <c r="BK119" s="475"/>
      <c r="BL119" s="1074"/>
      <c r="BN119" s="475"/>
      <c r="BO119" s="422">
        <f>INDEX(Pflanzen!$AM$5:$AM$109,'Berechnung Nährstoffe und Lager'!$AX119)</f>
        <v>0</v>
      </c>
      <c r="BP119" s="484">
        <f t="shared" si="126"/>
        <v>0</v>
      </c>
      <c r="BQ119" s="475"/>
      <c r="BR119" s="475"/>
      <c r="BS119" s="475"/>
      <c r="BT119" s="475"/>
      <c r="BU119" s="475"/>
      <c r="BV119" s="475"/>
      <c r="BW119" s="475"/>
      <c r="BX119" s="422"/>
      <c r="BY119" s="422"/>
      <c r="BZ119" s="422"/>
      <c r="CA119" s="422"/>
      <c r="CB119" s="422"/>
      <c r="CC119" s="422"/>
      <c r="CD119" s="422"/>
      <c r="CE119" s="422"/>
      <c r="CF119" s="422"/>
      <c r="CG119" s="422"/>
      <c r="CH119" s="422"/>
      <c r="CI119" s="422"/>
      <c r="CJ119" s="450"/>
      <c r="CK119" s="450"/>
      <c r="CL119" s="450"/>
      <c r="CM119" s="480"/>
      <c r="CN119" s="422"/>
      <c r="CO119" s="422"/>
      <c r="CP119" s="422"/>
      <c r="CQ119" s="456"/>
      <c r="CR119" s="456"/>
      <c r="CS119" s="456"/>
      <c r="CT119" s="456"/>
      <c r="CU119" s="456"/>
      <c r="CV119" s="422"/>
      <c r="CW119" s="422"/>
      <c r="CX119" s="422"/>
      <c r="CY119" s="422"/>
      <c r="CZ119" s="422"/>
      <c r="DA119" s="422"/>
      <c r="DB119" s="422"/>
      <c r="DC119" s="422"/>
      <c r="DD119" s="422"/>
      <c r="DE119" s="422"/>
      <c r="DF119" s="422"/>
      <c r="DG119" s="422"/>
      <c r="DH119" s="422"/>
      <c r="DI119" s="422"/>
      <c r="DJ119" s="422"/>
      <c r="DK119" s="422"/>
      <c r="DL119" s="422"/>
      <c r="DM119" s="450"/>
      <c r="DN119" s="450"/>
      <c r="DO119" s="450"/>
      <c r="DP119" s="450"/>
      <c r="DQ119" s="450"/>
      <c r="DR119" s="450"/>
      <c r="DS119" s="450"/>
      <c r="DT119" s="450"/>
      <c r="DU119" s="450"/>
      <c r="DV119" s="450"/>
      <c r="DW119" s="450"/>
      <c r="DX119" s="450"/>
      <c r="DY119" s="450"/>
      <c r="DZ119" s="450"/>
      <c r="EA119" s="450"/>
      <c r="EB119" s="450"/>
      <c r="EC119" s="450"/>
      <c r="ED119" s="450"/>
      <c r="EE119" s="475"/>
      <c r="EF119" s="475"/>
      <c r="EG119" s="422"/>
      <c r="EH119" s="422"/>
      <c r="EI119" s="422"/>
      <c r="EJ119" s="422"/>
      <c r="EK119" s="422"/>
      <c r="EL119" s="422"/>
      <c r="EM119" s="17"/>
      <c r="EN119" s="17"/>
      <c r="EO119" s="16"/>
      <c r="EP119" s="16"/>
      <c r="EQ119" s="17"/>
      <c r="ER119" s="17"/>
      <c r="ES119" s="17"/>
      <c r="ET119" s="17"/>
    </row>
    <row r="120" spans="1:150" ht="15.75" customHeight="1" x14ac:dyDescent="0.25">
      <c r="A120" s="754"/>
      <c r="B120" s="748"/>
      <c r="C120" s="788"/>
      <c r="D120" s="785"/>
      <c r="E120" s="763"/>
      <c r="F120" s="749">
        <f t="shared" si="115"/>
        <v>0</v>
      </c>
      <c r="G120" s="750">
        <f t="shared" si="116"/>
        <v>0</v>
      </c>
      <c r="H120" s="2320">
        <f t="shared" si="127"/>
        <v>0</v>
      </c>
      <c r="I120" s="750">
        <f t="shared" si="117"/>
        <v>0</v>
      </c>
      <c r="J120" s="751">
        <f t="shared" si="118"/>
        <v>0</v>
      </c>
      <c r="K120" s="2479">
        <f t="shared" si="119"/>
        <v>0</v>
      </c>
      <c r="L120" s="2479"/>
      <c r="M120" s="755">
        <f t="shared" si="120"/>
        <v>0</v>
      </c>
      <c r="N120" s="560"/>
      <c r="Q120" s="556">
        <f t="shared" si="128"/>
        <v>0</v>
      </c>
      <c r="R120" s="558">
        <f t="shared" si="129"/>
        <v>0</v>
      </c>
      <c r="S120" s="557">
        <f t="shared" si="130"/>
        <v>0</v>
      </c>
      <c r="T120" s="557">
        <f t="shared" si="131"/>
        <v>0</v>
      </c>
      <c r="U120" s="558">
        <f t="shared" si="132"/>
        <v>0</v>
      </c>
      <c r="V120" s="558">
        <f t="shared" si="133"/>
        <v>0</v>
      </c>
      <c r="W120" s="559">
        <f t="shared" si="134"/>
        <v>0</v>
      </c>
      <c r="X120" s="562"/>
      <c r="Y120" s="562">
        <f t="shared" si="135"/>
        <v>0</v>
      </c>
      <c r="Z120" s="560">
        <f t="shared" si="136"/>
        <v>0</v>
      </c>
      <c r="AA120" s="560">
        <f t="shared" si="137"/>
        <v>0</v>
      </c>
      <c r="AB120" s="562">
        <f t="shared" si="138"/>
        <v>0</v>
      </c>
      <c r="AC120" s="562">
        <f t="shared" si="139"/>
        <v>0</v>
      </c>
      <c r="AD120" s="411">
        <f t="shared" si="140"/>
        <v>0</v>
      </c>
      <c r="AE120" s="411">
        <f t="shared" si="141"/>
        <v>0</v>
      </c>
      <c r="AF120" s="562">
        <f t="shared" si="142"/>
        <v>0</v>
      </c>
      <c r="AG120" s="562">
        <f t="shared" si="143"/>
        <v>0</v>
      </c>
      <c r="AH120" s="562" t="e">
        <f t="shared" si="144"/>
        <v>#DIV/0!</v>
      </c>
      <c r="AJ120" s="562"/>
      <c r="AK120" s="562"/>
      <c r="AL120" s="1288">
        <f t="shared" si="121"/>
        <v>0</v>
      </c>
      <c r="AM120" s="1288">
        <f t="shared" si="122"/>
        <v>0</v>
      </c>
      <c r="AN120" s="1288">
        <f t="shared" si="123"/>
        <v>0</v>
      </c>
      <c r="AO120" s="1288">
        <f t="shared" si="124"/>
        <v>0</v>
      </c>
      <c r="AP120" s="1288">
        <f t="shared" si="125"/>
        <v>0</v>
      </c>
      <c r="AQ120" s="1288">
        <f t="shared" si="145"/>
        <v>0</v>
      </c>
      <c r="AR120" s="1288">
        <f t="shared" si="146"/>
        <v>0</v>
      </c>
      <c r="AS120" s="1288">
        <f t="shared" si="147"/>
        <v>0</v>
      </c>
      <c r="AT120" s="1288">
        <f t="shared" si="148"/>
        <v>0</v>
      </c>
      <c r="AU120" s="1288">
        <f t="shared" si="149"/>
        <v>0</v>
      </c>
      <c r="AV120" s="1278"/>
      <c r="AW120" s="698">
        <f>INDEX(Pflanzen!$AH$5:$AH$109,'Berechnung Nährstoffe und Lager'!$AX120)</f>
        <v>0</v>
      </c>
      <c r="AX120" s="422">
        <v>1</v>
      </c>
      <c r="AY120" s="422">
        <f>INDEX(Pflanzen!$M$5:$M$109,'Berechnung Nährstoffe und Lager'!$AX120)</f>
        <v>0</v>
      </c>
      <c r="AZ120" s="422">
        <f>INDEX(Pflanzen!$AD$5:$AD$109,'Berechnung Nährstoffe und Lager'!$AX120)</f>
        <v>0</v>
      </c>
      <c r="BA120" s="422">
        <f>INDEX(Pflanzen!$AE$5:$AE$109,'Berechnung Nährstoffe und Lager'!$AX120)</f>
        <v>0</v>
      </c>
      <c r="BB120" s="422">
        <f>INDEX(Pflanzen!$AF$5:$AF$109,'Berechnung Nährstoffe und Lager'!$AX120)</f>
        <v>0</v>
      </c>
      <c r="BC120" s="422">
        <f>INDEX(Pflanzen!$T$5:$T$109,'Berechnung Nährstoffe und Lager'!$AX120)</f>
        <v>0</v>
      </c>
      <c r="BD120" s="422">
        <f>INDEX(Pflanzen!$V$5:$V$109,'Berechnung Nährstoffe und Lager'!$AX120)</f>
        <v>0</v>
      </c>
      <c r="BE120" s="422">
        <f>INDEX(Pflanzen!$AL$5:$AL$109,'Berechnung Nährstoffe und Lager'!$AX120)</f>
        <v>0</v>
      </c>
      <c r="BF120" s="1276"/>
      <c r="BG120" s="480"/>
      <c r="BH120" s="480"/>
      <c r="BI120" s="422">
        <f>INDEX(Pflanzen!$X$5:$X116,'Berechnung Nährstoffe und Lager'!$AX120)</f>
        <v>0</v>
      </c>
      <c r="BJ120" s="475">
        <f t="shared" si="150"/>
        <v>0</v>
      </c>
      <c r="BK120" s="475"/>
      <c r="BL120" s="1074"/>
      <c r="BN120" s="475"/>
      <c r="BO120" s="422">
        <f>INDEX(Pflanzen!$AM$5:$AM$109,'Berechnung Nährstoffe und Lager'!$AX120)</f>
        <v>0</v>
      </c>
      <c r="BP120" s="484">
        <f t="shared" si="126"/>
        <v>0</v>
      </c>
      <c r="BQ120" s="475"/>
      <c r="BR120" s="475"/>
      <c r="BS120" s="475"/>
      <c r="BT120" s="475"/>
      <c r="BU120" s="475"/>
      <c r="BV120" s="475"/>
      <c r="BW120" s="475"/>
      <c r="BX120" s="422"/>
      <c r="BY120" s="422"/>
      <c r="BZ120" s="422"/>
      <c r="CA120" s="422"/>
      <c r="CB120" s="422"/>
      <c r="CC120" s="422"/>
      <c r="CD120" s="422"/>
      <c r="CE120" s="422"/>
      <c r="CF120" s="422"/>
      <c r="CG120" s="422"/>
      <c r="CH120" s="422"/>
      <c r="CI120" s="422"/>
      <c r="CJ120" s="450"/>
      <c r="CK120" s="450"/>
      <c r="CL120" s="450"/>
      <c r="CM120" s="480"/>
      <c r="CN120" s="422"/>
      <c r="CO120" s="422"/>
      <c r="CP120" s="422"/>
      <c r="CQ120" s="456"/>
      <c r="CR120" s="456"/>
      <c r="CS120" s="456"/>
      <c r="CT120" s="456"/>
      <c r="CU120" s="456"/>
      <c r="CV120" s="422"/>
      <c r="CW120" s="422"/>
      <c r="CX120" s="422"/>
      <c r="CY120" s="422"/>
      <c r="CZ120" s="422"/>
      <c r="DA120" s="422"/>
      <c r="DB120" s="422"/>
      <c r="DC120" s="422"/>
      <c r="DD120" s="422"/>
      <c r="DE120" s="422"/>
      <c r="DF120" s="422"/>
      <c r="DG120" s="422"/>
      <c r="DH120" s="422"/>
      <c r="DI120" s="422"/>
      <c r="DJ120" s="422"/>
      <c r="DK120" s="422"/>
      <c r="DL120" s="422"/>
      <c r="DM120" s="450"/>
      <c r="DN120" s="450"/>
      <c r="DO120" s="450"/>
      <c r="DP120" s="450"/>
      <c r="DQ120" s="450"/>
      <c r="DR120" s="450"/>
      <c r="DS120" s="450"/>
      <c r="DT120" s="450"/>
      <c r="DU120" s="450"/>
      <c r="DV120" s="450"/>
      <c r="DW120" s="450"/>
      <c r="DX120" s="450"/>
      <c r="DY120" s="450"/>
      <c r="DZ120" s="450"/>
      <c r="EA120" s="450"/>
      <c r="EB120" s="450"/>
      <c r="EC120" s="450"/>
      <c r="ED120" s="450"/>
      <c r="EE120" s="475"/>
      <c r="EF120" s="475"/>
      <c r="EG120" s="422"/>
      <c r="EH120" s="422"/>
      <c r="EI120" s="422"/>
      <c r="EJ120" s="422"/>
      <c r="EK120" s="422"/>
      <c r="EL120" s="422"/>
      <c r="EM120" s="17"/>
      <c r="EN120" s="17"/>
      <c r="EO120" s="16"/>
      <c r="EP120" s="16"/>
      <c r="EQ120" s="17"/>
      <c r="ER120" s="17"/>
      <c r="ES120" s="17"/>
      <c r="ET120" s="17"/>
    </row>
    <row r="121" spans="1:150" ht="15.75" customHeight="1" x14ac:dyDescent="0.25">
      <c r="A121" s="754"/>
      <c r="B121" s="748"/>
      <c r="C121" s="788"/>
      <c r="D121" s="785"/>
      <c r="E121" s="763"/>
      <c r="F121" s="749">
        <f t="shared" si="115"/>
        <v>0</v>
      </c>
      <c r="G121" s="750">
        <f t="shared" si="116"/>
        <v>0</v>
      </c>
      <c r="H121" s="2320">
        <f t="shared" si="127"/>
        <v>0</v>
      </c>
      <c r="I121" s="750">
        <f t="shared" si="117"/>
        <v>0</v>
      </c>
      <c r="J121" s="751">
        <f t="shared" si="118"/>
        <v>0</v>
      </c>
      <c r="K121" s="2479">
        <f t="shared" si="119"/>
        <v>0</v>
      </c>
      <c r="L121" s="2479"/>
      <c r="M121" s="755">
        <f t="shared" si="120"/>
        <v>0</v>
      </c>
      <c r="N121" s="560"/>
      <c r="Q121" s="556">
        <f t="shared" si="128"/>
        <v>0</v>
      </c>
      <c r="R121" s="558">
        <f t="shared" si="129"/>
        <v>0</v>
      </c>
      <c r="S121" s="557">
        <f t="shared" si="130"/>
        <v>0</v>
      </c>
      <c r="T121" s="557">
        <f t="shared" si="131"/>
        <v>0</v>
      </c>
      <c r="U121" s="558">
        <f t="shared" si="132"/>
        <v>0</v>
      </c>
      <c r="V121" s="558">
        <f t="shared" si="133"/>
        <v>0</v>
      </c>
      <c r="W121" s="559">
        <f t="shared" si="134"/>
        <v>0</v>
      </c>
      <c r="X121" s="562"/>
      <c r="Y121" s="562">
        <f t="shared" si="135"/>
        <v>0</v>
      </c>
      <c r="Z121" s="560">
        <f t="shared" si="136"/>
        <v>0</v>
      </c>
      <c r="AA121" s="560">
        <f t="shared" si="137"/>
        <v>0</v>
      </c>
      <c r="AB121" s="562">
        <f t="shared" si="138"/>
        <v>0</v>
      </c>
      <c r="AC121" s="562">
        <f t="shared" si="139"/>
        <v>0</v>
      </c>
      <c r="AD121" s="411">
        <f t="shared" si="140"/>
        <v>0</v>
      </c>
      <c r="AE121" s="411">
        <f t="shared" si="141"/>
        <v>0</v>
      </c>
      <c r="AF121" s="562">
        <f t="shared" si="142"/>
        <v>0</v>
      </c>
      <c r="AG121" s="562">
        <f t="shared" si="143"/>
        <v>0</v>
      </c>
      <c r="AH121" s="562" t="e">
        <f t="shared" si="144"/>
        <v>#DIV/0!</v>
      </c>
      <c r="AJ121" s="562"/>
      <c r="AK121" s="562"/>
      <c r="AL121" s="1288">
        <f t="shared" si="121"/>
        <v>0</v>
      </c>
      <c r="AM121" s="1288">
        <f t="shared" si="122"/>
        <v>0</v>
      </c>
      <c r="AN121" s="1288">
        <f t="shared" si="123"/>
        <v>0</v>
      </c>
      <c r="AO121" s="1288">
        <f t="shared" si="124"/>
        <v>0</v>
      </c>
      <c r="AP121" s="1288">
        <f t="shared" si="125"/>
        <v>0</v>
      </c>
      <c r="AQ121" s="1288">
        <f t="shared" si="145"/>
        <v>0</v>
      </c>
      <c r="AR121" s="1288">
        <f t="shared" si="146"/>
        <v>0</v>
      </c>
      <c r="AS121" s="1288">
        <f t="shared" si="147"/>
        <v>0</v>
      </c>
      <c r="AT121" s="1288">
        <f t="shared" si="148"/>
        <v>0</v>
      </c>
      <c r="AU121" s="1288">
        <f t="shared" si="149"/>
        <v>0</v>
      </c>
      <c r="AV121" s="1278"/>
      <c r="AW121" s="698">
        <f>INDEX(Pflanzen!$AH$5:$AH$109,'Berechnung Nährstoffe und Lager'!$AX121)</f>
        <v>0</v>
      </c>
      <c r="AX121" s="422">
        <v>1</v>
      </c>
      <c r="AY121" s="422">
        <f>INDEX(Pflanzen!$M$5:$M$109,'Berechnung Nährstoffe und Lager'!$AX121)</f>
        <v>0</v>
      </c>
      <c r="AZ121" s="422">
        <f>INDEX(Pflanzen!$AD$5:$AD$109,'Berechnung Nährstoffe und Lager'!$AX121)</f>
        <v>0</v>
      </c>
      <c r="BA121" s="422">
        <f>INDEX(Pflanzen!$AE$5:$AE$109,'Berechnung Nährstoffe und Lager'!$AX121)</f>
        <v>0</v>
      </c>
      <c r="BB121" s="422">
        <f>INDEX(Pflanzen!$AF$5:$AF$109,'Berechnung Nährstoffe und Lager'!$AX121)</f>
        <v>0</v>
      </c>
      <c r="BC121" s="422">
        <f>INDEX(Pflanzen!$T$5:$T$109,'Berechnung Nährstoffe und Lager'!$AX121)</f>
        <v>0</v>
      </c>
      <c r="BD121" s="422">
        <f>INDEX(Pflanzen!$V$5:$V$109,'Berechnung Nährstoffe und Lager'!$AX121)</f>
        <v>0</v>
      </c>
      <c r="BE121" s="422">
        <f>INDEX(Pflanzen!$AL$5:$AL$109,'Berechnung Nährstoffe und Lager'!$AX121)</f>
        <v>0</v>
      </c>
      <c r="BF121" s="1276"/>
      <c r="BG121" s="480"/>
      <c r="BH121" s="480"/>
      <c r="BI121" s="422">
        <f>INDEX(Pflanzen!$X$5:$X116,'Berechnung Nährstoffe und Lager'!$AX121)</f>
        <v>0</v>
      </c>
      <c r="BJ121" s="475">
        <f t="shared" si="150"/>
        <v>0</v>
      </c>
      <c r="BK121" s="475"/>
      <c r="BL121" s="1074"/>
      <c r="BN121" s="475"/>
      <c r="BO121" s="422">
        <f>INDEX(Pflanzen!$AM$5:$AM$109,'Berechnung Nährstoffe und Lager'!$AX121)</f>
        <v>0</v>
      </c>
      <c r="BP121" s="484">
        <f t="shared" si="126"/>
        <v>0</v>
      </c>
      <c r="BQ121" s="475"/>
      <c r="BR121" s="475"/>
      <c r="BS121" s="475"/>
      <c r="BT121" s="475"/>
      <c r="BU121" s="475"/>
      <c r="BV121" s="475"/>
      <c r="BW121" s="475"/>
      <c r="BX121" s="422"/>
      <c r="BY121" s="422"/>
      <c r="BZ121" s="422"/>
      <c r="CA121" s="422"/>
      <c r="CB121" s="422"/>
      <c r="CC121" s="422"/>
      <c r="CD121" s="422"/>
      <c r="CE121" s="422"/>
      <c r="CF121" s="422"/>
      <c r="CG121" s="422"/>
      <c r="CH121" s="422"/>
      <c r="CI121" s="422"/>
      <c r="CJ121" s="450"/>
      <c r="CK121" s="450"/>
      <c r="CL121" s="450"/>
      <c r="CM121" s="480"/>
      <c r="CN121" s="422"/>
      <c r="CO121" s="422"/>
      <c r="CP121" s="422"/>
      <c r="CQ121" s="456"/>
      <c r="CR121" s="456"/>
      <c r="CS121" s="456"/>
      <c r="CT121" s="456"/>
      <c r="CU121" s="456"/>
      <c r="CV121" s="422"/>
      <c r="CW121" s="422"/>
      <c r="CX121" s="422"/>
      <c r="CY121" s="422"/>
      <c r="CZ121" s="422"/>
      <c r="DA121" s="422"/>
      <c r="DB121" s="422"/>
      <c r="DC121" s="422"/>
      <c r="DD121" s="422"/>
      <c r="DE121" s="422"/>
      <c r="DF121" s="422"/>
      <c r="DG121" s="422"/>
      <c r="DH121" s="422"/>
      <c r="DI121" s="422"/>
      <c r="DJ121" s="422"/>
      <c r="DK121" s="422"/>
      <c r="DL121" s="422"/>
      <c r="DM121" s="450"/>
      <c r="DN121" s="450"/>
      <c r="DO121" s="450"/>
      <c r="DP121" s="450"/>
      <c r="DQ121" s="450"/>
      <c r="DR121" s="450"/>
      <c r="DS121" s="450"/>
      <c r="DT121" s="450"/>
      <c r="DU121" s="450"/>
      <c r="DV121" s="450"/>
      <c r="DW121" s="450"/>
      <c r="DX121" s="450"/>
      <c r="DY121" s="450"/>
      <c r="DZ121" s="450"/>
      <c r="EA121" s="450"/>
      <c r="EB121" s="450"/>
      <c r="EC121" s="450"/>
      <c r="ED121" s="450"/>
      <c r="EE121" s="475"/>
      <c r="EF121" s="475"/>
      <c r="EG121" s="422"/>
      <c r="EH121" s="422"/>
      <c r="EI121" s="422"/>
      <c r="EJ121" s="422"/>
      <c r="EK121" s="422"/>
      <c r="EL121" s="422"/>
      <c r="EM121" s="17"/>
      <c r="EN121" s="17"/>
      <c r="EO121" s="16"/>
      <c r="EP121" s="16"/>
      <c r="EQ121" s="17"/>
      <c r="ER121" s="17"/>
      <c r="ES121" s="17"/>
      <c r="ET121" s="17"/>
    </row>
    <row r="122" spans="1:150" ht="15.75" customHeight="1" x14ac:dyDescent="0.25">
      <c r="A122" s="754"/>
      <c r="B122" s="748"/>
      <c r="C122" s="788"/>
      <c r="D122" s="785"/>
      <c r="E122" s="763"/>
      <c r="F122" s="749">
        <f t="shared" si="115"/>
        <v>0</v>
      </c>
      <c r="G122" s="750">
        <f t="shared" si="116"/>
        <v>0</v>
      </c>
      <c r="H122" s="2320">
        <f t="shared" si="127"/>
        <v>0</v>
      </c>
      <c r="I122" s="750">
        <f t="shared" si="117"/>
        <v>0</v>
      </c>
      <c r="J122" s="751">
        <f t="shared" si="118"/>
        <v>0</v>
      </c>
      <c r="K122" s="2479">
        <f t="shared" si="119"/>
        <v>0</v>
      </c>
      <c r="L122" s="2479"/>
      <c r="M122" s="755">
        <f t="shared" si="120"/>
        <v>0</v>
      </c>
      <c r="N122" s="560"/>
      <c r="Q122" s="556">
        <f t="shared" si="128"/>
        <v>0</v>
      </c>
      <c r="R122" s="558">
        <f t="shared" si="129"/>
        <v>0</v>
      </c>
      <c r="S122" s="557">
        <f t="shared" si="130"/>
        <v>0</v>
      </c>
      <c r="T122" s="557">
        <f t="shared" si="131"/>
        <v>0</v>
      </c>
      <c r="U122" s="558">
        <f t="shared" si="132"/>
        <v>0</v>
      </c>
      <c r="V122" s="558">
        <f t="shared" si="133"/>
        <v>0</v>
      </c>
      <c r="W122" s="559">
        <f t="shared" si="134"/>
        <v>0</v>
      </c>
      <c r="X122" s="562"/>
      <c r="Y122" s="562">
        <f t="shared" si="135"/>
        <v>0</v>
      </c>
      <c r="Z122" s="560">
        <f t="shared" si="136"/>
        <v>0</v>
      </c>
      <c r="AA122" s="560">
        <f t="shared" si="137"/>
        <v>0</v>
      </c>
      <c r="AB122" s="562">
        <f t="shared" si="138"/>
        <v>0</v>
      </c>
      <c r="AC122" s="562">
        <f t="shared" si="139"/>
        <v>0</v>
      </c>
      <c r="AD122" s="411">
        <f t="shared" si="140"/>
        <v>0</v>
      </c>
      <c r="AE122" s="411">
        <f t="shared" si="141"/>
        <v>0</v>
      </c>
      <c r="AF122" s="562">
        <f t="shared" si="142"/>
        <v>0</v>
      </c>
      <c r="AG122" s="562">
        <f t="shared" si="143"/>
        <v>0</v>
      </c>
      <c r="AH122" s="562" t="e">
        <f t="shared" si="144"/>
        <v>#DIV/0!</v>
      </c>
      <c r="AJ122" s="562"/>
      <c r="AK122" s="562"/>
      <c r="AL122" s="1288">
        <f t="shared" si="121"/>
        <v>0</v>
      </c>
      <c r="AM122" s="1288">
        <f t="shared" si="122"/>
        <v>0</v>
      </c>
      <c r="AN122" s="1288">
        <f t="shared" si="123"/>
        <v>0</v>
      </c>
      <c r="AO122" s="1288">
        <f t="shared" si="124"/>
        <v>0</v>
      </c>
      <c r="AP122" s="1288">
        <f t="shared" si="125"/>
        <v>0</v>
      </c>
      <c r="AQ122" s="1288">
        <f t="shared" si="145"/>
        <v>0</v>
      </c>
      <c r="AR122" s="1288">
        <f t="shared" si="146"/>
        <v>0</v>
      </c>
      <c r="AS122" s="1288">
        <f t="shared" si="147"/>
        <v>0</v>
      </c>
      <c r="AT122" s="1288">
        <f t="shared" si="148"/>
        <v>0</v>
      </c>
      <c r="AU122" s="1288">
        <f t="shared" si="149"/>
        <v>0</v>
      </c>
      <c r="AV122" s="1278"/>
      <c r="AW122" s="698">
        <f>INDEX(Pflanzen!$AH$5:$AH$109,'Berechnung Nährstoffe und Lager'!$AX122)</f>
        <v>0</v>
      </c>
      <c r="AX122" s="422">
        <v>1</v>
      </c>
      <c r="AY122" s="422">
        <f>INDEX(Pflanzen!$M$5:$M$109,'Berechnung Nährstoffe und Lager'!$AX122)</f>
        <v>0</v>
      </c>
      <c r="AZ122" s="422">
        <f>INDEX(Pflanzen!$AD$5:$AD$109,'Berechnung Nährstoffe und Lager'!$AX122)</f>
        <v>0</v>
      </c>
      <c r="BA122" s="422">
        <f>INDEX(Pflanzen!$AE$5:$AE$109,'Berechnung Nährstoffe und Lager'!$AX122)</f>
        <v>0</v>
      </c>
      <c r="BB122" s="422">
        <f>INDEX(Pflanzen!$AF$5:$AF$109,'Berechnung Nährstoffe und Lager'!$AX122)</f>
        <v>0</v>
      </c>
      <c r="BC122" s="422">
        <f>INDEX(Pflanzen!$T$5:$T$109,'Berechnung Nährstoffe und Lager'!$AX122)</f>
        <v>0</v>
      </c>
      <c r="BD122" s="422">
        <f>INDEX(Pflanzen!$V$5:$V$109,'Berechnung Nährstoffe und Lager'!$AX122)</f>
        <v>0</v>
      </c>
      <c r="BE122" s="422">
        <f>INDEX(Pflanzen!$AL$5:$AL$109,'Berechnung Nährstoffe und Lager'!$AX122)</f>
        <v>0</v>
      </c>
      <c r="BF122" s="1276"/>
      <c r="BG122" s="480"/>
      <c r="BH122" s="480"/>
      <c r="BI122" s="422">
        <f>INDEX(Pflanzen!$X$5:$X116,'Berechnung Nährstoffe und Lager'!$AX122)</f>
        <v>0</v>
      </c>
      <c r="BJ122" s="475">
        <f t="shared" si="150"/>
        <v>0</v>
      </c>
      <c r="BK122" s="475"/>
      <c r="BL122" s="1074"/>
      <c r="BN122" s="475"/>
      <c r="BO122" s="422">
        <f>INDEX(Pflanzen!$AM$5:$AM$109,'Berechnung Nährstoffe und Lager'!$AX122)</f>
        <v>0</v>
      </c>
      <c r="BP122" s="484">
        <f t="shared" si="126"/>
        <v>0</v>
      </c>
      <c r="BQ122" s="475"/>
      <c r="BR122" s="475"/>
      <c r="BS122" s="475"/>
      <c r="BT122" s="475"/>
      <c r="BU122" s="475"/>
      <c r="BV122" s="475"/>
      <c r="BW122" s="475"/>
      <c r="BX122" s="422"/>
      <c r="BY122" s="422"/>
      <c r="BZ122" s="422"/>
      <c r="CA122" s="422"/>
      <c r="CB122" s="422"/>
      <c r="CC122" s="422"/>
      <c r="CD122" s="422"/>
      <c r="CE122" s="422"/>
      <c r="CF122" s="422"/>
      <c r="CG122" s="422"/>
      <c r="CH122" s="422"/>
      <c r="CI122" s="422"/>
      <c r="CJ122" s="450"/>
      <c r="CK122" s="450"/>
      <c r="CL122" s="450"/>
      <c r="CM122" s="480"/>
      <c r="CN122" s="422"/>
      <c r="CO122" s="422"/>
      <c r="CP122" s="422"/>
      <c r="CQ122" s="456"/>
      <c r="CR122" s="456"/>
      <c r="CS122" s="456"/>
      <c r="CT122" s="456"/>
      <c r="CU122" s="456"/>
      <c r="CV122" s="422"/>
      <c r="CW122" s="422"/>
      <c r="CX122" s="422"/>
      <c r="CY122" s="422"/>
      <c r="CZ122" s="422"/>
      <c r="DA122" s="422"/>
      <c r="DB122" s="422"/>
      <c r="DC122" s="422"/>
      <c r="DD122" s="422"/>
      <c r="DE122" s="422"/>
      <c r="DF122" s="422"/>
      <c r="DG122" s="422"/>
      <c r="DH122" s="422"/>
      <c r="DI122" s="422"/>
      <c r="DJ122" s="422"/>
      <c r="DK122" s="422"/>
      <c r="DL122" s="422"/>
      <c r="DM122" s="450"/>
      <c r="DN122" s="450"/>
      <c r="DO122" s="450"/>
      <c r="DP122" s="450"/>
      <c r="DQ122" s="450"/>
      <c r="DR122" s="450"/>
      <c r="DS122" s="450"/>
      <c r="DT122" s="450"/>
      <c r="DU122" s="450"/>
      <c r="DV122" s="450"/>
      <c r="DW122" s="450"/>
      <c r="DX122" s="450"/>
      <c r="DY122" s="450"/>
      <c r="DZ122" s="450"/>
      <c r="EA122" s="450"/>
      <c r="EB122" s="450"/>
      <c r="EC122" s="450"/>
      <c r="ED122" s="450"/>
      <c r="EE122" s="475"/>
      <c r="EF122" s="475"/>
      <c r="EG122" s="422"/>
      <c r="EH122" s="422"/>
      <c r="EI122" s="422"/>
      <c r="EJ122" s="422"/>
      <c r="EK122" s="422"/>
      <c r="EL122" s="422"/>
      <c r="EM122" s="17"/>
      <c r="EN122" s="17"/>
      <c r="EO122" s="16"/>
      <c r="EP122" s="16"/>
      <c r="EQ122" s="17"/>
      <c r="ER122" s="17"/>
      <c r="ES122" s="17"/>
      <c r="ET122" s="17"/>
    </row>
    <row r="123" spans="1:150" ht="15.75" customHeight="1" x14ac:dyDescent="0.25">
      <c r="A123" s="754"/>
      <c r="B123" s="748"/>
      <c r="C123" s="788"/>
      <c r="D123" s="785"/>
      <c r="E123" s="763"/>
      <c r="F123" s="749">
        <f t="shared" si="115"/>
        <v>0</v>
      </c>
      <c r="G123" s="750">
        <f t="shared" si="116"/>
        <v>0</v>
      </c>
      <c r="H123" s="2320">
        <f t="shared" si="127"/>
        <v>0</v>
      </c>
      <c r="I123" s="750">
        <f t="shared" si="117"/>
        <v>0</v>
      </c>
      <c r="J123" s="751">
        <f t="shared" si="118"/>
        <v>0</v>
      </c>
      <c r="K123" s="2479">
        <f t="shared" si="119"/>
        <v>0</v>
      </c>
      <c r="L123" s="2479"/>
      <c r="M123" s="755">
        <f t="shared" si="120"/>
        <v>0</v>
      </c>
      <c r="N123" s="560"/>
      <c r="Q123" s="556">
        <f t="shared" si="128"/>
        <v>0</v>
      </c>
      <c r="R123" s="558">
        <f t="shared" si="129"/>
        <v>0</v>
      </c>
      <c r="S123" s="557">
        <f t="shared" si="130"/>
        <v>0</v>
      </c>
      <c r="T123" s="557">
        <f t="shared" si="131"/>
        <v>0</v>
      </c>
      <c r="U123" s="558">
        <f t="shared" si="132"/>
        <v>0</v>
      </c>
      <c r="V123" s="558">
        <f t="shared" si="133"/>
        <v>0</v>
      </c>
      <c r="W123" s="559">
        <f t="shared" si="134"/>
        <v>0</v>
      </c>
      <c r="X123" s="562"/>
      <c r="Y123" s="562">
        <f t="shared" si="135"/>
        <v>0</v>
      </c>
      <c r="Z123" s="560">
        <f t="shared" si="136"/>
        <v>0</v>
      </c>
      <c r="AA123" s="560">
        <f t="shared" si="137"/>
        <v>0</v>
      </c>
      <c r="AB123" s="562">
        <f t="shared" si="138"/>
        <v>0</v>
      </c>
      <c r="AC123" s="562">
        <f t="shared" si="139"/>
        <v>0</v>
      </c>
      <c r="AD123" s="411">
        <f t="shared" si="140"/>
        <v>0</v>
      </c>
      <c r="AE123" s="411">
        <f t="shared" si="141"/>
        <v>0</v>
      </c>
      <c r="AF123" s="562">
        <f t="shared" si="142"/>
        <v>0</v>
      </c>
      <c r="AG123" s="562">
        <f t="shared" si="143"/>
        <v>0</v>
      </c>
      <c r="AH123" s="562" t="e">
        <f t="shared" si="144"/>
        <v>#DIV/0!</v>
      </c>
      <c r="AJ123" s="562"/>
      <c r="AK123" s="562"/>
      <c r="AL123" s="1288">
        <f t="shared" si="121"/>
        <v>0</v>
      </c>
      <c r="AM123" s="1288">
        <f t="shared" si="122"/>
        <v>0</v>
      </c>
      <c r="AN123" s="1288">
        <f t="shared" si="123"/>
        <v>0</v>
      </c>
      <c r="AO123" s="1288">
        <f t="shared" si="124"/>
        <v>0</v>
      </c>
      <c r="AP123" s="1288">
        <f t="shared" si="125"/>
        <v>0</v>
      </c>
      <c r="AQ123" s="1288">
        <f t="shared" si="145"/>
        <v>0</v>
      </c>
      <c r="AR123" s="1288">
        <f t="shared" si="146"/>
        <v>0</v>
      </c>
      <c r="AS123" s="1288">
        <f t="shared" si="147"/>
        <v>0</v>
      </c>
      <c r="AT123" s="1288">
        <f t="shared" si="148"/>
        <v>0</v>
      </c>
      <c r="AU123" s="1288">
        <f t="shared" si="149"/>
        <v>0</v>
      </c>
      <c r="AV123" s="1278"/>
      <c r="AW123" s="698">
        <f>INDEX(Pflanzen!$AH$5:$AH$109,'Berechnung Nährstoffe und Lager'!$AX123)</f>
        <v>0</v>
      </c>
      <c r="AX123" s="422">
        <v>1</v>
      </c>
      <c r="AY123" s="422">
        <f>INDEX(Pflanzen!$M$5:$M$109,'Berechnung Nährstoffe und Lager'!$AX123)</f>
        <v>0</v>
      </c>
      <c r="AZ123" s="422">
        <f>INDEX(Pflanzen!$AD$5:$AD$109,'Berechnung Nährstoffe und Lager'!$AX123)</f>
        <v>0</v>
      </c>
      <c r="BA123" s="422">
        <f>INDEX(Pflanzen!$AE$5:$AE$109,'Berechnung Nährstoffe und Lager'!$AX123)</f>
        <v>0</v>
      </c>
      <c r="BB123" s="422">
        <f>INDEX(Pflanzen!$AF$5:$AF$109,'Berechnung Nährstoffe und Lager'!$AX123)</f>
        <v>0</v>
      </c>
      <c r="BC123" s="422">
        <f>INDEX(Pflanzen!$T$5:$T$109,'Berechnung Nährstoffe und Lager'!$AX123)</f>
        <v>0</v>
      </c>
      <c r="BD123" s="422">
        <f>INDEX(Pflanzen!$V$5:$V$109,'Berechnung Nährstoffe und Lager'!$AX123)</f>
        <v>0</v>
      </c>
      <c r="BE123" s="422">
        <f>INDEX(Pflanzen!$AL$5:$AL$109,'Berechnung Nährstoffe und Lager'!$AX123)</f>
        <v>0</v>
      </c>
      <c r="BF123" s="1276"/>
      <c r="BG123" s="480"/>
      <c r="BH123" s="480"/>
      <c r="BI123" s="422">
        <f>INDEX(Pflanzen!$X$5:$X116,'Berechnung Nährstoffe und Lager'!$AX123)</f>
        <v>0</v>
      </c>
      <c r="BJ123" s="475">
        <f t="shared" si="150"/>
        <v>0</v>
      </c>
      <c r="BK123" s="475"/>
      <c r="BL123" s="1074"/>
      <c r="BN123" s="475"/>
      <c r="BO123" s="422">
        <f>INDEX(Pflanzen!$AM$5:$AM$109,'Berechnung Nährstoffe und Lager'!$AX123)</f>
        <v>0</v>
      </c>
      <c r="BP123" s="484">
        <f t="shared" si="126"/>
        <v>0</v>
      </c>
      <c r="BQ123" s="475"/>
      <c r="BR123" s="475"/>
      <c r="BS123" s="475"/>
      <c r="BT123" s="475"/>
      <c r="BU123" s="475"/>
      <c r="BV123" s="475"/>
      <c r="BW123" s="475"/>
      <c r="BX123" s="422"/>
      <c r="BY123" s="422"/>
      <c r="BZ123" s="422"/>
      <c r="CA123" s="422"/>
      <c r="CB123" s="422"/>
      <c r="CC123" s="422"/>
      <c r="CD123" s="422"/>
      <c r="CE123" s="422"/>
      <c r="CF123" s="422"/>
      <c r="CG123" s="422"/>
      <c r="CH123" s="422"/>
      <c r="CI123" s="422"/>
      <c r="CJ123" s="450"/>
      <c r="CK123" s="450"/>
      <c r="CL123" s="450"/>
      <c r="CM123" s="480"/>
      <c r="CN123" s="422"/>
      <c r="CO123" s="422"/>
      <c r="CP123" s="422"/>
      <c r="CQ123" s="456"/>
      <c r="CR123" s="456"/>
      <c r="CS123" s="456"/>
      <c r="CT123" s="456"/>
      <c r="CU123" s="456"/>
      <c r="CV123" s="422"/>
      <c r="CW123" s="422"/>
      <c r="CX123" s="422"/>
      <c r="CY123" s="422"/>
      <c r="CZ123" s="422"/>
      <c r="DA123" s="422"/>
      <c r="DB123" s="422"/>
      <c r="DC123" s="422"/>
      <c r="DD123" s="422"/>
      <c r="DE123" s="422"/>
      <c r="DF123" s="422"/>
      <c r="DG123" s="422"/>
      <c r="DH123" s="422"/>
      <c r="DI123" s="422"/>
      <c r="DJ123" s="422"/>
      <c r="DK123" s="422"/>
      <c r="DL123" s="422"/>
      <c r="DM123" s="450"/>
      <c r="DN123" s="450"/>
      <c r="DO123" s="450"/>
      <c r="DP123" s="450"/>
      <c r="DQ123" s="450"/>
      <c r="DR123" s="450"/>
      <c r="DS123" s="450"/>
      <c r="DT123" s="450"/>
      <c r="DU123" s="450"/>
      <c r="DV123" s="450"/>
      <c r="DW123" s="450"/>
      <c r="DX123" s="450"/>
      <c r="DY123" s="450"/>
      <c r="DZ123" s="450"/>
      <c r="EA123" s="450"/>
      <c r="EB123" s="450"/>
      <c r="EC123" s="450"/>
      <c r="ED123" s="450"/>
      <c r="EE123" s="475"/>
      <c r="EF123" s="475"/>
      <c r="EG123" s="422"/>
      <c r="EH123" s="422"/>
      <c r="EI123" s="422"/>
      <c r="EJ123" s="422"/>
      <c r="EK123" s="422"/>
      <c r="EL123" s="422"/>
      <c r="EM123" s="17"/>
      <c r="EN123" s="17"/>
      <c r="EO123" s="16"/>
      <c r="EP123" s="16"/>
      <c r="EQ123" s="17"/>
      <c r="ER123" s="17"/>
      <c r="ES123" s="17"/>
      <c r="ET123" s="17"/>
    </row>
    <row r="124" spans="1:150" ht="15.75" customHeight="1" x14ac:dyDescent="0.25">
      <c r="A124" s="754"/>
      <c r="B124" s="748"/>
      <c r="C124" s="788"/>
      <c r="D124" s="785"/>
      <c r="E124" s="763"/>
      <c r="F124" s="749">
        <f t="shared" si="115"/>
        <v>0</v>
      </c>
      <c r="G124" s="750">
        <f t="shared" si="116"/>
        <v>0</v>
      </c>
      <c r="H124" s="2320">
        <f t="shared" si="127"/>
        <v>0</v>
      </c>
      <c r="I124" s="750">
        <f t="shared" si="117"/>
        <v>0</v>
      </c>
      <c r="J124" s="751">
        <f t="shared" si="118"/>
        <v>0</v>
      </c>
      <c r="K124" s="2479">
        <f t="shared" si="119"/>
        <v>0</v>
      </c>
      <c r="L124" s="2479"/>
      <c r="M124" s="755">
        <f t="shared" si="120"/>
        <v>0</v>
      </c>
      <c r="N124" s="560"/>
      <c r="Q124" s="556">
        <f t="shared" si="128"/>
        <v>0</v>
      </c>
      <c r="R124" s="558">
        <f t="shared" si="129"/>
        <v>0</v>
      </c>
      <c r="S124" s="557">
        <f t="shared" si="130"/>
        <v>0</v>
      </c>
      <c r="T124" s="557">
        <f t="shared" si="131"/>
        <v>0</v>
      </c>
      <c r="U124" s="558">
        <f t="shared" si="132"/>
        <v>0</v>
      </c>
      <c r="V124" s="558">
        <f t="shared" si="133"/>
        <v>0</v>
      </c>
      <c r="W124" s="559">
        <f t="shared" si="134"/>
        <v>0</v>
      </c>
      <c r="X124" s="562"/>
      <c r="Y124" s="562">
        <f t="shared" si="135"/>
        <v>0</v>
      </c>
      <c r="Z124" s="560">
        <f t="shared" si="136"/>
        <v>0</v>
      </c>
      <c r="AA124" s="560">
        <f t="shared" si="137"/>
        <v>0</v>
      </c>
      <c r="AB124" s="562">
        <f t="shared" si="138"/>
        <v>0</v>
      </c>
      <c r="AC124" s="562">
        <f t="shared" si="139"/>
        <v>0</v>
      </c>
      <c r="AD124" s="411">
        <f t="shared" si="140"/>
        <v>0</v>
      </c>
      <c r="AE124" s="411">
        <f t="shared" si="141"/>
        <v>0</v>
      </c>
      <c r="AF124" s="562">
        <f t="shared" si="142"/>
        <v>0</v>
      </c>
      <c r="AG124" s="562">
        <f t="shared" si="143"/>
        <v>0</v>
      </c>
      <c r="AH124" s="562" t="e">
        <f t="shared" si="144"/>
        <v>#DIV/0!</v>
      </c>
      <c r="AJ124" s="562"/>
      <c r="AK124" s="562"/>
      <c r="AL124" s="1288">
        <f t="shared" si="121"/>
        <v>0</v>
      </c>
      <c r="AM124" s="1288">
        <f t="shared" si="122"/>
        <v>0</v>
      </c>
      <c r="AN124" s="1288">
        <f t="shared" si="123"/>
        <v>0</v>
      </c>
      <c r="AO124" s="1288">
        <f t="shared" si="124"/>
        <v>0</v>
      </c>
      <c r="AP124" s="1288">
        <f t="shared" si="125"/>
        <v>0</v>
      </c>
      <c r="AQ124" s="1288">
        <f t="shared" si="145"/>
        <v>0</v>
      </c>
      <c r="AR124" s="1288">
        <f t="shared" si="146"/>
        <v>0</v>
      </c>
      <c r="AS124" s="1288">
        <f t="shared" si="147"/>
        <v>0</v>
      </c>
      <c r="AT124" s="1288">
        <f t="shared" si="148"/>
        <v>0</v>
      </c>
      <c r="AU124" s="1288">
        <f t="shared" si="149"/>
        <v>0</v>
      </c>
      <c r="AV124" s="1278"/>
      <c r="AW124" s="698">
        <f>INDEX(Pflanzen!$AH$5:$AH$109,'Berechnung Nährstoffe und Lager'!$AX124)</f>
        <v>0</v>
      </c>
      <c r="AX124" s="422">
        <v>1</v>
      </c>
      <c r="AY124" s="422">
        <f>INDEX(Pflanzen!$M$5:$M$109,'Berechnung Nährstoffe und Lager'!$AX124)</f>
        <v>0</v>
      </c>
      <c r="AZ124" s="422">
        <f>INDEX(Pflanzen!$AD$5:$AD$109,'Berechnung Nährstoffe und Lager'!$AX124)</f>
        <v>0</v>
      </c>
      <c r="BA124" s="422">
        <f>INDEX(Pflanzen!$AE$5:$AE$109,'Berechnung Nährstoffe und Lager'!$AX124)</f>
        <v>0</v>
      </c>
      <c r="BB124" s="422">
        <f>INDEX(Pflanzen!$AF$5:$AF$109,'Berechnung Nährstoffe und Lager'!$AX124)</f>
        <v>0</v>
      </c>
      <c r="BC124" s="422">
        <f>INDEX(Pflanzen!$T$5:$T$109,'Berechnung Nährstoffe und Lager'!$AX124)</f>
        <v>0</v>
      </c>
      <c r="BD124" s="422">
        <f>INDEX(Pflanzen!$V$5:$V$109,'Berechnung Nährstoffe und Lager'!$AX124)</f>
        <v>0</v>
      </c>
      <c r="BE124" s="422">
        <f>INDEX(Pflanzen!$AL$5:$AL$109,'Berechnung Nährstoffe und Lager'!$AX124)</f>
        <v>0</v>
      </c>
      <c r="BF124" s="1276"/>
      <c r="BG124" s="480"/>
      <c r="BH124" s="480"/>
      <c r="BI124" s="422">
        <f>INDEX(Pflanzen!$X$5:$X116,'Berechnung Nährstoffe und Lager'!$AX124)</f>
        <v>0</v>
      </c>
      <c r="BJ124" s="475">
        <f t="shared" si="150"/>
        <v>0</v>
      </c>
      <c r="BK124" s="475"/>
      <c r="BL124" s="1074"/>
      <c r="BN124" s="475"/>
      <c r="BO124" s="422">
        <f>INDEX(Pflanzen!$AM$5:$AM$109,'Berechnung Nährstoffe und Lager'!$AX124)</f>
        <v>0</v>
      </c>
      <c r="BP124" s="484">
        <f t="shared" si="126"/>
        <v>0</v>
      </c>
      <c r="BQ124" s="475"/>
      <c r="BR124" s="475"/>
      <c r="BS124" s="475"/>
      <c r="BT124" s="475"/>
      <c r="BU124" s="475"/>
      <c r="BV124" s="475"/>
      <c r="BW124" s="475"/>
      <c r="BX124" s="422"/>
      <c r="BY124" s="422"/>
      <c r="BZ124" s="422"/>
      <c r="CA124" s="422"/>
      <c r="CB124" s="422"/>
      <c r="CC124" s="422"/>
      <c r="CD124" s="422"/>
      <c r="CE124" s="422"/>
      <c r="CF124" s="422"/>
      <c r="CG124" s="422"/>
      <c r="CH124" s="422"/>
      <c r="CI124" s="422"/>
      <c r="CJ124" s="450"/>
      <c r="CK124" s="450"/>
      <c r="CL124" s="450"/>
      <c r="CM124" s="480"/>
      <c r="CN124" s="422"/>
      <c r="CO124" s="422"/>
      <c r="CP124" s="422"/>
      <c r="CQ124" s="456"/>
      <c r="CR124" s="456"/>
      <c r="CS124" s="456"/>
      <c r="CT124" s="456"/>
      <c r="CU124" s="456"/>
      <c r="CV124" s="422"/>
      <c r="CW124" s="422"/>
      <c r="CX124" s="422"/>
      <c r="CY124" s="422"/>
      <c r="CZ124" s="422"/>
      <c r="DA124" s="422"/>
      <c r="DB124" s="422"/>
      <c r="DC124" s="422"/>
      <c r="DD124" s="422"/>
      <c r="DE124" s="422"/>
      <c r="DF124" s="422"/>
      <c r="DG124" s="422"/>
      <c r="DH124" s="422"/>
      <c r="DI124" s="422"/>
      <c r="DJ124" s="422"/>
      <c r="DK124" s="422"/>
      <c r="DL124" s="422"/>
      <c r="DM124" s="450"/>
      <c r="DN124" s="450"/>
      <c r="DO124" s="450"/>
      <c r="DP124" s="450"/>
      <c r="DQ124" s="450"/>
      <c r="DR124" s="450"/>
      <c r="DS124" s="450"/>
      <c r="DT124" s="450"/>
      <c r="DU124" s="450"/>
      <c r="DV124" s="450"/>
      <c r="DW124" s="450"/>
      <c r="DX124" s="450"/>
      <c r="DY124" s="450"/>
      <c r="DZ124" s="450"/>
      <c r="EA124" s="450"/>
      <c r="EB124" s="450"/>
      <c r="EC124" s="450"/>
      <c r="ED124" s="450"/>
      <c r="EE124" s="475"/>
      <c r="EF124" s="475"/>
      <c r="EG124" s="422"/>
      <c r="EH124" s="422"/>
      <c r="EI124" s="422"/>
      <c r="EJ124" s="422"/>
      <c r="EK124" s="422"/>
      <c r="EL124" s="422"/>
      <c r="EM124" s="17"/>
      <c r="EN124" s="17"/>
      <c r="EO124" s="16"/>
      <c r="EP124" s="16"/>
      <c r="EQ124" s="17"/>
      <c r="ER124" s="17"/>
      <c r="ES124" s="17"/>
      <c r="ET124" s="17"/>
    </row>
    <row r="125" spans="1:150" ht="15.75" customHeight="1" x14ac:dyDescent="0.25">
      <c r="A125" s="754"/>
      <c r="B125" s="748"/>
      <c r="C125" s="788"/>
      <c r="D125" s="785"/>
      <c r="E125" s="763"/>
      <c r="F125" s="749">
        <f t="shared" si="115"/>
        <v>0</v>
      </c>
      <c r="G125" s="750">
        <f t="shared" si="116"/>
        <v>0</v>
      </c>
      <c r="H125" s="2320">
        <f t="shared" si="127"/>
        <v>0</v>
      </c>
      <c r="I125" s="750">
        <f t="shared" si="117"/>
        <v>0</v>
      </c>
      <c r="J125" s="751">
        <f t="shared" si="118"/>
        <v>0</v>
      </c>
      <c r="K125" s="2479">
        <f t="shared" si="119"/>
        <v>0</v>
      </c>
      <c r="L125" s="2479"/>
      <c r="M125" s="755">
        <f t="shared" si="120"/>
        <v>0</v>
      </c>
      <c r="N125" s="560"/>
      <c r="Q125" s="556">
        <f t="shared" si="128"/>
        <v>0</v>
      </c>
      <c r="R125" s="558">
        <f t="shared" si="129"/>
        <v>0</v>
      </c>
      <c r="S125" s="557">
        <f t="shared" si="130"/>
        <v>0</v>
      </c>
      <c r="T125" s="557">
        <f t="shared" si="131"/>
        <v>0</v>
      </c>
      <c r="U125" s="558">
        <f t="shared" si="132"/>
        <v>0</v>
      </c>
      <c r="V125" s="558">
        <f t="shared" si="133"/>
        <v>0</v>
      </c>
      <c r="W125" s="559">
        <f t="shared" si="134"/>
        <v>0</v>
      </c>
      <c r="X125" s="562"/>
      <c r="Y125" s="562">
        <f t="shared" si="135"/>
        <v>0</v>
      </c>
      <c r="Z125" s="560">
        <f t="shared" si="136"/>
        <v>0</v>
      </c>
      <c r="AA125" s="560">
        <f t="shared" si="137"/>
        <v>0</v>
      </c>
      <c r="AB125" s="562">
        <f t="shared" si="138"/>
        <v>0</v>
      </c>
      <c r="AC125" s="562">
        <f t="shared" si="139"/>
        <v>0</v>
      </c>
      <c r="AD125" s="411">
        <f t="shared" si="140"/>
        <v>0</v>
      </c>
      <c r="AE125" s="411">
        <f t="shared" si="141"/>
        <v>0</v>
      </c>
      <c r="AF125" s="562">
        <f t="shared" si="142"/>
        <v>0</v>
      </c>
      <c r="AG125" s="562">
        <f t="shared" si="143"/>
        <v>0</v>
      </c>
      <c r="AH125" s="562" t="e">
        <f t="shared" si="144"/>
        <v>#DIV/0!</v>
      </c>
      <c r="AJ125" s="562"/>
      <c r="AK125" s="562"/>
      <c r="AL125" s="1288">
        <f t="shared" si="121"/>
        <v>0</v>
      </c>
      <c r="AM125" s="1288">
        <f t="shared" si="122"/>
        <v>0</v>
      </c>
      <c r="AN125" s="1288">
        <f t="shared" si="123"/>
        <v>0</v>
      </c>
      <c r="AO125" s="1288">
        <f t="shared" si="124"/>
        <v>0</v>
      </c>
      <c r="AP125" s="1288">
        <f t="shared" si="125"/>
        <v>0</v>
      </c>
      <c r="AQ125" s="1288">
        <f t="shared" si="145"/>
        <v>0</v>
      </c>
      <c r="AR125" s="1288">
        <f t="shared" si="146"/>
        <v>0</v>
      </c>
      <c r="AS125" s="1288">
        <f t="shared" si="147"/>
        <v>0</v>
      </c>
      <c r="AT125" s="1288">
        <f t="shared" si="148"/>
        <v>0</v>
      </c>
      <c r="AU125" s="1288">
        <f t="shared" si="149"/>
        <v>0</v>
      </c>
      <c r="AV125" s="1278"/>
      <c r="AW125" s="698">
        <f>INDEX(Pflanzen!$AH$5:$AH$109,'Berechnung Nährstoffe und Lager'!$AX125)</f>
        <v>0</v>
      </c>
      <c r="AX125" s="422">
        <v>1</v>
      </c>
      <c r="AY125" s="422">
        <f>INDEX(Pflanzen!$M$5:$M$109,'Berechnung Nährstoffe und Lager'!$AX125)</f>
        <v>0</v>
      </c>
      <c r="AZ125" s="422">
        <f>INDEX(Pflanzen!$AD$5:$AD$109,'Berechnung Nährstoffe und Lager'!$AX125)</f>
        <v>0</v>
      </c>
      <c r="BA125" s="422">
        <f>INDEX(Pflanzen!$AE$5:$AE$109,'Berechnung Nährstoffe und Lager'!$AX125)</f>
        <v>0</v>
      </c>
      <c r="BB125" s="422">
        <f>INDEX(Pflanzen!$AF$5:$AF$109,'Berechnung Nährstoffe und Lager'!$AX125)</f>
        <v>0</v>
      </c>
      <c r="BC125" s="422">
        <f>INDEX(Pflanzen!$T$5:$T$109,'Berechnung Nährstoffe und Lager'!$AX125)</f>
        <v>0</v>
      </c>
      <c r="BD125" s="422">
        <f>INDEX(Pflanzen!$V$5:$V$109,'Berechnung Nährstoffe und Lager'!$AX125)</f>
        <v>0</v>
      </c>
      <c r="BE125" s="422">
        <f>INDEX(Pflanzen!$AL$5:$AL$109,'Berechnung Nährstoffe und Lager'!$AX125)</f>
        <v>0</v>
      </c>
      <c r="BF125" s="1276"/>
      <c r="BG125" s="480"/>
      <c r="BH125" s="480"/>
      <c r="BI125" s="422">
        <f>INDEX(Pflanzen!$X$5:$X116,'Berechnung Nährstoffe und Lager'!$AX125)</f>
        <v>0</v>
      </c>
      <c r="BJ125" s="475">
        <f t="shared" si="150"/>
        <v>0</v>
      </c>
      <c r="BK125" s="475"/>
      <c r="BL125" s="1074"/>
      <c r="BN125" s="475"/>
      <c r="BO125" s="422">
        <f>INDEX(Pflanzen!$AM$5:$AM$109,'Berechnung Nährstoffe und Lager'!$AX125)</f>
        <v>0</v>
      </c>
      <c r="BP125" s="484">
        <f t="shared" si="126"/>
        <v>0</v>
      </c>
      <c r="BQ125" s="475"/>
      <c r="BR125" s="475"/>
      <c r="BS125" s="475"/>
      <c r="BT125" s="475"/>
      <c r="BU125" s="475"/>
      <c r="BV125" s="475"/>
      <c r="BW125" s="475"/>
      <c r="BX125" s="422"/>
      <c r="BY125" s="422"/>
      <c r="BZ125" s="422"/>
      <c r="CA125" s="422"/>
      <c r="CB125" s="422"/>
      <c r="CC125" s="422"/>
      <c r="CD125" s="422"/>
      <c r="CE125" s="422"/>
      <c r="CF125" s="422"/>
      <c r="CG125" s="422"/>
      <c r="CH125" s="422"/>
      <c r="CI125" s="422"/>
      <c r="CJ125" s="450"/>
      <c r="CK125" s="450"/>
      <c r="CL125" s="450"/>
      <c r="CM125" s="480"/>
      <c r="CN125" s="422"/>
      <c r="CO125" s="422"/>
      <c r="CP125" s="422"/>
      <c r="CQ125" s="456"/>
      <c r="CR125" s="456"/>
      <c r="CS125" s="456"/>
      <c r="CT125" s="456"/>
      <c r="CU125" s="456"/>
      <c r="CV125" s="422"/>
      <c r="CW125" s="422"/>
      <c r="CX125" s="422"/>
      <c r="CY125" s="422"/>
      <c r="CZ125" s="422"/>
      <c r="DA125" s="422"/>
      <c r="DB125" s="422"/>
      <c r="DC125" s="422"/>
      <c r="DD125" s="422"/>
      <c r="DE125" s="422"/>
      <c r="DF125" s="422"/>
      <c r="DG125" s="422"/>
      <c r="DH125" s="422"/>
      <c r="DI125" s="422"/>
      <c r="DJ125" s="422"/>
      <c r="DK125" s="422"/>
      <c r="DL125" s="422"/>
      <c r="DM125" s="450"/>
      <c r="DN125" s="450"/>
      <c r="DO125" s="450"/>
      <c r="DP125" s="450"/>
      <c r="DQ125" s="450"/>
      <c r="DR125" s="450"/>
      <c r="DS125" s="450"/>
      <c r="DT125" s="450"/>
      <c r="DU125" s="450"/>
      <c r="DV125" s="450"/>
      <c r="DW125" s="450"/>
      <c r="DX125" s="450"/>
      <c r="DY125" s="450"/>
      <c r="DZ125" s="450"/>
      <c r="EA125" s="450"/>
      <c r="EB125" s="450"/>
      <c r="EC125" s="450"/>
      <c r="ED125" s="450"/>
      <c r="EE125" s="475"/>
      <c r="EF125" s="475"/>
      <c r="EG125" s="422"/>
      <c r="EH125" s="422"/>
      <c r="EI125" s="422"/>
      <c r="EJ125" s="422"/>
      <c r="EK125" s="422"/>
      <c r="EL125" s="422"/>
      <c r="EM125" s="17"/>
      <c r="EN125" s="17"/>
      <c r="EO125" s="16"/>
      <c r="EP125" s="16"/>
      <c r="EQ125" s="17"/>
      <c r="ER125" s="17"/>
      <c r="ES125" s="17"/>
      <c r="ET125" s="17"/>
    </row>
    <row r="126" spans="1:150" ht="15.75" customHeight="1" x14ac:dyDescent="0.25">
      <c r="A126" s="754"/>
      <c r="B126" s="748"/>
      <c r="C126" s="788"/>
      <c r="D126" s="785"/>
      <c r="E126" s="763"/>
      <c r="F126" s="749">
        <f t="shared" si="115"/>
        <v>0</v>
      </c>
      <c r="G126" s="750">
        <f t="shared" si="116"/>
        <v>0</v>
      </c>
      <c r="H126" s="2320">
        <f t="shared" si="127"/>
        <v>0</v>
      </c>
      <c r="I126" s="750">
        <f t="shared" si="117"/>
        <v>0</v>
      </c>
      <c r="J126" s="751">
        <f t="shared" si="118"/>
        <v>0</v>
      </c>
      <c r="K126" s="2479">
        <f t="shared" si="119"/>
        <v>0</v>
      </c>
      <c r="L126" s="2479"/>
      <c r="M126" s="755">
        <f t="shared" si="120"/>
        <v>0</v>
      </c>
      <c r="N126" s="560"/>
      <c r="Q126" s="556">
        <f t="shared" si="128"/>
        <v>0</v>
      </c>
      <c r="R126" s="558">
        <f t="shared" si="129"/>
        <v>0</v>
      </c>
      <c r="S126" s="557">
        <f t="shared" si="130"/>
        <v>0</v>
      </c>
      <c r="T126" s="557">
        <f t="shared" si="131"/>
        <v>0</v>
      </c>
      <c r="U126" s="558">
        <f t="shared" si="132"/>
        <v>0</v>
      </c>
      <c r="V126" s="558">
        <f t="shared" si="133"/>
        <v>0</v>
      </c>
      <c r="W126" s="559">
        <f t="shared" si="134"/>
        <v>0</v>
      </c>
      <c r="X126" s="562"/>
      <c r="Y126" s="562">
        <f t="shared" si="135"/>
        <v>0</v>
      </c>
      <c r="Z126" s="560">
        <f t="shared" si="136"/>
        <v>0</v>
      </c>
      <c r="AA126" s="560">
        <f t="shared" si="137"/>
        <v>0</v>
      </c>
      <c r="AB126" s="562">
        <f t="shared" si="138"/>
        <v>0</v>
      </c>
      <c r="AC126" s="562">
        <f t="shared" si="139"/>
        <v>0</v>
      </c>
      <c r="AD126" s="411">
        <f t="shared" si="140"/>
        <v>0</v>
      </c>
      <c r="AE126" s="411">
        <f t="shared" si="141"/>
        <v>0</v>
      </c>
      <c r="AF126" s="562">
        <f t="shared" si="142"/>
        <v>0</v>
      </c>
      <c r="AG126" s="562">
        <f t="shared" si="143"/>
        <v>0</v>
      </c>
      <c r="AH126" s="562" t="e">
        <f t="shared" si="144"/>
        <v>#DIV/0!</v>
      </c>
      <c r="AJ126" s="562"/>
      <c r="AK126" s="562"/>
      <c r="AL126" s="1288">
        <f t="shared" si="121"/>
        <v>0</v>
      </c>
      <c r="AM126" s="1288">
        <f t="shared" si="122"/>
        <v>0</v>
      </c>
      <c r="AN126" s="1288">
        <f t="shared" si="123"/>
        <v>0</v>
      </c>
      <c r="AO126" s="1288">
        <f t="shared" si="124"/>
        <v>0</v>
      </c>
      <c r="AP126" s="1288">
        <f t="shared" si="125"/>
        <v>0</v>
      </c>
      <c r="AQ126" s="1288">
        <f t="shared" si="145"/>
        <v>0</v>
      </c>
      <c r="AR126" s="1288">
        <f t="shared" si="146"/>
        <v>0</v>
      </c>
      <c r="AS126" s="1288">
        <f t="shared" si="147"/>
        <v>0</v>
      </c>
      <c r="AT126" s="1288">
        <f t="shared" si="148"/>
        <v>0</v>
      </c>
      <c r="AU126" s="1288">
        <f t="shared" si="149"/>
        <v>0</v>
      </c>
      <c r="AV126" s="1278"/>
      <c r="AW126" s="698">
        <f>INDEX(Pflanzen!$AH$5:$AH$109,'Berechnung Nährstoffe und Lager'!$AX126)</f>
        <v>0</v>
      </c>
      <c r="AX126" s="422">
        <v>1</v>
      </c>
      <c r="AY126" s="422">
        <f>INDEX(Pflanzen!$M$5:$M$109,'Berechnung Nährstoffe und Lager'!$AX126)</f>
        <v>0</v>
      </c>
      <c r="AZ126" s="422">
        <f>INDEX(Pflanzen!$AD$5:$AD$109,'Berechnung Nährstoffe und Lager'!$AX126)</f>
        <v>0</v>
      </c>
      <c r="BA126" s="422">
        <f>INDEX(Pflanzen!$AE$5:$AE$109,'Berechnung Nährstoffe und Lager'!$AX126)</f>
        <v>0</v>
      </c>
      <c r="BB126" s="422">
        <f>INDEX(Pflanzen!$AF$5:$AF$109,'Berechnung Nährstoffe und Lager'!$AX126)</f>
        <v>0</v>
      </c>
      <c r="BC126" s="422">
        <f>INDEX(Pflanzen!$T$5:$T$109,'Berechnung Nährstoffe und Lager'!$AX126)</f>
        <v>0</v>
      </c>
      <c r="BD126" s="422">
        <f>INDEX(Pflanzen!$V$5:$V$109,'Berechnung Nährstoffe und Lager'!$AX126)</f>
        <v>0</v>
      </c>
      <c r="BE126" s="422">
        <f>INDEX(Pflanzen!$AL$5:$AL$109,'Berechnung Nährstoffe und Lager'!$AX126)</f>
        <v>0</v>
      </c>
      <c r="BF126" s="1276"/>
      <c r="BG126" s="480"/>
      <c r="BH126" s="480"/>
      <c r="BI126" s="422">
        <f>INDEX(Pflanzen!$X$5:$X116,'Berechnung Nährstoffe und Lager'!$AX126)</f>
        <v>0</v>
      </c>
      <c r="BJ126" s="475">
        <f t="shared" si="150"/>
        <v>0</v>
      </c>
      <c r="BK126" s="475"/>
      <c r="BL126" s="1074"/>
      <c r="BN126" s="475"/>
      <c r="BO126" s="422">
        <f>INDEX(Pflanzen!$AM$5:$AM$109,'Berechnung Nährstoffe und Lager'!$AX126)</f>
        <v>0</v>
      </c>
      <c r="BP126" s="484">
        <f t="shared" si="126"/>
        <v>0</v>
      </c>
      <c r="BQ126" s="475"/>
      <c r="BR126" s="475"/>
      <c r="BS126" s="475"/>
      <c r="BT126" s="475"/>
      <c r="BU126" s="475"/>
      <c r="BV126" s="475"/>
      <c r="BW126" s="475"/>
      <c r="BX126" s="422"/>
      <c r="BY126" s="422"/>
      <c r="BZ126" s="422"/>
      <c r="CA126" s="422"/>
      <c r="CB126" s="422"/>
      <c r="CC126" s="422"/>
      <c r="CD126" s="422"/>
      <c r="CE126" s="422"/>
      <c r="CF126" s="422"/>
      <c r="CG126" s="422"/>
      <c r="CH126" s="422"/>
      <c r="CI126" s="422"/>
      <c r="CJ126" s="450"/>
      <c r="CK126" s="450"/>
      <c r="CL126" s="450"/>
      <c r="CM126" s="480"/>
      <c r="CN126" s="422"/>
      <c r="CO126" s="422"/>
      <c r="CP126" s="422"/>
      <c r="CQ126" s="456"/>
      <c r="CR126" s="456"/>
      <c r="CS126" s="456"/>
      <c r="CT126" s="456"/>
      <c r="CU126" s="456"/>
      <c r="CV126" s="422"/>
      <c r="CW126" s="422"/>
      <c r="CX126" s="422"/>
      <c r="CY126" s="422"/>
      <c r="CZ126" s="422"/>
      <c r="DA126" s="422"/>
      <c r="DB126" s="422"/>
      <c r="DC126" s="422"/>
      <c r="DD126" s="422"/>
      <c r="DE126" s="422"/>
      <c r="DF126" s="422"/>
      <c r="DG126" s="422"/>
      <c r="DH126" s="422"/>
      <c r="DI126" s="422"/>
      <c r="DJ126" s="422"/>
      <c r="DK126" s="422"/>
      <c r="DL126" s="422"/>
      <c r="DM126" s="450"/>
      <c r="DN126" s="450"/>
      <c r="DO126" s="450"/>
      <c r="DP126" s="450"/>
      <c r="DQ126" s="450"/>
      <c r="DR126" s="450"/>
      <c r="DS126" s="450"/>
      <c r="DT126" s="450"/>
      <c r="DU126" s="450"/>
      <c r="DV126" s="450"/>
      <c r="DW126" s="450"/>
      <c r="DX126" s="450"/>
      <c r="DY126" s="450"/>
      <c r="DZ126" s="450"/>
      <c r="EA126" s="450"/>
      <c r="EB126" s="450"/>
      <c r="EC126" s="450"/>
      <c r="ED126" s="450"/>
      <c r="EE126" s="475"/>
      <c r="EF126" s="475"/>
      <c r="EG126" s="422"/>
      <c r="EH126" s="422"/>
      <c r="EI126" s="422"/>
      <c r="EJ126" s="422"/>
      <c r="EK126" s="422"/>
      <c r="EL126" s="422"/>
      <c r="EM126" s="17"/>
      <c r="EN126" s="17"/>
      <c r="EO126" s="16"/>
      <c r="EP126" s="16"/>
      <c r="EQ126" s="17"/>
      <c r="ER126" s="17"/>
      <c r="ES126" s="17"/>
      <c r="ET126" s="17"/>
    </row>
    <row r="127" spans="1:150" ht="15.75" customHeight="1" x14ac:dyDescent="0.25">
      <c r="A127" s="754"/>
      <c r="B127" s="748"/>
      <c r="C127" s="788"/>
      <c r="D127" s="785"/>
      <c r="E127" s="763"/>
      <c r="F127" s="749">
        <f t="shared" si="115"/>
        <v>0</v>
      </c>
      <c r="G127" s="750">
        <f t="shared" si="116"/>
        <v>0</v>
      </c>
      <c r="H127" s="2320">
        <f t="shared" si="127"/>
        <v>0</v>
      </c>
      <c r="I127" s="750">
        <f t="shared" si="117"/>
        <v>0</v>
      </c>
      <c r="J127" s="751">
        <f t="shared" si="118"/>
        <v>0</v>
      </c>
      <c r="K127" s="2479">
        <f t="shared" si="119"/>
        <v>0</v>
      </c>
      <c r="L127" s="2479"/>
      <c r="M127" s="755">
        <f t="shared" si="120"/>
        <v>0</v>
      </c>
      <c r="N127" s="560"/>
      <c r="Q127" s="556">
        <f t="shared" si="128"/>
        <v>0</v>
      </c>
      <c r="R127" s="558">
        <f t="shared" si="129"/>
        <v>0</v>
      </c>
      <c r="S127" s="557">
        <f t="shared" si="130"/>
        <v>0</v>
      </c>
      <c r="T127" s="557">
        <f t="shared" si="131"/>
        <v>0</v>
      </c>
      <c r="U127" s="558">
        <f t="shared" si="132"/>
        <v>0</v>
      </c>
      <c r="V127" s="558">
        <f t="shared" si="133"/>
        <v>0</v>
      </c>
      <c r="W127" s="559">
        <f t="shared" si="134"/>
        <v>0</v>
      </c>
      <c r="X127" s="562"/>
      <c r="Y127" s="562">
        <f t="shared" si="135"/>
        <v>0</v>
      </c>
      <c r="Z127" s="560">
        <f t="shared" si="136"/>
        <v>0</v>
      </c>
      <c r="AA127" s="560">
        <f t="shared" si="137"/>
        <v>0</v>
      </c>
      <c r="AB127" s="562">
        <f t="shared" si="138"/>
        <v>0</v>
      </c>
      <c r="AC127" s="562">
        <f t="shared" si="139"/>
        <v>0</v>
      </c>
      <c r="AD127" s="411">
        <f t="shared" si="140"/>
        <v>0</v>
      </c>
      <c r="AE127" s="411">
        <f t="shared" si="141"/>
        <v>0</v>
      </c>
      <c r="AF127" s="562">
        <f t="shared" si="142"/>
        <v>0</v>
      </c>
      <c r="AG127" s="562">
        <f t="shared" si="143"/>
        <v>0</v>
      </c>
      <c r="AH127" s="562" t="e">
        <f t="shared" si="144"/>
        <v>#DIV/0!</v>
      </c>
      <c r="AJ127" s="562"/>
      <c r="AK127" s="562"/>
      <c r="AL127" s="1288">
        <f t="shared" si="121"/>
        <v>0</v>
      </c>
      <c r="AM127" s="1288">
        <f t="shared" si="122"/>
        <v>0</v>
      </c>
      <c r="AN127" s="1288">
        <f t="shared" si="123"/>
        <v>0</v>
      </c>
      <c r="AO127" s="1288">
        <f t="shared" si="124"/>
        <v>0</v>
      </c>
      <c r="AP127" s="1288">
        <f t="shared" si="125"/>
        <v>0</v>
      </c>
      <c r="AQ127" s="1288">
        <f t="shared" si="145"/>
        <v>0</v>
      </c>
      <c r="AR127" s="1288">
        <f t="shared" si="146"/>
        <v>0</v>
      </c>
      <c r="AS127" s="1288">
        <f t="shared" si="147"/>
        <v>0</v>
      </c>
      <c r="AT127" s="1288">
        <f t="shared" si="148"/>
        <v>0</v>
      </c>
      <c r="AU127" s="1288">
        <f t="shared" si="149"/>
        <v>0</v>
      </c>
      <c r="AV127" s="1278"/>
      <c r="AW127" s="698">
        <f>INDEX(Pflanzen!$AH$5:$AH$109,'Berechnung Nährstoffe und Lager'!$AX127)</f>
        <v>0</v>
      </c>
      <c r="AX127" s="422">
        <v>1</v>
      </c>
      <c r="AY127" s="422">
        <f>INDEX(Pflanzen!$M$5:$M$109,'Berechnung Nährstoffe und Lager'!$AX127)</f>
        <v>0</v>
      </c>
      <c r="AZ127" s="422">
        <f>INDEX(Pflanzen!$AD$5:$AD$109,'Berechnung Nährstoffe und Lager'!$AX127)</f>
        <v>0</v>
      </c>
      <c r="BA127" s="422">
        <f>INDEX(Pflanzen!$AE$5:$AE$109,'Berechnung Nährstoffe und Lager'!$AX127)</f>
        <v>0</v>
      </c>
      <c r="BB127" s="422">
        <f>INDEX(Pflanzen!$AF$5:$AF$109,'Berechnung Nährstoffe und Lager'!$AX127)</f>
        <v>0</v>
      </c>
      <c r="BC127" s="422">
        <f>INDEX(Pflanzen!$T$5:$T$109,'Berechnung Nährstoffe und Lager'!$AX127)</f>
        <v>0</v>
      </c>
      <c r="BD127" s="422">
        <f>INDEX(Pflanzen!$V$5:$V$109,'Berechnung Nährstoffe und Lager'!$AX127)</f>
        <v>0</v>
      </c>
      <c r="BE127" s="422">
        <f>INDEX(Pflanzen!$AL$5:$AL$109,'Berechnung Nährstoffe und Lager'!$AX127)</f>
        <v>0</v>
      </c>
      <c r="BF127" s="1276"/>
      <c r="BG127" s="480"/>
      <c r="BH127" s="480"/>
      <c r="BI127" s="422">
        <f>INDEX(Pflanzen!$X$5:$X116,'Berechnung Nährstoffe und Lager'!$AX127)</f>
        <v>0</v>
      </c>
      <c r="BJ127" s="475">
        <f t="shared" si="150"/>
        <v>0</v>
      </c>
      <c r="BK127" s="475"/>
      <c r="BL127" s="1074"/>
      <c r="BN127" s="475"/>
      <c r="BO127" s="422">
        <f>INDEX(Pflanzen!$AM$5:$AM$109,'Berechnung Nährstoffe und Lager'!$AX127)</f>
        <v>0</v>
      </c>
      <c r="BP127" s="484">
        <f t="shared" si="126"/>
        <v>0</v>
      </c>
      <c r="BQ127" s="475"/>
      <c r="BR127" s="475"/>
      <c r="BS127" s="475"/>
      <c r="BT127" s="475"/>
      <c r="BU127" s="475"/>
      <c r="BV127" s="475"/>
      <c r="BW127" s="475"/>
      <c r="BX127" s="422"/>
      <c r="BY127" s="422"/>
      <c r="BZ127" s="422"/>
      <c r="CA127" s="422"/>
      <c r="CB127" s="422"/>
      <c r="CC127" s="422"/>
      <c r="CD127" s="422"/>
      <c r="CE127" s="422"/>
      <c r="CF127" s="422"/>
      <c r="CG127" s="422"/>
      <c r="CH127" s="422"/>
      <c r="CI127" s="422"/>
      <c r="CJ127" s="450"/>
      <c r="CK127" s="450"/>
      <c r="CL127" s="450"/>
      <c r="CM127" s="480"/>
      <c r="CN127" s="422"/>
      <c r="CO127" s="422"/>
      <c r="CP127" s="422"/>
      <c r="CQ127" s="456"/>
      <c r="CR127" s="456"/>
      <c r="CS127" s="456"/>
      <c r="CT127" s="456"/>
      <c r="CU127" s="456"/>
      <c r="CV127" s="422"/>
      <c r="CW127" s="422"/>
      <c r="CX127" s="422"/>
      <c r="CY127" s="422"/>
      <c r="CZ127" s="422"/>
      <c r="DA127" s="422"/>
      <c r="DB127" s="422"/>
      <c r="DC127" s="422"/>
      <c r="DD127" s="422"/>
      <c r="DE127" s="422"/>
      <c r="DF127" s="422"/>
      <c r="DG127" s="422"/>
      <c r="DH127" s="422"/>
      <c r="DI127" s="422"/>
      <c r="DJ127" s="422"/>
      <c r="DK127" s="422"/>
      <c r="DL127" s="422"/>
      <c r="DM127" s="450"/>
      <c r="DN127" s="450"/>
      <c r="DO127" s="450"/>
      <c r="DP127" s="450"/>
      <c r="DQ127" s="450"/>
      <c r="DR127" s="450"/>
      <c r="DS127" s="450"/>
      <c r="DT127" s="450"/>
      <c r="DU127" s="450"/>
      <c r="DV127" s="450"/>
      <c r="DW127" s="450"/>
      <c r="DX127" s="450"/>
      <c r="DY127" s="450"/>
      <c r="DZ127" s="450"/>
      <c r="EA127" s="450"/>
      <c r="EB127" s="450"/>
      <c r="EC127" s="450"/>
      <c r="ED127" s="450"/>
      <c r="EE127" s="475"/>
      <c r="EF127" s="475"/>
      <c r="EG127" s="422"/>
      <c r="EH127" s="422"/>
      <c r="EI127" s="422"/>
      <c r="EJ127" s="422"/>
      <c r="EK127" s="422"/>
      <c r="EL127" s="422"/>
      <c r="EM127" s="17"/>
      <c r="EN127" s="17"/>
      <c r="EO127" s="16"/>
      <c r="EP127" s="16"/>
      <c r="EQ127" s="17"/>
      <c r="ER127" s="17"/>
      <c r="ES127" s="17"/>
      <c r="ET127" s="17"/>
    </row>
    <row r="128" spans="1:150" ht="15.75" customHeight="1" x14ac:dyDescent="0.25">
      <c r="A128" s="754"/>
      <c r="B128" s="748"/>
      <c r="C128" s="788"/>
      <c r="D128" s="785"/>
      <c r="E128" s="763"/>
      <c r="F128" s="749">
        <f t="shared" si="115"/>
        <v>0</v>
      </c>
      <c r="G128" s="750">
        <f t="shared" si="116"/>
        <v>0</v>
      </c>
      <c r="H128" s="2320">
        <f t="shared" si="127"/>
        <v>0</v>
      </c>
      <c r="I128" s="750">
        <f t="shared" si="117"/>
        <v>0</v>
      </c>
      <c r="J128" s="751">
        <f t="shared" si="118"/>
        <v>0</v>
      </c>
      <c r="K128" s="2479">
        <f t="shared" si="119"/>
        <v>0</v>
      </c>
      <c r="L128" s="2479"/>
      <c r="M128" s="755">
        <f t="shared" si="120"/>
        <v>0</v>
      </c>
      <c r="N128" s="560"/>
      <c r="Q128" s="556">
        <f t="shared" si="128"/>
        <v>0</v>
      </c>
      <c r="R128" s="558">
        <f t="shared" si="129"/>
        <v>0</v>
      </c>
      <c r="S128" s="557">
        <f t="shared" si="130"/>
        <v>0</v>
      </c>
      <c r="T128" s="557">
        <f t="shared" si="131"/>
        <v>0</v>
      </c>
      <c r="U128" s="558">
        <f t="shared" si="132"/>
        <v>0</v>
      </c>
      <c r="V128" s="558">
        <f t="shared" si="133"/>
        <v>0</v>
      </c>
      <c r="W128" s="559">
        <f t="shared" si="134"/>
        <v>0</v>
      </c>
      <c r="X128" s="562"/>
      <c r="Y128" s="562">
        <f t="shared" si="135"/>
        <v>0</v>
      </c>
      <c r="Z128" s="560">
        <f t="shared" si="136"/>
        <v>0</v>
      </c>
      <c r="AA128" s="560">
        <f t="shared" si="137"/>
        <v>0</v>
      </c>
      <c r="AB128" s="562">
        <f t="shared" si="138"/>
        <v>0</v>
      </c>
      <c r="AC128" s="562">
        <f t="shared" si="139"/>
        <v>0</v>
      </c>
      <c r="AD128" s="411">
        <f t="shared" si="140"/>
        <v>0</v>
      </c>
      <c r="AE128" s="411">
        <f t="shared" si="141"/>
        <v>0</v>
      </c>
      <c r="AF128" s="562">
        <f t="shared" si="142"/>
        <v>0</v>
      </c>
      <c r="AG128" s="562">
        <f t="shared" si="143"/>
        <v>0</v>
      </c>
      <c r="AH128" s="562" t="e">
        <f t="shared" si="144"/>
        <v>#DIV/0!</v>
      </c>
      <c r="AJ128" s="562"/>
      <c r="AK128" s="562"/>
      <c r="AL128" s="1288">
        <f t="shared" si="121"/>
        <v>0</v>
      </c>
      <c r="AM128" s="1288">
        <f t="shared" si="122"/>
        <v>0</v>
      </c>
      <c r="AN128" s="1288">
        <f t="shared" si="123"/>
        <v>0</v>
      </c>
      <c r="AO128" s="1288">
        <f t="shared" si="124"/>
        <v>0</v>
      </c>
      <c r="AP128" s="1288">
        <f t="shared" si="125"/>
        <v>0</v>
      </c>
      <c r="AQ128" s="1288">
        <f t="shared" si="145"/>
        <v>0</v>
      </c>
      <c r="AR128" s="1288">
        <f t="shared" si="146"/>
        <v>0</v>
      </c>
      <c r="AS128" s="1288">
        <f t="shared" si="147"/>
        <v>0</v>
      </c>
      <c r="AT128" s="1288">
        <f t="shared" si="148"/>
        <v>0</v>
      </c>
      <c r="AU128" s="1288">
        <f t="shared" si="149"/>
        <v>0</v>
      </c>
      <c r="AV128" s="1278"/>
      <c r="AW128" s="698">
        <f>INDEX(Pflanzen!$AH$5:$AH$109,'Berechnung Nährstoffe und Lager'!$AX128)</f>
        <v>0</v>
      </c>
      <c r="AX128" s="422">
        <v>1</v>
      </c>
      <c r="AY128" s="422">
        <f>INDEX(Pflanzen!$M$5:$M$109,'Berechnung Nährstoffe und Lager'!$AX128)</f>
        <v>0</v>
      </c>
      <c r="AZ128" s="422">
        <f>INDEX(Pflanzen!$AD$5:$AD$109,'Berechnung Nährstoffe und Lager'!$AX128)</f>
        <v>0</v>
      </c>
      <c r="BA128" s="422">
        <f>INDEX(Pflanzen!$AE$5:$AE$109,'Berechnung Nährstoffe und Lager'!$AX128)</f>
        <v>0</v>
      </c>
      <c r="BB128" s="422">
        <f>INDEX(Pflanzen!$AF$5:$AF$109,'Berechnung Nährstoffe und Lager'!$AX128)</f>
        <v>0</v>
      </c>
      <c r="BC128" s="422">
        <f>INDEX(Pflanzen!$T$5:$T$109,'Berechnung Nährstoffe und Lager'!$AX128)</f>
        <v>0</v>
      </c>
      <c r="BD128" s="422">
        <f>INDEX(Pflanzen!$V$5:$V$109,'Berechnung Nährstoffe und Lager'!$AX128)</f>
        <v>0</v>
      </c>
      <c r="BE128" s="422">
        <f>INDEX(Pflanzen!$AL$5:$AL$109,'Berechnung Nährstoffe und Lager'!$AX128)</f>
        <v>0</v>
      </c>
      <c r="BF128" s="1276"/>
      <c r="BG128" s="480"/>
      <c r="BH128" s="480"/>
      <c r="BI128" s="422">
        <f>INDEX(Pflanzen!$X$5:$X116,'Berechnung Nährstoffe und Lager'!$AX128)</f>
        <v>0</v>
      </c>
      <c r="BJ128" s="475">
        <f t="shared" si="150"/>
        <v>0</v>
      </c>
      <c r="BK128" s="475"/>
      <c r="BL128" s="1074"/>
      <c r="BN128" s="475"/>
      <c r="BO128" s="422">
        <f>INDEX(Pflanzen!$AM$5:$AM$109,'Berechnung Nährstoffe und Lager'!$AX128)</f>
        <v>0</v>
      </c>
      <c r="BP128" s="484">
        <f t="shared" si="126"/>
        <v>0</v>
      </c>
      <c r="BQ128" s="475"/>
      <c r="BR128" s="475"/>
      <c r="BS128" s="475"/>
      <c r="BT128" s="475"/>
      <c r="BU128" s="475"/>
      <c r="BV128" s="475"/>
      <c r="BW128" s="475"/>
      <c r="BX128" s="422"/>
      <c r="BY128" s="422"/>
      <c r="BZ128" s="422"/>
      <c r="CA128" s="422"/>
      <c r="CB128" s="422"/>
      <c r="CC128" s="422"/>
      <c r="CD128" s="422"/>
      <c r="CE128" s="422"/>
      <c r="CF128" s="422"/>
      <c r="CG128" s="422"/>
      <c r="CH128" s="422"/>
      <c r="CI128" s="422"/>
      <c r="CJ128" s="450"/>
      <c r="CK128" s="450"/>
      <c r="CL128" s="450"/>
      <c r="CM128" s="480"/>
      <c r="CN128" s="422"/>
      <c r="CO128" s="422"/>
      <c r="CP128" s="422"/>
      <c r="CQ128" s="456"/>
      <c r="CR128" s="456"/>
      <c r="CS128" s="456"/>
      <c r="CT128" s="456"/>
      <c r="CU128" s="456"/>
      <c r="CV128" s="422"/>
      <c r="CW128" s="422"/>
      <c r="CX128" s="422"/>
      <c r="CY128" s="422"/>
      <c r="CZ128" s="422"/>
      <c r="DA128" s="422"/>
      <c r="DB128" s="422"/>
      <c r="DC128" s="422"/>
      <c r="DD128" s="422"/>
      <c r="DE128" s="422"/>
      <c r="DF128" s="422"/>
      <c r="DG128" s="422"/>
      <c r="DH128" s="422"/>
      <c r="DI128" s="422"/>
      <c r="DJ128" s="422"/>
      <c r="DK128" s="422"/>
      <c r="DL128" s="422"/>
      <c r="DM128" s="450"/>
      <c r="DN128" s="450"/>
      <c r="DO128" s="450"/>
      <c r="DP128" s="450"/>
      <c r="DQ128" s="450"/>
      <c r="DR128" s="450"/>
      <c r="DS128" s="450"/>
      <c r="DT128" s="450"/>
      <c r="DU128" s="450"/>
      <c r="DV128" s="450"/>
      <c r="DW128" s="450"/>
      <c r="DX128" s="450"/>
      <c r="DY128" s="450"/>
      <c r="DZ128" s="450"/>
      <c r="EA128" s="450"/>
      <c r="EB128" s="450"/>
      <c r="EC128" s="450"/>
      <c r="ED128" s="450"/>
      <c r="EE128" s="475"/>
      <c r="EF128" s="475"/>
      <c r="EG128" s="422"/>
      <c r="EH128" s="422"/>
      <c r="EI128" s="422"/>
      <c r="EJ128" s="422"/>
      <c r="EK128" s="422"/>
      <c r="EL128" s="422"/>
      <c r="EM128" s="17"/>
      <c r="EN128" s="17"/>
      <c r="EO128" s="16"/>
      <c r="EP128" s="16"/>
      <c r="EQ128" s="17"/>
      <c r="ER128" s="17"/>
      <c r="ES128" s="17"/>
      <c r="ET128" s="17"/>
    </row>
    <row r="129" spans="1:150" ht="15.75" customHeight="1" x14ac:dyDescent="0.25">
      <c r="A129" s="754"/>
      <c r="B129" s="748"/>
      <c r="C129" s="788"/>
      <c r="D129" s="785"/>
      <c r="E129" s="763"/>
      <c r="F129" s="749">
        <f t="shared" si="115"/>
        <v>0</v>
      </c>
      <c r="G129" s="750">
        <f t="shared" si="116"/>
        <v>0</v>
      </c>
      <c r="H129" s="2320">
        <f t="shared" si="127"/>
        <v>0</v>
      </c>
      <c r="I129" s="750">
        <f t="shared" si="117"/>
        <v>0</v>
      </c>
      <c r="J129" s="751">
        <f t="shared" si="118"/>
        <v>0</v>
      </c>
      <c r="K129" s="2479">
        <f t="shared" si="119"/>
        <v>0</v>
      </c>
      <c r="L129" s="2479"/>
      <c r="M129" s="755">
        <f t="shared" si="120"/>
        <v>0</v>
      </c>
      <c r="N129" s="560"/>
      <c r="Q129" s="556">
        <f t="shared" si="128"/>
        <v>0</v>
      </c>
      <c r="R129" s="558">
        <f t="shared" si="129"/>
        <v>0</v>
      </c>
      <c r="S129" s="557">
        <f t="shared" si="130"/>
        <v>0</v>
      </c>
      <c r="T129" s="557">
        <f t="shared" si="131"/>
        <v>0</v>
      </c>
      <c r="U129" s="558">
        <f t="shared" si="132"/>
        <v>0</v>
      </c>
      <c r="V129" s="558">
        <f t="shared" si="133"/>
        <v>0</v>
      </c>
      <c r="W129" s="559">
        <f t="shared" si="134"/>
        <v>0</v>
      </c>
      <c r="X129" s="562"/>
      <c r="Y129" s="562">
        <f t="shared" si="135"/>
        <v>0</v>
      </c>
      <c r="Z129" s="560">
        <f t="shared" si="136"/>
        <v>0</v>
      </c>
      <c r="AA129" s="560">
        <f t="shared" si="137"/>
        <v>0</v>
      </c>
      <c r="AB129" s="562">
        <f t="shared" si="138"/>
        <v>0</v>
      </c>
      <c r="AC129" s="562">
        <f t="shared" si="139"/>
        <v>0</v>
      </c>
      <c r="AD129" s="411">
        <f t="shared" si="140"/>
        <v>0</v>
      </c>
      <c r="AE129" s="411">
        <f t="shared" si="141"/>
        <v>0</v>
      </c>
      <c r="AF129" s="562">
        <f t="shared" si="142"/>
        <v>0</v>
      </c>
      <c r="AG129" s="562">
        <f t="shared" si="143"/>
        <v>0</v>
      </c>
      <c r="AH129" s="562" t="e">
        <f t="shared" si="144"/>
        <v>#DIV/0!</v>
      </c>
      <c r="AJ129" s="562"/>
      <c r="AK129" s="562"/>
      <c r="AL129" s="1288">
        <f t="shared" si="121"/>
        <v>0</v>
      </c>
      <c r="AM129" s="1288">
        <f t="shared" si="122"/>
        <v>0</v>
      </c>
      <c r="AN129" s="1288">
        <f t="shared" si="123"/>
        <v>0</v>
      </c>
      <c r="AO129" s="1288">
        <f t="shared" si="124"/>
        <v>0</v>
      </c>
      <c r="AP129" s="1288">
        <f t="shared" si="125"/>
        <v>0</v>
      </c>
      <c r="AQ129" s="1288">
        <f t="shared" si="145"/>
        <v>0</v>
      </c>
      <c r="AR129" s="1288">
        <f t="shared" si="146"/>
        <v>0</v>
      </c>
      <c r="AS129" s="1288">
        <f t="shared" si="147"/>
        <v>0</v>
      </c>
      <c r="AT129" s="1288">
        <f t="shared" si="148"/>
        <v>0</v>
      </c>
      <c r="AU129" s="1288">
        <f t="shared" si="149"/>
        <v>0</v>
      </c>
      <c r="AV129" s="1278"/>
      <c r="AW129" s="698">
        <f>INDEX(Pflanzen!$AH$5:$AH$109,'Berechnung Nährstoffe und Lager'!$AX129)</f>
        <v>0</v>
      </c>
      <c r="AX129" s="422">
        <v>1</v>
      </c>
      <c r="AY129" s="422">
        <f>INDEX(Pflanzen!$M$5:$M$109,'Berechnung Nährstoffe und Lager'!$AX129)</f>
        <v>0</v>
      </c>
      <c r="AZ129" s="422">
        <f>INDEX(Pflanzen!$AD$5:$AD$109,'Berechnung Nährstoffe und Lager'!$AX129)</f>
        <v>0</v>
      </c>
      <c r="BA129" s="422">
        <f>INDEX(Pflanzen!$AE$5:$AE$109,'Berechnung Nährstoffe und Lager'!$AX129)</f>
        <v>0</v>
      </c>
      <c r="BB129" s="422">
        <f>INDEX(Pflanzen!$AF$5:$AF$109,'Berechnung Nährstoffe und Lager'!$AX129)</f>
        <v>0</v>
      </c>
      <c r="BC129" s="422">
        <f>INDEX(Pflanzen!$T$5:$T$109,'Berechnung Nährstoffe und Lager'!$AX129)</f>
        <v>0</v>
      </c>
      <c r="BD129" s="422">
        <f>INDEX(Pflanzen!$V$5:$V$109,'Berechnung Nährstoffe und Lager'!$AX129)</f>
        <v>0</v>
      </c>
      <c r="BE129" s="422">
        <f>INDEX(Pflanzen!$AL$5:$AL$109,'Berechnung Nährstoffe und Lager'!$AX129)</f>
        <v>0</v>
      </c>
      <c r="BF129" s="1276"/>
      <c r="BG129" s="480"/>
      <c r="BH129" s="480"/>
      <c r="BI129" s="422">
        <f>INDEX(Pflanzen!$X$5:$X116,'Berechnung Nährstoffe und Lager'!$AX129)</f>
        <v>0</v>
      </c>
      <c r="BJ129" s="475">
        <f t="shared" si="150"/>
        <v>0</v>
      </c>
      <c r="BK129" s="475"/>
      <c r="BL129" s="1074"/>
      <c r="BN129" s="475"/>
      <c r="BO129" s="422">
        <f>INDEX(Pflanzen!$AM$5:$AM$109,'Berechnung Nährstoffe und Lager'!$AX129)</f>
        <v>0</v>
      </c>
      <c r="BP129" s="484">
        <f t="shared" si="126"/>
        <v>0</v>
      </c>
      <c r="BQ129" s="475"/>
      <c r="BR129" s="475"/>
      <c r="BS129" s="475"/>
      <c r="BT129" s="475"/>
      <c r="BU129" s="475"/>
      <c r="BV129" s="475"/>
      <c r="BW129" s="475"/>
      <c r="BX129" s="422"/>
      <c r="BY129" s="422"/>
      <c r="BZ129" s="422"/>
      <c r="CA129" s="422"/>
      <c r="CB129" s="422"/>
      <c r="CC129" s="422"/>
      <c r="CD129" s="422"/>
      <c r="CE129" s="422"/>
      <c r="CF129" s="422"/>
      <c r="CG129" s="422"/>
      <c r="CH129" s="422"/>
      <c r="CI129" s="422"/>
      <c r="CJ129" s="450"/>
      <c r="CK129" s="450"/>
      <c r="CL129" s="450"/>
      <c r="CM129" s="480"/>
      <c r="CN129" s="422"/>
      <c r="CO129" s="422"/>
      <c r="CP129" s="422"/>
      <c r="CQ129" s="456"/>
      <c r="CR129" s="456"/>
      <c r="CS129" s="456"/>
      <c r="CT129" s="456"/>
      <c r="CU129" s="456"/>
      <c r="CV129" s="422"/>
      <c r="CW129" s="422"/>
      <c r="CX129" s="422"/>
      <c r="CY129" s="422"/>
      <c r="CZ129" s="422"/>
      <c r="DA129" s="422"/>
      <c r="DB129" s="422"/>
      <c r="DC129" s="422"/>
      <c r="DD129" s="422"/>
      <c r="DE129" s="422"/>
      <c r="DF129" s="422"/>
      <c r="DG129" s="422"/>
      <c r="DH129" s="422"/>
      <c r="DI129" s="422"/>
      <c r="DJ129" s="422"/>
      <c r="DK129" s="422"/>
      <c r="DL129" s="422"/>
      <c r="DM129" s="450"/>
      <c r="DN129" s="450"/>
      <c r="DO129" s="450"/>
      <c r="DP129" s="450"/>
      <c r="DQ129" s="450"/>
      <c r="DR129" s="450"/>
      <c r="DS129" s="450"/>
      <c r="DT129" s="450"/>
      <c r="DU129" s="450"/>
      <c r="DV129" s="450"/>
      <c r="DW129" s="450"/>
      <c r="DX129" s="450"/>
      <c r="DY129" s="450"/>
      <c r="DZ129" s="450"/>
      <c r="EA129" s="450"/>
      <c r="EB129" s="450"/>
      <c r="EC129" s="450"/>
      <c r="ED129" s="450"/>
      <c r="EE129" s="475"/>
      <c r="EF129" s="475"/>
      <c r="EG129" s="422"/>
      <c r="EH129" s="422"/>
      <c r="EI129" s="422"/>
      <c r="EJ129" s="422"/>
      <c r="EK129" s="422"/>
      <c r="EL129" s="422"/>
      <c r="EM129" s="17"/>
      <c r="EN129" s="17"/>
      <c r="EO129" s="16"/>
      <c r="EP129" s="16"/>
      <c r="EQ129" s="17"/>
      <c r="ER129" s="17"/>
      <c r="ES129" s="17"/>
      <c r="ET129" s="17"/>
    </row>
    <row r="130" spans="1:150" ht="15.75" customHeight="1" thickBot="1" x14ac:dyDescent="0.3">
      <c r="A130" s="756"/>
      <c r="B130" s="757"/>
      <c r="C130" s="789"/>
      <c r="D130" s="786"/>
      <c r="E130" s="768"/>
      <c r="F130" s="758">
        <f t="shared" si="115"/>
        <v>0</v>
      </c>
      <c r="G130" s="759">
        <f t="shared" si="116"/>
        <v>0</v>
      </c>
      <c r="H130" s="2321">
        <f t="shared" si="127"/>
        <v>0</v>
      </c>
      <c r="I130" s="759">
        <f t="shared" si="117"/>
        <v>0</v>
      </c>
      <c r="J130" s="760">
        <f t="shared" si="118"/>
        <v>0</v>
      </c>
      <c r="K130" s="2977">
        <f t="shared" si="119"/>
        <v>0</v>
      </c>
      <c r="L130" s="2977"/>
      <c r="M130" s="761">
        <f t="shared" si="120"/>
        <v>0</v>
      </c>
      <c r="N130" s="560"/>
      <c r="Q130" s="556">
        <f t="shared" si="128"/>
        <v>0</v>
      </c>
      <c r="R130" s="558">
        <f t="shared" si="129"/>
        <v>0</v>
      </c>
      <c r="S130" s="557">
        <f t="shared" si="130"/>
        <v>0</v>
      </c>
      <c r="T130" s="557">
        <f t="shared" si="131"/>
        <v>0</v>
      </c>
      <c r="U130" s="558">
        <f t="shared" si="132"/>
        <v>0</v>
      </c>
      <c r="V130" s="558">
        <f t="shared" si="133"/>
        <v>0</v>
      </c>
      <c r="W130" s="559">
        <f t="shared" si="134"/>
        <v>0</v>
      </c>
      <c r="X130" s="562"/>
      <c r="Y130" s="562">
        <f t="shared" si="135"/>
        <v>0</v>
      </c>
      <c r="Z130" s="560">
        <f t="shared" si="136"/>
        <v>0</v>
      </c>
      <c r="AA130" s="560">
        <f t="shared" si="137"/>
        <v>0</v>
      </c>
      <c r="AB130" s="562">
        <f t="shared" si="138"/>
        <v>0</v>
      </c>
      <c r="AC130" s="562">
        <f t="shared" si="139"/>
        <v>0</v>
      </c>
      <c r="AD130" s="411">
        <f t="shared" si="140"/>
        <v>0</v>
      </c>
      <c r="AE130" s="411">
        <f t="shared" si="141"/>
        <v>0</v>
      </c>
      <c r="AF130" s="562">
        <f t="shared" si="142"/>
        <v>0</v>
      </c>
      <c r="AG130" s="562">
        <f t="shared" si="143"/>
        <v>0</v>
      </c>
      <c r="AH130" s="562" t="e">
        <f t="shared" si="144"/>
        <v>#DIV/0!</v>
      </c>
      <c r="AJ130" s="562"/>
      <c r="AK130" s="562"/>
      <c r="AL130" s="1288">
        <f t="shared" si="121"/>
        <v>0</v>
      </c>
      <c r="AM130" s="1288">
        <f t="shared" si="122"/>
        <v>0</v>
      </c>
      <c r="AN130" s="1288">
        <f t="shared" si="123"/>
        <v>0</v>
      </c>
      <c r="AO130" s="1288">
        <f t="shared" si="124"/>
        <v>0</v>
      </c>
      <c r="AP130" s="1288">
        <f t="shared" si="125"/>
        <v>0</v>
      </c>
      <c r="AQ130" s="1288">
        <f t="shared" si="145"/>
        <v>0</v>
      </c>
      <c r="AR130" s="1288">
        <f t="shared" si="146"/>
        <v>0</v>
      </c>
      <c r="AS130" s="1288">
        <f t="shared" si="147"/>
        <v>0</v>
      </c>
      <c r="AT130" s="1288">
        <f t="shared" si="148"/>
        <v>0</v>
      </c>
      <c r="AU130" s="1288">
        <f t="shared" si="149"/>
        <v>0</v>
      </c>
      <c r="AV130" s="1278"/>
      <c r="AW130" s="698">
        <f>INDEX(Pflanzen!$AH$5:$AH$109,'Berechnung Nährstoffe und Lager'!$AX130)</f>
        <v>0</v>
      </c>
      <c r="AX130" s="422">
        <v>1</v>
      </c>
      <c r="AY130" s="422">
        <f>INDEX(Pflanzen!$M$5:$M$109,'Berechnung Nährstoffe und Lager'!$AX130)</f>
        <v>0</v>
      </c>
      <c r="AZ130" s="422">
        <f>INDEX(Pflanzen!$AD$5:$AD$109,'Berechnung Nährstoffe und Lager'!$AX130)</f>
        <v>0</v>
      </c>
      <c r="BA130" s="422">
        <f>INDEX(Pflanzen!$AE$5:$AE$109,'Berechnung Nährstoffe und Lager'!$AX130)</f>
        <v>0</v>
      </c>
      <c r="BB130" s="422">
        <f>INDEX(Pflanzen!$AF$5:$AF$109,'Berechnung Nährstoffe und Lager'!$AX130)</f>
        <v>0</v>
      </c>
      <c r="BC130" s="422">
        <f>INDEX(Pflanzen!$T$5:$T$109,'Berechnung Nährstoffe und Lager'!$AX130)</f>
        <v>0</v>
      </c>
      <c r="BD130" s="422">
        <f>INDEX(Pflanzen!$V$5:$V$109,'Berechnung Nährstoffe und Lager'!$AX130)</f>
        <v>0</v>
      </c>
      <c r="BE130" s="422">
        <f>INDEX(Pflanzen!$AL$5:$AL$109,'Berechnung Nährstoffe und Lager'!$AX130)</f>
        <v>0</v>
      </c>
      <c r="BF130" s="1276"/>
      <c r="BG130" s="480"/>
      <c r="BH130" s="480"/>
      <c r="BI130" s="422">
        <f>INDEX(Pflanzen!$X$5:$X116,'Berechnung Nährstoffe und Lager'!$AX130)</f>
        <v>0</v>
      </c>
      <c r="BJ130" s="475">
        <f t="shared" si="150"/>
        <v>0</v>
      </c>
      <c r="BK130" s="475"/>
      <c r="BL130" s="1074"/>
      <c r="BN130" s="475"/>
      <c r="BO130" s="422">
        <f>INDEX(Pflanzen!$AM$5:$AM$109,'Berechnung Nährstoffe und Lager'!$AX130)</f>
        <v>0</v>
      </c>
      <c r="BP130" s="484">
        <f t="shared" si="126"/>
        <v>0</v>
      </c>
      <c r="BQ130" s="475"/>
      <c r="BR130" s="475"/>
      <c r="BS130" s="475"/>
      <c r="BT130" s="475"/>
      <c r="BU130" s="475"/>
      <c r="BV130" s="475"/>
      <c r="BW130" s="475"/>
      <c r="BX130" s="422"/>
      <c r="BY130" s="422"/>
      <c r="BZ130" s="422"/>
      <c r="CA130" s="422"/>
      <c r="CB130" s="422"/>
      <c r="CC130" s="422"/>
      <c r="CD130" s="422"/>
      <c r="CE130" s="422"/>
      <c r="CF130" s="422"/>
      <c r="CG130" s="422"/>
      <c r="CH130" s="422"/>
      <c r="CI130" s="422"/>
      <c r="CJ130" s="450"/>
      <c r="CK130" s="450"/>
      <c r="CL130" s="450"/>
      <c r="CM130" s="480"/>
      <c r="CN130" s="422"/>
      <c r="CO130" s="422"/>
      <c r="CP130" s="422"/>
      <c r="CQ130" s="456"/>
      <c r="CR130" s="456"/>
      <c r="CS130" s="456"/>
      <c r="CT130" s="456"/>
      <c r="CU130" s="456"/>
      <c r="CV130" s="422"/>
      <c r="CW130" s="422"/>
      <c r="CX130" s="422"/>
      <c r="CY130" s="422"/>
      <c r="CZ130" s="422"/>
      <c r="DA130" s="422"/>
      <c r="DB130" s="422"/>
      <c r="DC130" s="422"/>
      <c r="DD130" s="422"/>
      <c r="DE130" s="422"/>
      <c r="DF130" s="422"/>
      <c r="DG130" s="422"/>
      <c r="DH130" s="422"/>
      <c r="DI130" s="422"/>
      <c r="DJ130" s="422"/>
      <c r="DK130" s="422"/>
      <c r="DL130" s="422"/>
      <c r="DM130" s="450"/>
      <c r="DN130" s="450"/>
      <c r="DO130" s="450"/>
      <c r="DP130" s="450"/>
      <c r="DQ130" s="450"/>
      <c r="DR130" s="450"/>
      <c r="DS130" s="450"/>
      <c r="DT130" s="450"/>
      <c r="DU130" s="450"/>
      <c r="DV130" s="450"/>
      <c r="DW130" s="450"/>
      <c r="DX130" s="450"/>
      <c r="DY130" s="450"/>
      <c r="DZ130" s="450"/>
      <c r="EA130" s="450"/>
      <c r="EB130" s="450"/>
      <c r="EC130" s="450"/>
      <c r="ED130" s="450"/>
      <c r="EE130" s="475"/>
      <c r="EF130" s="475"/>
      <c r="EG130" s="422"/>
      <c r="EH130" s="422"/>
      <c r="EI130" s="422"/>
      <c r="EJ130" s="422"/>
      <c r="EK130" s="422"/>
      <c r="EL130" s="422"/>
      <c r="EM130" s="17"/>
      <c r="EN130" s="17"/>
      <c r="EO130" s="16"/>
      <c r="EP130" s="16"/>
      <c r="EQ130" s="17"/>
      <c r="ER130" s="17"/>
      <c r="ES130" s="17"/>
      <c r="ET130" s="17"/>
    </row>
    <row r="131" spans="1:150" ht="15.75" customHeight="1" x14ac:dyDescent="0.2">
      <c r="A131" s="324"/>
      <c r="B131" s="324"/>
      <c r="C131" s="324"/>
      <c r="D131" s="324"/>
      <c r="E131" s="324"/>
      <c r="F131" s="324"/>
      <c r="G131" s="324"/>
      <c r="H131" s="324"/>
      <c r="I131" s="324"/>
      <c r="J131" s="324"/>
      <c r="K131" s="324"/>
      <c r="L131" s="324"/>
      <c r="M131" s="324"/>
      <c r="N131" s="17"/>
      <c r="P131" s="324"/>
      <c r="Q131" s="324"/>
      <c r="R131" s="324"/>
      <c r="S131" s="422"/>
      <c r="T131" s="422"/>
      <c r="U131" s="422"/>
      <c r="V131" s="422"/>
      <c r="W131" s="422"/>
      <c r="X131" s="422"/>
      <c r="Y131" s="422"/>
      <c r="Z131" s="422"/>
      <c r="AA131" s="422"/>
      <c r="AB131" s="422"/>
      <c r="AC131" s="422"/>
      <c r="AD131" s="422"/>
      <c r="AE131" s="422"/>
      <c r="AF131" s="422"/>
      <c r="AG131" s="422"/>
      <c r="AH131" s="422"/>
      <c r="AI131" s="422"/>
      <c r="AJ131" s="422"/>
      <c r="AK131" s="422"/>
      <c r="AL131" s="1289"/>
      <c r="AM131" s="1289"/>
      <c r="AN131" s="1289"/>
      <c r="AO131" s="1290"/>
      <c r="AP131" s="1290"/>
      <c r="AQ131" s="1290"/>
      <c r="AR131" s="1290"/>
      <c r="AS131" s="1290"/>
      <c r="AT131" s="1290"/>
      <c r="AU131" s="1290"/>
      <c r="AV131" s="1279"/>
      <c r="AW131" s="475"/>
      <c r="AX131" s="475"/>
      <c r="AY131" s="475"/>
      <c r="AZ131" s="475"/>
      <c r="BA131" s="475"/>
      <c r="BB131" s="475"/>
      <c r="BC131" s="475"/>
      <c r="BD131" s="475"/>
      <c r="BE131" s="475"/>
      <c r="BF131" s="475"/>
      <c r="BG131" s="475"/>
      <c r="BH131" s="475"/>
      <c r="BI131" s="475"/>
      <c r="BJ131" s="475"/>
      <c r="BK131" s="475"/>
      <c r="BL131" s="1074"/>
      <c r="BM131" s="475"/>
      <c r="BN131" s="422"/>
      <c r="BO131" s="422"/>
      <c r="BP131" s="484"/>
      <c r="BQ131" s="422"/>
      <c r="BR131" s="422"/>
      <c r="BS131" s="422"/>
      <c r="BT131" s="422"/>
      <c r="BU131" s="422"/>
      <c r="BV131" s="422"/>
      <c r="BW131" s="422"/>
      <c r="BX131" s="422"/>
      <c r="BY131" s="422"/>
      <c r="BZ131" s="422"/>
      <c r="CA131" s="422"/>
      <c r="CB131" s="450"/>
      <c r="CC131" s="450"/>
      <c r="CD131" s="450"/>
      <c r="CE131" s="480"/>
      <c r="CF131" s="422"/>
      <c r="CG131" s="422"/>
      <c r="CH131" s="456"/>
      <c r="CI131" s="456"/>
      <c r="CJ131" s="456"/>
      <c r="CK131" s="456"/>
      <c r="CL131" s="422"/>
      <c r="CM131" s="422"/>
      <c r="CN131" s="422"/>
      <c r="CO131" s="422"/>
      <c r="CP131" s="422"/>
      <c r="CQ131" s="422"/>
      <c r="CR131" s="422"/>
      <c r="CS131" s="422"/>
      <c r="CT131" s="422"/>
      <c r="CU131" s="422"/>
      <c r="CV131" s="422"/>
      <c r="CW131" s="450"/>
      <c r="CX131" s="450"/>
      <c r="CY131" s="475"/>
      <c r="CZ131" s="475"/>
      <c r="DA131" s="475"/>
      <c r="DB131" s="475"/>
      <c r="DC131" s="475"/>
      <c r="DD131" s="422"/>
      <c r="DE131" s="422"/>
      <c r="DF131" s="422"/>
      <c r="DG131" s="422"/>
      <c r="DH131" s="17"/>
      <c r="DI131" s="17"/>
      <c r="DJ131" s="17"/>
      <c r="DK131" s="17"/>
      <c r="DL131" s="17"/>
      <c r="DM131" s="16"/>
      <c r="DN131" s="16"/>
      <c r="DO131" s="16"/>
      <c r="DP131" s="16"/>
      <c r="DQ131" s="16"/>
      <c r="DR131" s="16"/>
      <c r="DS131" s="16"/>
      <c r="DT131" s="16"/>
      <c r="DU131" s="16"/>
      <c r="DV131" s="16"/>
      <c r="DW131" s="16"/>
      <c r="DX131" s="16"/>
      <c r="DY131" s="16"/>
      <c r="DZ131" s="16"/>
      <c r="EA131" s="16"/>
      <c r="EB131" s="16"/>
      <c r="EC131" s="16"/>
      <c r="ED131" s="16"/>
      <c r="EE131" s="17"/>
      <c r="EF131" s="17"/>
      <c r="EG131" s="17"/>
      <c r="EH131" s="17"/>
      <c r="EI131" s="17"/>
      <c r="EJ131" s="17"/>
      <c r="EK131" s="17"/>
      <c r="EL131" s="17"/>
    </row>
    <row r="132" spans="1:150" ht="15.75" customHeight="1" x14ac:dyDescent="0.2">
      <c r="A132" s="325" t="s">
        <v>505</v>
      </c>
      <c r="B132" s="324"/>
      <c r="C132" s="324"/>
      <c r="D132" s="324"/>
      <c r="E132" s="680"/>
      <c r="F132" s="324"/>
      <c r="G132" s="324"/>
      <c r="H132" s="324"/>
      <c r="I132" s="324"/>
      <c r="J132" s="324"/>
      <c r="K132" s="324"/>
      <c r="L132" s="324"/>
      <c r="M132" s="324"/>
      <c r="N132" s="17"/>
      <c r="P132" s="324"/>
      <c r="Q132" s="324"/>
      <c r="R132" s="324"/>
      <c r="S132" s="422"/>
      <c r="T132" s="422"/>
      <c r="U132" s="422"/>
      <c r="V132" s="422"/>
      <c r="W132" s="422"/>
      <c r="X132" s="422"/>
      <c r="Y132" s="422"/>
      <c r="Z132" s="422"/>
      <c r="AA132" s="422"/>
      <c r="AB132" s="422"/>
      <c r="AC132" s="422"/>
      <c r="AD132" s="422"/>
      <c r="AE132" s="422"/>
      <c r="AF132" s="422"/>
      <c r="AG132" s="422"/>
      <c r="AH132" s="422"/>
      <c r="AI132" s="422"/>
      <c r="AJ132" s="422"/>
      <c r="AK132" s="422"/>
      <c r="AL132" s="1289"/>
      <c r="AM132" s="1289"/>
      <c r="AN132" s="1289"/>
      <c r="AO132" s="1290"/>
      <c r="AP132" s="1290"/>
      <c r="AQ132" s="1290"/>
      <c r="AR132" s="1290"/>
      <c r="AS132" s="1290"/>
      <c r="AT132" s="1290"/>
      <c r="AU132" s="1290"/>
      <c r="AV132" s="1279"/>
      <c r="AW132" s="475"/>
      <c r="AY132" s="475"/>
      <c r="AZ132" s="475"/>
      <c r="BA132" s="475"/>
      <c r="BB132" s="475"/>
      <c r="BC132" s="475"/>
      <c r="BD132" s="475"/>
      <c r="BE132" s="475"/>
      <c r="BF132" s="475"/>
      <c r="BG132" s="475"/>
      <c r="BH132" s="475"/>
      <c r="BI132" s="475"/>
      <c r="BJ132" s="475"/>
      <c r="BK132" s="475"/>
      <c r="BL132" s="1074"/>
      <c r="BM132" s="422"/>
      <c r="BN132" s="422"/>
      <c r="BO132" s="422"/>
      <c r="BP132" s="484"/>
      <c r="BQ132" s="422"/>
      <c r="BR132" s="422"/>
      <c r="BS132" s="422"/>
      <c r="BT132" s="422"/>
      <c r="BU132" s="422"/>
      <c r="BV132" s="422"/>
      <c r="BW132" s="422"/>
      <c r="BX132" s="422"/>
      <c r="BY132" s="422"/>
      <c r="BZ132" s="422"/>
      <c r="CA132" s="450"/>
      <c r="CB132" s="450"/>
      <c r="CC132" s="450"/>
      <c r="CD132" s="480"/>
      <c r="CE132" s="422"/>
      <c r="CF132" s="422"/>
      <c r="CG132" s="456"/>
      <c r="CH132" s="456"/>
      <c r="CI132" s="456"/>
      <c r="CJ132" s="456"/>
      <c r="CK132" s="422"/>
      <c r="CL132" s="422"/>
      <c r="CM132" s="422"/>
      <c r="CN132" s="422"/>
      <c r="CO132" s="422"/>
      <c r="CP132" s="422"/>
      <c r="CQ132" s="422"/>
      <c r="CR132" s="422"/>
      <c r="CS132" s="422"/>
      <c r="CT132" s="422"/>
      <c r="CU132" s="422"/>
      <c r="CV132" s="450"/>
      <c r="CW132" s="450"/>
      <c r="CX132" s="475"/>
      <c r="CY132" s="475"/>
      <c r="CZ132" s="422"/>
      <c r="DA132" s="422"/>
      <c r="DB132" s="422"/>
      <c r="DC132" s="422"/>
      <c r="DD132" s="422"/>
      <c r="DE132" s="422"/>
      <c r="DF132" s="422"/>
      <c r="DG132" s="17"/>
      <c r="DH132" s="17"/>
      <c r="DI132" s="17"/>
      <c r="DJ132" s="17"/>
      <c r="DK132" s="17"/>
      <c r="DL132" s="16"/>
      <c r="DM132" s="16"/>
      <c r="DN132" s="16"/>
      <c r="DO132" s="16"/>
      <c r="DP132" s="16"/>
      <c r="DQ132" s="16"/>
      <c r="DR132" s="16"/>
      <c r="DS132" s="16"/>
      <c r="DT132" s="16"/>
      <c r="DU132" s="16"/>
      <c r="DV132" s="16"/>
      <c r="DW132" s="16"/>
      <c r="DX132" s="16"/>
      <c r="DY132" s="16"/>
      <c r="DZ132" s="16"/>
      <c r="EA132" s="16"/>
      <c r="EB132" s="16"/>
      <c r="EC132" s="16"/>
      <c r="ED132" s="17"/>
      <c r="EE132" s="17"/>
      <c r="EF132" s="17"/>
      <c r="EG132" s="17"/>
      <c r="EH132" s="17"/>
      <c r="EI132" s="17"/>
      <c r="EJ132" s="17"/>
      <c r="EK132" s="17"/>
    </row>
    <row r="133" spans="1:150" ht="11.25" customHeight="1" thickBot="1" x14ac:dyDescent="0.3">
      <c r="A133" s="580"/>
      <c r="B133" s="370"/>
      <c r="C133" s="370"/>
      <c r="E133" s="370"/>
      <c r="F133" s="370"/>
      <c r="G133" s="555"/>
      <c r="H133" s="578"/>
      <c r="I133" s="578"/>
      <c r="J133" s="578"/>
      <c r="K133" s="578"/>
      <c r="L133" s="578"/>
      <c r="M133" s="578"/>
      <c r="N133" s="578"/>
      <c r="O133" s="578" t="s">
        <v>214</v>
      </c>
      <c r="P133" s="578"/>
      <c r="Q133" s="578"/>
      <c r="R133" s="578"/>
      <c r="S133" s="578"/>
      <c r="T133" s="578"/>
      <c r="U133" s="578"/>
      <c r="V133" s="578"/>
      <c r="W133" s="422"/>
      <c r="X133" s="422"/>
      <c r="Y133" s="422"/>
      <c r="Z133" s="422"/>
      <c r="AA133" s="422"/>
      <c r="AB133" s="422"/>
      <c r="AC133" s="422"/>
      <c r="AD133" s="422"/>
      <c r="AE133" s="422"/>
      <c r="AF133" s="422"/>
      <c r="AG133" s="422"/>
      <c r="AH133" s="422"/>
      <c r="AI133" s="422"/>
      <c r="AJ133" s="422"/>
      <c r="AK133" s="422"/>
      <c r="AL133" s="1291" t="s">
        <v>1200</v>
      </c>
      <c r="AM133" s="1289"/>
      <c r="AN133" s="1289"/>
      <c r="AO133" s="1290"/>
      <c r="AP133" s="1290"/>
      <c r="AQ133" s="2167" t="s">
        <v>1204</v>
      </c>
      <c r="AR133" s="1290"/>
      <c r="AS133" s="1290"/>
      <c r="AT133" s="1290"/>
      <c r="AU133" s="1290"/>
      <c r="AV133" s="1279"/>
      <c r="AW133" s="475"/>
      <c r="AX133" s="475"/>
      <c r="AY133" s="475"/>
      <c r="AZ133" s="475"/>
      <c r="BA133" s="475"/>
      <c r="BB133" s="475"/>
      <c r="BC133" s="475"/>
      <c r="BD133" s="475"/>
      <c r="BE133" s="475"/>
      <c r="BF133" s="475"/>
      <c r="BG133" s="475"/>
      <c r="BH133" s="475"/>
      <c r="BI133" s="475"/>
      <c r="BJ133" s="475"/>
      <c r="BK133" s="475"/>
      <c r="BL133" s="1074"/>
      <c r="BM133" s="422"/>
      <c r="BN133" s="422"/>
      <c r="BO133" s="422"/>
      <c r="BP133" s="484"/>
      <c r="BQ133" s="422"/>
      <c r="BR133" s="422"/>
      <c r="BS133" s="422"/>
      <c r="BT133" s="422"/>
      <c r="BU133" s="422"/>
      <c r="BV133" s="422"/>
      <c r="BW133" s="422"/>
      <c r="BX133" s="422"/>
      <c r="BY133" s="422"/>
      <c r="BZ133" s="422"/>
      <c r="CA133" s="450"/>
      <c r="CB133" s="450"/>
      <c r="CC133" s="450"/>
      <c r="CD133" s="480"/>
      <c r="CE133" s="422"/>
      <c r="CF133" s="422"/>
      <c r="CG133" s="456"/>
      <c r="CH133" s="456"/>
      <c r="CI133" s="456"/>
      <c r="CJ133" s="456"/>
      <c r="CK133" s="422"/>
      <c r="CL133" s="422"/>
      <c r="CM133" s="422"/>
      <c r="CN133" s="422"/>
      <c r="CO133" s="422"/>
      <c r="CP133" s="422"/>
      <c r="CQ133" s="422"/>
      <c r="CR133" s="422"/>
      <c r="CS133" s="422"/>
      <c r="CT133" s="422"/>
      <c r="CU133" s="422"/>
      <c r="CV133" s="450"/>
      <c r="CW133" s="450"/>
      <c r="CX133" s="475"/>
      <c r="CY133" s="475"/>
      <c r="CZ133" s="422"/>
      <c r="DA133" s="422"/>
      <c r="DB133" s="422"/>
      <c r="DC133" s="422"/>
      <c r="DD133" s="422"/>
      <c r="DE133" s="422"/>
      <c r="DF133" s="422"/>
      <c r="DG133" s="17"/>
      <c r="DH133" s="17"/>
      <c r="DI133" s="17"/>
      <c r="DJ133" s="17"/>
      <c r="DK133" s="17"/>
      <c r="DL133" s="16"/>
      <c r="DM133" s="16"/>
      <c r="DN133" s="16"/>
      <c r="DO133" s="16"/>
      <c r="DP133" s="16"/>
      <c r="DQ133" s="16"/>
      <c r="DR133" s="16"/>
      <c r="DS133" s="16"/>
      <c r="DT133" s="16"/>
      <c r="DU133" s="16"/>
      <c r="DV133" s="16"/>
      <c r="DW133" s="16"/>
      <c r="DX133" s="16"/>
      <c r="DY133" s="16"/>
      <c r="DZ133" s="16"/>
      <c r="EA133" s="16"/>
      <c r="EB133" s="16"/>
      <c r="EC133" s="16"/>
      <c r="ED133" s="17"/>
      <c r="EE133" s="17"/>
      <c r="EF133" s="17"/>
      <c r="EG133" s="17"/>
      <c r="EH133" s="17"/>
      <c r="EI133" s="17"/>
      <c r="EJ133" s="17"/>
      <c r="EK133" s="17"/>
    </row>
    <row r="134" spans="1:150" ht="15.75" customHeight="1" x14ac:dyDescent="0.35">
      <c r="A134" s="861" t="s">
        <v>784</v>
      </c>
      <c r="B134" s="872"/>
      <c r="C134" s="2670" t="s">
        <v>1191</v>
      </c>
      <c r="D134" s="2671"/>
      <c r="E134" s="2272" t="s">
        <v>320</v>
      </c>
      <c r="F134" s="2970" t="s">
        <v>1169</v>
      </c>
      <c r="G134" s="873" t="s">
        <v>1074</v>
      </c>
      <c r="H134" s="862" t="s">
        <v>488</v>
      </c>
      <c r="I134" s="863" t="s">
        <v>489</v>
      </c>
      <c r="J134" s="862" t="s">
        <v>4</v>
      </c>
      <c r="K134" s="2846" t="s">
        <v>490</v>
      </c>
      <c r="L134" s="2847"/>
      <c r="M134" s="830" t="s">
        <v>838</v>
      </c>
      <c r="N134" s="4"/>
      <c r="Q134" s="549" t="s">
        <v>492</v>
      </c>
      <c r="R134" s="634" t="s">
        <v>489</v>
      </c>
      <c r="S134" s="552" t="s">
        <v>215</v>
      </c>
      <c r="T134" s="552" t="s">
        <v>322</v>
      </c>
      <c r="U134" s="552" t="s">
        <v>4</v>
      </c>
      <c r="V134" s="552" t="s">
        <v>490</v>
      </c>
      <c r="W134" s="551" t="s">
        <v>491</v>
      </c>
      <c r="X134" s="633"/>
      <c r="Y134" s="633"/>
      <c r="Z134" s="633"/>
      <c r="AA134" s="633"/>
      <c r="AB134" s="633"/>
      <c r="AC134" s="633"/>
      <c r="AD134" s="633"/>
      <c r="AE134" s="633"/>
      <c r="AF134" s="633"/>
      <c r="AG134" s="633"/>
      <c r="AH134" s="633"/>
      <c r="AI134" s="633"/>
      <c r="AJ134" s="633"/>
      <c r="AK134" s="633"/>
      <c r="AL134" s="1293" t="s">
        <v>514</v>
      </c>
      <c r="AM134" s="1294"/>
      <c r="AN134" s="1294"/>
      <c r="AO134" s="1294"/>
      <c r="AP134" s="1294"/>
      <c r="AQ134" s="1295" t="s">
        <v>673</v>
      </c>
      <c r="AR134" s="1294"/>
      <c r="AS134" s="1294"/>
      <c r="AT134" s="1294"/>
      <c r="AU134" s="1294"/>
      <c r="AV134" s="1280"/>
      <c r="AW134" s="1272" t="s">
        <v>729</v>
      </c>
      <c r="AX134" s="475"/>
      <c r="AY134" s="475"/>
      <c r="AZ134" s="475"/>
      <c r="BA134" s="475"/>
      <c r="BB134" s="475"/>
      <c r="BC134" s="475"/>
      <c r="BD134" s="475"/>
      <c r="BE134" s="475"/>
      <c r="BF134" s="1265"/>
      <c r="BG134" s="485"/>
      <c r="BH134" s="475"/>
      <c r="BI134" s="475"/>
      <c r="BJ134" s="475"/>
      <c r="BK134" s="475"/>
      <c r="BL134" s="1074"/>
      <c r="BM134" s="475" t="s">
        <v>794</v>
      </c>
      <c r="BN134" s="475" t="s">
        <v>794</v>
      </c>
      <c r="BO134" s="475" t="s">
        <v>794</v>
      </c>
      <c r="BP134" s="422" t="s">
        <v>819</v>
      </c>
      <c r="BQ134" s="422"/>
      <c r="BR134" s="422"/>
      <c r="BS134" s="422"/>
      <c r="BT134" s="422"/>
      <c r="BU134" s="422"/>
      <c r="BV134" s="422"/>
      <c r="BW134" s="422"/>
      <c r="BX134" s="422"/>
      <c r="BY134" s="422"/>
      <c r="BZ134" s="422"/>
      <c r="CA134" s="450"/>
      <c r="CB134" s="450"/>
      <c r="CC134" s="450"/>
      <c r="CD134" s="480"/>
      <c r="CE134" s="422"/>
      <c r="CF134" s="422"/>
      <c r="CG134" s="456"/>
      <c r="CH134" s="456"/>
      <c r="CI134" s="456"/>
      <c r="CJ134" s="456"/>
      <c r="CK134" s="422"/>
      <c r="CL134" s="422"/>
      <c r="CM134" s="422"/>
      <c r="CN134" s="422"/>
      <c r="CO134" s="422"/>
      <c r="CP134" s="422"/>
      <c r="CQ134" s="422"/>
      <c r="CR134" s="422"/>
      <c r="CS134" s="422"/>
      <c r="CT134" s="422"/>
      <c r="CU134" s="422"/>
      <c r="CV134" s="450"/>
      <c r="CW134" s="450"/>
      <c r="CX134" s="475"/>
      <c r="CY134" s="475"/>
      <c r="CZ134" s="422"/>
      <c r="DA134" s="422"/>
      <c r="DB134" s="422"/>
      <c r="DC134" s="422"/>
      <c r="DD134" s="422"/>
      <c r="DE134" s="422"/>
      <c r="DF134" s="422"/>
      <c r="DG134" s="17"/>
      <c r="DH134" s="17"/>
      <c r="DI134" s="17"/>
      <c r="DJ134" s="17"/>
      <c r="DK134" s="17"/>
      <c r="DL134" s="16"/>
      <c r="DM134" s="16"/>
      <c r="DN134" s="16"/>
      <c r="DO134" s="16"/>
      <c r="DP134" s="16"/>
      <c r="DQ134" s="16"/>
      <c r="DR134" s="16"/>
      <c r="DS134" s="16"/>
      <c r="DT134" s="16"/>
      <c r="DU134" s="16"/>
      <c r="DV134" s="16"/>
      <c r="DW134" s="16"/>
      <c r="DX134" s="16"/>
      <c r="DY134" s="16"/>
      <c r="DZ134" s="16"/>
      <c r="EA134" s="16"/>
      <c r="EB134" s="16"/>
      <c r="EC134" s="16"/>
      <c r="ED134" s="17"/>
      <c r="EE134" s="17"/>
      <c r="EF134" s="17"/>
      <c r="EG134" s="17"/>
      <c r="EH134" s="17"/>
      <c r="EI134" s="17"/>
      <c r="EJ134" s="17"/>
      <c r="EK134" s="17"/>
    </row>
    <row r="135" spans="1:150" ht="15.75" customHeight="1" x14ac:dyDescent="0.35">
      <c r="A135" s="864" t="s">
        <v>785</v>
      </c>
      <c r="B135" s="874"/>
      <c r="C135" s="2672"/>
      <c r="D135" s="2673"/>
      <c r="E135" s="2273" t="s">
        <v>493</v>
      </c>
      <c r="F135" s="2971"/>
      <c r="G135" s="865" t="s">
        <v>495</v>
      </c>
      <c r="H135" s="865" t="s">
        <v>496</v>
      </c>
      <c r="I135" s="866" t="s">
        <v>497</v>
      </c>
      <c r="J135" s="2848" t="s">
        <v>278</v>
      </c>
      <c r="K135" s="2849"/>
      <c r="L135" s="2849"/>
      <c r="M135" s="2850"/>
      <c r="N135" s="4"/>
      <c r="Q135" s="553" t="s">
        <v>498</v>
      </c>
      <c r="R135" s="635" t="s">
        <v>674</v>
      </c>
      <c r="S135" s="566" t="s">
        <v>499</v>
      </c>
      <c r="T135" s="567"/>
      <c r="U135" s="567"/>
      <c r="V135" s="567"/>
      <c r="W135" s="568"/>
      <c r="X135" s="564"/>
      <c r="Y135" s="564"/>
      <c r="Z135" s="564"/>
      <c r="AA135" s="564"/>
      <c r="AB135" s="564"/>
      <c r="AC135" s="564"/>
      <c r="AD135" s="564"/>
      <c r="AE135" s="564"/>
      <c r="AF135" s="564"/>
      <c r="AG135" s="564"/>
      <c r="AH135" s="564"/>
      <c r="AI135" s="564"/>
      <c r="AJ135" s="564"/>
      <c r="AK135" s="564"/>
      <c r="AL135" s="1282" t="s">
        <v>215</v>
      </c>
      <c r="AM135" s="1283" t="s">
        <v>322</v>
      </c>
      <c r="AN135" s="1283" t="s">
        <v>4</v>
      </c>
      <c r="AO135" s="1283" t="s">
        <v>490</v>
      </c>
      <c r="AP135" s="1284" t="s">
        <v>491</v>
      </c>
      <c r="AQ135" s="1282" t="s">
        <v>215</v>
      </c>
      <c r="AR135" s="1283" t="s">
        <v>322</v>
      </c>
      <c r="AS135" s="1283" t="s">
        <v>4</v>
      </c>
      <c r="AT135" s="1283" t="s">
        <v>490</v>
      </c>
      <c r="AU135" s="1284" t="s">
        <v>491</v>
      </c>
      <c r="AV135" s="1281"/>
      <c r="AW135" s="1272" t="s">
        <v>816</v>
      </c>
      <c r="AX135" s="2252" t="s">
        <v>8484</v>
      </c>
      <c r="AY135" s="475"/>
      <c r="AZ135" s="475"/>
      <c r="BA135" s="475"/>
      <c r="BB135" s="475"/>
      <c r="BC135" s="475"/>
      <c r="BD135" s="475"/>
      <c r="BE135" s="475"/>
      <c r="BF135" s="475"/>
      <c r="BG135" s="475"/>
      <c r="BH135" s="475"/>
      <c r="BI135" s="475"/>
      <c r="BJ135" s="475"/>
      <c r="BK135" s="475"/>
      <c r="BL135" s="1074"/>
      <c r="BM135" s="422" t="s">
        <v>0</v>
      </c>
      <c r="BN135" s="422" t="s">
        <v>13</v>
      </c>
      <c r="BO135" s="422" t="s">
        <v>818</v>
      </c>
      <c r="BP135" s="422" t="s">
        <v>542</v>
      </c>
      <c r="BQ135" s="422"/>
      <c r="BR135" s="2251" t="s">
        <v>8483</v>
      </c>
      <c r="BS135" s="422"/>
      <c r="BT135" s="422"/>
      <c r="BU135" s="422"/>
      <c r="BV135" s="422"/>
      <c r="BW135" s="422"/>
      <c r="BX135" s="422"/>
      <c r="BY135" s="422"/>
      <c r="BZ135" s="422"/>
      <c r="CA135" s="450"/>
      <c r="CB135" s="450"/>
      <c r="CC135" s="450"/>
      <c r="CD135" s="480"/>
      <c r="CE135" s="422"/>
      <c r="CF135" s="422"/>
      <c r="CG135" s="456"/>
      <c r="CH135" s="456"/>
      <c r="CI135" s="456"/>
      <c r="CJ135" s="456"/>
      <c r="CK135" s="422"/>
      <c r="CL135" s="422"/>
      <c r="CM135" s="422"/>
      <c r="CN135" s="422"/>
      <c r="CO135" s="422"/>
      <c r="CP135" s="422"/>
      <c r="CQ135" s="422"/>
      <c r="CR135" s="422"/>
      <c r="CS135" s="422"/>
      <c r="CT135" s="422"/>
      <c r="CU135" s="422"/>
      <c r="CV135" s="450"/>
      <c r="CW135" s="450"/>
      <c r="CX135" s="475"/>
      <c r="CY135" s="475"/>
      <c r="CZ135" s="422"/>
      <c r="DA135" s="422"/>
      <c r="DB135" s="422"/>
      <c r="DC135" s="422"/>
      <c r="DD135" s="422"/>
      <c r="DE135" s="422"/>
      <c r="DF135" s="422"/>
      <c r="DG135" s="17"/>
      <c r="DH135" s="17"/>
      <c r="DI135" s="17"/>
      <c r="DJ135" s="17"/>
      <c r="DK135" s="17"/>
      <c r="DL135" s="16"/>
      <c r="DM135" s="16"/>
      <c r="DN135" s="16"/>
      <c r="DO135" s="16"/>
      <c r="DP135" s="16"/>
      <c r="DQ135" s="16"/>
      <c r="DR135" s="16"/>
      <c r="DS135" s="16"/>
      <c r="DT135" s="16"/>
      <c r="DU135" s="16"/>
      <c r="DV135" s="16"/>
      <c r="DW135" s="16"/>
      <c r="DX135" s="16"/>
      <c r="DY135" s="16"/>
      <c r="DZ135" s="16"/>
      <c r="EA135" s="16"/>
      <c r="EB135" s="16"/>
      <c r="EC135" s="16"/>
      <c r="ED135" s="17"/>
      <c r="EE135" s="17"/>
      <c r="EF135" s="17"/>
      <c r="EG135" s="17"/>
      <c r="EH135" s="17"/>
      <c r="EI135" s="17"/>
      <c r="EJ135" s="17"/>
      <c r="EK135" s="17"/>
    </row>
    <row r="136" spans="1:150" ht="15.75" customHeight="1" thickBot="1" x14ac:dyDescent="0.25">
      <c r="A136" s="794" t="s">
        <v>1197</v>
      </c>
      <c r="B136" s="875"/>
      <c r="C136" s="2674"/>
      <c r="D136" s="2675"/>
      <c r="E136" s="2270" t="s">
        <v>500</v>
      </c>
      <c r="F136" s="2972"/>
      <c r="G136" s="867" t="s">
        <v>2</v>
      </c>
      <c r="H136" s="1116" t="s">
        <v>1073</v>
      </c>
      <c r="I136" s="868" t="s">
        <v>2</v>
      </c>
      <c r="J136" s="2756" t="s">
        <v>500</v>
      </c>
      <c r="K136" s="2757"/>
      <c r="L136" s="2757"/>
      <c r="M136" s="2758"/>
      <c r="N136" s="4"/>
      <c r="Q136" s="569" t="s">
        <v>479</v>
      </c>
      <c r="R136" s="636" t="s">
        <v>497</v>
      </c>
      <c r="S136" s="570"/>
      <c r="T136" s="570"/>
      <c r="U136" s="570"/>
      <c r="V136" s="570"/>
      <c r="W136" s="571"/>
      <c r="X136" s="564"/>
      <c r="Y136" s="564"/>
      <c r="Z136" s="564"/>
      <c r="AA136" s="564"/>
      <c r="AB136" s="564"/>
      <c r="AC136" s="564"/>
      <c r="AD136" s="564"/>
      <c r="AE136" s="564"/>
      <c r="AF136" s="564"/>
      <c r="AG136" s="564"/>
      <c r="AH136" s="564"/>
      <c r="AI136" s="564"/>
      <c r="AJ136" s="564"/>
      <c r="AK136" s="564"/>
      <c r="AL136" s="1285" t="s">
        <v>499</v>
      </c>
      <c r="AM136" s="1286"/>
      <c r="AN136" s="1286"/>
      <c r="AO136" s="1286"/>
      <c r="AP136" s="1287"/>
      <c r="AQ136" s="1285" t="s">
        <v>499</v>
      </c>
      <c r="AR136" s="1286"/>
      <c r="AS136" s="1286"/>
      <c r="AT136" s="1286"/>
      <c r="AU136" s="1287"/>
      <c r="AV136" s="1281"/>
      <c r="AW136" s="1274" t="s">
        <v>817</v>
      </c>
      <c r="AX136" s="475"/>
      <c r="AY136" s="485" t="s">
        <v>1199</v>
      </c>
      <c r="AZ136" s="475"/>
      <c r="BA136" s="475"/>
      <c r="BB136" s="475"/>
      <c r="BC136" s="475"/>
      <c r="BD136" s="475"/>
      <c r="BE136" s="475"/>
      <c r="BG136" s="475"/>
      <c r="BH136" s="475"/>
      <c r="BI136" s="475"/>
      <c r="BJ136" s="475"/>
      <c r="BK136" s="475"/>
      <c r="BL136" s="1074"/>
      <c r="BM136" s="422"/>
      <c r="BN136" s="422"/>
      <c r="BO136" s="422"/>
      <c r="BP136" s="422"/>
      <c r="BQ136" s="422"/>
      <c r="BR136" s="422"/>
      <c r="BS136" s="422"/>
      <c r="BT136" s="422"/>
      <c r="BU136" s="422"/>
      <c r="BV136" s="422"/>
      <c r="BW136" s="422"/>
      <c r="BX136" s="422"/>
      <c r="BY136" s="422"/>
      <c r="BZ136" s="422"/>
      <c r="CA136" s="450"/>
      <c r="CB136" s="450"/>
      <c r="CC136" s="450"/>
      <c r="CD136" s="480"/>
      <c r="CE136" s="422"/>
      <c r="CF136" s="422"/>
      <c r="CG136" s="456"/>
      <c r="CH136" s="456"/>
      <c r="CI136" s="456"/>
      <c r="CJ136" s="456"/>
      <c r="CK136" s="422"/>
      <c r="CL136" s="422"/>
      <c r="CM136" s="422"/>
      <c r="CN136" s="422"/>
      <c r="CO136" s="422"/>
      <c r="CP136" s="422"/>
      <c r="CQ136" s="422"/>
      <c r="CR136" s="422"/>
      <c r="CS136" s="422"/>
      <c r="CT136" s="422"/>
      <c r="CU136" s="422"/>
      <c r="CV136" s="450"/>
      <c r="CW136" s="450"/>
      <c r="CX136" s="475"/>
      <c r="CY136" s="475"/>
      <c r="CZ136" s="422"/>
      <c r="DA136" s="422"/>
      <c r="DB136" s="422"/>
      <c r="DC136" s="422"/>
      <c r="DD136" s="422"/>
      <c r="DE136" s="422"/>
      <c r="DF136" s="422"/>
      <c r="DG136" s="17"/>
      <c r="DH136" s="17"/>
      <c r="DI136" s="17"/>
      <c r="DJ136" s="17"/>
      <c r="DK136" s="17"/>
      <c r="DL136" s="16"/>
      <c r="DM136" s="16"/>
      <c r="DN136" s="16"/>
      <c r="DO136" s="16"/>
      <c r="DP136" s="16"/>
      <c r="DQ136" s="16"/>
      <c r="DR136" s="16"/>
      <c r="DS136" s="16"/>
      <c r="DT136" s="16"/>
      <c r="DU136" s="16"/>
      <c r="DV136" s="16"/>
      <c r="DW136" s="16"/>
      <c r="DX136" s="16"/>
      <c r="DY136" s="16"/>
      <c r="DZ136" s="16"/>
      <c r="EA136" s="16"/>
      <c r="EB136" s="16"/>
      <c r="EC136" s="16"/>
      <c r="ED136" s="17"/>
      <c r="EE136" s="17"/>
      <c r="EF136" s="17"/>
      <c r="EG136" s="17"/>
      <c r="EH136" s="17"/>
      <c r="EI136" s="17"/>
      <c r="EJ136" s="17"/>
      <c r="EK136" s="17"/>
    </row>
    <row r="137" spans="1:150" ht="15.75" customHeight="1" x14ac:dyDescent="0.2">
      <c r="A137" s="744"/>
      <c r="B137" s="744"/>
      <c r="C137" s="2676"/>
      <c r="D137" s="2677"/>
      <c r="E137" s="771"/>
      <c r="F137" s="771"/>
      <c r="G137" s="771"/>
      <c r="H137" s="772"/>
      <c r="I137" s="771"/>
      <c r="J137" s="773"/>
      <c r="K137" s="2477"/>
      <c r="L137" s="2478"/>
      <c r="M137" s="774"/>
      <c r="N137" s="4"/>
      <c r="Q137" s="556">
        <f t="shared" ref="Q137:Q155" si="151">+E137*F137/100*G137/100*H137/1000</f>
        <v>0</v>
      </c>
      <c r="R137" s="558">
        <f>+Q137*I137/100</f>
        <v>0</v>
      </c>
      <c r="S137" s="557">
        <f t="shared" ref="S137:S155" si="152">+E137*F137/100</f>
        <v>0</v>
      </c>
      <c r="T137" s="557">
        <f t="shared" ref="T137:T155" si="153">+E137-S137</f>
        <v>0</v>
      </c>
      <c r="U137" s="558">
        <f>+J137*$E137/1000</f>
        <v>0</v>
      </c>
      <c r="V137" s="558">
        <f t="shared" ref="V137:V155" si="154">+K137*$E137/1000</f>
        <v>0</v>
      </c>
      <c r="W137" s="559">
        <f t="shared" ref="W137:W155" si="155">+M137*$E137/1000</f>
        <v>0</v>
      </c>
      <c r="X137" s="562"/>
      <c r="Y137" s="562">
        <f t="shared" ref="Y137:Y155" si="156">+E137*F137/100*G137/100</f>
        <v>0</v>
      </c>
      <c r="Z137" s="560">
        <f t="shared" ref="Z137:Z155" si="157">IF(E137=0,0,Y137*H137/E137)</f>
        <v>0</v>
      </c>
      <c r="AA137" s="560">
        <f t="shared" ref="AA137:AA155" si="158">E137*Z137*I137/100/22.26*0.01605</f>
        <v>0</v>
      </c>
      <c r="AB137" s="562">
        <f t="shared" ref="AB137:AB155" si="159">E137*Z137*(1-I137/100)/22.26*0.04401</f>
        <v>0</v>
      </c>
      <c r="AC137" s="562">
        <f>+AA137+AB137</f>
        <v>0</v>
      </c>
      <c r="AD137" s="411">
        <f>+H137/887*100</f>
        <v>0</v>
      </c>
      <c r="AE137" s="411">
        <f>15.44*AD137/100</f>
        <v>0</v>
      </c>
      <c r="AF137" s="562">
        <f>+AC137-AG137</f>
        <v>0</v>
      </c>
      <c r="AG137" s="562">
        <f>+AC137*AE137/100</f>
        <v>0</v>
      </c>
      <c r="AH137" s="562" t="e">
        <f t="shared" ref="AH137:AH155" si="160">+(E137*F137/100-AF137)/(E137-AC137)*100</f>
        <v>#DIV/0!</v>
      </c>
      <c r="AJ137" s="562"/>
      <c r="AK137" s="562"/>
      <c r="AL137" s="1288">
        <f>IF($AW137=1,S137,0)</f>
        <v>0</v>
      </c>
      <c r="AM137" s="1288">
        <f t="shared" ref="AM137:AP137" si="161">IF($AW137=1,T137,0)</f>
        <v>0</v>
      </c>
      <c r="AN137" s="1288">
        <f t="shared" si="161"/>
        <v>0</v>
      </c>
      <c r="AO137" s="1288">
        <f t="shared" si="161"/>
        <v>0</v>
      </c>
      <c r="AP137" s="1288">
        <f t="shared" si="161"/>
        <v>0</v>
      </c>
      <c r="AQ137" s="1288">
        <f>+S137-AL137</f>
        <v>0</v>
      </c>
      <c r="AR137" s="1288">
        <f>+T137-AM137</f>
        <v>0</v>
      </c>
      <c r="AS137" s="1288">
        <f>+U137-AN137</f>
        <v>0</v>
      </c>
      <c r="AT137" s="1288">
        <f>+V137-AO137</f>
        <v>0</v>
      </c>
      <c r="AU137" s="1288">
        <f>+W137-AP137</f>
        <v>0</v>
      </c>
      <c r="AV137" s="1278"/>
      <c r="AW137" s="1273">
        <f>IF(AY137=1,2,IF(AY137=2,3,IF(AY137=3,4,IF(AY137=4,5,1))))</f>
        <v>1</v>
      </c>
      <c r="AX137" s="2204" cm="1">
        <f t="array" ref="AX137">INDEX(Pflanzen!$B$5:$B$117,BR137)</f>
        <v>1</v>
      </c>
      <c r="AY137" s="1261" cm="1">
        <f t="array" ref="AY137">INDEX(Pflanzen!$E$5:$E$119,AX137)</f>
        <v>0</v>
      </c>
      <c r="AZ137" s="422"/>
      <c r="BA137" s="422"/>
      <c r="BB137" s="422"/>
      <c r="BC137" s="422"/>
      <c r="BD137" s="422"/>
      <c r="BE137" s="475"/>
      <c r="BF137" s="1275"/>
      <c r="BG137" s="480"/>
      <c r="BH137" s="480"/>
      <c r="BI137" s="475">
        <f t="shared" ref="BI137:BI155" si="162">IF(AW137=1,100,IF(F137&gt;15,100,40))</f>
        <v>100</v>
      </c>
      <c r="BJ137" s="475">
        <f t="shared" ref="BJ137:BJ155" si="163">+BI137*E137</f>
        <v>0</v>
      </c>
      <c r="BK137" s="475"/>
      <c r="BL137" s="1074"/>
      <c r="BM137" s="422">
        <f>IF(AW137=4,0.7,IF(AW137=3,0.7,IF(AW137=2,0.6,0.55)))</f>
        <v>0.55000000000000004</v>
      </c>
      <c r="BN137" s="422">
        <f>IF(AW137=4,0.7,IF(AW137=3,0.55,IF(AW137=2,0.55,0.55)))</f>
        <v>0.55000000000000004</v>
      </c>
      <c r="BO137" s="422">
        <f t="shared" ref="BO137:BO155" si="164">IF(F137&lt;=15,BM137,BN137)</f>
        <v>0.55000000000000004</v>
      </c>
      <c r="BP137" s="484">
        <f t="shared" ref="BP137:BP155" si="165">+BO137*U137</f>
        <v>0</v>
      </c>
      <c r="BQ137" s="422"/>
      <c r="BR137" s="422">
        <v>1</v>
      </c>
      <c r="BS137" s="422"/>
      <c r="BT137" s="422"/>
      <c r="BU137" s="422"/>
      <c r="BV137" s="422"/>
      <c r="BW137" s="422"/>
      <c r="BX137" s="422"/>
      <c r="BY137" s="422"/>
      <c r="BZ137" s="422"/>
      <c r="CA137" s="450"/>
      <c r="CB137" s="450"/>
      <c r="CC137" s="450"/>
      <c r="CD137" s="480"/>
      <c r="CE137" s="422"/>
      <c r="CF137" s="422"/>
      <c r="CG137" s="456"/>
      <c r="CH137" s="456"/>
      <c r="CI137" s="456"/>
      <c r="CJ137" s="456"/>
      <c r="CK137" s="422"/>
      <c r="CL137" s="422"/>
      <c r="CM137" s="422"/>
      <c r="CN137" s="422"/>
      <c r="CO137" s="422"/>
      <c r="CP137" s="422"/>
      <c r="CQ137" s="422"/>
      <c r="CR137" s="422"/>
      <c r="CS137" s="422"/>
      <c r="CT137" s="422"/>
      <c r="CU137" s="422"/>
      <c r="CV137" s="450"/>
      <c r="CW137" s="450"/>
      <c r="CX137" s="475"/>
      <c r="CY137" s="475"/>
      <c r="CZ137" s="422"/>
      <c r="DA137" s="422"/>
      <c r="DB137" s="422"/>
      <c r="DC137" s="422"/>
      <c r="DD137" s="422"/>
      <c r="DE137" s="422"/>
      <c r="DF137" s="422"/>
      <c r="DG137" s="17"/>
      <c r="DH137" s="17"/>
      <c r="DI137" s="17"/>
      <c r="DJ137" s="17"/>
      <c r="DK137" s="17"/>
      <c r="DL137" s="16"/>
      <c r="DM137" s="16"/>
      <c r="DN137" s="16"/>
      <c r="DO137" s="16"/>
      <c r="DP137" s="16"/>
      <c r="DQ137" s="16"/>
      <c r="DR137" s="16"/>
      <c r="DS137" s="16"/>
      <c r="DT137" s="16"/>
      <c r="DU137" s="16"/>
      <c r="DV137" s="16"/>
      <c r="DW137" s="16"/>
      <c r="DX137" s="16"/>
      <c r="DY137" s="16"/>
      <c r="DZ137" s="16"/>
      <c r="EA137" s="16"/>
      <c r="EB137" s="16"/>
      <c r="EC137" s="16"/>
      <c r="ED137" s="17"/>
      <c r="EE137" s="17"/>
      <c r="EF137" s="17"/>
      <c r="EG137" s="17"/>
      <c r="EH137" s="17"/>
      <c r="EI137" s="17"/>
      <c r="EJ137" s="17"/>
      <c r="EK137" s="17"/>
    </row>
    <row r="138" spans="1:150" ht="15.75" customHeight="1" x14ac:dyDescent="0.2">
      <c r="A138" s="748"/>
      <c r="B138" s="748"/>
      <c r="C138" s="2481"/>
      <c r="D138" s="2482"/>
      <c r="E138" s="762"/>
      <c r="F138" s="762"/>
      <c r="G138" s="762"/>
      <c r="H138" s="763"/>
      <c r="I138" s="762"/>
      <c r="J138" s="764"/>
      <c r="K138" s="2470"/>
      <c r="L138" s="2471"/>
      <c r="M138" s="766"/>
      <c r="N138" s="4"/>
      <c r="Q138" s="556">
        <f t="shared" si="151"/>
        <v>0</v>
      </c>
      <c r="R138" s="558">
        <f t="shared" ref="R138:R155" si="166">+Q138*I138/100</f>
        <v>0</v>
      </c>
      <c r="S138" s="557">
        <f t="shared" si="152"/>
        <v>0</v>
      </c>
      <c r="T138" s="557">
        <f t="shared" si="153"/>
        <v>0</v>
      </c>
      <c r="U138" s="558">
        <f t="shared" ref="U138:U155" si="167">+J138*$E138/1000</f>
        <v>0</v>
      </c>
      <c r="V138" s="558">
        <f t="shared" si="154"/>
        <v>0</v>
      </c>
      <c r="W138" s="559">
        <f t="shared" si="155"/>
        <v>0</v>
      </c>
      <c r="X138" s="562"/>
      <c r="Y138" s="562">
        <f t="shared" si="156"/>
        <v>0</v>
      </c>
      <c r="Z138" s="560">
        <f t="shared" si="157"/>
        <v>0</v>
      </c>
      <c r="AA138" s="560">
        <f t="shared" si="158"/>
        <v>0</v>
      </c>
      <c r="AB138" s="562">
        <f t="shared" si="159"/>
        <v>0</v>
      </c>
      <c r="AC138" s="562">
        <f t="shared" ref="AC138:AC155" si="168">+AA138+AB138</f>
        <v>0</v>
      </c>
      <c r="AD138" s="411">
        <f t="shared" ref="AD138:AD155" si="169">+H138/887*100</f>
        <v>0</v>
      </c>
      <c r="AE138" s="411">
        <f t="shared" ref="AE138:AE155" si="170">15.44*AD138/100</f>
        <v>0</v>
      </c>
      <c r="AF138" s="562">
        <f t="shared" ref="AF138:AF155" si="171">+AC138-AG138</f>
        <v>0</v>
      </c>
      <c r="AG138" s="562">
        <f t="shared" ref="AG138:AG155" si="172">+AC138*AE138/100</f>
        <v>0</v>
      </c>
      <c r="AH138" s="562" t="e">
        <f t="shared" si="160"/>
        <v>#DIV/0!</v>
      </c>
      <c r="AJ138" s="562"/>
      <c r="AK138" s="562"/>
      <c r="AL138" s="1288">
        <f t="shared" ref="AL138:AL155" si="173">IF($AW138=1,S138,0)</f>
        <v>0</v>
      </c>
      <c r="AM138" s="1288">
        <f t="shared" ref="AM138:AM155" si="174">IF($AW138=1,T138,0)</f>
        <v>0</v>
      </c>
      <c r="AN138" s="1288">
        <f t="shared" ref="AN138:AN155" si="175">IF($AW138=1,U138,0)</f>
        <v>0</v>
      </c>
      <c r="AO138" s="1288">
        <f t="shared" ref="AO138:AO155" si="176">IF($AW138=1,V138,0)</f>
        <v>0</v>
      </c>
      <c r="AP138" s="1288">
        <f t="shared" ref="AP138:AP155" si="177">IF($AW138=1,W138,0)</f>
        <v>0</v>
      </c>
      <c r="AQ138" s="1288">
        <f t="shared" ref="AQ138:AQ155" si="178">+S138-AL138</f>
        <v>0</v>
      </c>
      <c r="AR138" s="1288">
        <f t="shared" ref="AR138:AR155" si="179">+T138-AM138</f>
        <v>0</v>
      </c>
      <c r="AS138" s="1288">
        <f t="shared" ref="AS138:AS155" si="180">+U138-AN138</f>
        <v>0</v>
      </c>
      <c r="AT138" s="1288">
        <f t="shared" ref="AT138:AT155" si="181">+V138-AO138</f>
        <v>0</v>
      </c>
      <c r="AU138" s="1288">
        <f t="shared" ref="AU138:AU155" si="182">+W138-AP138</f>
        <v>0</v>
      </c>
      <c r="AV138" s="1278"/>
      <c r="AW138" s="1273">
        <f t="shared" ref="AW138:AW155" si="183">IF(AY138=1,2,IF(AY138=2,3,IF(AY138=3,4,IF(AY138=4,5,1))))</f>
        <v>1</v>
      </c>
      <c r="AX138" s="2204" cm="1">
        <f t="array" ref="AX138">INDEX(Pflanzen!$B$5:$B$117,BR138)</f>
        <v>1</v>
      </c>
      <c r="AY138" s="2204" cm="1">
        <f t="array" ref="AY138">INDEX(Pflanzen!$E$5:$E$119,AX138)</f>
        <v>0</v>
      </c>
      <c r="AZ138" s="422"/>
      <c r="BA138" s="422"/>
      <c r="BB138" s="422"/>
      <c r="BC138" s="422"/>
      <c r="BD138" s="422"/>
      <c r="BE138" s="475"/>
      <c r="BF138" s="1275"/>
      <c r="BG138" s="480"/>
      <c r="BH138" s="480"/>
      <c r="BI138" s="475">
        <f>IF(AW138=1,100,IF(F138&gt;15,100,40))</f>
        <v>100</v>
      </c>
      <c r="BJ138" s="475">
        <f>+BI138*E138</f>
        <v>0</v>
      </c>
      <c r="BK138" s="475"/>
      <c r="BL138" s="1074"/>
      <c r="BM138" s="422">
        <f t="shared" ref="BM138:BM155" si="184">IF(AW138=4,0.7,IF(AW138=3,0.7,IF(AW138=2,0.6,0.55)))</f>
        <v>0.55000000000000004</v>
      </c>
      <c r="BN138" s="422">
        <f t="shared" ref="BN138:BN155" si="185">IF(AW138=4,0.7,IF(AW138=3,0.55,IF(AW138=2,0.55,0.55)))</f>
        <v>0.55000000000000004</v>
      </c>
      <c r="BO138" s="422">
        <f t="shared" si="164"/>
        <v>0.55000000000000004</v>
      </c>
      <c r="BP138" s="484">
        <f t="shared" si="165"/>
        <v>0</v>
      </c>
      <c r="BQ138" s="422"/>
      <c r="BR138" s="2204">
        <v>1</v>
      </c>
      <c r="BS138" s="422"/>
      <c r="BT138" s="422"/>
      <c r="BU138" s="422"/>
      <c r="BV138" s="422"/>
      <c r="BW138" s="422"/>
      <c r="BX138" s="422"/>
      <c r="BY138" s="422"/>
      <c r="BZ138" s="422"/>
      <c r="CA138" s="450"/>
      <c r="CB138" s="450"/>
      <c r="CC138" s="450"/>
      <c r="CD138" s="480"/>
      <c r="CE138" s="422"/>
      <c r="CF138" s="422"/>
      <c r="CG138" s="456"/>
      <c r="CH138" s="456"/>
      <c r="CI138" s="456"/>
      <c r="CJ138" s="456"/>
      <c r="CK138" s="422"/>
      <c r="CL138" s="422"/>
      <c r="CM138" s="422"/>
      <c r="CN138" s="422"/>
      <c r="CO138" s="422"/>
      <c r="CP138" s="422"/>
      <c r="CQ138" s="422"/>
      <c r="CR138" s="422"/>
      <c r="CS138" s="422"/>
      <c r="CT138" s="422"/>
      <c r="CU138" s="422"/>
      <c r="CV138" s="450"/>
      <c r="CW138" s="450"/>
      <c r="CX138" s="475"/>
      <c r="CY138" s="475"/>
      <c r="CZ138" s="422"/>
      <c r="DA138" s="422"/>
      <c r="DB138" s="422"/>
      <c r="DC138" s="422"/>
      <c r="DD138" s="422"/>
      <c r="DE138" s="422"/>
      <c r="DF138" s="422"/>
      <c r="DG138" s="17"/>
      <c r="DH138" s="17"/>
      <c r="DI138" s="17"/>
      <c r="DJ138" s="17"/>
      <c r="DK138" s="17"/>
      <c r="DL138" s="16"/>
      <c r="DM138" s="16"/>
      <c r="DN138" s="16"/>
      <c r="DO138" s="16"/>
      <c r="DP138" s="16"/>
      <c r="DQ138" s="16"/>
      <c r="DR138" s="16"/>
      <c r="DS138" s="16"/>
      <c r="DT138" s="16"/>
      <c r="DU138" s="16"/>
      <c r="DV138" s="16"/>
      <c r="DW138" s="16"/>
      <c r="DX138" s="16"/>
      <c r="DY138" s="16"/>
      <c r="DZ138" s="16"/>
      <c r="EA138" s="16"/>
      <c r="EB138" s="16"/>
      <c r="EC138" s="16"/>
      <c r="ED138" s="17"/>
      <c r="EE138" s="17"/>
      <c r="EF138" s="17"/>
      <c r="EG138" s="17"/>
      <c r="EH138" s="17"/>
      <c r="EI138" s="17"/>
      <c r="EJ138" s="17"/>
      <c r="EK138" s="17"/>
    </row>
    <row r="139" spans="1:150" ht="15.75" customHeight="1" x14ac:dyDescent="0.2">
      <c r="A139" s="748"/>
      <c r="B139" s="748"/>
      <c r="C139" s="2481"/>
      <c r="D139" s="2482"/>
      <c r="E139" s="762"/>
      <c r="F139" s="762"/>
      <c r="G139" s="762"/>
      <c r="H139" s="1972"/>
      <c r="I139" s="762"/>
      <c r="J139" s="1974"/>
      <c r="K139" s="2470"/>
      <c r="L139" s="2471"/>
      <c r="M139" s="766"/>
      <c r="N139" s="4"/>
      <c r="Q139" s="556">
        <f t="shared" si="151"/>
        <v>0</v>
      </c>
      <c r="R139" s="558">
        <f t="shared" si="166"/>
        <v>0</v>
      </c>
      <c r="S139" s="557">
        <f t="shared" si="152"/>
        <v>0</v>
      </c>
      <c r="T139" s="557">
        <f t="shared" si="153"/>
        <v>0</v>
      </c>
      <c r="U139" s="558">
        <f t="shared" si="167"/>
        <v>0</v>
      </c>
      <c r="V139" s="558">
        <f t="shared" si="154"/>
        <v>0</v>
      </c>
      <c r="W139" s="559">
        <f t="shared" si="155"/>
        <v>0</v>
      </c>
      <c r="X139" s="562"/>
      <c r="Y139" s="562">
        <f t="shared" si="156"/>
        <v>0</v>
      </c>
      <c r="Z139" s="560">
        <f t="shared" si="157"/>
        <v>0</v>
      </c>
      <c r="AA139" s="560">
        <f t="shared" si="158"/>
        <v>0</v>
      </c>
      <c r="AB139" s="562">
        <f t="shared" si="159"/>
        <v>0</v>
      </c>
      <c r="AC139" s="562">
        <f t="shared" si="168"/>
        <v>0</v>
      </c>
      <c r="AD139" s="411">
        <f t="shared" si="169"/>
        <v>0</v>
      </c>
      <c r="AE139" s="411">
        <f t="shared" si="170"/>
        <v>0</v>
      </c>
      <c r="AF139" s="562">
        <f t="shared" si="171"/>
        <v>0</v>
      </c>
      <c r="AG139" s="562">
        <f t="shared" si="172"/>
        <v>0</v>
      </c>
      <c r="AH139" s="562" t="e">
        <f t="shared" si="160"/>
        <v>#DIV/0!</v>
      </c>
      <c r="AJ139" s="562"/>
      <c r="AK139" s="562"/>
      <c r="AL139" s="1288">
        <f t="shared" si="173"/>
        <v>0</v>
      </c>
      <c r="AM139" s="1288">
        <f t="shared" si="174"/>
        <v>0</v>
      </c>
      <c r="AN139" s="1288">
        <f t="shared" si="175"/>
        <v>0</v>
      </c>
      <c r="AO139" s="1288">
        <f t="shared" si="176"/>
        <v>0</v>
      </c>
      <c r="AP139" s="1288">
        <f t="shared" si="177"/>
        <v>0</v>
      </c>
      <c r="AQ139" s="1288">
        <f t="shared" si="178"/>
        <v>0</v>
      </c>
      <c r="AR139" s="1288">
        <f t="shared" si="179"/>
        <v>0</v>
      </c>
      <c r="AS139" s="1288">
        <f t="shared" si="180"/>
        <v>0</v>
      </c>
      <c r="AT139" s="1288">
        <f t="shared" si="181"/>
        <v>0</v>
      </c>
      <c r="AU139" s="1288">
        <f t="shared" si="182"/>
        <v>0</v>
      </c>
      <c r="AV139" s="1278"/>
      <c r="AW139" s="1273">
        <f t="shared" si="183"/>
        <v>1</v>
      </c>
      <c r="AX139" s="2204" cm="1">
        <f t="array" ref="AX139">INDEX(Pflanzen!$B$5:$B$117,BR139)</f>
        <v>1</v>
      </c>
      <c r="AY139" s="2204" cm="1">
        <f t="array" ref="AY139">INDEX(Pflanzen!$E$5:$E$119,AX139)</f>
        <v>0</v>
      </c>
      <c r="AZ139" s="422"/>
      <c r="BA139" s="422"/>
      <c r="BB139" s="422"/>
      <c r="BC139" s="422"/>
      <c r="BD139" s="422"/>
      <c r="BE139" s="475"/>
      <c r="BF139" s="1275"/>
      <c r="BG139" s="480"/>
      <c r="BH139" s="480"/>
      <c r="BI139" s="475">
        <f t="shared" si="162"/>
        <v>100</v>
      </c>
      <c r="BJ139" s="475">
        <f t="shared" si="163"/>
        <v>0</v>
      </c>
      <c r="BK139" s="475"/>
      <c r="BL139" s="1074"/>
      <c r="BM139" s="422">
        <f t="shared" si="184"/>
        <v>0.55000000000000004</v>
      </c>
      <c r="BN139" s="422">
        <f t="shared" si="185"/>
        <v>0.55000000000000004</v>
      </c>
      <c r="BO139" s="422">
        <f t="shared" si="164"/>
        <v>0.55000000000000004</v>
      </c>
      <c r="BP139" s="484">
        <f t="shared" si="165"/>
        <v>0</v>
      </c>
      <c r="BQ139" s="422"/>
      <c r="BR139" s="2204">
        <v>1</v>
      </c>
      <c r="BS139" s="422"/>
      <c r="BT139" s="422"/>
      <c r="BU139" s="422"/>
      <c r="BV139" s="422"/>
      <c r="BW139" s="422"/>
      <c r="BX139" s="422"/>
      <c r="BY139" s="422"/>
      <c r="BZ139" s="422"/>
      <c r="CA139" s="450"/>
      <c r="CB139" s="450"/>
      <c r="CC139" s="450"/>
      <c r="CD139" s="480"/>
      <c r="CE139" s="422"/>
      <c r="CF139" s="422"/>
      <c r="CG139" s="456"/>
      <c r="CH139" s="456"/>
      <c r="CI139" s="456"/>
      <c r="CJ139" s="456"/>
      <c r="CK139" s="422"/>
      <c r="CL139" s="422"/>
      <c r="CM139" s="422"/>
      <c r="CN139" s="422"/>
      <c r="CO139" s="422"/>
      <c r="CP139" s="422"/>
      <c r="CQ139" s="422"/>
      <c r="CR139" s="422"/>
      <c r="CS139" s="422"/>
      <c r="CT139" s="422"/>
      <c r="CU139" s="422"/>
      <c r="CV139" s="450"/>
      <c r="CW139" s="450"/>
      <c r="CX139" s="475"/>
      <c r="CY139" s="475"/>
      <c r="CZ139" s="422"/>
      <c r="DA139" s="422"/>
      <c r="DB139" s="422"/>
      <c r="DC139" s="422"/>
      <c r="DD139" s="422"/>
      <c r="DE139" s="422"/>
      <c r="DF139" s="422"/>
      <c r="DG139" s="17"/>
      <c r="DH139" s="17"/>
      <c r="DI139" s="17"/>
      <c r="DJ139" s="17"/>
      <c r="DK139" s="17"/>
      <c r="DL139" s="16"/>
      <c r="DM139" s="16"/>
      <c r="DN139" s="16"/>
      <c r="DO139" s="16"/>
      <c r="DP139" s="16"/>
      <c r="DQ139" s="16"/>
      <c r="DR139" s="16"/>
      <c r="DS139" s="16"/>
      <c r="DT139" s="16"/>
      <c r="DU139" s="16"/>
      <c r="DV139" s="16"/>
      <c r="DW139" s="16"/>
      <c r="DX139" s="16"/>
      <c r="DY139" s="16"/>
      <c r="DZ139" s="16"/>
      <c r="EA139" s="16"/>
      <c r="EB139" s="16"/>
      <c r="EC139" s="16"/>
      <c r="ED139" s="17"/>
      <c r="EE139" s="17"/>
      <c r="EF139" s="17"/>
      <c r="EG139" s="17"/>
      <c r="EH139" s="17"/>
      <c r="EI139" s="17"/>
      <c r="EJ139" s="17"/>
      <c r="EK139" s="17"/>
    </row>
    <row r="140" spans="1:150" ht="15.75" customHeight="1" x14ac:dyDescent="0.2">
      <c r="A140" s="748"/>
      <c r="B140" s="748"/>
      <c r="C140" s="2481"/>
      <c r="D140" s="2482"/>
      <c r="E140" s="762"/>
      <c r="F140" s="762"/>
      <c r="G140" s="762"/>
      <c r="H140" s="763"/>
      <c r="I140" s="762"/>
      <c r="J140" s="764"/>
      <c r="K140" s="2470"/>
      <c r="L140" s="2471"/>
      <c r="M140" s="766"/>
      <c r="N140" s="4"/>
      <c r="Q140" s="556">
        <f t="shared" si="151"/>
        <v>0</v>
      </c>
      <c r="R140" s="558">
        <f t="shared" si="166"/>
        <v>0</v>
      </c>
      <c r="S140" s="557">
        <f t="shared" si="152"/>
        <v>0</v>
      </c>
      <c r="T140" s="557">
        <f t="shared" si="153"/>
        <v>0</v>
      </c>
      <c r="U140" s="558">
        <f t="shared" si="167"/>
        <v>0</v>
      </c>
      <c r="V140" s="558">
        <f t="shared" si="154"/>
        <v>0</v>
      </c>
      <c r="W140" s="559">
        <f t="shared" si="155"/>
        <v>0</v>
      </c>
      <c r="X140" s="562"/>
      <c r="Y140" s="562">
        <f t="shared" si="156"/>
        <v>0</v>
      </c>
      <c r="Z140" s="560">
        <f t="shared" si="157"/>
        <v>0</v>
      </c>
      <c r="AA140" s="560">
        <f t="shared" si="158"/>
        <v>0</v>
      </c>
      <c r="AB140" s="562">
        <f t="shared" si="159"/>
        <v>0</v>
      </c>
      <c r="AC140" s="562">
        <f t="shared" si="168"/>
        <v>0</v>
      </c>
      <c r="AD140" s="411">
        <f t="shared" si="169"/>
        <v>0</v>
      </c>
      <c r="AE140" s="411">
        <f t="shared" si="170"/>
        <v>0</v>
      </c>
      <c r="AF140" s="562">
        <f t="shared" si="171"/>
        <v>0</v>
      </c>
      <c r="AG140" s="562">
        <f t="shared" si="172"/>
        <v>0</v>
      </c>
      <c r="AH140" s="562" t="e">
        <f t="shared" si="160"/>
        <v>#DIV/0!</v>
      </c>
      <c r="AJ140" s="562"/>
      <c r="AK140" s="562"/>
      <c r="AL140" s="1288">
        <f t="shared" si="173"/>
        <v>0</v>
      </c>
      <c r="AM140" s="1288">
        <f t="shared" si="174"/>
        <v>0</v>
      </c>
      <c r="AN140" s="1288">
        <f t="shared" si="175"/>
        <v>0</v>
      </c>
      <c r="AO140" s="1288">
        <f t="shared" si="176"/>
        <v>0</v>
      </c>
      <c r="AP140" s="1288">
        <f t="shared" si="177"/>
        <v>0</v>
      </c>
      <c r="AQ140" s="1288">
        <f t="shared" si="178"/>
        <v>0</v>
      </c>
      <c r="AR140" s="1288">
        <f t="shared" si="179"/>
        <v>0</v>
      </c>
      <c r="AS140" s="1288">
        <f t="shared" si="180"/>
        <v>0</v>
      </c>
      <c r="AT140" s="1288">
        <f t="shared" si="181"/>
        <v>0</v>
      </c>
      <c r="AU140" s="1288">
        <f t="shared" si="182"/>
        <v>0</v>
      </c>
      <c r="AV140" s="1278"/>
      <c r="AW140" s="1273">
        <f t="shared" si="183"/>
        <v>1</v>
      </c>
      <c r="AX140" s="2204" cm="1">
        <f t="array" ref="AX140">INDEX(Pflanzen!$B$5:$B$117,BR140)</f>
        <v>1</v>
      </c>
      <c r="AY140" s="2204" cm="1">
        <f t="array" ref="AY140">INDEX(Pflanzen!$E$5:$E$119,AX140)</f>
        <v>0</v>
      </c>
      <c r="AZ140" s="422"/>
      <c r="BA140" s="422"/>
      <c r="BB140" s="422"/>
      <c r="BC140" s="422"/>
      <c r="BD140" s="422"/>
      <c r="BE140" s="475"/>
      <c r="BF140" s="1275"/>
      <c r="BG140" s="480"/>
      <c r="BH140" s="480"/>
      <c r="BI140" s="475">
        <f t="shared" si="162"/>
        <v>100</v>
      </c>
      <c r="BJ140" s="475">
        <f t="shared" si="163"/>
        <v>0</v>
      </c>
      <c r="BK140" s="475"/>
      <c r="BL140" s="1074"/>
      <c r="BM140" s="422">
        <f t="shared" si="184"/>
        <v>0.55000000000000004</v>
      </c>
      <c r="BN140" s="422">
        <f t="shared" si="185"/>
        <v>0.55000000000000004</v>
      </c>
      <c r="BO140" s="422">
        <f t="shared" si="164"/>
        <v>0.55000000000000004</v>
      </c>
      <c r="BP140" s="484">
        <f t="shared" si="165"/>
        <v>0</v>
      </c>
      <c r="BQ140" s="422"/>
      <c r="BR140" s="2204">
        <v>1</v>
      </c>
      <c r="BS140" s="422"/>
      <c r="BT140" s="422"/>
      <c r="BU140" s="422"/>
      <c r="BV140" s="422"/>
      <c r="BW140" s="422"/>
      <c r="BX140" s="422"/>
      <c r="BY140" s="422"/>
      <c r="BZ140" s="422"/>
      <c r="CA140" s="450"/>
      <c r="CB140" s="450"/>
      <c r="CC140" s="450"/>
      <c r="CD140" s="480"/>
      <c r="CE140" s="422"/>
      <c r="CF140" s="422"/>
      <c r="CG140" s="456"/>
      <c r="CH140" s="456"/>
      <c r="CI140" s="456"/>
      <c r="CJ140" s="456"/>
      <c r="CK140" s="422"/>
      <c r="CL140" s="422"/>
      <c r="CM140" s="422"/>
      <c r="CN140" s="422"/>
      <c r="CO140" s="422"/>
      <c r="CP140" s="422"/>
      <c r="CQ140" s="422"/>
      <c r="CR140" s="422"/>
      <c r="CS140" s="422"/>
      <c r="CT140" s="422"/>
      <c r="CU140" s="422"/>
      <c r="CV140" s="450"/>
      <c r="CW140" s="450"/>
      <c r="CX140" s="475"/>
      <c r="CY140" s="475"/>
      <c r="CZ140" s="422"/>
      <c r="DA140" s="422"/>
      <c r="DB140" s="422"/>
      <c r="DC140" s="422"/>
      <c r="DD140" s="422"/>
      <c r="DE140" s="422"/>
      <c r="DF140" s="422"/>
      <c r="DG140" s="17"/>
      <c r="DH140" s="17"/>
      <c r="DI140" s="17"/>
      <c r="DJ140" s="17"/>
      <c r="DK140" s="17"/>
      <c r="DL140" s="16"/>
      <c r="DM140" s="16"/>
      <c r="DN140" s="16"/>
      <c r="DO140" s="16"/>
      <c r="DP140" s="16"/>
      <c r="DQ140" s="16"/>
      <c r="DR140" s="16"/>
      <c r="DS140" s="16"/>
      <c r="DT140" s="16"/>
      <c r="DU140" s="16"/>
      <c r="DV140" s="16"/>
      <c r="DW140" s="16"/>
      <c r="DX140" s="16"/>
      <c r="DY140" s="16"/>
      <c r="DZ140" s="16"/>
      <c r="EA140" s="16"/>
      <c r="EB140" s="16"/>
      <c r="EC140" s="16"/>
      <c r="ED140" s="17"/>
      <c r="EE140" s="17"/>
      <c r="EF140" s="17"/>
      <c r="EG140" s="17"/>
      <c r="EH140" s="17"/>
      <c r="EI140" s="17"/>
      <c r="EJ140" s="17"/>
      <c r="EK140" s="17"/>
    </row>
    <row r="141" spans="1:150" ht="15.75" customHeight="1" x14ac:dyDescent="0.2">
      <c r="A141" s="748"/>
      <c r="B141" s="748"/>
      <c r="C141" s="2481"/>
      <c r="D141" s="2482"/>
      <c r="E141" s="762"/>
      <c r="F141" s="762"/>
      <c r="G141" s="762"/>
      <c r="H141" s="1972"/>
      <c r="I141" s="762"/>
      <c r="J141" s="1974"/>
      <c r="K141" s="2470"/>
      <c r="L141" s="2471"/>
      <c r="M141" s="766"/>
      <c r="N141" s="4"/>
      <c r="Q141" s="556">
        <f t="shared" si="151"/>
        <v>0</v>
      </c>
      <c r="R141" s="558">
        <f t="shared" si="166"/>
        <v>0</v>
      </c>
      <c r="S141" s="557">
        <f t="shared" si="152"/>
        <v>0</v>
      </c>
      <c r="T141" s="557">
        <f t="shared" si="153"/>
        <v>0</v>
      </c>
      <c r="U141" s="558">
        <f t="shared" si="167"/>
        <v>0</v>
      </c>
      <c r="V141" s="558">
        <f t="shared" si="154"/>
        <v>0</v>
      </c>
      <c r="W141" s="559">
        <f t="shared" si="155"/>
        <v>0</v>
      </c>
      <c r="X141" s="562"/>
      <c r="Y141" s="562">
        <f t="shared" si="156"/>
        <v>0</v>
      </c>
      <c r="Z141" s="560">
        <f t="shared" si="157"/>
        <v>0</v>
      </c>
      <c r="AA141" s="560">
        <f t="shared" si="158"/>
        <v>0</v>
      </c>
      <c r="AB141" s="562">
        <f t="shared" si="159"/>
        <v>0</v>
      </c>
      <c r="AC141" s="562">
        <f t="shared" si="168"/>
        <v>0</v>
      </c>
      <c r="AD141" s="411">
        <f t="shared" si="169"/>
        <v>0</v>
      </c>
      <c r="AE141" s="411">
        <f t="shared" si="170"/>
        <v>0</v>
      </c>
      <c r="AF141" s="562">
        <f t="shared" si="171"/>
        <v>0</v>
      </c>
      <c r="AG141" s="562">
        <f t="shared" si="172"/>
        <v>0</v>
      </c>
      <c r="AH141" s="562" t="e">
        <f t="shared" si="160"/>
        <v>#DIV/0!</v>
      </c>
      <c r="AJ141" s="562"/>
      <c r="AK141" s="562"/>
      <c r="AL141" s="1288">
        <f t="shared" si="173"/>
        <v>0</v>
      </c>
      <c r="AM141" s="1288">
        <f t="shared" si="174"/>
        <v>0</v>
      </c>
      <c r="AN141" s="1288">
        <f t="shared" si="175"/>
        <v>0</v>
      </c>
      <c r="AO141" s="1288">
        <f t="shared" si="176"/>
        <v>0</v>
      </c>
      <c r="AP141" s="1288">
        <f t="shared" si="177"/>
        <v>0</v>
      </c>
      <c r="AQ141" s="1288">
        <f t="shared" si="178"/>
        <v>0</v>
      </c>
      <c r="AR141" s="1288">
        <f t="shared" si="179"/>
        <v>0</v>
      </c>
      <c r="AS141" s="1288">
        <f t="shared" si="180"/>
        <v>0</v>
      </c>
      <c r="AT141" s="1288">
        <f t="shared" si="181"/>
        <v>0</v>
      </c>
      <c r="AU141" s="1288">
        <f t="shared" si="182"/>
        <v>0</v>
      </c>
      <c r="AV141" s="1278"/>
      <c r="AW141" s="1273">
        <f t="shared" si="183"/>
        <v>1</v>
      </c>
      <c r="AX141" s="2204" cm="1">
        <f t="array" ref="AX141">INDEX(Pflanzen!$B$5:$B$117,BR141)</f>
        <v>1</v>
      </c>
      <c r="AY141" s="2204" cm="1">
        <f t="array" ref="AY141">INDEX(Pflanzen!$E$5:$E$119,AX141)</f>
        <v>0</v>
      </c>
      <c r="AZ141" s="422"/>
      <c r="BA141" s="422"/>
      <c r="BB141" s="422"/>
      <c r="BC141" s="422"/>
      <c r="BD141" s="422"/>
      <c r="BE141" s="475"/>
      <c r="BF141" s="1275"/>
      <c r="BG141" s="480"/>
      <c r="BH141" s="480"/>
      <c r="BI141" s="475">
        <f t="shared" si="162"/>
        <v>100</v>
      </c>
      <c r="BJ141" s="475">
        <f t="shared" si="163"/>
        <v>0</v>
      </c>
      <c r="BK141" s="475"/>
      <c r="BL141" s="1074"/>
      <c r="BM141" s="422">
        <f t="shared" si="184"/>
        <v>0.55000000000000004</v>
      </c>
      <c r="BN141" s="422">
        <f t="shared" si="185"/>
        <v>0.55000000000000004</v>
      </c>
      <c r="BO141" s="422">
        <f t="shared" si="164"/>
        <v>0.55000000000000004</v>
      </c>
      <c r="BP141" s="484">
        <f t="shared" si="165"/>
        <v>0</v>
      </c>
      <c r="BQ141" s="422"/>
      <c r="BR141" s="2204">
        <v>1</v>
      </c>
      <c r="BS141" s="422"/>
      <c r="BT141" s="422"/>
      <c r="BU141" s="422"/>
      <c r="BV141" s="422"/>
      <c r="BW141" s="422"/>
      <c r="BX141" s="422"/>
      <c r="BY141" s="422"/>
      <c r="BZ141" s="422"/>
      <c r="CA141" s="450"/>
      <c r="CB141" s="450"/>
      <c r="CC141" s="450"/>
      <c r="CD141" s="480"/>
      <c r="CE141" s="422"/>
      <c r="CF141" s="422"/>
      <c r="CG141" s="456"/>
      <c r="CH141" s="456"/>
      <c r="CI141" s="456"/>
      <c r="CJ141" s="456"/>
      <c r="CK141" s="422"/>
      <c r="CL141" s="422"/>
      <c r="CM141" s="422"/>
      <c r="CN141" s="422"/>
      <c r="CO141" s="422"/>
      <c r="CP141" s="422"/>
      <c r="CQ141" s="422"/>
      <c r="CR141" s="422"/>
      <c r="CS141" s="422"/>
      <c r="CT141" s="422"/>
      <c r="CU141" s="422"/>
      <c r="CV141" s="450"/>
      <c r="CW141" s="450"/>
      <c r="CX141" s="475"/>
      <c r="CY141" s="475"/>
      <c r="CZ141" s="422"/>
      <c r="DA141" s="422"/>
      <c r="DB141" s="422"/>
      <c r="DC141" s="422"/>
      <c r="DD141" s="422"/>
      <c r="DE141" s="422"/>
      <c r="DF141" s="422"/>
      <c r="DG141" s="17"/>
      <c r="DH141" s="17"/>
      <c r="DI141" s="17"/>
      <c r="DJ141" s="17"/>
      <c r="DK141" s="17"/>
      <c r="DL141" s="16"/>
      <c r="DM141" s="16"/>
      <c r="DN141" s="16"/>
      <c r="DO141" s="16"/>
      <c r="DP141" s="16"/>
      <c r="DQ141" s="16"/>
      <c r="DR141" s="16"/>
      <c r="DS141" s="16"/>
      <c r="DT141" s="16"/>
      <c r="DU141" s="16"/>
      <c r="DV141" s="16"/>
      <c r="DW141" s="16"/>
      <c r="DX141" s="16"/>
      <c r="DY141" s="16"/>
      <c r="DZ141" s="16"/>
      <c r="EA141" s="16"/>
      <c r="EB141" s="16"/>
      <c r="EC141" s="16"/>
      <c r="ED141" s="17"/>
      <c r="EE141" s="17"/>
      <c r="EF141" s="17"/>
      <c r="EG141" s="17"/>
      <c r="EH141" s="17"/>
      <c r="EI141" s="17"/>
      <c r="EJ141" s="17"/>
      <c r="EK141" s="17"/>
    </row>
    <row r="142" spans="1:150" ht="15.75" customHeight="1" x14ac:dyDescent="0.2">
      <c r="A142" s="748"/>
      <c r="B142" s="748"/>
      <c r="C142" s="2481"/>
      <c r="D142" s="2482"/>
      <c r="E142" s="762"/>
      <c r="F142" s="762"/>
      <c r="G142" s="762"/>
      <c r="H142" s="763"/>
      <c r="I142" s="762"/>
      <c r="J142" s="764"/>
      <c r="K142" s="2470"/>
      <c r="L142" s="2471"/>
      <c r="M142" s="766"/>
      <c r="N142" s="4"/>
      <c r="Q142" s="556">
        <f t="shared" si="151"/>
        <v>0</v>
      </c>
      <c r="R142" s="558">
        <f t="shared" si="166"/>
        <v>0</v>
      </c>
      <c r="S142" s="557">
        <f t="shared" si="152"/>
        <v>0</v>
      </c>
      <c r="T142" s="557">
        <f t="shared" si="153"/>
        <v>0</v>
      </c>
      <c r="U142" s="558">
        <f t="shared" si="167"/>
        <v>0</v>
      </c>
      <c r="V142" s="558">
        <f t="shared" si="154"/>
        <v>0</v>
      </c>
      <c r="W142" s="559">
        <f t="shared" si="155"/>
        <v>0</v>
      </c>
      <c r="X142" s="562"/>
      <c r="Y142" s="562">
        <f t="shared" si="156"/>
        <v>0</v>
      </c>
      <c r="Z142" s="560">
        <f t="shared" si="157"/>
        <v>0</v>
      </c>
      <c r="AA142" s="560">
        <f t="shared" si="158"/>
        <v>0</v>
      </c>
      <c r="AB142" s="562">
        <f t="shared" si="159"/>
        <v>0</v>
      </c>
      <c r="AC142" s="562">
        <f t="shared" si="168"/>
        <v>0</v>
      </c>
      <c r="AD142" s="411">
        <f t="shared" si="169"/>
        <v>0</v>
      </c>
      <c r="AE142" s="411">
        <f t="shared" si="170"/>
        <v>0</v>
      </c>
      <c r="AF142" s="562">
        <f t="shared" si="171"/>
        <v>0</v>
      </c>
      <c r="AG142" s="562">
        <f t="shared" si="172"/>
        <v>0</v>
      </c>
      <c r="AH142" s="562" t="e">
        <f t="shared" si="160"/>
        <v>#DIV/0!</v>
      </c>
      <c r="AJ142" s="562"/>
      <c r="AK142" s="562"/>
      <c r="AL142" s="1288">
        <f t="shared" si="173"/>
        <v>0</v>
      </c>
      <c r="AM142" s="1288">
        <f t="shared" si="174"/>
        <v>0</v>
      </c>
      <c r="AN142" s="1288">
        <f t="shared" si="175"/>
        <v>0</v>
      </c>
      <c r="AO142" s="1288">
        <f t="shared" si="176"/>
        <v>0</v>
      </c>
      <c r="AP142" s="1288">
        <f t="shared" si="177"/>
        <v>0</v>
      </c>
      <c r="AQ142" s="1288">
        <f t="shared" si="178"/>
        <v>0</v>
      </c>
      <c r="AR142" s="1288">
        <f t="shared" si="179"/>
        <v>0</v>
      </c>
      <c r="AS142" s="1288">
        <f t="shared" si="180"/>
        <v>0</v>
      </c>
      <c r="AT142" s="1288">
        <f t="shared" si="181"/>
        <v>0</v>
      </c>
      <c r="AU142" s="1288">
        <f t="shared" si="182"/>
        <v>0</v>
      </c>
      <c r="AV142" s="1278"/>
      <c r="AW142" s="1273">
        <f t="shared" si="183"/>
        <v>1</v>
      </c>
      <c r="AX142" s="2204" cm="1">
        <f t="array" ref="AX142">INDEX(Pflanzen!$B$5:$B$117,BR142)</f>
        <v>1</v>
      </c>
      <c r="AY142" s="2204" cm="1">
        <f t="array" ref="AY142">INDEX(Pflanzen!$E$5:$E$119,AX142)</f>
        <v>0</v>
      </c>
      <c r="AZ142" s="422"/>
      <c r="BA142" s="422"/>
      <c r="BB142" s="422"/>
      <c r="BC142" s="422"/>
      <c r="BD142" s="422"/>
      <c r="BE142" s="475"/>
      <c r="BF142" s="1275"/>
      <c r="BG142" s="480"/>
      <c r="BH142" s="480"/>
      <c r="BI142" s="475">
        <f t="shared" si="162"/>
        <v>100</v>
      </c>
      <c r="BJ142" s="475">
        <f t="shared" si="163"/>
        <v>0</v>
      </c>
      <c r="BK142" s="475"/>
      <c r="BL142" s="1074"/>
      <c r="BM142" s="422">
        <f t="shared" si="184"/>
        <v>0.55000000000000004</v>
      </c>
      <c r="BN142" s="422">
        <f t="shared" si="185"/>
        <v>0.55000000000000004</v>
      </c>
      <c r="BO142" s="422">
        <f t="shared" si="164"/>
        <v>0.55000000000000004</v>
      </c>
      <c r="BP142" s="484">
        <f t="shared" si="165"/>
        <v>0</v>
      </c>
      <c r="BQ142" s="422"/>
      <c r="BR142" s="2204">
        <v>1</v>
      </c>
      <c r="BS142" s="422"/>
      <c r="BT142" s="422"/>
      <c r="BU142" s="422"/>
      <c r="BV142" s="422"/>
      <c r="BW142" s="422"/>
      <c r="BX142" s="422"/>
      <c r="BY142" s="422"/>
      <c r="BZ142" s="422"/>
      <c r="CA142" s="450"/>
      <c r="CB142" s="450"/>
      <c r="CC142" s="450"/>
      <c r="CD142" s="480"/>
      <c r="CE142" s="422"/>
      <c r="CF142" s="422"/>
      <c r="CG142" s="456"/>
      <c r="CH142" s="456"/>
      <c r="CI142" s="456"/>
      <c r="CJ142" s="456"/>
      <c r="CK142" s="422"/>
      <c r="CL142" s="422"/>
      <c r="CM142" s="422"/>
      <c r="CN142" s="422"/>
      <c r="CO142" s="422"/>
      <c r="CP142" s="422"/>
      <c r="CQ142" s="422"/>
      <c r="CR142" s="422"/>
      <c r="CS142" s="422"/>
      <c r="CT142" s="422"/>
      <c r="CU142" s="422"/>
      <c r="CV142" s="450"/>
      <c r="CW142" s="450"/>
      <c r="CX142" s="475"/>
      <c r="CY142" s="475"/>
      <c r="CZ142" s="422"/>
      <c r="DA142" s="422"/>
      <c r="DB142" s="422"/>
      <c r="DC142" s="422"/>
      <c r="DD142" s="422"/>
      <c r="DE142" s="422"/>
      <c r="DF142" s="422"/>
      <c r="DG142" s="17"/>
      <c r="DH142" s="17"/>
      <c r="DI142" s="17"/>
      <c r="DJ142" s="17"/>
      <c r="DK142" s="17"/>
      <c r="DL142" s="16"/>
      <c r="DM142" s="16"/>
      <c r="DN142" s="16"/>
      <c r="DO142" s="16"/>
      <c r="DP142" s="16"/>
      <c r="DQ142" s="16"/>
      <c r="DR142" s="16"/>
      <c r="DS142" s="16"/>
      <c r="DT142" s="16"/>
      <c r="DU142" s="16"/>
      <c r="DV142" s="16"/>
      <c r="DW142" s="16"/>
      <c r="DX142" s="16"/>
      <c r="DY142" s="16"/>
      <c r="DZ142" s="16"/>
      <c r="EA142" s="16"/>
      <c r="EB142" s="16"/>
      <c r="EC142" s="16"/>
      <c r="ED142" s="17"/>
      <c r="EE142" s="17"/>
      <c r="EF142" s="17"/>
      <c r="EG142" s="17"/>
      <c r="EH142" s="17"/>
      <c r="EI142" s="17"/>
      <c r="EJ142" s="17"/>
      <c r="EK142" s="17"/>
    </row>
    <row r="143" spans="1:150" ht="15.75" customHeight="1" x14ac:dyDescent="0.2">
      <c r="A143" s="748"/>
      <c r="B143" s="748"/>
      <c r="C143" s="2481"/>
      <c r="D143" s="2482"/>
      <c r="E143" s="762"/>
      <c r="F143" s="762"/>
      <c r="G143" s="762"/>
      <c r="H143" s="763"/>
      <c r="I143" s="762"/>
      <c r="J143" s="764"/>
      <c r="K143" s="2470"/>
      <c r="L143" s="2471"/>
      <c r="M143" s="766"/>
      <c r="N143" s="4"/>
      <c r="Q143" s="556">
        <f t="shared" si="151"/>
        <v>0</v>
      </c>
      <c r="R143" s="558">
        <f t="shared" si="166"/>
        <v>0</v>
      </c>
      <c r="S143" s="557">
        <f t="shared" si="152"/>
        <v>0</v>
      </c>
      <c r="T143" s="557">
        <f t="shared" si="153"/>
        <v>0</v>
      </c>
      <c r="U143" s="558">
        <f t="shared" si="167"/>
        <v>0</v>
      </c>
      <c r="V143" s="558">
        <f t="shared" si="154"/>
        <v>0</v>
      </c>
      <c r="W143" s="559">
        <f t="shared" si="155"/>
        <v>0</v>
      </c>
      <c r="X143" s="562"/>
      <c r="Y143" s="562">
        <f t="shared" si="156"/>
        <v>0</v>
      </c>
      <c r="Z143" s="560">
        <f t="shared" si="157"/>
        <v>0</v>
      </c>
      <c r="AA143" s="560">
        <f t="shared" si="158"/>
        <v>0</v>
      </c>
      <c r="AB143" s="562">
        <f t="shared" si="159"/>
        <v>0</v>
      </c>
      <c r="AC143" s="562">
        <f t="shared" si="168"/>
        <v>0</v>
      </c>
      <c r="AD143" s="411">
        <f t="shared" si="169"/>
        <v>0</v>
      </c>
      <c r="AE143" s="411">
        <f t="shared" si="170"/>
        <v>0</v>
      </c>
      <c r="AF143" s="562">
        <f t="shared" si="171"/>
        <v>0</v>
      </c>
      <c r="AG143" s="562">
        <f t="shared" si="172"/>
        <v>0</v>
      </c>
      <c r="AH143" s="562" t="e">
        <f t="shared" si="160"/>
        <v>#DIV/0!</v>
      </c>
      <c r="AJ143" s="562"/>
      <c r="AK143" s="562"/>
      <c r="AL143" s="1288">
        <f t="shared" si="173"/>
        <v>0</v>
      </c>
      <c r="AM143" s="1288">
        <f t="shared" si="174"/>
        <v>0</v>
      </c>
      <c r="AN143" s="1288">
        <f t="shared" si="175"/>
        <v>0</v>
      </c>
      <c r="AO143" s="1288">
        <f t="shared" si="176"/>
        <v>0</v>
      </c>
      <c r="AP143" s="1288">
        <f t="shared" si="177"/>
        <v>0</v>
      </c>
      <c r="AQ143" s="1288">
        <f t="shared" si="178"/>
        <v>0</v>
      </c>
      <c r="AR143" s="1288">
        <f t="shared" si="179"/>
        <v>0</v>
      </c>
      <c r="AS143" s="1288">
        <f t="shared" si="180"/>
        <v>0</v>
      </c>
      <c r="AT143" s="1288">
        <f t="shared" si="181"/>
        <v>0</v>
      </c>
      <c r="AU143" s="1288">
        <f t="shared" si="182"/>
        <v>0</v>
      </c>
      <c r="AV143" s="1278"/>
      <c r="AW143" s="1273">
        <f t="shared" si="183"/>
        <v>1</v>
      </c>
      <c r="AX143" s="2204" cm="1">
        <f t="array" ref="AX143">INDEX(Pflanzen!$B$5:$B$117,BR143)</f>
        <v>1</v>
      </c>
      <c r="AY143" s="2204" cm="1">
        <f t="array" ref="AY143">INDEX(Pflanzen!$E$5:$E$119,AX143)</f>
        <v>0</v>
      </c>
      <c r="AZ143" s="422"/>
      <c r="BA143" s="422"/>
      <c r="BB143" s="422"/>
      <c r="BC143" s="422"/>
      <c r="BD143" s="422"/>
      <c r="BE143" s="475"/>
      <c r="BF143" s="1275"/>
      <c r="BG143" s="480"/>
      <c r="BH143" s="480"/>
      <c r="BI143" s="475">
        <f t="shared" si="162"/>
        <v>100</v>
      </c>
      <c r="BJ143" s="475">
        <f t="shared" si="163"/>
        <v>0</v>
      </c>
      <c r="BK143" s="475"/>
      <c r="BL143" s="1074"/>
      <c r="BM143" s="422">
        <f t="shared" si="184"/>
        <v>0.55000000000000004</v>
      </c>
      <c r="BN143" s="422">
        <f t="shared" si="185"/>
        <v>0.55000000000000004</v>
      </c>
      <c r="BO143" s="422">
        <f t="shared" si="164"/>
        <v>0.55000000000000004</v>
      </c>
      <c r="BP143" s="484">
        <f t="shared" si="165"/>
        <v>0</v>
      </c>
      <c r="BQ143" s="422"/>
      <c r="BR143" s="2204">
        <v>1</v>
      </c>
      <c r="BS143" s="422"/>
      <c r="BT143" s="422"/>
      <c r="BU143" s="422"/>
      <c r="BV143" s="422"/>
      <c r="BW143" s="422"/>
      <c r="BX143" s="422"/>
      <c r="BY143" s="422"/>
      <c r="BZ143" s="422"/>
      <c r="CA143" s="450"/>
      <c r="CB143" s="450"/>
      <c r="CC143" s="450"/>
      <c r="CD143" s="480"/>
      <c r="CE143" s="422"/>
      <c r="CF143" s="422"/>
      <c r="CG143" s="456"/>
      <c r="CH143" s="456"/>
      <c r="CI143" s="456"/>
      <c r="CJ143" s="456"/>
      <c r="CK143" s="422"/>
      <c r="CL143" s="422"/>
      <c r="CM143" s="422"/>
      <c r="CN143" s="422"/>
      <c r="CO143" s="422"/>
      <c r="CP143" s="422"/>
      <c r="CQ143" s="422"/>
      <c r="CR143" s="422"/>
      <c r="CS143" s="422"/>
      <c r="CT143" s="422"/>
      <c r="CU143" s="422"/>
      <c r="CV143" s="450"/>
      <c r="CW143" s="450"/>
      <c r="CX143" s="475"/>
      <c r="CY143" s="475"/>
      <c r="CZ143" s="422"/>
      <c r="DA143" s="422"/>
      <c r="DB143" s="422"/>
      <c r="DC143" s="422"/>
      <c r="DD143" s="422"/>
      <c r="DE143" s="422"/>
      <c r="DF143" s="422"/>
      <c r="DG143" s="17"/>
      <c r="DH143" s="17"/>
      <c r="DI143" s="17"/>
      <c r="DJ143" s="17"/>
      <c r="DK143" s="17"/>
      <c r="DL143" s="16"/>
      <c r="DM143" s="16"/>
      <c r="DN143" s="16"/>
      <c r="DO143" s="16"/>
      <c r="DP143" s="16"/>
      <c r="DQ143" s="16"/>
      <c r="DR143" s="16"/>
      <c r="DS143" s="16"/>
      <c r="DT143" s="16"/>
      <c r="DU143" s="16"/>
      <c r="DV143" s="16"/>
      <c r="DW143" s="16"/>
      <c r="DX143" s="16"/>
      <c r="DY143" s="16"/>
      <c r="DZ143" s="16"/>
      <c r="EA143" s="16"/>
      <c r="EB143" s="16"/>
      <c r="EC143" s="16"/>
      <c r="ED143" s="17"/>
      <c r="EE143" s="17"/>
      <c r="EF143" s="17"/>
      <c r="EG143" s="17"/>
      <c r="EH143" s="17"/>
      <c r="EI143" s="17"/>
      <c r="EJ143" s="17"/>
      <c r="EK143" s="17"/>
    </row>
    <row r="144" spans="1:150" ht="15.75" customHeight="1" x14ac:dyDescent="0.2">
      <c r="A144" s="748"/>
      <c r="B144" s="748"/>
      <c r="C144" s="2481"/>
      <c r="D144" s="2482"/>
      <c r="E144" s="762"/>
      <c r="F144" s="762"/>
      <c r="G144" s="762"/>
      <c r="H144" s="763"/>
      <c r="I144" s="762"/>
      <c r="J144" s="764"/>
      <c r="K144" s="2470"/>
      <c r="L144" s="2471"/>
      <c r="M144" s="766"/>
      <c r="N144" s="4"/>
      <c r="Q144" s="556">
        <f t="shared" si="151"/>
        <v>0</v>
      </c>
      <c r="R144" s="558">
        <f t="shared" si="166"/>
        <v>0</v>
      </c>
      <c r="S144" s="557">
        <f t="shared" si="152"/>
        <v>0</v>
      </c>
      <c r="T144" s="557">
        <f t="shared" si="153"/>
        <v>0</v>
      </c>
      <c r="U144" s="558">
        <f t="shared" si="167"/>
        <v>0</v>
      </c>
      <c r="V144" s="558">
        <f t="shared" si="154"/>
        <v>0</v>
      </c>
      <c r="W144" s="559">
        <f t="shared" si="155"/>
        <v>0</v>
      </c>
      <c r="X144" s="562"/>
      <c r="Y144" s="562">
        <f t="shared" si="156"/>
        <v>0</v>
      </c>
      <c r="Z144" s="560">
        <f t="shared" si="157"/>
        <v>0</v>
      </c>
      <c r="AA144" s="560">
        <f t="shared" si="158"/>
        <v>0</v>
      </c>
      <c r="AB144" s="562">
        <f t="shared" si="159"/>
        <v>0</v>
      </c>
      <c r="AC144" s="562">
        <f t="shared" si="168"/>
        <v>0</v>
      </c>
      <c r="AD144" s="411">
        <f t="shared" si="169"/>
        <v>0</v>
      </c>
      <c r="AE144" s="411">
        <f t="shared" si="170"/>
        <v>0</v>
      </c>
      <c r="AF144" s="562">
        <f t="shared" si="171"/>
        <v>0</v>
      </c>
      <c r="AG144" s="562">
        <f t="shared" si="172"/>
        <v>0</v>
      </c>
      <c r="AH144" s="562" t="e">
        <f t="shared" si="160"/>
        <v>#DIV/0!</v>
      </c>
      <c r="AJ144" s="562"/>
      <c r="AK144" s="562"/>
      <c r="AL144" s="1288">
        <f t="shared" si="173"/>
        <v>0</v>
      </c>
      <c r="AM144" s="1288">
        <f t="shared" si="174"/>
        <v>0</v>
      </c>
      <c r="AN144" s="1288">
        <f t="shared" si="175"/>
        <v>0</v>
      </c>
      <c r="AO144" s="1288">
        <f t="shared" si="176"/>
        <v>0</v>
      </c>
      <c r="AP144" s="1288">
        <f t="shared" si="177"/>
        <v>0</v>
      </c>
      <c r="AQ144" s="1288">
        <f t="shared" si="178"/>
        <v>0</v>
      </c>
      <c r="AR144" s="1288">
        <f t="shared" si="179"/>
        <v>0</v>
      </c>
      <c r="AS144" s="1288">
        <f t="shared" si="180"/>
        <v>0</v>
      </c>
      <c r="AT144" s="1288">
        <f t="shared" si="181"/>
        <v>0</v>
      </c>
      <c r="AU144" s="1288">
        <f t="shared" si="182"/>
        <v>0</v>
      </c>
      <c r="AV144" s="1278"/>
      <c r="AW144" s="1273">
        <f t="shared" si="183"/>
        <v>1</v>
      </c>
      <c r="AX144" s="2204" cm="1">
        <f t="array" ref="AX144">INDEX(Pflanzen!$B$5:$B$117,BR144)</f>
        <v>1</v>
      </c>
      <c r="AY144" s="2204" cm="1">
        <f t="array" ref="AY144">INDEX(Pflanzen!$E$5:$E$119,AX144)</f>
        <v>0</v>
      </c>
      <c r="AZ144" s="422"/>
      <c r="BA144" s="422"/>
      <c r="BB144" s="422"/>
      <c r="BC144" s="422"/>
      <c r="BD144" s="422"/>
      <c r="BE144" s="475"/>
      <c r="BF144" s="1275"/>
      <c r="BG144" s="480"/>
      <c r="BH144" s="480"/>
      <c r="BI144" s="475">
        <f t="shared" si="162"/>
        <v>100</v>
      </c>
      <c r="BJ144" s="475">
        <f t="shared" si="163"/>
        <v>0</v>
      </c>
      <c r="BK144" s="475"/>
      <c r="BL144" s="1074"/>
      <c r="BM144" s="422">
        <f t="shared" si="184"/>
        <v>0.55000000000000004</v>
      </c>
      <c r="BN144" s="422">
        <f t="shared" si="185"/>
        <v>0.55000000000000004</v>
      </c>
      <c r="BO144" s="422">
        <f t="shared" si="164"/>
        <v>0.55000000000000004</v>
      </c>
      <c r="BP144" s="484">
        <f t="shared" si="165"/>
        <v>0</v>
      </c>
      <c r="BQ144" s="422"/>
      <c r="BR144" s="2204">
        <v>1</v>
      </c>
      <c r="BS144" s="422"/>
      <c r="BT144" s="422"/>
      <c r="BU144" s="422"/>
      <c r="BV144" s="422"/>
      <c r="BW144" s="422"/>
      <c r="BX144" s="422"/>
      <c r="BY144" s="422"/>
      <c r="BZ144" s="422"/>
      <c r="CA144" s="450"/>
      <c r="CB144" s="450"/>
      <c r="CC144" s="450"/>
      <c r="CD144" s="480"/>
      <c r="CE144" s="422"/>
      <c r="CF144" s="422"/>
      <c r="CG144" s="456"/>
      <c r="CH144" s="456"/>
      <c r="CI144" s="456"/>
      <c r="CJ144" s="456"/>
      <c r="CK144" s="422"/>
      <c r="CL144" s="422"/>
      <c r="CM144" s="422"/>
      <c r="CN144" s="422"/>
      <c r="CO144" s="422"/>
      <c r="CP144" s="422"/>
      <c r="CQ144" s="422"/>
      <c r="CR144" s="422"/>
      <c r="CS144" s="422"/>
      <c r="CT144" s="422"/>
      <c r="CU144" s="422"/>
      <c r="CV144" s="450"/>
      <c r="CW144" s="450"/>
      <c r="CX144" s="475"/>
      <c r="CY144" s="475"/>
      <c r="CZ144" s="422"/>
      <c r="DA144" s="422"/>
      <c r="DB144" s="422"/>
      <c r="DC144" s="422"/>
      <c r="DD144" s="422"/>
      <c r="DE144" s="422"/>
      <c r="DF144" s="422"/>
      <c r="DG144" s="17"/>
      <c r="DH144" s="17"/>
      <c r="DI144" s="17"/>
      <c r="DJ144" s="17"/>
      <c r="DK144" s="17"/>
      <c r="DL144" s="16"/>
      <c r="DM144" s="16"/>
      <c r="DN144" s="16"/>
      <c r="DO144" s="16"/>
      <c r="DP144" s="16"/>
      <c r="DQ144" s="16"/>
      <c r="DR144" s="16"/>
      <c r="DS144" s="16"/>
      <c r="DT144" s="16"/>
      <c r="DU144" s="16"/>
      <c r="DV144" s="16"/>
      <c r="DW144" s="16"/>
      <c r="DX144" s="16"/>
      <c r="DY144" s="16"/>
      <c r="DZ144" s="16"/>
      <c r="EA144" s="16"/>
      <c r="EB144" s="16"/>
      <c r="EC144" s="16"/>
      <c r="ED144" s="17"/>
      <c r="EE144" s="17"/>
      <c r="EF144" s="17"/>
      <c r="EG144" s="17"/>
      <c r="EH144" s="17"/>
      <c r="EI144" s="17"/>
      <c r="EJ144" s="17"/>
      <c r="EK144" s="17"/>
    </row>
    <row r="145" spans="1:141" ht="15.75" customHeight="1" x14ac:dyDescent="0.2">
      <c r="A145" s="748"/>
      <c r="B145" s="748"/>
      <c r="C145" s="2481"/>
      <c r="D145" s="2482"/>
      <c r="E145" s="762"/>
      <c r="F145" s="762"/>
      <c r="G145" s="762"/>
      <c r="H145" s="763"/>
      <c r="I145" s="762"/>
      <c r="J145" s="764"/>
      <c r="K145" s="2470"/>
      <c r="L145" s="2471"/>
      <c r="M145" s="766"/>
      <c r="N145" s="4"/>
      <c r="Q145" s="556">
        <f t="shared" si="151"/>
        <v>0</v>
      </c>
      <c r="R145" s="558">
        <f t="shared" si="166"/>
        <v>0</v>
      </c>
      <c r="S145" s="557">
        <f t="shared" si="152"/>
        <v>0</v>
      </c>
      <c r="T145" s="557">
        <f t="shared" si="153"/>
        <v>0</v>
      </c>
      <c r="U145" s="558">
        <f t="shared" si="167"/>
        <v>0</v>
      </c>
      <c r="V145" s="558">
        <f t="shared" si="154"/>
        <v>0</v>
      </c>
      <c r="W145" s="559">
        <f t="shared" si="155"/>
        <v>0</v>
      </c>
      <c r="X145" s="562"/>
      <c r="Y145" s="562">
        <f t="shared" si="156"/>
        <v>0</v>
      </c>
      <c r="Z145" s="560">
        <f t="shared" si="157"/>
        <v>0</v>
      </c>
      <c r="AA145" s="560">
        <f t="shared" si="158"/>
        <v>0</v>
      </c>
      <c r="AB145" s="562">
        <f t="shared" si="159"/>
        <v>0</v>
      </c>
      <c r="AC145" s="562">
        <f t="shared" si="168"/>
        <v>0</v>
      </c>
      <c r="AD145" s="411">
        <f t="shared" si="169"/>
        <v>0</v>
      </c>
      <c r="AE145" s="411">
        <f t="shared" si="170"/>
        <v>0</v>
      </c>
      <c r="AF145" s="562">
        <f t="shared" si="171"/>
        <v>0</v>
      </c>
      <c r="AG145" s="562">
        <f t="shared" si="172"/>
        <v>0</v>
      </c>
      <c r="AH145" s="562" t="e">
        <f t="shared" si="160"/>
        <v>#DIV/0!</v>
      </c>
      <c r="AJ145" s="562"/>
      <c r="AK145" s="562"/>
      <c r="AL145" s="1288">
        <f t="shared" si="173"/>
        <v>0</v>
      </c>
      <c r="AM145" s="1288">
        <f t="shared" si="174"/>
        <v>0</v>
      </c>
      <c r="AN145" s="1288">
        <f t="shared" si="175"/>
        <v>0</v>
      </c>
      <c r="AO145" s="1288">
        <f t="shared" si="176"/>
        <v>0</v>
      </c>
      <c r="AP145" s="1288">
        <f t="shared" si="177"/>
        <v>0</v>
      </c>
      <c r="AQ145" s="1288">
        <f t="shared" si="178"/>
        <v>0</v>
      </c>
      <c r="AR145" s="1288">
        <f t="shared" si="179"/>
        <v>0</v>
      </c>
      <c r="AS145" s="1288">
        <f t="shared" si="180"/>
        <v>0</v>
      </c>
      <c r="AT145" s="1288">
        <f t="shared" si="181"/>
        <v>0</v>
      </c>
      <c r="AU145" s="1288">
        <f t="shared" si="182"/>
        <v>0</v>
      </c>
      <c r="AV145" s="1278"/>
      <c r="AW145" s="1273">
        <f t="shared" si="183"/>
        <v>1</v>
      </c>
      <c r="AX145" s="2204" cm="1">
        <f t="array" ref="AX145">INDEX(Pflanzen!$B$5:$B$117,BR145)</f>
        <v>1</v>
      </c>
      <c r="AY145" s="2204" cm="1">
        <f t="array" ref="AY145">INDEX(Pflanzen!$E$5:$E$119,AX145)</f>
        <v>0</v>
      </c>
      <c r="AZ145" s="422"/>
      <c r="BA145" s="422"/>
      <c r="BB145" s="422"/>
      <c r="BC145" s="422"/>
      <c r="BD145" s="422"/>
      <c r="BE145" s="475"/>
      <c r="BF145" s="1275"/>
      <c r="BG145" s="480"/>
      <c r="BH145" s="480"/>
      <c r="BI145" s="475">
        <f t="shared" si="162"/>
        <v>100</v>
      </c>
      <c r="BJ145" s="475">
        <f t="shared" si="163"/>
        <v>0</v>
      </c>
      <c r="BK145" s="475"/>
      <c r="BL145" s="1074"/>
      <c r="BM145" s="422">
        <f t="shared" si="184"/>
        <v>0.55000000000000004</v>
      </c>
      <c r="BN145" s="422">
        <f t="shared" si="185"/>
        <v>0.55000000000000004</v>
      </c>
      <c r="BO145" s="422">
        <f t="shared" si="164"/>
        <v>0.55000000000000004</v>
      </c>
      <c r="BP145" s="484">
        <f t="shared" si="165"/>
        <v>0</v>
      </c>
      <c r="BQ145" s="422"/>
      <c r="BR145" s="2204">
        <v>1</v>
      </c>
      <c r="BS145" s="422"/>
      <c r="BT145" s="422"/>
      <c r="BU145" s="422"/>
      <c r="BV145" s="422"/>
      <c r="BW145" s="422"/>
      <c r="BX145" s="422"/>
      <c r="BY145" s="422"/>
      <c r="BZ145" s="422"/>
      <c r="CA145" s="450"/>
      <c r="CB145" s="450"/>
      <c r="CC145" s="450"/>
      <c r="CD145" s="480"/>
      <c r="CE145" s="422"/>
      <c r="CF145" s="422"/>
      <c r="CG145" s="456"/>
      <c r="CH145" s="456"/>
      <c r="CI145" s="456"/>
      <c r="CJ145" s="456"/>
      <c r="CK145" s="422"/>
      <c r="CL145" s="422"/>
      <c r="CM145" s="422"/>
      <c r="CN145" s="422"/>
      <c r="CO145" s="422"/>
      <c r="CP145" s="422"/>
      <c r="CQ145" s="422"/>
      <c r="CR145" s="422"/>
      <c r="CS145" s="422"/>
      <c r="CT145" s="422"/>
      <c r="CU145" s="422"/>
      <c r="CV145" s="450"/>
      <c r="CW145" s="450"/>
      <c r="CX145" s="475"/>
      <c r="CY145" s="475"/>
      <c r="CZ145" s="422"/>
      <c r="DA145" s="422"/>
      <c r="DB145" s="422"/>
      <c r="DC145" s="422"/>
      <c r="DD145" s="422"/>
      <c r="DE145" s="422"/>
      <c r="DF145" s="422"/>
      <c r="DG145" s="17"/>
      <c r="DH145" s="17"/>
      <c r="DI145" s="17"/>
      <c r="DJ145" s="17"/>
      <c r="DK145" s="17"/>
      <c r="DL145" s="16"/>
      <c r="DM145" s="16"/>
      <c r="DN145" s="16"/>
      <c r="DO145" s="16"/>
      <c r="DP145" s="16"/>
      <c r="DQ145" s="16"/>
      <c r="DR145" s="16"/>
      <c r="DS145" s="16"/>
      <c r="DT145" s="16"/>
      <c r="DU145" s="16"/>
      <c r="DV145" s="16"/>
      <c r="DW145" s="16"/>
      <c r="DX145" s="16"/>
      <c r="DY145" s="16"/>
      <c r="DZ145" s="16"/>
      <c r="EA145" s="16"/>
      <c r="EB145" s="16"/>
      <c r="EC145" s="16"/>
      <c r="ED145" s="17"/>
      <c r="EE145" s="17"/>
      <c r="EF145" s="17"/>
      <c r="EG145" s="17"/>
      <c r="EH145" s="17"/>
      <c r="EI145" s="17"/>
      <c r="EJ145" s="17"/>
      <c r="EK145" s="17"/>
    </row>
    <row r="146" spans="1:141" ht="15.75" customHeight="1" x14ac:dyDescent="0.2">
      <c r="A146" s="748"/>
      <c r="B146" s="748"/>
      <c r="C146" s="2481"/>
      <c r="D146" s="2482"/>
      <c r="E146" s="762"/>
      <c r="F146" s="762"/>
      <c r="G146" s="762"/>
      <c r="H146" s="763"/>
      <c r="I146" s="762"/>
      <c r="J146" s="764"/>
      <c r="K146" s="2470"/>
      <c r="L146" s="2471"/>
      <c r="M146" s="766"/>
      <c r="N146" s="4"/>
      <c r="Q146" s="556">
        <f t="shared" si="151"/>
        <v>0</v>
      </c>
      <c r="R146" s="558">
        <f t="shared" si="166"/>
        <v>0</v>
      </c>
      <c r="S146" s="557">
        <f t="shared" si="152"/>
        <v>0</v>
      </c>
      <c r="T146" s="557">
        <f t="shared" si="153"/>
        <v>0</v>
      </c>
      <c r="U146" s="558">
        <f t="shared" si="167"/>
        <v>0</v>
      </c>
      <c r="V146" s="558">
        <f t="shared" si="154"/>
        <v>0</v>
      </c>
      <c r="W146" s="559">
        <f t="shared" si="155"/>
        <v>0</v>
      </c>
      <c r="X146" s="562"/>
      <c r="Y146" s="562">
        <f t="shared" si="156"/>
        <v>0</v>
      </c>
      <c r="Z146" s="560">
        <f t="shared" si="157"/>
        <v>0</v>
      </c>
      <c r="AA146" s="560">
        <f t="shared" si="158"/>
        <v>0</v>
      </c>
      <c r="AB146" s="562">
        <f t="shared" si="159"/>
        <v>0</v>
      </c>
      <c r="AC146" s="562">
        <f t="shared" si="168"/>
        <v>0</v>
      </c>
      <c r="AD146" s="411">
        <f t="shared" si="169"/>
        <v>0</v>
      </c>
      <c r="AE146" s="411">
        <f t="shared" si="170"/>
        <v>0</v>
      </c>
      <c r="AF146" s="562">
        <f t="shared" si="171"/>
        <v>0</v>
      </c>
      <c r="AG146" s="562">
        <f t="shared" si="172"/>
        <v>0</v>
      </c>
      <c r="AH146" s="562" t="e">
        <f t="shared" si="160"/>
        <v>#DIV/0!</v>
      </c>
      <c r="AJ146" s="562"/>
      <c r="AK146" s="562"/>
      <c r="AL146" s="1288">
        <f t="shared" si="173"/>
        <v>0</v>
      </c>
      <c r="AM146" s="1288">
        <f t="shared" si="174"/>
        <v>0</v>
      </c>
      <c r="AN146" s="1288">
        <f t="shared" si="175"/>
        <v>0</v>
      </c>
      <c r="AO146" s="1288">
        <f t="shared" si="176"/>
        <v>0</v>
      </c>
      <c r="AP146" s="1288">
        <f t="shared" si="177"/>
        <v>0</v>
      </c>
      <c r="AQ146" s="1288">
        <f t="shared" si="178"/>
        <v>0</v>
      </c>
      <c r="AR146" s="1288">
        <f t="shared" si="179"/>
        <v>0</v>
      </c>
      <c r="AS146" s="1288">
        <f t="shared" si="180"/>
        <v>0</v>
      </c>
      <c r="AT146" s="1288">
        <f t="shared" si="181"/>
        <v>0</v>
      </c>
      <c r="AU146" s="1288">
        <f t="shared" si="182"/>
        <v>0</v>
      </c>
      <c r="AV146" s="1278"/>
      <c r="AW146" s="1273">
        <f t="shared" si="183"/>
        <v>1</v>
      </c>
      <c r="AX146" s="2204" cm="1">
        <f t="array" ref="AX146">INDEX(Pflanzen!$B$5:$B$117,BR146)</f>
        <v>1</v>
      </c>
      <c r="AY146" s="2204" cm="1">
        <f t="array" ref="AY146">INDEX(Pflanzen!$E$5:$E$119,AX146)</f>
        <v>0</v>
      </c>
      <c r="AZ146" s="422"/>
      <c r="BA146" s="422"/>
      <c r="BB146" s="422"/>
      <c r="BC146" s="422"/>
      <c r="BD146" s="422"/>
      <c r="BE146" s="475"/>
      <c r="BF146" s="1275"/>
      <c r="BG146" s="480"/>
      <c r="BH146" s="480"/>
      <c r="BI146" s="475">
        <f t="shared" si="162"/>
        <v>100</v>
      </c>
      <c r="BJ146" s="475">
        <f t="shared" si="163"/>
        <v>0</v>
      </c>
      <c r="BK146" s="475"/>
      <c r="BL146" s="1074"/>
      <c r="BM146" s="422">
        <f t="shared" si="184"/>
        <v>0.55000000000000004</v>
      </c>
      <c r="BN146" s="422">
        <f t="shared" si="185"/>
        <v>0.55000000000000004</v>
      </c>
      <c r="BO146" s="422">
        <f t="shared" si="164"/>
        <v>0.55000000000000004</v>
      </c>
      <c r="BP146" s="484">
        <f t="shared" si="165"/>
        <v>0</v>
      </c>
      <c r="BQ146" s="422"/>
      <c r="BR146" s="2204">
        <v>1</v>
      </c>
      <c r="BS146" s="422"/>
      <c r="BT146" s="422"/>
      <c r="BU146" s="422"/>
      <c r="BV146" s="422"/>
      <c r="BW146" s="422"/>
      <c r="BX146" s="422"/>
      <c r="BY146" s="422"/>
      <c r="BZ146" s="422"/>
      <c r="CA146" s="450"/>
      <c r="CB146" s="450"/>
      <c r="CC146" s="450"/>
      <c r="CD146" s="480"/>
      <c r="CE146" s="422"/>
      <c r="CF146" s="422"/>
      <c r="CG146" s="456"/>
      <c r="CH146" s="456"/>
      <c r="CI146" s="456"/>
      <c r="CJ146" s="456"/>
      <c r="CK146" s="422"/>
      <c r="CL146" s="422"/>
      <c r="CM146" s="422"/>
      <c r="CN146" s="422"/>
      <c r="CO146" s="422"/>
      <c r="CP146" s="422"/>
      <c r="CQ146" s="422"/>
      <c r="CR146" s="422"/>
      <c r="CS146" s="422"/>
      <c r="CT146" s="422"/>
      <c r="CU146" s="422"/>
      <c r="CV146" s="450"/>
      <c r="CW146" s="450"/>
      <c r="CX146" s="475"/>
      <c r="CY146" s="475"/>
      <c r="CZ146" s="422"/>
      <c r="DA146" s="422"/>
      <c r="DB146" s="422"/>
      <c r="DC146" s="422"/>
      <c r="DD146" s="422"/>
      <c r="DE146" s="422"/>
      <c r="DF146" s="422"/>
      <c r="DG146" s="17"/>
      <c r="DH146" s="17"/>
      <c r="DI146" s="17"/>
      <c r="DJ146" s="17"/>
      <c r="DK146" s="17"/>
      <c r="DL146" s="16"/>
      <c r="DM146" s="16"/>
      <c r="DN146" s="16"/>
      <c r="DO146" s="16"/>
      <c r="DP146" s="16"/>
      <c r="DQ146" s="16"/>
      <c r="DR146" s="16"/>
      <c r="DS146" s="16"/>
      <c r="DT146" s="16"/>
      <c r="DU146" s="16"/>
      <c r="DV146" s="16"/>
      <c r="DW146" s="16"/>
      <c r="DX146" s="16"/>
      <c r="DY146" s="16"/>
      <c r="DZ146" s="16"/>
      <c r="EA146" s="16"/>
      <c r="EB146" s="16"/>
      <c r="EC146" s="16"/>
      <c r="ED146" s="17"/>
      <c r="EE146" s="17"/>
      <c r="EF146" s="17"/>
      <c r="EG146" s="17"/>
      <c r="EH146" s="17"/>
      <c r="EI146" s="17"/>
      <c r="EJ146" s="17"/>
      <c r="EK146" s="17"/>
    </row>
    <row r="147" spans="1:141" ht="15.75" customHeight="1" x14ac:dyDescent="0.2">
      <c r="A147" s="748"/>
      <c r="B147" s="748"/>
      <c r="C147" s="2481"/>
      <c r="D147" s="2482"/>
      <c r="E147" s="762"/>
      <c r="F147" s="762"/>
      <c r="G147" s="762"/>
      <c r="H147" s="763"/>
      <c r="I147" s="762"/>
      <c r="J147" s="764"/>
      <c r="K147" s="2470"/>
      <c r="L147" s="2471"/>
      <c r="M147" s="766"/>
      <c r="N147" s="4"/>
      <c r="Q147" s="556">
        <f t="shared" si="151"/>
        <v>0</v>
      </c>
      <c r="R147" s="558">
        <f t="shared" si="166"/>
        <v>0</v>
      </c>
      <c r="S147" s="557">
        <f t="shared" si="152"/>
        <v>0</v>
      </c>
      <c r="T147" s="557">
        <f t="shared" si="153"/>
        <v>0</v>
      </c>
      <c r="U147" s="558">
        <f t="shared" si="167"/>
        <v>0</v>
      </c>
      <c r="V147" s="558">
        <f t="shared" si="154"/>
        <v>0</v>
      </c>
      <c r="W147" s="559">
        <f t="shared" si="155"/>
        <v>0</v>
      </c>
      <c r="X147" s="562"/>
      <c r="Y147" s="562">
        <f t="shared" si="156"/>
        <v>0</v>
      </c>
      <c r="Z147" s="560">
        <f t="shared" si="157"/>
        <v>0</v>
      </c>
      <c r="AA147" s="560">
        <f t="shared" si="158"/>
        <v>0</v>
      </c>
      <c r="AB147" s="562">
        <f t="shared" si="159"/>
        <v>0</v>
      </c>
      <c r="AC147" s="562">
        <f t="shared" si="168"/>
        <v>0</v>
      </c>
      <c r="AD147" s="411">
        <f t="shared" si="169"/>
        <v>0</v>
      </c>
      <c r="AE147" s="411">
        <f t="shared" si="170"/>
        <v>0</v>
      </c>
      <c r="AF147" s="562">
        <f t="shared" si="171"/>
        <v>0</v>
      </c>
      <c r="AG147" s="562">
        <f t="shared" si="172"/>
        <v>0</v>
      </c>
      <c r="AH147" s="562" t="e">
        <f t="shared" si="160"/>
        <v>#DIV/0!</v>
      </c>
      <c r="AJ147" s="562"/>
      <c r="AK147" s="562"/>
      <c r="AL147" s="1288">
        <f t="shared" si="173"/>
        <v>0</v>
      </c>
      <c r="AM147" s="1288">
        <f t="shared" si="174"/>
        <v>0</v>
      </c>
      <c r="AN147" s="1288">
        <f t="shared" si="175"/>
        <v>0</v>
      </c>
      <c r="AO147" s="1288">
        <f t="shared" si="176"/>
        <v>0</v>
      </c>
      <c r="AP147" s="1288">
        <f t="shared" si="177"/>
        <v>0</v>
      </c>
      <c r="AQ147" s="1288">
        <f t="shared" si="178"/>
        <v>0</v>
      </c>
      <c r="AR147" s="1288">
        <f t="shared" si="179"/>
        <v>0</v>
      </c>
      <c r="AS147" s="1288">
        <f t="shared" si="180"/>
        <v>0</v>
      </c>
      <c r="AT147" s="1288">
        <f t="shared" si="181"/>
        <v>0</v>
      </c>
      <c r="AU147" s="1288">
        <f t="shared" si="182"/>
        <v>0</v>
      </c>
      <c r="AV147" s="1278"/>
      <c r="AW147" s="1273">
        <f t="shared" si="183"/>
        <v>1</v>
      </c>
      <c r="AX147" s="2204" cm="1">
        <f t="array" ref="AX147">INDEX(Pflanzen!$B$5:$B$117,BR147)</f>
        <v>1</v>
      </c>
      <c r="AY147" s="2204" cm="1">
        <f t="array" ref="AY147">INDEX(Pflanzen!$E$5:$E$119,AX147)</f>
        <v>0</v>
      </c>
      <c r="AZ147" s="422"/>
      <c r="BA147" s="422"/>
      <c r="BB147" s="422"/>
      <c r="BC147" s="422"/>
      <c r="BD147" s="422"/>
      <c r="BE147" s="475"/>
      <c r="BF147" s="1275"/>
      <c r="BG147" s="480"/>
      <c r="BH147" s="480"/>
      <c r="BI147" s="475">
        <f t="shared" si="162"/>
        <v>100</v>
      </c>
      <c r="BJ147" s="475">
        <f t="shared" si="163"/>
        <v>0</v>
      </c>
      <c r="BK147" s="475"/>
      <c r="BL147" s="1074"/>
      <c r="BM147" s="422">
        <f t="shared" si="184"/>
        <v>0.55000000000000004</v>
      </c>
      <c r="BN147" s="422">
        <f t="shared" si="185"/>
        <v>0.55000000000000004</v>
      </c>
      <c r="BO147" s="422">
        <f t="shared" si="164"/>
        <v>0.55000000000000004</v>
      </c>
      <c r="BP147" s="484">
        <f t="shared" si="165"/>
        <v>0</v>
      </c>
      <c r="BQ147" s="422"/>
      <c r="BR147" s="2204">
        <v>1</v>
      </c>
      <c r="BS147" s="422"/>
      <c r="BT147" s="422"/>
      <c r="BU147" s="422"/>
      <c r="BV147" s="422"/>
      <c r="BW147" s="422"/>
      <c r="BX147" s="422"/>
      <c r="BY147" s="422"/>
      <c r="BZ147" s="422"/>
      <c r="CA147" s="450"/>
      <c r="CB147" s="450"/>
      <c r="CC147" s="450"/>
      <c r="CD147" s="480"/>
      <c r="CE147" s="422"/>
      <c r="CF147" s="422"/>
      <c r="CG147" s="456"/>
      <c r="CH147" s="456"/>
      <c r="CI147" s="456"/>
      <c r="CJ147" s="456"/>
      <c r="CK147" s="422"/>
      <c r="CL147" s="422"/>
      <c r="CM147" s="422"/>
      <c r="CN147" s="422"/>
      <c r="CO147" s="422"/>
      <c r="CP147" s="422"/>
      <c r="CQ147" s="422"/>
      <c r="CR147" s="422"/>
      <c r="CS147" s="422"/>
      <c r="CT147" s="422"/>
      <c r="CU147" s="422"/>
      <c r="CV147" s="450"/>
      <c r="CW147" s="450"/>
      <c r="CX147" s="475"/>
      <c r="CY147" s="475"/>
      <c r="CZ147" s="422"/>
      <c r="DA147" s="422"/>
      <c r="DB147" s="422"/>
      <c r="DC147" s="422"/>
      <c r="DD147" s="422"/>
      <c r="DE147" s="422"/>
      <c r="DF147" s="422"/>
      <c r="DG147" s="17"/>
      <c r="DH147" s="17"/>
      <c r="DI147" s="17"/>
      <c r="DJ147" s="17"/>
      <c r="DK147" s="17"/>
      <c r="DL147" s="16"/>
      <c r="DM147" s="16"/>
      <c r="DN147" s="16"/>
      <c r="DO147" s="16"/>
      <c r="DP147" s="16"/>
      <c r="DQ147" s="16"/>
      <c r="DR147" s="16"/>
      <c r="DS147" s="16"/>
      <c r="DT147" s="16"/>
      <c r="DU147" s="16"/>
      <c r="DV147" s="16"/>
      <c r="DW147" s="16"/>
      <c r="DX147" s="16"/>
      <c r="DY147" s="16"/>
      <c r="DZ147" s="16"/>
      <c r="EA147" s="16"/>
      <c r="EB147" s="16"/>
      <c r="EC147" s="16"/>
      <c r="ED147" s="17"/>
      <c r="EE147" s="17"/>
      <c r="EF147" s="17"/>
      <c r="EG147" s="17"/>
      <c r="EH147" s="17"/>
      <c r="EI147" s="17"/>
      <c r="EJ147" s="17"/>
      <c r="EK147" s="17"/>
    </row>
    <row r="148" spans="1:141" ht="15.75" customHeight="1" x14ac:dyDescent="0.2">
      <c r="A148" s="748"/>
      <c r="B148" s="748"/>
      <c r="C148" s="2481"/>
      <c r="D148" s="2482"/>
      <c r="E148" s="762"/>
      <c r="F148" s="762"/>
      <c r="G148" s="762"/>
      <c r="H148" s="763"/>
      <c r="I148" s="762"/>
      <c r="J148" s="764"/>
      <c r="K148" s="2470"/>
      <c r="L148" s="2471"/>
      <c r="M148" s="766"/>
      <c r="N148" s="4"/>
      <c r="Q148" s="556">
        <f t="shared" si="151"/>
        <v>0</v>
      </c>
      <c r="R148" s="558">
        <f t="shared" si="166"/>
        <v>0</v>
      </c>
      <c r="S148" s="557">
        <f t="shared" si="152"/>
        <v>0</v>
      </c>
      <c r="T148" s="557">
        <f t="shared" si="153"/>
        <v>0</v>
      </c>
      <c r="U148" s="558">
        <f t="shared" si="167"/>
        <v>0</v>
      </c>
      <c r="V148" s="558">
        <f t="shared" si="154"/>
        <v>0</v>
      </c>
      <c r="W148" s="559">
        <f t="shared" si="155"/>
        <v>0</v>
      </c>
      <c r="X148" s="562"/>
      <c r="Y148" s="562">
        <f t="shared" si="156"/>
        <v>0</v>
      </c>
      <c r="Z148" s="560">
        <f t="shared" si="157"/>
        <v>0</v>
      </c>
      <c r="AA148" s="560">
        <f t="shared" si="158"/>
        <v>0</v>
      </c>
      <c r="AB148" s="562">
        <f t="shared" si="159"/>
        <v>0</v>
      </c>
      <c r="AC148" s="562">
        <f t="shared" si="168"/>
        <v>0</v>
      </c>
      <c r="AD148" s="411">
        <f t="shared" si="169"/>
        <v>0</v>
      </c>
      <c r="AE148" s="411">
        <f t="shared" si="170"/>
        <v>0</v>
      </c>
      <c r="AF148" s="562">
        <f t="shared" si="171"/>
        <v>0</v>
      </c>
      <c r="AG148" s="562">
        <f t="shared" si="172"/>
        <v>0</v>
      </c>
      <c r="AH148" s="562" t="e">
        <f t="shared" si="160"/>
        <v>#DIV/0!</v>
      </c>
      <c r="AJ148" s="562"/>
      <c r="AK148" s="562"/>
      <c r="AL148" s="1288">
        <f t="shared" si="173"/>
        <v>0</v>
      </c>
      <c r="AM148" s="1288">
        <f t="shared" si="174"/>
        <v>0</v>
      </c>
      <c r="AN148" s="1288">
        <f t="shared" si="175"/>
        <v>0</v>
      </c>
      <c r="AO148" s="1288">
        <f t="shared" si="176"/>
        <v>0</v>
      </c>
      <c r="AP148" s="1288">
        <f t="shared" si="177"/>
        <v>0</v>
      </c>
      <c r="AQ148" s="1288">
        <f t="shared" si="178"/>
        <v>0</v>
      </c>
      <c r="AR148" s="1288">
        <f t="shared" si="179"/>
        <v>0</v>
      </c>
      <c r="AS148" s="1288">
        <f t="shared" si="180"/>
        <v>0</v>
      </c>
      <c r="AT148" s="1288">
        <f t="shared" si="181"/>
        <v>0</v>
      </c>
      <c r="AU148" s="1288">
        <f t="shared" si="182"/>
        <v>0</v>
      </c>
      <c r="AV148" s="1278"/>
      <c r="AW148" s="1273">
        <f t="shared" si="183"/>
        <v>1</v>
      </c>
      <c r="AX148" s="2204" cm="1">
        <f t="array" ref="AX148">INDEX(Pflanzen!$B$5:$B$117,BR148)</f>
        <v>1</v>
      </c>
      <c r="AY148" s="2204" cm="1">
        <f t="array" ref="AY148">INDEX(Pflanzen!$E$5:$E$119,AX148)</f>
        <v>0</v>
      </c>
      <c r="AZ148" s="422"/>
      <c r="BA148" s="422"/>
      <c r="BB148" s="422"/>
      <c r="BC148" s="422"/>
      <c r="BD148" s="422"/>
      <c r="BE148" s="475"/>
      <c r="BF148" s="1275"/>
      <c r="BG148" s="480"/>
      <c r="BH148" s="480"/>
      <c r="BI148" s="475">
        <f t="shared" si="162"/>
        <v>100</v>
      </c>
      <c r="BJ148" s="475">
        <f t="shared" si="163"/>
        <v>0</v>
      </c>
      <c r="BK148" s="475"/>
      <c r="BL148" s="1074"/>
      <c r="BM148" s="422">
        <f t="shared" si="184"/>
        <v>0.55000000000000004</v>
      </c>
      <c r="BN148" s="422">
        <f t="shared" si="185"/>
        <v>0.55000000000000004</v>
      </c>
      <c r="BO148" s="422">
        <f t="shared" si="164"/>
        <v>0.55000000000000004</v>
      </c>
      <c r="BP148" s="484">
        <f t="shared" si="165"/>
        <v>0</v>
      </c>
      <c r="BQ148" s="422"/>
      <c r="BR148" s="2204">
        <v>1</v>
      </c>
      <c r="BS148" s="422"/>
      <c r="BT148" s="422"/>
      <c r="BU148" s="422"/>
      <c r="BV148" s="422"/>
      <c r="BW148" s="422"/>
      <c r="BX148" s="422"/>
      <c r="BY148" s="422"/>
      <c r="BZ148" s="422"/>
      <c r="CA148" s="450"/>
      <c r="CB148" s="450"/>
      <c r="CC148" s="450"/>
      <c r="CD148" s="480"/>
      <c r="CE148" s="422"/>
      <c r="CF148" s="422"/>
      <c r="CG148" s="456"/>
      <c r="CH148" s="456"/>
      <c r="CI148" s="456"/>
      <c r="CJ148" s="456"/>
      <c r="CK148" s="422"/>
      <c r="CL148" s="422"/>
      <c r="CM148" s="422"/>
      <c r="CN148" s="422"/>
      <c r="CO148" s="422"/>
      <c r="CP148" s="422"/>
      <c r="CQ148" s="422"/>
      <c r="CR148" s="422"/>
      <c r="CS148" s="422"/>
      <c r="CT148" s="422"/>
      <c r="CU148" s="422"/>
      <c r="CV148" s="450"/>
      <c r="CW148" s="450"/>
      <c r="CX148" s="475"/>
      <c r="CY148" s="475"/>
      <c r="CZ148" s="422"/>
      <c r="DA148" s="422"/>
      <c r="DB148" s="422"/>
      <c r="DC148" s="422"/>
      <c r="DD148" s="422"/>
      <c r="DE148" s="422"/>
      <c r="DF148" s="422"/>
      <c r="DG148" s="17"/>
      <c r="DH148" s="17"/>
      <c r="DI148" s="17"/>
      <c r="DJ148" s="17"/>
      <c r="DK148" s="17"/>
      <c r="DL148" s="16"/>
      <c r="DM148" s="16"/>
      <c r="DN148" s="16"/>
      <c r="DO148" s="16"/>
      <c r="DP148" s="16"/>
      <c r="DQ148" s="16"/>
      <c r="DR148" s="16"/>
      <c r="DS148" s="16"/>
      <c r="DT148" s="16"/>
      <c r="DU148" s="16"/>
      <c r="DV148" s="16"/>
      <c r="DW148" s="16"/>
      <c r="DX148" s="16"/>
      <c r="DY148" s="16"/>
      <c r="DZ148" s="16"/>
      <c r="EA148" s="16"/>
      <c r="EB148" s="16"/>
      <c r="EC148" s="16"/>
      <c r="ED148" s="17"/>
      <c r="EE148" s="17"/>
      <c r="EF148" s="17"/>
      <c r="EG148" s="17"/>
      <c r="EH148" s="17"/>
      <c r="EI148" s="17"/>
      <c r="EJ148" s="17"/>
      <c r="EK148" s="17"/>
    </row>
    <row r="149" spans="1:141" ht="15.75" customHeight="1" x14ac:dyDescent="0.2">
      <c r="A149" s="748"/>
      <c r="B149" s="748"/>
      <c r="C149" s="2481"/>
      <c r="D149" s="2482"/>
      <c r="E149" s="762"/>
      <c r="F149" s="762"/>
      <c r="G149" s="762"/>
      <c r="H149" s="763"/>
      <c r="I149" s="762"/>
      <c r="J149" s="764"/>
      <c r="K149" s="2470"/>
      <c r="L149" s="2471"/>
      <c r="M149" s="766"/>
      <c r="N149" s="4"/>
      <c r="Q149" s="556">
        <f t="shared" si="151"/>
        <v>0</v>
      </c>
      <c r="R149" s="558">
        <f t="shared" si="166"/>
        <v>0</v>
      </c>
      <c r="S149" s="557">
        <f t="shared" si="152"/>
        <v>0</v>
      </c>
      <c r="T149" s="557">
        <f t="shared" si="153"/>
        <v>0</v>
      </c>
      <c r="U149" s="558">
        <f t="shared" si="167"/>
        <v>0</v>
      </c>
      <c r="V149" s="558">
        <f t="shared" si="154"/>
        <v>0</v>
      </c>
      <c r="W149" s="559">
        <f t="shared" si="155"/>
        <v>0</v>
      </c>
      <c r="X149" s="562"/>
      <c r="Y149" s="562">
        <f t="shared" si="156"/>
        <v>0</v>
      </c>
      <c r="Z149" s="560">
        <f t="shared" si="157"/>
        <v>0</v>
      </c>
      <c r="AA149" s="560">
        <f t="shared" si="158"/>
        <v>0</v>
      </c>
      <c r="AB149" s="562">
        <f t="shared" si="159"/>
        <v>0</v>
      </c>
      <c r="AC149" s="562">
        <f t="shared" si="168"/>
        <v>0</v>
      </c>
      <c r="AD149" s="411">
        <f t="shared" si="169"/>
        <v>0</v>
      </c>
      <c r="AE149" s="411">
        <f t="shared" si="170"/>
        <v>0</v>
      </c>
      <c r="AF149" s="562">
        <f t="shared" si="171"/>
        <v>0</v>
      </c>
      <c r="AG149" s="562">
        <f t="shared" si="172"/>
        <v>0</v>
      </c>
      <c r="AH149" s="562" t="e">
        <f t="shared" si="160"/>
        <v>#DIV/0!</v>
      </c>
      <c r="AJ149" s="562"/>
      <c r="AK149" s="562"/>
      <c r="AL149" s="1288">
        <f t="shared" si="173"/>
        <v>0</v>
      </c>
      <c r="AM149" s="1288">
        <f t="shared" si="174"/>
        <v>0</v>
      </c>
      <c r="AN149" s="1288">
        <f t="shared" si="175"/>
        <v>0</v>
      </c>
      <c r="AO149" s="1288">
        <f t="shared" si="176"/>
        <v>0</v>
      </c>
      <c r="AP149" s="1288">
        <f t="shared" si="177"/>
        <v>0</v>
      </c>
      <c r="AQ149" s="1288">
        <f t="shared" si="178"/>
        <v>0</v>
      </c>
      <c r="AR149" s="1288">
        <f t="shared" si="179"/>
        <v>0</v>
      </c>
      <c r="AS149" s="1288">
        <f t="shared" si="180"/>
        <v>0</v>
      </c>
      <c r="AT149" s="1288">
        <f t="shared" si="181"/>
        <v>0</v>
      </c>
      <c r="AU149" s="1288">
        <f t="shared" si="182"/>
        <v>0</v>
      </c>
      <c r="AV149" s="1278"/>
      <c r="AW149" s="1273">
        <f t="shared" si="183"/>
        <v>1</v>
      </c>
      <c r="AX149" s="2204" cm="1">
        <f t="array" ref="AX149">INDEX(Pflanzen!$B$5:$B$117,BR149)</f>
        <v>1</v>
      </c>
      <c r="AY149" s="2204" cm="1">
        <f t="array" ref="AY149">INDEX(Pflanzen!$E$5:$E$119,AX149)</f>
        <v>0</v>
      </c>
      <c r="AZ149" s="422"/>
      <c r="BA149" s="422"/>
      <c r="BB149" s="422"/>
      <c r="BC149" s="422"/>
      <c r="BD149" s="422"/>
      <c r="BE149" s="475"/>
      <c r="BF149" s="1275"/>
      <c r="BG149" s="480"/>
      <c r="BH149" s="480"/>
      <c r="BI149" s="475">
        <f t="shared" si="162"/>
        <v>100</v>
      </c>
      <c r="BJ149" s="475">
        <f t="shared" si="163"/>
        <v>0</v>
      </c>
      <c r="BK149" s="475"/>
      <c r="BL149" s="1074"/>
      <c r="BM149" s="422">
        <f t="shared" si="184"/>
        <v>0.55000000000000004</v>
      </c>
      <c r="BN149" s="422">
        <f t="shared" si="185"/>
        <v>0.55000000000000004</v>
      </c>
      <c r="BO149" s="422">
        <f t="shared" si="164"/>
        <v>0.55000000000000004</v>
      </c>
      <c r="BP149" s="484">
        <f t="shared" si="165"/>
        <v>0</v>
      </c>
      <c r="BQ149" s="422"/>
      <c r="BR149" s="2204">
        <v>1</v>
      </c>
      <c r="BS149" s="422"/>
      <c r="BT149" s="422"/>
      <c r="BU149" s="422"/>
      <c r="BV149" s="422"/>
      <c r="BW149" s="422"/>
      <c r="BX149" s="422"/>
      <c r="BY149" s="422"/>
      <c r="BZ149" s="422"/>
      <c r="CA149" s="450"/>
      <c r="CB149" s="450"/>
      <c r="CC149" s="450"/>
      <c r="CD149" s="480"/>
      <c r="CE149" s="422"/>
      <c r="CF149" s="422"/>
      <c r="CG149" s="456"/>
      <c r="CH149" s="456"/>
      <c r="CI149" s="456"/>
      <c r="CJ149" s="456"/>
      <c r="CK149" s="422"/>
      <c r="CL149" s="422"/>
      <c r="CM149" s="422"/>
      <c r="CN149" s="422"/>
      <c r="CO149" s="422"/>
      <c r="CP149" s="422"/>
      <c r="CQ149" s="422"/>
      <c r="CR149" s="422"/>
      <c r="CS149" s="422"/>
      <c r="CT149" s="422"/>
      <c r="CU149" s="422"/>
      <c r="CV149" s="450"/>
      <c r="CW149" s="450"/>
      <c r="CX149" s="475"/>
      <c r="CY149" s="475"/>
      <c r="CZ149" s="422"/>
      <c r="DA149" s="422"/>
      <c r="DB149" s="422"/>
      <c r="DC149" s="422"/>
      <c r="DD149" s="422"/>
      <c r="DE149" s="422"/>
      <c r="DF149" s="422"/>
      <c r="DG149" s="17"/>
      <c r="DH149" s="17"/>
      <c r="DI149" s="17"/>
      <c r="DJ149" s="17"/>
      <c r="DK149" s="17"/>
      <c r="DL149" s="16"/>
      <c r="DM149" s="16"/>
      <c r="DN149" s="16"/>
      <c r="DO149" s="16"/>
      <c r="DP149" s="16"/>
      <c r="DQ149" s="16"/>
      <c r="DR149" s="16"/>
      <c r="DS149" s="16"/>
      <c r="DT149" s="16"/>
      <c r="DU149" s="16"/>
      <c r="DV149" s="16"/>
      <c r="DW149" s="16"/>
      <c r="DX149" s="16"/>
      <c r="DY149" s="16"/>
      <c r="DZ149" s="16"/>
      <c r="EA149" s="16"/>
      <c r="EB149" s="16"/>
      <c r="EC149" s="16"/>
      <c r="ED149" s="17"/>
      <c r="EE149" s="17"/>
      <c r="EF149" s="17"/>
      <c r="EG149" s="17"/>
      <c r="EH149" s="17"/>
      <c r="EI149" s="17"/>
      <c r="EJ149" s="17"/>
      <c r="EK149" s="17"/>
    </row>
    <row r="150" spans="1:141" ht="15.75" customHeight="1" x14ac:dyDescent="0.2">
      <c r="A150" s="748"/>
      <c r="B150" s="748"/>
      <c r="C150" s="2481"/>
      <c r="D150" s="2482"/>
      <c r="E150" s="762"/>
      <c r="F150" s="762"/>
      <c r="G150" s="762"/>
      <c r="H150" s="763"/>
      <c r="I150" s="762"/>
      <c r="J150" s="764"/>
      <c r="K150" s="2470"/>
      <c r="L150" s="2471"/>
      <c r="M150" s="766"/>
      <c r="N150" s="4"/>
      <c r="Q150" s="556">
        <f t="shared" si="151"/>
        <v>0</v>
      </c>
      <c r="R150" s="558">
        <f t="shared" si="166"/>
        <v>0</v>
      </c>
      <c r="S150" s="557">
        <f t="shared" si="152"/>
        <v>0</v>
      </c>
      <c r="T150" s="557">
        <f t="shared" si="153"/>
        <v>0</v>
      </c>
      <c r="U150" s="558">
        <f t="shared" si="167"/>
        <v>0</v>
      </c>
      <c r="V150" s="558">
        <f t="shared" si="154"/>
        <v>0</v>
      </c>
      <c r="W150" s="559">
        <f t="shared" si="155"/>
        <v>0</v>
      </c>
      <c r="X150" s="562"/>
      <c r="Y150" s="562">
        <f t="shared" si="156"/>
        <v>0</v>
      </c>
      <c r="Z150" s="560">
        <f t="shared" si="157"/>
        <v>0</v>
      </c>
      <c r="AA150" s="560">
        <f t="shared" si="158"/>
        <v>0</v>
      </c>
      <c r="AB150" s="562">
        <f t="shared" si="159"/>
        <v>0</v>
      </c>
      <c r="AC150" s="562">
        <f t="shared" si="168"/>
        <v>0</v>
      </c>
      <c r="AD150" s="411">
        <f t="shared" si="169"/>
        <v>0</v>
      </c>
      <c r="AE150" s="411">
        <f t="shared" si="170"/>
        <v>0</v>
      </c>
      <c r="AF150" s="562">
        <f t="shared" si="171"/>
        <v>0</v>
      </c>
      <c r="AG150" s="562">
        <f t="shared" si="172"/>
        <v>0</v>
      </c>
      <c r="AH150" s="562" t="e">
        <f t="shared" si="160"/>
        <v>#DIV/0!</v>
      </c>
      <c r="AJ150" s="562"/>
      <c r="AK150" s="562"/>
      <c r="AL150" s="1288">
        <f t="shared" si="173"/>
        <v>0</v>
      </c>
      <c r="AM150" s="1288">
        <f t="shared" si="174"/>
        <v>0</v>
      </c>
      <c r="AN150" s="1288">
        <f t="shared" si="175"/>
        <v>0</v>
      </c>
      <c r="AO150" s="1288">
        <f t="shared" si="176"/>
        <v>0</v>
      </c>
      <c r="AP150" s="1288">
        <f t="shared" si="177"/>
        <v>0</v>
      </c>
      <c r="AQ150" s="1288">
        <f t="shared" si="178"/>
        <v>0</v>
      </c>
      <c r="AR150" s="1288">
        <f t="shared" si="179"/>
        <v>0</v>
      </c>
      <c r="AS150" s="1288">
        <f t="shared" si="180"/>
        <v>0</v>
      </c>
      <c r="AT150" s="1288">
        <f t="shared" si="181"/>
        <v>0</v>
      </c>
      <c r="AU150" s="1288">
        <f t="shared" si="182"/>
        <v>0</v>
      </c>
      <c r="AV150" s="1278"/>
      <c r="AW150" s="1273">
        <f t="shared" si="183"/>
        <v>1</v>
      </c>
      <c r="AX150" s="2204" cm="1">
        <f t="array" ref="AX150">INDEX(Pflanzen!$B$5:$B$117,BR150)</f>
        <v>1</v>
      </c>
      <c r="AY150" s="2204" cm="1">
        <f t="array" ref="AY150">INDEX(Pflanzen!$E$5:$E$119,AX150)</f>
        <v>0</v>
      </c>
      <c r="AZ150" s="422"/>
      <c r="BA150" s="422"/>
      <c r="BB150" s="422"/>
      <c r="BC150" s="422"/>
      <c r="BD150" s="422"/>
      <c r="BE150" s="475"/>
      <c r="BF150" s="1275"/>
      <c r="BG150" s="480"/>
      <c r="BH150" s="480"/>
      <c r="BI150" s="475">
        <f t="shared" si="162"/>
        <v>100</v>
      </c>
      <c r="BJ150" s="475">
        <f t="shared" si="163"/>
        <v>0</v>
      </c>
      <c r="BK150" s="475"/>
      <c r="BL150" s="1074"/>
      <c r="BM150" s="422">
        <f t="shared" si="184"/>
        <v>0.55000000000000004</v>
      </c>
      <c r="BN150" s="422">
        <f t="shared" si="185"/>
        <v>0.55000000000000004</v>
      </c>
      <c r="BO150" s="422">
        <f t="shared" si="164"/>
        <v>0.55000000000000004</v>
      </c>
      <c r="BP150" s="484">
        <f t="shared" si="165"/>
        <v>0</v>
      </c>
      <c r="BQ150" s="422"/>
      <c r="BR150" s="2204">
        <v>1</v>
      </c>
      <c r="BS150" s="422"/>
      <c r="BT150" s="422"/>
      <c r="BU150" s="422"/>
      <c r="BV150" s="422"/>
      <c r="BW150" s="422"/>
      <c r="BX150" s="422"/>
      <c r="BY150" s="422"/>
      <c r="BZ150" s="422"/>
      <c r="CA150" s="450"/>
      <c r="CB150" s="450"/>
      <c r="CC150" s="450"/>
      <c r="CD150" s="480"/>
      <c r="CE150" s="422"/>
      <c r="CF150" s="422"/>
      <c r="CG150" s="456"/>
      <c r="CH150" s="456"/>
      <c r="CI150" s="456"/>
      <c r="CJ150" s="456"/>
      <c r="CK150" s="422"/>
      <c r="CL150" s="422"/>
      <c r="CM150" s="422"/>
      <c r="CN150" s="422"/>
      <c r="CO150" s="422"/>
      <c r="CP150" s="422"/>
      <c r="CQ150" s="422"/>
      <c r="CR150" s="422"/>
      <c r="CS150" s="422"/>
      <c r="CT150" s="422"/>
      <c r="CU150" s="422"/>
      <c r="CV150" s="450"/>
      <c r="CW150" s="450"/>
      <c r="CX150" s="475"/>
      <c r="CY150" s="475"/>
      <c r="CZ150" s="422"/>
      <c r="DA150" s="422"/>
      <c r="DB150" s="422"/>
      <c r="DC150" s="422"/>
      <c r="DD150" s="422"/>
      <c r="DE150" s="422"/>
      <c r="DF150" s="422"/>
      <c r="DG150" s="17"/>
      <c r="DH150" s="17"/>
      <c r="DI150" s="17"/>
      <c r="DJ150" s="17"/>
      <c r="DK150" s="17"/>
      <c r="DL150" s="16"/>
      <c r="DM150" s="16"/>
      <c r="DN150" s="16"/>
      <c r="DO150" s="16"/>
      <c r="DP150" s="16"/>
      <c r="DQ150" s="16"/>
      <c r="DR150" s="16"/>
      <c r="DS150" s="16"/>
      <c r="DT150" s="16"/>
      <c r="DU150" s="16"/>
      <c r="DV150" s="16"/>
      <c r="DW150" s="16"/>
      <c r="DX150" s="16"/>
      <c r="DY150" s="16"/>
      <c r="DZ150" s="16"/>
      <c r="EA150" s="16"/>
      <c r="EB150" s="16"/>
      <c r="EC150" s="16"/>
      <c r="ED150" s="17"/>
      <c r="EE150" s="17"/>
      <c r="EF150" s="17"/>
      <c r="EG150" s="17"/>
      <c r="EH150" s="17"/>
      <c r="EI150" s="17"/>
      <c r="EJ150" s="17"/>
      <c r="EK150" s="17"/>
    </row>
    <row r="151" spans="1:141" ht="15.75" customHeight="1" x14ac:dyDescent="0.2">
      <c r="A151" s="748"/>
      <c r="B151" s="748"/>
      <c r="C151" s="2481"/>
      <c r="D151" s="2482"/>
      <c r="E151" s="762"/>
      <c r="F151" s="762"/>
      <c r="G151" s="762"/>
      <c r="H151" s="763"/>
      <c r="I151" s="762"/>
      <c r="J151" s="764"/>
      <c r="K151" s="2470"/>
      <c r="L151" s="2471"/>
      <c r="M151" s="766"/>
      <c r="N151" s="4"/>
      <c r="Q151" s="556">
        <f t="shared" si="151"/>
        <v>0</v>
      </c>
      <c r="R151" s="558">
        <f t="shared" si="166"/>
        <v>0</v>
      </c>
      <c r="S151" s="557">
        <f t="shared" si="152"/>
        <v>0</v>
      </c>
      <c r="T151" s="557">
        <f t="shared" si="153"/>
        <v>0</v>
      </c>
      <c r="U151" s="558">
        <f t="shared" si="167"/>
        <v>0</v>
      </c>
      <c r="V151" s="558">
        <f t="shared" si="154"/>
        <v>0</v>
      </c>
      <c r="W151" s="559">
        <f t="shared" si="155"/>
        <v>0</v>
      </c>
      <c r="X151" s="562"/>
      <c r="Y151" s="562">
        <f t="shared" si="156"/>
        <v>0</v>
      </c>
      <c r="Z151" s="560">
        <f t="shared" si="157"/>
        <v>0</v>
      </c>
      <c r="AA151" s="560">
        <f t="shared" si="158"/>
        <v>0</v>
      </c>
      <c r="AB151" s="562">
        <f t="shared" si="159"/>
        <v>0</v>
      </c>
      <c r="AC151" s="562">
        <f t="shared" si="168"/>
        <v>0</v>
      </c>
      <c r="AD151" s="411">
        <f t="shared" si="169"/>
        <v>0</v>
      </c>
      <c r="AE151" s="411">
        <f t="shared" si="170"/>
        <v>0</v>
      </c>
      <c r="AF151" s="562">
        <f t="shared" si="171"/>
        <v>0</v>
      </c>
      <c r="AG151" s="562">
        <f t="shared" si="172"/>
        <v>0</v>
      </c>
      <c r="AH151" s="562" t="e">
        <f t="shared" si="160"/>
        <v>#DIV/0!</v>
      </c>
      <c r="AJ151" s="562"/>
      <c r="AK151" s="562"/>
      <c r="AL151" s="1288">
        <f t="shared" si="173"/>
        <v>0</v>
      </c>
      <c r="AM151" s="1288">
        <f t="shared" si="174"/>
        <v>0</v>
      </c>
      <c r="AN151" s="1288">
        <f t="shared" si="175"/>
        <v>0</v>
      </c>
      <c r="AO151" s="1288">
        <f t="shared" si="176"/>
        <v>0</v>
      </c>
      <c r="AP151" s="1288">
        <f t="shared" si="177"/>
        <v>0</v>
      </c>
      <c r="AQ151" s="1288">
        <f t="shared" si="178"/>
        <v>0</v>
      </c>
      <c r="AR151" s="1288">
        <f t="shared" si="179"/>
        <v>0</v>
      </c>
      <c r="AS151" s="1288">
        <f t="shared" si="180"/>
        <v>0</v>
      </c>
      <c r="AT151" s="1288">
        <f t="shared" si="181"/>
        <v>0</v>
      </c>
      <c r="AU151" s="1288">
        <f t="shared" si="182"/>
        <v>0</v>
      </c>
      <c r="AV151" s="1278"/>
      <c r="AW151" s="1273">
        <f t="shared" si="183"/>
        <v>1</v>
      </c>
      <c r="AX151" s="2204" cm="1">
        <f t="array" ref="AX151">INDEX(Pflanzen!$B$5:$B$117,BR151)</f>
        <v>1</v>
      </c>
      <c r="AY151" s="2204" cm="1">
        <f t="array" ref="AY151">INDEX(Pflanzen!$E$5:$E$119,AX151)</f>
        <v>0</v>
      </c>
      <c r="AZ151" s="422"/>
      <c r="BA151" s="422"/>
      <c r="BB151" s="422"/>
      <c r="BC151" s="422"/>
      <c r="BD151" s="422"/>
      <c r="BE151" s="475"/>
      <c r="BF151" s="1275"/>
      <c r="BG151" s="480"/>
      <c r="BH151" s="480"/>
      <c r="BI151" s="475">
        <f t="shared" si="162"/>
        <v>100</v>
      </c>
      <c r="BJ151" s="475">
        <f t="shared" si="163"/>
        <v>0</v>
      </c>
      <c r="BK151" s="475"/>
      <c r="BL151" s="1074"/>
      <c r="BM151" s="422">
        <f t="shared" si="184"/>
        <v>0.55000000000000004</v>
      </c>
      <c r="BN151" s="422">
        <f t="shared" si="185"/>
        <v>0.55000000000000004</v>
      </c>
      <c r="BO151" s="422">
        <f t="shared" si="164"/>
        <v>0.55000000000000004</v>
      </c>
      <c r="BP151" s="484">
        <f t="shared" si="165"/>
        <v>0</v>
      </c>
      <c r="BQ151" s="422"/>
      <c r="BR151" s="2204">
        <v>1</v>
      </c>
      <c r="BS151" s="422"/>
      <c r="BT151" s="422"/>
      <c r="BU151" s="422"/>
      <c r="BV151" s="422"/>
      <c r="BW151" s="422"/>
      <c r="BX151" s="422"/>
      <c r="BY151" s="422"/>
      <c r="BZ151" s="422"/>
      <c r="CA151" s="450"/>
      <c r="CB151" s="450"/>
      <c r="CC151" s="450"/>
      <c r="CD151" s="480"/>
      <c r="CE151" s="422"/>
      <c r="CF151" s="422"/>
      <c r="CG151" s="456"/>
      <c r="CH151" s="456"/>
      <c r="CI151" s="456"/>
      <c r="CJ151" s="456"/>
      <c r="CK151" s="422"/>
      <c r="CL151" s="422"/>
      <c r="CM151" s="422"/>
      <c r="CN151" s="422"/>
      <c r="CO151" s="422"/>
      <c r="CP151" s="422"/>
      <c r="CQ151" s="422"/>
      <c r="CR151" s="422"/>
      <c r="CS151" s="422"/>
      <c r="CT151" s="422"/>
      <c r="CU151" s="422"/>
      <c r="CV151" s="450"/>
      <c r="CW151" s="450"/>
      <c r="CX151" s="475"/>
      <c r="CY151" s="475"/>
      <c r="CZ151" s="422"/>
      <c r="DA151" s="422"/>
      <c r="DB151" s="422"/>
      <c r="DC151" s="422"/>
      <c r="DD151" s="422"/>
      <c r="DE151" s="422"/>
      <c r="DF151" s="422"/>
      <c r="DG151" s="17"/>
      <c r="DH151" s="17"/>
      <c r="DI151" s="17"/>
      <c r="DJ151" s="17"/>
      <c r="DK151" s="17"/>
      <c r="DL151" s="16"/>
      <c r="DM151" s="16"/>
      <c r="DN151" s="16"/>
      <c r="DO151" s="16"/>
      <c r="DP151" s="16"/>
      <c r="DQ151" s="16"/>
      <c r="DR151" s="16"/>
      <c r="DS151" s="16"/>
      <c r="DT151" s="16"/>
      <c r="DU151" s="16"/>
      <c r="DV151" s="16"/>
      <c r="DW151" s="16"/>
      <c r="DX151" s="16"/>
      <c r="DY151" s="16"/>
      <c r="DZ151" s="16"/>
      <c r="EA151" s="16"/>
      <c r="EB151" s="16"/>
      <c r="EC151" s="16"/>
      <c r="ED151" s="17"/>
      <c r="EE151" s="17"/>
      <c r="EF151" s="17"/>
      <c r="EG151" s="17"/>
      <c r="EH151" s="17"/>
      <c r="EI151" s="17"/>
      <c r="EJ151" s="17"/>
      <c r="EK151" s="17"/>
    </row>
    <row r="152" spans="1:141" ht="15.75" customHeight="1" x14ac:dyDescent="0.2">
      <c r="A152" s="748"/>
      <c r="B152" s="748"/>
      <c r="C152" s="2481"/>
      <c r="D152" s="2482"/>
      <c r="E152" s="762"/>
      <c r="F152" s="762"/>
      <c r="G152" s="762"/>
      <c r="H152" s="763"/>
      <c r="I152" s="762"/>
      <c r="J152" s="764"/>
      <c r="K152" s="2470"/>
      <c r="L152" s="2471"/>
      <c r="M152" s="766"/>
      <c r="N152" s="4"/>
      <c r="Q152" s="556">
        <f t="shared" si="151"/>
        <v>0</v>
      </c>
      <c r="R152" s="558">
        <f t="shared" si="166"/>
        <v>0</v>
      </c>
      <c r="S152" s="557">
        <f t="shared" si="152"/>
        <v>0</v>
      </c>
      <c r="T152" s="557">
        <f t="shared" si="153"/>
        <v>0</v>
      </c>
      <c r="U152" s="558">
        <f t="shared" si="167"/>
        <v>0</v>
      </c>
      <c r="V152" s="558">
        <f t="shared" si="154"/>
        <v>0</v>
      </c>
      <c r="W152" s="559">
        <f t="shared" si="155"/>
        <v>0</v>
      </c>
      <c r="X152" s="562"/>
      <c r="Y152" s="562">
        <f t="shared" si="156"/>
        <v>0</v>
      </c>
      <c r="Z152" s="560">
        <f t="shared" si="157"/>
        <v>0</v>
      </c>
      <c r="AA152" s="560">
        <f t="shared" si="158"/>
        <v>0</v>
      </c>
      <c r="AB152" s="562">
        <f t="shared" si="159"/>
        <v>0</v>
      </c>
      <c r="AC152" s="562">
        <f t="shared" si="168"/>
        <v>0</v>
      </c>
      <c r="AD152" s="411">
        <f t="shared" si="169"/>
        <v>0</v>
      </c>
      <c r="AE152" s="411">
        <f t="shared" si="170"/>
        <v>0</v>
      </c>
      <c r="AF152" s="562">
        <f t="shared" si="171"/>
        <v>0</v>
      </c>
      <c r="AG152" s="562">
        <f t="shared" si="172"/>
        <v>0</v>
      </c>
      <c r="AH152" s="562" t="e">
        <f t="shared" si="160"/>
        <v>#DIV/0!</v>
      </c>
      <c r="AJ152" s="562"/>
      <c r="AK152" s="562"/>
      <c r="AL152" s="1288">
        <f t="shared" si="173"/>
        <v>0</v>
      </c>
      <c r="AM152" s="1288">
        <f t="shared" si="174"/>
        <v>0</v>
      </c>
      <c r="AN152" s="1288">
        <f t="shared" si="175"/>
        <v>0</v>
      </c>
      <c r="AO152" s="1288">
        <f t="shared" si="176"/>
        <v>0</v>
      </c>
      <c r="AP152" s="1288">
        <f t="shared" si="177"/>
        <v>0</v>
      </c>
      <c r="AQ152" s="1288">
        <f t="shared" si="178"/>
        <v>0</v>
      </c>
      <c r="AR152" s="1288">
        <f t="shared" si="179"/>
        <v>0</v>
      </c>
      <c r="AS152" s="1288">
        <f t="shared" si="180"/>
        <v>0</v>
      </c>
      <c r="AT152" s="1288">
        <f t="shared" si="181"/>
        <v>0</v>
      </c>
      <c r="AU152" s="1288">
        <f t="shared" si="182"/>
        <v>0</v>
      </c>
      <c r="AV152" s="1278"/>
      <c r="AW152" s="1273">
        <f t="shared" si="183"/>
        <v>1</v>
      </c>
      <c r="AX152" s="2204" cm="1">
        <f t="array" ref="AX152">INDEX(Pflanzen!$B$5:$B$117,BR152)</f>
        <v>1</v>
      </c>
      <c r="AY152" s="2204" cm="1">
        <f t="array" ref="AY152">INDEX(Pflanzen!$E$5:$E$119,AX152)</f>
        <v>0</v>
      </c>
      <c r="AZ152" s="422"/>
      <c r="BA152" s="422"/>
      <c r="BB152" s="422"/>
      <c r="BC152" s="422"/>
      <c r="BD152" s="422"/>
      <c r="BE152" s="475"/>
      <c r="BF152" s="1275"/>
      <c r="BG152" s="480"/>
      <c r="BH152" s="480"/>
      <c r="BI152" s="475">
        <f t="shared" si="162"/>
        <v>100</v>
      </c>
      <c r="BJ152" s="475">
        <f t="shared" si="163"/>
        <v>0</v>
      </c>
      <c r="BK152" s="475"/>
      <c r="BL152" s="1074"/>
      <c r="BM152" s="422">
        <f t="shared" si="184"/>
        <v>0.55000000000000004</v>
      </c>
      <c r="BN152" s="422">
        <f t="shared" si="185"/>
        <v>0.55000000000000004</v>
      </c>
      <c r="BO152" s="422">
        <f t="shared" si="164"/>
        <v>0.55000000000000004</v>
      </c>
      <c r="BP152" s="484">
        <f t="shared" si="165"/>
        <v>0</v>
      </c>
      <c r="BQ152" s="422"/>
      <c r="BR152" s="2204">
        <v>1</v>
      </c>
      <c r="BS152" s="422"/>
      <c r="BT152" s="422"/>
      <c r="BU152" s="422"/>
      <c r="BV152" s="422"/>
      <c r="BW152" s="422"/>
      <c r="BX152" s="422"/>
      <c r="BY152" s="422"/>
      <c r="BZ152" s="422"/>
      <c r="CA152" s="450"/>
      <c r="CB152" s="450"/>
      <c r="CC152" s="450"/>
      <c r="CD152" s="480"/>
      <c r="CE152" s="422"/>
      <c r="CF152" s="422"/>
      <c r="CG152" s="456"/>
      <c r="CH152" s="456"/>
      <c r="CI152" s="456"/>
      <c r="CJ152" s="456"/>
      <c r="CK152" s="422"/>
      <c r="CL152" s="422"/>
      <c r="CM152" s="422"/>
      <c r="CN152" s="422"/>
      <c r="CO152" s="422"/>
      <c r="CP152" s="422"/>
      <c r="CQ152" s="422"/>
      <c r="CR152" s="422"/>
      <c r="CS152" s="422"/>
      <c r="CT152" s="422"/>
      <c r="CU152" s="422"/>
      <c r="CV152" s="450"/>
      <c r="CW152" s="450"/>
      <c r="CX152" s="475"/>
      <c r="CY152" s="475"/>
      <c r="CZ152" s="422"/>
      <c r="DA152" s="422"/>
      <c r="DB152" s="422"/>
      <c r="DC152" s="422"/>
      <c r="DD152" s="422"/>
      <c r="DE152" s="422"/>
      <c r="DF152" s="422"/>
      <c r="DG152" s="17"/>
      <c r="DH152" s="17"/>
      <c r="DI152" s="17"/>
      <c r="DJ152" s="17"/>
      <c r="DK152" s="17"/>
      <c r="DL152" s="16"/>
      <c r="DM152" s="16"/>
      <c r="DN152" s="16"/>
      <c r="DO152" s="16"/>
      <c r="DP152" s="16"/>
      <c r="DQ152" s="16"/>
      <c r="DR152" s="16"/>
      <c r="DS152" s="16"/>
      <c r="DT152" s="16"/>
      <c r="DU152" s="16"/>
      <c r="DV152" s="16"/>
      <c r="DW152" s="16"/>
      <c r="DX152" s="16"/>
      <c r="DY152" s="16"/>
      <c r="DZ152" s="16"/>
      <c r="EA152" s="16"/>
      <c r="EB152" s="16"/>
      <c r="EC152" s="16"/>
      <c r="ED152" s="17"/>
      <c r="EE152" s="17"/>
      <c r="EF152" s="17"/>
      <c r="EG152" s="17"/>
      <c r="EH152" s="17"/>
      <c r="EI152" s="17"/>
      <c r="EJ152" s="17"/>
      <c r="EK152" s="17"/>
    </row>
    <row r="153" spans="1:141" ht="15.75" customHeight="1" x14ac:dyDescent="0.2">
      <c r="A153" s="748"/>
      <c r="B153" s="748"/>
      <c r="C153" s="2481"/>
      <c r="D153" s="2482"/>
      <c r="E153" s="762"/>
      <c r="F153" s="762"/>
      <c r="G153" s="762"/>
      <c r="H153" s="763"/>
      <c r="I153" s="762"/>
      <c r="J153" s="764"/>
      <c r="K153" s="2470"/>
      <c r="L153" s="2471"/>
      <c r="M153" s="766"/>
      <c r="N153" s="4"/>
      <c r="Q153" s="556">
        <f t="shared" si="151"/>
        <v>0</v>
      </c>
      <c r="R153" s="558">
        <f t="shared" si="166"/>
        <v>0</v>
      </c>
      <c r="S153" s="557">
        <f t="shared" si="152"/>
        <v>0</v>
      </c>
      <c r="T153" s="557">
        <f t="shared" si="153"/>
        <v>0</v>
      </c>
      <c r="U153" s="558">
        <f t="shared" si="167"/>
        <v>0</v>
      </c>
      <c r="V153" s="558">
        <f t="shared" si="154"/>
        <v>0</v>
      </c>
      <c r="W153" s="559">
        <f t="shared" si="155"/>
        <v>0</v>
      </c>
      <c r="X153" s="562"/>
      <c r="Y153" s="562">
        <f t="shared" si="156"/>
        <v>0</v>
      </c>
      <c r="Z153" s="560">
        <f t="shared" si="157"/>
        <v>0</v>
      </c>
      <c r="AA153" s="560">
        <f t="shared" si="158"/>
        <v>0</v>
      </c>
      <c r="AB153" s="562">
        <f t="shared" si="159"/>
        <v>0</v>
      </c>
      <c r="AC153" s="562">
        <f t="shared" si="168"/>
        <v>0</v>
      </c>
      <c r="AD153" s="411">
        <f t="shared" si="169"/>
        <v>0</v>
      </c>
      <c r="AE153" s="411">
        <f t="shared" si="170"/>
        <v>0</v>
      </c>
      <c r="AF153" s="562">
        <f t="shared" si="171"/>
        <v>0</v>
      </c>
      <c r="AG153" s="562">
        <f t="shared" si="172"/>
        <v>0</v>
      </c>
      <c r="AH153" s="562" t="e">
        <f t="shared" si="160"/>
        <v>#DIV/0!</v>
      </c>
      <c r="AJ153" s="562"/>
      <c r="AK153" s="562"/>
      <c r="AL153" s="1288">
        <f t="shared" si="173"/>
        <v>0</v>
      </c>
      <c r="AM153" s="1288">
        <f t="shared" si="174"/>
        <v>0</v>
      </c>
      <c r="AN153" s="1288">
        <f t="shared" si="175"/>
        <v>0</v>
      </c>
      <c r="AO153" s="1288">
        <f t="shared" si="176"/>
        <v>0</v>
      </c>
      <c r="AP153" s="1288">
        <f t="shared" si="177"/>
        <v>0</v>
      </c>
      <c r="AQ153" s="1288">
        <f t="shared" si="178"/>
        <v>0</v>
      </c>
      <c r="AR153" s="1288">
        <f t="shared" si="179"/>
        <v>0</v>
      </c>
      <c r="AS153" s="1288">
        <f t="shared" si="180"/>
        <v>0</v>
      </c>
      <c r="AT153" s="1288">
        <f t="shared" si="181"/>
        <v>0</v>
      </c>
      <c r="AU153" s="1288">
        <f t="shared" si="182"/>
        <v>0</v>
      </c>
      <c r="AV153" s="1278"/>
      <c r="AW153" s="1273">
        <f t="shared" si="183"/>
        <v>1</v>
      </c>
      <c r="AX153" s="2204" cm="1">
        <f t="array" ref="AX153">INDEX(Pflanzen!$B$5:$B$117,BR153)</f>
        <v>1</v>
      </c>
      <c r="AY153" s="2204" cm="1">
        <f t="array" ref="AY153">INDEX(Pflanzen!$E$5:$E$119,AX153)</f>
        <v>0</v>
      </c>
      <c r="AZ153" s="422"/>
      <c r="BA153" s="422"/>
      <c r="BB153" s="422"/>
      <c r="BC153" s="422"/>
      <c r="BD153" s="422"/>
      <c r="BE153" s="475"/>
      <c r="BF153" s="1275"/>
      <c r="BG153" s="480"/>
      <c r="BH153" s="480"/>
      <c r="BI153" s="475">
        <f t="shared" si="162"/>
        <v>100</v>
      </c>
      <c r="BJ153" s="475">
        <f t="shared" si="163"/>
        <v>0</v>
      </c>
      <c r="BK153" s="475"/>
      <c r="BL153" s="1074"/>
      <c r="BM153" s="422">
        <f t="shared" si="184"/>
        <v>0.55000000000000004</v>
      </c>
      <c r="BN153" s="422">
        <f t="shared" si="185"/>
        <v>0.55000000000000004</v>
      </c>
      <c r="BO153" s="422">
        <f t="shared" si="164"/>
        <v>0.55000000000000004</v>
      </c>
      <c r="BP153" s="484">
        <f t="shared" si="165"/>
        <v>0</v>
      </c>
      <c r="BQ153" s="422"/>
      <c r="BR153" s="2204">
        <v>1</v>
      </c>
      <c r="BS153" s="422"/>
      <c r="BT153" s="422"/>
      <c r="BU153" s="422"/>
      <c r="BV153" s="422"/>
      <c r="BW153" s="422"/>
      <c r="BX153" s="422"/>
      <c r="BY153" s="422"/>
      <c r="BZ153" s="422"/>
      <c r="CA153" s="450"/>
      <c r="CB153" s="450"/>
      <c r="CC153" s="450"/>
      <c r="CD153" s="480"/>
      <c r="CE153" s="422"/>
      <c r="CF153" s="422"/>
      <c r="CG153" s="456"/>
      <c r="CH153" s="456"/>
      <c r="CI153" s="456"/>
      <c r="CJ153" s="456"/>
      <c r="CK153" s="422"/>
      <c r="CL153" s="422"/>
      <c r="CM153" s="422"/>
      <c r="CN153" s="422"/>
      <c r="CO153" s="422"/>
      <c r="CP153" s="422"/>
      <c r="CQ153" s="422"/>
      <c r="CR153" s="422"/>
      <c r="CS153" s="422"/>
      <c r="CT153" s="422"/>
      <c r="CU153" s="422"/>
      <c r="CV153" s="450"/>
      <c r="CW153" s="450"/>
      <c r="CX153" s="475"/>
      <c r="CY153" s="475"/>
      <c r="CZ153" s="422"/>
      <c r="DA153" s="422"/>
      <c r="DB153" s="422"/>
      <c r="DC153" s="422"/>
      <c r="DD153" s="422"/>
      <c r="DE153" s="422"/>
      <c r="DF153" s="422"/>
      <c r="DG153" s="17"/>
      <c r="DH153" s="17"/>
      <c r="DI153" s="17"/>
      <c r="DJ153" s="17"/>
      <c r="DK153" s="17"/>
      <c r="DL153" s="16"/>
      <c r="DM153" s="16"/>
      <c r="DN153" s="16"/>
      <c r="DO153" s="16"/>
      <c r="DP153" s="16"/>
      <c r="DQ153" s="16"/>
      <c r="DR153" s="16"/>
      <c r="DS153" s="16"/>
      <c r="DT153" s="16"/>
      <c r="DU153" s="16"/>
      <c r="DV153" s="16"/>
      <c r="DW153" s="16"/>
      <c r="DX153" s="16"/>
      <c r="DY153" s="16"/>
      <c r="DZ153" s="16"/>
      <c r="EA153" s="16"/>
      <c r="EB153" s="16"/>
      <c r="EC153" s="16"/>
      <c r="ED153" s="17"/>
      <c r="EE153" s="17"/>
      <c r="EF153" s="17"/>
      <c r="EG153" s="17"/>
      <c r="EH153" s="17"/>
      <c r="EI153" s="17"/>
      <c r="EJ153" s="17"/>
      <c r="EK153" s="17"/>
    </row>
    <row r="154" spans="1:141" ht="15.75" customHeight="1" thickBot="1" x14ac:dyDescent="0.25">
      <c r="A154" s="757"/>
      <c r="B154" s="757"/>
      <c r="C154" s="2481"/>
      <c r="D154" s="2482"/>
      <c r="E154" s="762"/>
      <c r="F154" s="762"/>
      <c r="G154" s="762"/>
      <c r="H154" s="763"/>
      <c r="I154" s="762"/>
      <c r="J154" s="764"/>
      <c r="K154" s="2470"/>
      <c r="L154" s="2471"/>
      <c r="M154" s="766"/>
      <c r="N154" s="4"/>
      <c r="Q154" s="556">
        <f t="shared" si="151"/>
        <v>0</v>
      </c>
      <c r="R154" s="558">
        <f t="shared" si="166"/>
        <v>0</v>
      </c>
      <c r="S154" s="557">
        <f t="shared" si="152"/>
        <v>0</v>
      </c>
      <c r="T154" s="557">
        <f t="shared" si="153"/>
        <v>0</v>
      </c>
      <c r="U154" s="558">
        <f t="shared" si="167"/>
        <v>0</v>
      </c>
      <c r="V154" s="558">
        <f t="shared" si="154"/>
        <v>0</v>
      </c>
      <c r="W154" s="559">
        <f t="shared" si="155"/>
        <v>0</v>
      </c>
      <c r="X154" s="562"/>
      <c r="Y154" s="562">
        <f t="shared" si="156"/>
        <v>0</v>
      </c>
      <c r="Z154" s="560">
        <f t="shared" si="157"/>
        <v>0</v>
      </c>
      <c r="AA154" s="560">
        <f t="shared" si="158"/>
        <v>0</v>
      </c>
      <c r="AB154" s="562">
        <f t="shared" si="159"/>
        <v>0</v>
      </c>
      <c r="AC154" s="562">
        <f t="shared" si="168"/>
        <v>0</v>
      </c>
      <c r="AD154" s="411">
        <f t="shared" si="169"/>
        <v>0</v>
      </c>
      <c r="AE154" s="411">
        <f t="shared" si="170"/>
        <v>0</v>
      </c>
      <c r="AF154" s="562">
        <f t="shared" si="171"/>
        <v>0</v>
      </c>
      <c r="AG154" s="562">
        <f t="shared" si="172"/>
        <v>0</v>
      </c>
      <c r="AH154" s="562" t="e">
        <f t="shared" si="160"/>
        <v>#DIV/0!</v>
      </c>
      <c r="AJ154" s="562"/>
      <c r="AK154" s="562"/>
      <c r="AL154" s="1288">
        <f t="shared" si="173"/>
        <v>0</v>
      </c>
      <c r="AM154" s="1288">
        <f t="shared" si="174"/>
        <v>0</v>
      </c>
      <c r="AN154" s="1288">
        <f t="shared" si="175"/>
        <v>0</v>
      </c>
      <c r="AO154" s="1288">
        <f t="shared" si="176"/>
        <v>0</v>
      </c>
      <c r="AP154" s="1288">
        <f t="shared" si="177"/>
        <v>0</v>
      </c>
      <c r="AQ154" s="1288">
        <f t="shared" si="178"/>
        <v>0</v>
      </c>
      <c r="AR154" s="1288">
        <f t="shared" si="179"/>
        <v>0</v>
      </c>
      <c r="AS154" s="1288">
        <f t="shared" si="180"/>
        <v>0</v>
      </c>
      <c r="AT154" s="1288">
        <f t="shared" si="181"/>
        <v>0</v>
      </c>
      <c r="AU154" s="1288">
        <f t="shared" si="182"/>
        <v>0</v>
      </c>
      <c r="AV154" s="1278"/>
      <c r="AW154" s="1273">
        <f t="shared" si="183"/>
        <v>1</v>
      </c>
      <c r="AX154" s="2204" cm="1">
        <f t="array" ref="AX154">INDEX(Pflanzen!$B$5:$B$117,BR154)</f>
        <v>1</v>
      </c>
      <c r="AY154" s="2204" cm="1">
        <f t="array" ref="AY154">INDEX(Pflanzen!$E$5:$E$119,AX154)</f>
        <v>0</v>
      </c>
      <c r="AZ154" s="422"/>
      <c r="BA154" s="422"/>
      <c r="BB154" s="422"/>
      <c r="BC154" s="422"/>
      <c r="BD154" s="422"/>
      <c r="BE154" s="475"/>
      <c r="BF154" s="1275"/>
      <c r="BG154" s="480"/>
      <c r="BH154" s="480"/>
      <c r="BI154" s="475">
        <f t="shared" si="162"/>
        <v>100</v>
      </c>
      <c r="BJ154" s="475">
        <f t="shared" si="163"/>
        <v>0</v>
      </c>
      <c r="BK154" s="475"/>
      <c r="BL154" s="1074"/>
      <c r="BM154" s="422">
        <f t="shared" si="184"/>
        <v>0.55000000000000004</v>
      </c>
      <c r="BN154" s="422">
        <f t="shared" si="185"/>
        <v>0.55000000000000004</v>
      </c>
      <c r="BO154" s="422">
        <f t="shared" si="164"/>
        <v>0.55000000000000004</v>
      </c>
      <c r="BP154" s="484">
        <f t="shared" si="165"/>
        <v>0</v>
      </c>
      <c r="BQ154" s="422"/>
      <c r="BR154" s="2204">
        <v>1</v>
      </c>
      <c r="BS154" s="422"/>
      <c r="BT154" s="422"/>
      <c r="BU154" s="422"/>
      <c r="BV154" s="422"/>
      <c r="BW154" s="422"/>
      <c r="BX154" s="422"/>
      <c r="BY154" s="422"/>
      <c r="BZ154" s="422"/>
      <c r="CA154" s="450"/>
      <c r="CB154" s="450"/>
      <c r="CC154" s="450"/>
      <c r="CD154" s="480"/>
      <c r="CE154" s="422"/>
      <c r="CF154" s="422"/>
      <c r="CG154" s="456"/>
      <c r="CH154" s="456"/>
      <c r="CI154" s="456"/>
      <c r="CJ154" s="456"/>
      <c r="CK154" s="422"/>
      <c r="CL154" s="422"/>
      <c r="CM154" s="422"/>
      <c r="CN154" s="422"/>
      <c r="CO154" s="422"/>
      <c r="CP154" s="422"/>
      <c r="CQ154" s="422"/>
      <c r="CR154" s="422"/>
      <c r="CS154" s="422"/>
      <c r="CT154" s="422"/>
      <c r="CU154" s="422"/>
      <c r="CV154" s="450"/>
      <c r="CW154" s="450"/>
      <c r="CX154" s="475"/>
      <c r="CY154" s="475"/>
      <c r="CZ154" s="422"/>
      <c r="DA154" s="422"/>
      <c r="DB154" s="422"/>
      <c r="DC154" s="422"/>
      <c r="DD154" s="422"/>
      <c r="DE154" s="422"/>
      <c r="DF154" s="422"/>
      <c r="DG154" s="17"/>
      <c r="DH154" s="17"/>
      <c r="DI154" s="17"/>
      <c r="DJ154" s="17"/>
      <c r="DK154" s="17"/>
      <c r="DL154" s="16"/>
      <c r="DM154" s="16"/>
      <c r="DN154" s="16"/>
      <c r="DO154" s="16"/>
      <c r="DP154" s="16"/>
      <c r="DQ154" s="16"/>
      <c r="DR154" s="16"/>
      <c r="DS154" s="16"/>
      <c r="DT154" s="16"/>
      <c r="DU154" s="16"/>
      <c r="DV154" s="16"/>
      <c r="DW154" s="16"/>
      <c r="DX154" s="16"/>
      <c r="DY154" s="16"/>
      <c r="DZ154" s="16"/>
      <c r="EA154" s="16"/>
      <c r="EB154" s="16"/>
      <c r="EC154" s="16"/>
      <c r="ED154" s="17"/>
      <c r="EE154" s="17"/>
      <c r="EF154" s="17"/>
      <c r="EG154" s="17"/>
      <c r="EH154" s="17"/>
      <c r="EI154" s="17"/>
      <c r="EJ154" s="17"/>
      <c r="EK154" s="17"/>
    </row>
    <row r="155" spans="1:141" ht="15.75" customHeight="1" thickBot="1" x14ac:dyDescent="0.25">
      <c r="A155" s="2653"/>
      <c r="B155" s="2654"/>
      <c r="C155" s="2678"/>
      <c r="D155" s="2599"/>
      <c r="E155" s="767"/>
      <c r="F155" s="767"/>
      <c r="G155" s="767"/>
      <c r="H155" s="768"/>
      <c r="I155" s="767"/>
      <c r="J155" s="769"/>
      <c r="K155" s="2713"/>
      <c r="L155" s="2714"/>
      <c r="M155" s="770"/>
      <c r="N155" s="4"/>
      <c r="Q155" s="556">
        <f t="shared" si="151"/>
        <v>0</v>
      </c>
      <c r="R155" s="558">
        <f t="shared" si="166"/>
        <v>0</v>
      </c>
      <c r="S155" s="557">
        <f t="shared" si="152"/>
        <v>0</v>
      </c>
      <c r="T155" s="557">
        <f t="shared" si="153"/>
        <v>0</v>
      </c>
      <c r="U155" s="558">
        <f t="shared" si="167"/>
        <v>0</v>
      </c>
      <c r="V155" s="558">
        <f t="shared" si="154"/>
        <v>0</v>
      </c>
      <c r="W155" s="559">
        <f t="shared" si="155"/>
        <v>0</v>
      </c>
      <c r="X155" s="562"/>
      <c r="Y155" s="562">
        <f t="shared" si="156"/>
        <v>0</v>
      </c>
      <c r="Z155" s="560">
        <f t="shared" si="157"/>
        <v>0</v>
      </c>
      <c r="AA155" s="560">
        <f t="shared" si="158"/>
        <v>0</v>
      </c>
      <c r="AB155" s="562">
        <f t="shared" si="159"/>
        <v>0</v>
      </c>
      <c r="AC155" s="562">
        <f t="shared" si="168"/>
        <v>0</v>
      </c>
      <c r="AD155" s="411">
        <f t="shared" si="169"/>
        <v>0</v>
      </c>
      <c r="AE155" s="411">
        <f t="shared" si="170"/>
        <v>0</v>
      </c>
      <c r="AF155" s="562">
        <f t="shared" si="171"/>
        <v>0</v>
      </c>
      <c r="AG155" s="562">
        <f t="shared" si="172"/>
        <v>0</v>
      </c>
      <c r="AH155" s="562" t="e">
        <f t="shared" si="160"/>
        <v>#DIV/0!</v>
      </c>
      <c r="AJ155" s="562"/>
      <c r="AK155" s="562"/>
      <c r="AL155" s="1288">
        <f t="shared" si="173"/>
        <v>0</v>
      </c>
      <c r="AM155" s="1288">
        <f t="shared" si="174"/>
        <v>0</v>
      </c>
      <c r="AN155" s="1288">
        <f t="shared" si="175"/>
        <v>0</v>
      </c>
      <c r="AO155" s="1288">
        <f t="shared" si="176"/>
        <v>0</v>
      </c>
      <c r="AP155" s="1288">
        <f t="shared" si="177"/>
        <v>0</v>
      </c>
      <c r="AQ155" s="1288">
        <f t="shared" si="178"/>
        <v>0</v>
      </c>
      <c r="AR155" s="1288">
        <f t="shared" si="179"/>
        <v>0</v>
      </c>
      <c r="AS155" s="1288">
        <f t="shared" si="180"/>
        <v>0</v>
      </c>
      <c r="AT155" s="1288">
        <f t="shared" si="181"/>
        <v>0</v>
      </c>
      <c r="AU155" s="1288">
        <f t="shared" si="182"/>
        <v>0</v>
      </c>
      <c r="AV155" s="1278"/>
      <c r="AW155" s="1273">
        <f t="shared" si="183"/>
        <v>1</v>
      </c>
      <c r="AX155" s="2204" cm="1">
        <f t="array" ref="AX155">INDEX(Pflanzen!$B$5:$B$117,BR155)</f>
        <v>1</v>
      </c>
      <c r="AY155" s="2204" cm="1">
        <f t="array" ref="AY155">INDEX(Pflanzen!$E$5:$E$119,AX155)</f>
        <v>0</v>
      </c>
      <c r="AZ155" s="422"/>
      <c r="BA155" s="422"/>
      <c r="BB155" s="422"/>
      <c r="BC155" s="422"/>
      <c r="BD155" s="422"/>
      <c r="BE155" s="475"/>
      <c r="BF155" s="1275"/>
      <c r="BG155" s="480"/>
      <c r="BH155" s="480"/>
      <c r="BI155" s="475">
        <f t="shared" si="162"/>
        <v>100</v>
      </c>
      <c r="BJ155" s="475">
        <f t="shared" si="163"/>
        <v>0</v>
      </c>
      <c r="BK155" s="475"/>
      <c r="BL155" s="1074"/>
      <c r="BM155" s="422">
        <f t="shared" si="184"/>
        <v>0.55000000000000004</v>
      </c>
      <c r="BN155" s="422">
        <f t="shared" si="185"/>
        <v>0.55000000000000004</v>
      </c>
      <c r="BO155" s="422">
        <f t="shared" si="164"/>
        <v>0.55000000000000004</v>
      </c>
      <c r="BP155" s="484">
        <f t="shared" si="165"/>
        <v>0</v>
      </c>
      <c r="BQ155" s="422"/>
      <c r="BR155" s="2204">
        <v>1</v>
      </c>
      <c r="BS155" s="422"/>
      <c r="BT155" s="422"/>
      <c r="BU155" s="422"/>
      <c r="BV155" s="422"/>
      <c r="BW155" s="422"/>
      <c r="BX155" s="422"/>
      <c r="BY155" s="422"/>
      <c r="BZ155" s="422"/>
      <c r="CA155" s="450"/>
      <c r="CB155" s="450"/>
      <c r="CC155" s="450"/>
      <c r="CD155" s="480"/>
      <c r="CE155" s="422"/>
      <c r="CF155" s="422"/>
      <c r="CG155" s="456"/>
      <c r="CH155" s="456"/>
      <c r="CI155" s="456"/>
      <c r="CJ155" s="456"/>
      <c r="CK155" s="422"/>
      <c r="CL155" s="422"/>
      <c r="CM155" s="422"/>
      <c r="CN155" s="422"/>
      <c r="CO155" s="422"/>
      <c r="CP155" s="422"/>
      <c r="CQ155" s="422"/>
      <c r="CR155" s="422"/>
      <c r="CS155" s="422"/>
      <c r="CT155" s="422"/>
      <c r="CU155" s="422"/>
      <c r="CV155" s="450"/>
      <c r="CW155" s="450"/>
      <c r="CX155" s="475"/>
      <c r="CY155" s="475"/>
      <c r="CZ155" s="422"/>
      <c r="DA155" s="422"/>
      <c r="DB155" s="422"/>
      <c r="DC155" s="422"/>
      <c r="DD155" s="422"/>
      <c r="DE155" s="422"/>
      <c r="DF155" s="422"/>
      <c r="DG155" s="17"/>
      <c r="DH155" s="17"/>
      <c r="DI155" s="17"/>
      <c r="DJ155" s="17"/>
      <c r="DK155" s="17"/>
      <c r="DL155" s="16"/>
      <c r="DM155" s="16"/>
      <c r="DN155" s="16"/>
      <c r="DO155" s="16"/>
      <c r="DP155" s="16"/>
      <c r="DQ155" s="16"/>
      <c r="DR155" s="16"/>
      <c r="DS155" s="16"/>
      <c r="DT155" s="16"/>
      <c r="DU155" s="16"/>
      <c r="DV155" s="16"/>
      <c r="DW155" s="16"/>
      <c r="DX155" s="16"/>
      <c r="DY155" s="16"/>
      <c r="DZ155" s="16"/>
      <c r="EA155" s="16"/>
      <c r="EB155" s="16"/>
      <c r="EC155" s="16"/>
      <c r="ED155" s="17"/>
      <c r="EE155" s="17"/>
      <c r="EF155" s="17"/>
      <c r="EG155" s="17"/>
      <c r="EH155" s="17"/>
      <c r="EI155" s="17"/>
      <c r="EJ155" s="17"/>
      <c r="EK155" s="17"/>
    </row>
    <row r="156" spans="1:141" ht="15.75" customHeight="1" x14ac:dyDescent="0.2">
      <c r="A156" s="1297" t="s">
        <v>1206</v>
      </c>
      <c r="B156" s="1298"/>
      <c r="C156" s="1299"/>
      <c r="D156" s="1299"/>
      <c r="E156" s="1300">
        <f>SUMIF(AW113:AW130,1,D113:D130)+SUMIF(AW137:AW155,"&gt;1",E137:E155)</f>
        <v>0</v>
      </c>
      <c r="F156" s="324"/>
      <c r="G156" s="365"/>
      <c r="H156" s="324"/>
      <c r="I156" s="324"/>
      <c r="J156" s="324"/>
      <c r="K156" s="324"/>
      <c r="L156" s="324"/>
      <c r="M156" s="324"/>
      <c r="N156" s="17"/>
      <c r="P156" s="523" t="s">
        <v>740</v>
      </c>
      <c r="Q156" s="658">
        <f t="shared" ref="Q156:W156" si="186">SUM(Q113:Q132,Q137:Q155)</f>
        <v>0</v>
      </c>
      <c r="R156" s="658">
        <f t="shared" si="186"/>
        <v>0</v>
      </c>
      <c r="S156" s="658">
        <f t="shared" si="186"/>
        <v>0</v>
      </c>
      <c r="T156" s="658">
        <f t="shared" si="186"/>
        <v>0</v>
      </c>
      <c r="U156" s="642">
        <f>SUM(U113:U132,U137:U155)</f>
        <v>0</v>
      </c>
      <c r="V156" s="642">
        <f t="shared" si="186"/>
        <v>0</v>
      </c>
      <c r="W156" s="642">
        <f t="shared" si="186"/>
        <v>0</v>
      </c>
      <c r="X156" s="642"/>
      <c r="Y156" s="658">
        <f>SUM(Y113:Y132,Y137:Y155)</f>
        <v>0</v>
      </c>
      <c r="Z156" s="642"/>
      <c r="AA156" s="642"/>
      <c r="AB156" s="642"/>
      <c r="AC156" s="642">
        <f>SUM(AC113:AC132,AC137:AC155)</f>
        <v>0</v>
      </c>
      <c r="AD156" s="642"/>
      <c r="AE156" s="642"/>
      <c r="AF156" s="642">
        <f>SUM(AF113:AF132,AF137:AF155)</f>
        <v>0</v>
      </c>
      <c r="AG156" s="642">
        <f>SUM(AG113:AG132,AG137:AG155)</f>
        <v>0</v>
      </c>
      <c r="AH156" s="659" t="e">
        <f>+(S156-AF156)/((S156+T156)-AC156)*100</f>
        <v>#DIV/0!</v>
      </c>
      <c r="AI156" s="642"/>
      <c r="AJ156" s="642"/>
      <c r="AK156" s="642"/>
      <c r="AL156" s="1292">
        <f t="shared" ref="AL156:AU156" si="187">SUM(AL113:AL132,AL137:AL155)</f>
        <v>0</v>
      </c>
      <c r="AM156" s="1292">
        <f t="shared" si="187"/>
        <v>0</v>
      </c>
      <c r="AN156" s="1292">
        <f>SUM(AN113:AN132,AN137:AN155)</f>
        <v>0</v>
      </c>
      <c r="AO156" s="1292">
        <f t="shared" si="187"/>
        <v>0</v>
      </c>
      <c r="AP156" s="1292">
        <f t="shared" si="187"/>
        <v>0</v>
      </c>
      <c r="AQ156" s="1292">
        <f t="shared" si="187"/>
        <v>0</v>
      </c>
      <c r="AR156" s="1292">
        <f t="shared" si="187"/>
        <v>0</v>
      </c>
      <c r="AS156" s="642">
        <f>SUM(AS113:AS132,AS137:AS155)</f>
        <v>0</v>
      </c>
      <c r="AT156" s="642">
        <f>SUM(AT113:AT132,AT137:AT155)</f>
        <v>0</v>
      </c>
      <c r="AU156" s="1292">
        <f t="shared" si="187"/>
        <v>0</v>
      </c>
      <c r="AV156" s="1276"/>
      <c r="AW156" s="475"/>
      <c r="AX156" s="475"/>
      <c r="AY156" s="475"/>
      <c r="AZ156" s="475"/>
      <c r="BA156" s="475"/>
      <c r="BB156" s="475"/>
      <c r="BC156" s="475"/>
      <c r="BD156" s="475"/>
      <c r="BE156" s="475"/>
      <c r="BF156" s="1275"/>
      <c r="BI156" s="475"/>
      <c r="BJ156" s="475">
        <f>SUM(BJ113:BJ155)</f>
        <v>0</v>
      </c>
      <c r="BK156" s="475"/>
      <c r="BL156" s="1074"/>
      <c r="BM156" s="422"/>
      <c r="BN156" s="422"/>
      <c r="BO156" s="422"/>
      <c r="BP156" s="484">
        <f>SUM(BP137:BP155,BP113:BP133)</f>
        <v>0</v>
      </c>
      <c r="BQ156" s="422"/>
      <c r="BR156" s="422"/>
      <c r="BS156" s="422"/>
      <c r="BT156" s="422"/>
      <c r="BU156" s="422"/>
      <c r="BV156" s="422"/>
      <c r="BW156" s="422"/>
      <c r="BX156" s="422"/>
      <c r="BY156" s="422"/>
      <c r="BZ156" s="422"/>
      <c r="CA156" s="450"/>
      <c r="CB156" s="450"/>
      <c r="CC156" s="450"/>
      <c r="CD156" s="480"/>
      <c r="CE156" s="422"/>
      <c r="CF156" s="422"/>
      <c r="CG156" s="456"/>
      <c r="CH156" s="456"/>
      <c r="CI156" s="456"/>
      <c r="CJ156" s="456"/>
      <c r="CK156" s="422"/>
      <c r="CL156" s="422"/>
      <c r="CM156" s="422"/>
      <c r="CN156" s="422"/>
      <c r="CO156" s="422"/>
      <c r="CP156" s="422"/>
      <c r="CQ156" s="422"/>
      <c r="CR156" s="422"/>
      <c r="CS156" s="422"/>
      <c r="CT156" s="422"/>
      <c r="CU156" s="422"/>
      <c r="CV156" s="450"/>
      <c r="CW156" s="450"/>
      <c r="CX156" s="475"/>
      <c r="CY156" s="475"/>
      <c r="CZ156" s="422"/>
      <c r="DA156" s="422"/>
      <c r="DB156" s="422"/>
      <c r="DC156" s="422"/>
      <c r="DD156" s="422"/>
      <c r="DE156" s="422"/>
      <c r="DF156" s="422"/>
      <c r="DG156" s="17"/>
      <c r="DH156" s="17"/>
      <c r="DI156" s="17"/>
      <c r="DJ156" s="17"/>
      <c r="DK156" s="17"/>
      <c r="DL156" s="16"/>
      <c r="DM156" s="16"/>
      <c r="DN156" s="16"/>
      <c r="DO156" s="16"/>
      <c r="DP156" s="16"/>
      <c r="DQ156" s="16"/>
      <c r="DR156" s="16"/>
      <c r="DS156" s="16"/>
      <c r="DT156" s="16"/>
      <c r="DU156" s="16"/>
      <c r="DV156" s="16"/>
      <c r="DW156" s="16"/>
      <c r="DX156" s="16"/>
      <c r="DY156" s="16"/>
      <c r="DZ156" s="16"/>
      <c r="EA156" s="16"/>
      <c r="EB156" s="16"/>
      <c r="EC156" s="16"/>
      <c r="ED156" s="17"/>
      <c r="EE156" s="17"/>
      <c r="EF156" s="17"/>
      <c r="EG156" s="17"/>
      <c r="EH156" s="17"/>
      <c r="EI156" s="17"/>
      <c r="EJ156" s="17"/>
      <c r="EK156" s="17"/>
    </row>
    <row r="157" spans="1:141" ht="15.75" customHeight="1" thickBot="1" x14ac:dyDescent="0.25">
      <c r="A157" s="1301" t="s">
        <v>1207</v>
      </c>
      <c r="B157" s="1302"/>
      <c r="C157" s="1302"/>
      <c r="D157" s="1302"/>
      <c r="E157" s="1303">
        <f>SUM(D113:D130,E137:E155)-E156</f>
        <v>0</v>
      </c>
      <c r="F157" s="324"/>
      <c r="G157" s="365"/>
      <c r="H157" s="324"/>
      <c r="I157" s="324"/>
      <c r="J157" s="324"/>
      <c r="K157" s="324"/>
      <c r="L157" s="324"/>
      <c r="M157" s="324"/>
      <c r="N157" s="17"/>
      <c r="P157" s="324" t="s">
        <v>718</v>
      </c>
      <c r="Q157" s="642">
        <f>+DZ88+EB88</f>
        <v>0</v>
      </c>
      <c r="R157" s="642">
        <f>+EA88+EC88</f>
        <v>0</v>
      </c>
      <c r="S157" s="456">
        <f>+EE88</f>
        <v>0</v>
      </c>
      <c r="T157" s="456">
        <f>+EF88</f>
        <v>0</v>
      </c>
      <c r="U157" s="422"/>
      <c r="V157" s="422"/>
      <c r="W157" s="422"/>
      <c r="X157" s="422"/>
      <c r="Y157" s="456">
        <f>+EH88</f>
        <v>0</v>
      </c>
      <c r="Z157" s="422"/>
      <c r="AA157" s="422"/>
      <c r="AB157" s="422"/>
      <c r="AC157" s="456">
        <f>+EL88</f>
        <v>0</v>
      </c>
      <c r="AD157" s="422"/>
      <c r="AE157" s="422"/>
      <c r="AF157" s="456">
        <f>+EO88</f>
        <v>0</v>
      </c>
      <c r="AG157" s="456">
        <f>+EP88</f>
        <v>0</v>
      </c>
      <c r="AH157" s="659" t="e">
        <f>+(S157-AF157)/((S157+T157)-AC157)*100</f>
        <v>#DIV/0!</v>
      </c>
      <c r="AI157" s="422"/>
      <c r="AJ157" s="422"/>
      <c r="AK157" s="422"/>
      <c r="AL157" s="422"/>
      <c r="AM157" s="422"/>
      <c r="AN157" s="422"/>
      <c r="AO157" s="475"/>
      <c r="AP157" s="475"/>
      <c r="AQ157" s="475"/>
      <c r="AR157" s="475"/>
      <c r="AS157" s="475"/>
      <c r="AT157" s="475"/>
      <c r="AU157" s="475"/>
      <c r="AV157" s="475"/>
      <c r="AW157" s="475"/>
      <c r="AX157" s="475"/>
      <c r="AY157" s="475"/>
      <c r="AZ157" s="475"/>
      <c r="BA157" s="475"/>
      <c r="BB157" s="475"/>
      <c r="BC157" s="475"/>
      <c r="BD157" s="475"/>
      <c r="BE157" s="475"/>
      <c r="BG157" s="475"/>
      <c r="BH157" s="475"/>
      <c r="BI157" s="475"/>
      <c r="BJ157" s="475"/>
      <c r="BK157" s="475"/>
      <c r="BL157" s="1074"/>
      <c r="BM157" s="422"/>
      <c r="BN157" s="422"/>
      <c r="BO157" s="422" t="s">
        <v>815</v>
      </c>
      <c r="BP157" s="743">
        <f>IF(U156=0,0,BP156/U156)</f>
        <v>0</v>
      </c>
      <c r="BQ157" s="422"/>
      <c r="BR157" s="422"/>
      <c r="BS157" s="422"/>
      <c r="BT157" s="422"/>
      <c r="BU157" s="422"/>
      <c r="BV157" s="422"/>
      <c r="BW157" s="422"/>
      <c r="BX157" s="422"/>
      <c r="BY157" s="422"/>
      <c r="BZ157" s="422"/>
      <c r="CA157" s="450"/>
      <c r="CB157" s="450"/>
      <c r="CC157" s="450"/>
      <c r="CD157" s="480"/>
      <c r="CE157" s="422"/>
      <c r="CF157" s="422"/>
      <c r="CG157" s="456"/>
      <c r="CH157" s="456"/>
      <c r="CI157" s="456"/>
      <c r="CJ157" s="456"/>
      <c r="CK157" s="422"/>
      <c r="CL157" s="422"/>
      <c r="CM157" s="422"/>
      <c r="CN157" s="422"/>
      <c r="CO157" s="422"/>
      <c r="CP157" s="422"/>
      <c r="CQ157" s="422"/>
      <c r="CR157" s="422"/>
      <c r="CS157" s="422"/>
      <c r="CT157" s="422"/>
      <c r="CU157" s="422"/>
      <c r="CV157" s="450"/>
      <c r="CW157" s="450"/>
      <c r="CX157" s="475"/>
      <c r="CY157" s="475"/>
      <c r="CZ157" s="422"/>
      <c r="DA157" s="422"/>
      <c r="DB157" s="422"/>
      <c r="DC157" s="422"/>
      <c r="DD157" s="422"/>
      <c r="DE157" s="422"/>
      <c r="DF157" s="422"/>
      <c r="DG157" s="17"/>
      <c r="DH157" s="17"/>
      <c r="DI157" s="17"/>
      <c r="DJ157" s="17"/>
      <c r="DK157" s="17"/>
      <c r="DL157" s="16"/>
      <c r="DM157" s="16"/>
      <c r="DN157" s="16"/>
      <c r="DO157" s="16"/>
      <c r="DP157" s="16"/>
      <c r="DQ157" s="16"/>
      <c r="DR157" s="16"/>
      <c r="DS157" s="16"/>
      <c r="DT157" s="16"/>
      <c r="DU157" s="16"/>
      <c r="DV157" s="16"/>
      <c r="DW157" s="16"/>
      <c r="DX157" s="16"/>
      <c r="DY157" s="16"/>
      <c r="DZ157" s="16"/>
      <c r="EA157" s="16"/>
      <c r="EB157" s="16"/>
      <c r="EC157" s="16"/>
      <c r="ED157" s="17"/>
      <c r="EE157" s="17"/>
      <c r="EF157" s="17"/>
      <c r="EG157" s="17"/>
      <c r="EH157" s="17"/>
      <c r="EI157" s="17"/>
      <c r="EJ157" s="17"/>
      <c r="EK157" s="17"/>
    </row>
    <row r="158" spans="1:141" ht="9" customHeight="1" x14ac:dyDescent="0.2">
      <c r="A158" s="324"/>
      <c r="B158" s="324"/>
      <c r="C158" s="324"/>
      <c r="D158" s="324"/>
      <c r="E158" s="324"/>
      <c r="F158" s="324"/>
      <c r="G158" s="324"/>
      <c r="H158" s="324"/>
      <c r="I158" s="324"/>
      <c r="J158" s="324"/>
      <c r="K158" s="324"/>
      <c r="L158" s="324"/>
      <c r="M158" s="324"/>
      <c r="N158" s="17"/>
      <c r="P158" s="324" t="s">
        <v>542</v>
      </c>
      <c r="Q158" s="642">
        <f>+Q157+Q156</f>
        <v>0</v>
      </c>
      <c r="R158" s="642">
        <f>+R157+R156</f>
        <v>0</v>
      </c>
      <c r="S158" s="642">
        <f>+S157+S156</f>
        <v>0</v>
      </c>
      <c r="T158" s="642">
        <f>+T157+T156</f>
        <v>0</v>
      </c>
      <c r="U158" s="422"/>
      <c r="V158" s="422"/>
      <c r="W158" s="422"/>
      <c r="X158" s="422"/>
      <c r="Y158" s="642">
        <f>+Y157+Y156</f>
        <v>0</v>
      </c>
      <c r="Z158" s="422"/>
      <c r="AA158" s="422"/>
      <c r="AB158" s="422"/>
      <c r="AC158" s="642">
        <f>+AC157+AC156</f>
        <v>0</v>
      </c>
      <c r="AD158" s="422"/>
      <c r="AE158" s="422"/>
      <c r="AF158" s="642">
        <f>+AF157+AF156</f>
        <v>0</v>
      </c>
      <c r="AG158" s="642">
        <f>+AG157+AG156</f>
        <v>0</v>
      </c>
      <c r="AH158" s="659" t="e">
        <f>+(S158-AF158)/((S158+T158)-AC158)*100</f>
        <v>#DIV/0!</v>
      </c>
      <c r="AI158" s="422"/>
      <c r="AJ158" s="422"/>
      <c r="AK158" s="422"/>
      <c r="AL158" s="422"/>
      <c r="AM158" s="422"/>
      <c r="AN158" s="422"/>
      <c r="AO158" s="422"/>
      <c r="AP158" s="422"/>
      <c r="AQ158" s="475"/>
      <c r="AR158" s="475"/>
      <c r="AS158" s="475"/>
      <c r="AT158" s="475"/>
      <c r="AU158" s="475"/>
      <c r="AV158" s="475"/>
      <c r="AW158" s="475"/>
      <c r="AX158" s="475"/>
      <c r="AY158" s="475"/>
      <c r="AZ158" s="475"/>
      <c r="BA158" s="475"/>
      <c r="BB158" s="475"/>
      <c r="BC158" s="475"/>
      <c r="BD158" s="475"/>
      <c r="BE158" s="475"/>
      <c r="BF158" s="475"/>
      <c r="BG158" s="475"/>
      <c r="BH158" s="475"/>
      <c r="BI158" s="475"/>
      <c r="BJ158" s="475"/>
      <c r="BK158" s="475"/>
      <c r="BL158" s="1074"/>
      <c r="BM158" s="475"/>
      <c r="BN158" s="475"/>
      <c r="BO158" s="422"/>
      <c r="BP158" s="422"/>
      <c r="BQ158" s="422"/>
      <c r="BR158" s="422"/>
      <c r="BS158" s="422"/>
      <c r="BT158" s="422"/>
      <c r="BU158" s="422"/>
      <c r="BV158" s="422"/>
      <c r="BW158" s="422"/>
      <c r="BX158" s="422"/>
      <c r="BY158" s="422"/>
      <c r="BZ158" s="422"/>
      <c r="CA158" s="422"/>
      <c r="CB158" s="422"/>
      <c r="CC158" s="450"/>
      <c r="CD158" s="450"/>
      <c r="CE158" s="450"/>
      <c r="CF158" s="480"/>
      <c r="CG158" s="422"/>
      <c r="CH158" s="456"/>
      <c r="CI158" s="456"/>
      <c r="CJ158" s="456"/>
      <c r="CK158" s="456"/>
      <c r="CL158" s="456"/>
      <c r="CM158" s="422"/>
      <c r="CN158" s="422"/>
      <c r="CO158" s="422"/>
      <c r="CP158" s="422"/>
      <c r="CQ158" s="422"/>
      <c r="CR158" s="422"/>
      <c r="CS158" s="422"/>
      <c r="CT158" s="422"/>
      <c r="CU158" s="422"/>
      <c r="CV158" s="422"/>
      <c r="CW158" s="422"/>
      <c r="CX158" s="450"/>
      <c r="CY158" s="450"/>
      <c r="CZ158" s="475"/>
      <c r="DA158" s="475"/>
      <c r="DB158" s="475"/>
      <c r="DC158" s="475"/>
      <c r="DD158" s="475"/>
      <c r="DE158" s="422"/>
      <c r="DF158" s="422"/>
      <c r="DG158" s="422"/>
      <c r="DH158" s="422"/>
      <c r="DI158" s="422"/>
      <c r="DJ158" s="422"/>
      <c r="DK158" s="422"/>
      <c r="DL158" s="17"/>
      <c r="DM158" s="17"/>
      <c r="DN158" s="16"/>
      <c r="DO158" s="16"/>
      <c r="DP158" s="16"/>
      <c r="DQ158" s="16"/>
      <c r="DR158" s="16"/>
      <c r="DS158" s="16"/>
      <c r="DT158" s="16"/>
      <c r="DU158" s="16"/>
      <c r="DV158" s="16"/>
      <c r="DW158" s="16"/>
      <c r="DX158" s="16"/>
      <c r="DY158" s="16"/>
      <c r="DZ158" s="16"/>
      <c r="EA158" s="16"/>
      <c r="EB158" s="16"/>
      <c r="EC158" s="16"/>
      <c r="ED158" s="16"/>
      <c r="EE158" s="16"/>
      <c r="EF158" s="17"/>
      <c r="EG158" s="17"/>
      <c r="EH158" s="17"/>
      <c r="EI158" s="17"/>
      <c r="EJ158" s="17"/>
      <c r="EK158" s="17"/>
    </row>
    <row r="159" spans="1:141" ht="15.75" customHeight="1" x14ac:dyDescent="0.2">
      <c r="A159" s="324"/>
      <c r="B159" s="324"/>
      <c r="C159" s="324"/>
      <c r="D159" s="324"/>
      <c r="E159" s="324"/>
      <c r="F159" s="324"/>
      <c r="G159" s="324"/>
      <c r="H159" s="324"/>
      <c r="I159" s="324"/>
      <c r="J159" s="324"/>
      <c r="K159" s="324"/>
      <c r="L159" s="324"/>
      <c r="M159" s="324"/>
      <c r="N159" s="17"/>
      <c r="P159" s="324" t="s">
        <v>719</v>
      </c>
      <c r="Q159" s="642"/>
      <c r="R159" s="642"/>
      <c r="S159" s="642">
        <f>+AF159</f>
        <v>0</v>
      </c>
      <c r="T159" s="642">
        <f>+AG159</f>
        <v>0</v>
      </c>
      <c r="U159" s="422"/>
      <c r="V159" s="422"/>
      <c r="W159" s="422"/>
      <c r="X159" s="422"/>
      <c r="Y159" s="642">
        <f>+Y158</f>
        <v>0</v>
      </c>
      <c r="Z159" s="422"/>
      <c r="AA159" s="422"/>
      <c r="AB159" s="422"/>
      <c r="AC159" s="422">
        <f>+AC158*(1+$H$180/100)</f>
        <v>0</v>
      </c>
      <c r="AD159" s="422"/>
      <c r="AE159" s="422"/>
      <c r="AF159" s="422">
        <f>+AF158*(1+$H$180/100)</f>
        <v>0</v>
      </c>
      <c r="AG159" s="422">
        <f>+AG158*(1+$H$180/100)</f>
        <v>0</v>
      </c>
      <c r="AH159" s="560"/>
      <c r="AI159" s="422"/>
      <c r="AJ159" s="422"/>
      <c r="AK159" s="422"/>
      <c r="AL159" s="475"/>
      <c r="AM159" s="475"/>
      <c r="AN159" s="475"/>
      <c r="AO159" s="475"/>
      <c r="AP159" s="475"/>
      <c r="AQ159" s="475"/>
      <c r="AR159" s="475"/>
      <c r="AS159" s="475"/>
      <c r="AT159" s="475"/>
      <c r="AU159" s="475"/>
      <c r="AV159" s="475"/>
      <c r="AW159" s="475"/>
      <c r="AX159" s="475"/>
      <c r="AY159" s="475"/>
      <c r="AZ159" s="475"/>
      <c r="BA159" s="475"/>
      <c r="BB159" s="475"/>
      <c r="BC159" s="475"/>
      <c r="BD159" s="475"/>
      <c r="BE159" s="475"/>
      <c r="BF159" s="475"/>
      <c r="BG159" s="475"/>
      <c r="BH159" s="475"/>
      <c r="BI159" s="422"/>
      <c r="BJ159" s="422"/>
      <c r="BK159" s="422"/>
      <c r="BL159" s="1073"/>
      <c r="BM159" s="422"/>
      <c r="BN159" s="422"/>
      <c r="BO159" s="422"/>
      <c r="BP159" s="422"/>
      <c r="BQ159" s="422"/>
      <c r="BR159" s="422"/>
      <c r="BS159" s="422"/>
      <c r="BT159" s="422"/>
      <c r="BU159" s="422"/>
      <c r="BV159" s="422"/>
      <c r="BW159" s="422"/>
      <c r="BX159" s="450"/>
      <c r="BY159" s="450"/>
      <c r="BZ159" s="450"/>
      <c r="CA159" s="480"/>
      <c r="CB159" s="422"/>
      <c r="CC159" s="422"/>
      <c r="CD159" s="422"/>
      <c r="CE159" s="456"/>
      <c r="CF159" s="456"/>
      <c r="CG159" s="456"/>
      <c r="CH159" s="422"/>
      <c r="CI159" s="422"/>
      <c r="CJ159" s="422"/>
      <c r="CK159" s="422"/>
      <c r="CL159" s="422"/>
      <c r="CM159" s="422"/>
      <c r="CN159" s="422"/>
      <c r="CO159" s="422"/>
      <c r="CP159" s="422"/>
      <c r="CQ159" s="422"/>
      <c r="CR159" s="422"/>
      <c r="CS159" s="450"/>
      <c r="CT159" s="450"/>
      <c r="CU159" s="475"/>
      <c r="CV159" s="475"/>
      <c r="CW159" s="422"/>
      <c r="CX159" s="422"/>
      <c r="CY159" s="422"/>
      <c r="CZ159" s="422"/>
      <c r="DA159" s="422"/>
      <c r="DB159" s="422"/>
      <c r="DC159" s="422"/>
      <c r="DD159" s="17"/>
      <c r="DE159" s="17"/>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7"/>
      <c r="EB159" s="17"/>
      <c r="EC159" s="17"/>
      <c r="ED159" s="17"/>
      <c r="EE159" s="17"/>
      <c r="EF159" s="17"/>
    </row>
    <row r="160" spans="1:141" s="365" customFormat="1" ht="15.75" customHeight="1" thickBot="1" x14ac:dyDescent="0.25">
      <c r="A160" s="24"/>
      <c r="B160" s="24"/>
      <c r="C160" s="24"/>
      <c r="D160" s="24"/>
      <c r="E160" s="18"/>
      <c r="F160" s="18"/>
      <c r="G160" s="18"/>
      <c r="H160" s="18"/>
      <c r="I160" s="18"/>
      <c r="J160" s="19"/>
      <c r="K160" s="19"/>
      <c r="L160" s="18"/>
      <c r="M160" s="18"/>
      <c r="N160" s="17"/>
      <c r="O160" s="407"/>
      <c r="P160" s="426"/>
      <c r="Q160" s="422"/>
      <c r="R160" s="422"/>
      <c r="S160" s="422"/>
      <c r="T160" s="422"/>
      <c r="U160" s="422"/>
      <c r="V160" s="422"/>
      <c r="W160" s="422"/>
      <c r="X160" s="422"/>
      <c r="Y160" s="422"/>
      <c r="Z160" s="475"/>
      <c r="AA160" s="475"/>
      <c r="AB160" s="475"/>
      <c r="AC160" s="475"/>
      <c r="AD160" s="475"/>
      <c r="AE160" s="475"/>
      <c r="AF160" s="475"/>
      <c r="AG160" s="475"/>
      <c r="AH160" s="475"/>
      <c r="AI160" s="475"/>
      <c r="AJ160" s="475"/>
      <c r="AK160" s="475"/>
      <c r="AL160" s="475"/>
      <c r="AM160" s="475"/>
      <c r="AN160" s="475"/>
      <c r="AO160" s="475"/>
      <c r="AP160" s="475"/>
      <c r="AQ160" s="475"/>
      <c r="AR160" s="475"/>
      <c r="AS160" s="475"/>
      <c r="AT160" s="475"/>
      <c r="AU160" s="475"/>
      <c r="AV160" s="475"/>
      <c r="AW160" s="422"/>
      <c r="AX160" s="422"/>
      <c r="AY160" s="422"/>
      <c r="AZ160" s="422"/>
      <c r="BA160" s="422"/>
      <c r="BB160" s="422"/>
      <c r="BC160" s="422"/>
      <c r="BD160" s="422"/>
      <c r="BE160" s="422"/>
      <c r="BF160" s="422"/>
      <c r="BG160" s="422"/>
      <c r="BH160" s="422"/>
      <c r="BI160" s="422"/>
      <c r="BJ160" s="422"/>
      <c r="BK160" s="450"/>
      <c r="BL160" s="450"/>
      <c r="BM160" s="450"/>
      <c r="BN160" s="450"/>
      <c r="BO160" s="480"/>
      <c r="BP160" s="422"/>
      <c r="BQ160" s="422"/>
      <c r="BR160" s="422"/>
      <c r="BS160" s="456"/>
      <c r="BT160" s="456"/>
      <c r="BU160" s="456"/>
      <c r="BV160" s="456"/>
      <c r="BW160" s="456"/>
      <c r="BX160" s="422"/>
      <c r="BY160" s="422"/>
      <c r="BZ160" s="422"/>
      <c r="CA160" s="422"/>
      <c r="CB160" s="422"/>
      <c r="CC160" s="422"/>
      <c r="CD160" s="422"/>
      <c r="CE160" s="422"/>
      <c r="CF160" s="422"/>
      <c r="CG160" s="422"/>
      <c r="CH160" s="450"/>
      <c r="CI160" s="27"/>
      <c r="CK160" s="422"/>
      <c r="CL160" s="422"/>
      <c r="CM160" s="422"/>
      <c r="CN160" s="422"/>
      <c r="CO160" s="17"/>
      <c r="CP160" s="17"/>
      <c r="CQ160" s="16"/>
      <c r="CR160" s="16"/>
      <c r="CS160" s="16"/>
      <c r="CT160" s="16"/>
      <c r="CU160" s="16"/>
      <c r="CV160" s="16"/>
      <c r="CW160" s="16"/>
      <c r="CX160" s="16"/>
      <c r="CY160" s="16"/>
      <c r="CZ160" s="16"/>
      <c r="DA160" s="16"/>
      <c r="DB160" s="16"/>
      <c r="DC160" s="16"/>
      <c r="DD160" s="16"/>
      <c r="DE160" s="16"/>
      <c r="DF160" s="16"/>
      <c r="DG160" s="17"/>
      <c r="DH160" s="17"/>
      <c r="DI160" s="17"/>
      <c r="DJ160" s="17"/>
      <c r="DK160" s="17"/>
      <c r="DL160" s="17"/>
      <c r="DM160" s="17"/>
      <c r="DN160" s="17"/>
      <c r="DO160" s="17"/>
    </row>
    <row r="161" spans="1:119" ht="16.5" customHeight="1" thickBot="1" x14ac:dyDescent="0.25">
      <c r="A161" s="1050" t="s">
        <v>860</v>
      </c>
      <c r="B161" s="1055"/>
      <c r="C161" s="1055"/>
      <c r="D161" s="1055"/>
      <c r="E161" s="1055"/>
      <c r="F161" s="1055"/>
      <c r="G161" s="1055"/>
      <c r="H161" s="1055"/>
      <c r="I161" s="1055"/>
      <c r="J161" s="1055"/>
      <c r="K161" s="1055"/>
      <c r="L161" s="1055"/>
      <c r="M161" s="1056"/>
      <c r="N161" s="17"/>
      <c r="O161" s="407" t="s">
        <v>355</v>
      </c>
      <c r="P161" s="432" t="s">
        <v>313</v>
      </c>
      <c r="Q161" s="422" t="s">
        <v>322</v>
      </c>
      <c r="R161" s="423" t="s">
        <v>322</v>
      </c>
      <c r="S161" s="422"/>
      <c r="T161" s="422"/>
      <c r="U161" s="422"/>
      <c r="V161" s="422"/>
      <c r="W161" s="422"/>
      <c r="X161" s="422"/>
      <c r="Y161" s="423" t="s">
        <v>732</v>
      </c>
      <c r="Z161" s="475"/>
      <c r="AA161" s="475"/>
      <c r="AB161" s="475"/>
      <c r="AC161" s="475"/>
      <c r="AD161" s="475"/>
      <c r="AE161" s="475"/>
      <c r="AF161" s="475"/>
      <c r="AG161" s="475"/>
      <c r="AH161" s="475"/>
      <c r="AI161" s="475"/>
      <c r="AJ161" s="475"/>
      <c r="AK161" s="475"/>
      <c r="AL161" s="475"/>
      <c r="AM161" s="475"/>
      <c r="AN161" s="475"/>
      <c r="AO161" s="475"/>
      <c r="AP161" s="475"/>
      <c r="AQ161" s="475"/>
      <c r="AR161" s="475"/>
      <c r="AS161" s="475"/>
      <c r="AT161" s="475"/>
      <c r="AU161" s="475"/>
      <c r="AV161" s="475"/>
      <c r="AW161" s="422"/>
      <c r="AX161" s="422"/>
      <c r="AY161" s="422"/>
      <c r="AZ161" s="422"/>
      <c r="BA161" s="422"/>
      <c r="BB161" s="422"/>
      <c r="BC161" s="422"/>
      <c r="BD161" s="422"/>
      <c r="BE161" s="422"/>
      <c r="BF161" s="422"/>
      <c r="BG161" s="422"/>
      <c r="BH161" s="422"/>
      <c r="BI161" s="422"/>
      <c r="BJ161" s="422"/>
      <c r="BK161" s="450"/>
      <c r="BL161" s="450"/>
      <c r="BM161" s="450"/>
      <c r="BN161" s="450"/>
      <c r="BO161" s="480"/>
      <c r="BP161" s="422"/>
      <c r="BQ161" s="422"/>
      <c r="BR161" s="422"/>
      <c r="BS161" s="456"/>
      <c r="BT161" s="456"/>
      <c r="BU161" s="456"/>
      <c r="BV161" s="456"/>
      <c r="BW161" s="456"/>
      <c r="BX161" s="422"/>
      <c r="BY161" s="422"/>
      <c r="BZ161" s="422"/>
      <c r="CA161" s="422"/>
      <c r="CB161" s="422"/>
      <c r="CC161" s="422"/>
      <c r="CD161" s="422"/>
      <c r="CE161" s="422"/>
      <c r="CF161" s="422"/>
      <c r="CG161" s="422"/>
      <c r="CH161" s="450"/>
      <c r="CI161" s="27"/>
      <c r="CJ161" s="365"/>
      <c r="CK161" s="422"/>
      <c r="CL161" s="422"/>
      <c r="CM161" s="422"/>
      <c r="CN161" s="422"/>
      <c r="CO161" s="17"/>
      <c r="CP161" s="17"/>
      <c r="CQ161" s="16"/>
      <c r="CR161" s="16"/>
      <c r="CS161" s="16"/>
      <c r="CT161" s="16"/>
      <c r="CU161" s="16"/>
      <c r="CV161" s="16"/>
      <c r="CW161" s="16"/>
      <c r="CX161" s="16"/>
      <c r="CY161" s="16"/>
      <c r="CZ161" s="16"/>
      <c r="DA161" s="16"/>
      <c r="DB161" s="16"/>
      <c r="DC161" s="16"/>
      <c r="DD161" s="16"/>
      <c r="DE161" s="16"/>
      <c r="DF161" s="16"/>
      <c r="DG161" s="17"/>
      <c r="DH161" s="17"/>
      <c r="DI161" s="17"/>
      <c r="DJ161" s="17"/>
      <c r="DK161" s="17"/>
      <c r="DL161" s="17"/>
      <c r="DM161" s="17"/>
      <c r="DN161" s="17"/>
      <c r="DO161" s="17"/>
    </row>
    <row r="162" spans="1:119" ht="9.75" customHeight="1" thickBot="1" x14ac:dyDescent="0.25">
      <c r="A162" s="782"/>
      <c r="B162" s="24"/>
      <c r="C162" s="24"/>
      <c r="D162" s="24"/>
      <c r="E162" s="24"/>
      <c r="F162" s="24"/>
      <c r="G162" s="24"/>
      <c r="H162" s="24"/>
      <c r="I162" s="24"/>
      <c r="J162" s="24"/>
      <c r="K162" s="24"/>
      <c r="L162" s="24"/>
      <c r="M162" s="24"/>
      <c r="N162" s="17"/>
      <c r="O162" s="407"/>
      <c r="P162" s="426"/>
      <c r="Q162" s="422"/>
      <c r="R162" s="423" t="s">
        <v>721</v>
      </c>
      <c r="S162" s="422"/>
      <c r="T162" s="422"/>
      <c r="U162" s="422"/>
      <c r="V162" s="422"/>
      <c r="W162" s="422"/>
      <c r="X162" s="422"/>
      <c r="Y162" s="423"/>
      <c r="Z162" s="475"/>
      <c r="AA162" s="475"/>
      <c r="AB162" s="475"/>
      <c r="AC162" s="475"/>
      <c r="AD162" s="475"/>
      <c r="AE162" s="475"/>
      <c r="AF162" s="475"/>
      <c r="AG162" s="475"/>
      <c r="AH162" s="475"/>
      <c r="AI162" s="475"/>
      <c r="AJ162" s="475"/>
      <c r="AK162" s="475"/>
      <c r="AL162" s="475"/>
      <c r="AM162" s="475"/>
      <c r="AN162" s="475"/>
      <c r="AO162" s="475"/>
      <c r="AP162" s="475"/>
      <c r="AQ162" s="475"/>
      <c r="AR162" s="475"/>
      <c r="AS162" s="475"/>
      <c r="AT162" s="475"/>
      <c r="AU162" s="475"/>
      <c r="AV162" s="475"/>
      <c r="AW162" s="422"/>
      <c r="AX162" s="422"/>
      <c r="AY162" s="422"/>
      <c r="AZ162" s="422"/>
      <c r="BA162" s="422"/>
      <c r="BB162" s="422"/>
      <c r="BC162" s="422"/>
      <c r="BD162" s="422"/>
      <c r="BE162" s="422"/>
      <c r="BF162" s="422"/>
      <c r="BG162" s="422"/>
      <c r="BH162" s="422"/>
      <c r="BI162" s="422"/>
      <c r="BJ162" s="422"/>
      <c r="BK162" s="450"/>
      <c r="BL162" s="450"/>
      <c r="BM162" s="450"/>
      <c r="BN162" s="450"/>
      <c r="BO162" s="480"/>
      <c r="BP162" s="422"/>
      <c r="BQ162" s="422"/>
      <c r="BR162" s="422"/>
      <c r="BS162" s="456"/>
      <c r="BT162" s="456"/>
      <c r="BU162" s="456"/>
      <c r="BV162" s="456"/>
      <c r="BW162" s="456"/>
      <c r="BX162" s="422"/>
      <c r="BY162" s="422"/>
      <c r="BZ162" s="422"/>
      <c r="CA162" s="422"/>
      <c r="CB162" s="422"/>
      <c r="CC162" s="422"/>
      <c r="CD162" s="422"/>
      <c r="CE162" s="422"/>
      <c r="CF162" s="422"/>
      <c r="CG162" s="422"/>
      <c r="CH162" s="450"/>
      <c r="CI162" s="27"/>
      <c r="CJ162" s="365"/>
      <c r="CK162" s="422"/>
      <c r="CL162" s="422"/>
      <c r="CM162" s="422"/>
      <c r="CN162" s="422"/>
      <c r="CO162" s="17"/>
      <c r="CP162" s="17"/>
      <c r="CQ162" s="16"/>
      <c r="CR162" s="16"/>
      <c r="CS162" s="16"/>
      <c r="CT162" s="16"/>
      <c r="CU162" s="16"/>
      <c r="CV162" s="16"/>
      <c r="CW162" s="16"/>
      <c r="CX162" s="16"/>
      <c r="CY162" s="16"/>
      <c r="CZ162" s="16"/>
      <c r="DA162" s="16"/>
      <c r="DB162" s="16"/>
      <c r="DC162" s="16"/>
      <c r="DD162" s="16"/>
      <c r="DE162" s="16"/>
      <c r="DF162" s="16"/>
      <c r="DG162" s="17"/>
      <c r="DH162" s="17"/>
      <c r="DI162" s="17"/>
      <c r="DJ162" s="17"/>
      <c r="DK162" s="17"/>
      <c r="DL162" s="17"/>
      <c r="DM162" s="17"/>
      <c r="DN162" s="17"/>
      <c r="DO162" s="17"/>
    </row>
    <row r="163" spans="1:119" ht="26.25" customHeight="1" thickBot="1" x14ac:dyDescent="0.25">
      <c r="A163" s="877" t="s">
        <v>789</v>
      </c>
      <c r="B163" s="340"/>
      <c r="C163" s="340"/>
      <c r="D163" s="340"/>
      <c r="E163" s="340"/>
      <c r="F163" s="340"/>
      <c r="G163" s="340"/>
      <c r="H163" s="340"/>
      <c r="I163" s="340"/>
      <c r="J163" s="2639" t="s">
        <v>728</v>
      </c>
      <c r="K163" s="2640"/>
      <c r="L163" s="2639" t="s">
        <v>790</v>
      </c>
      <c r="M163" s="2640"/>
      <c r="N163" s="17"/>
      <c r="O163" s="407"/>
      <c r="P163" s="426"/>
      <c r="Q163" s="422"/>
      <c r="R163" s="422"/>
      <c r="S163" s="422"/>
      <c r="T163" s="422"/>
      <c r="U163" s="422"/>
      <c r="V163" s="422"/>
      <c r="W163" s="422"/>
      <c r="X163" s="422"/>
      <c r="Y163" s="423" t="s">
        <v>731</v>
      </c>
      <c r="Z163" s="475"/>
      <c r="AA163" s="475"/>
      <c r="AB163" s="475"/>
      <c r="AC163" s="475"/>
      <c r="AD163" s="475"/>
      <c r="AE163" s="475"/>
      <c r="AF163" s="475"/>
      <c r="AG163" s="475"/>
      <c r="AH163" s="475"/>
      <c r="AI163" s="475"/>
      <c r="AJ163" s="475"/>
      <c r="AK163" s="475"/>
      <c r="AL163" s="475"/>
      <c r="AM163" s="475"/>
      <c r="AN163" s="475"/>
      <c r="AO163" s="475"/>
      <c r="AP163" s="475"/>
      <c r="AQ163" s="475"/>
      <c r="AR163" s="475"/>
      <c r="AS163" s="475"/>
      <c r="AT163" s="475"/>
      <c r="AU163" s="475"/>
      <c r="AV163" s="475"/>
      <c r="AW163" s="422"/>
      <c r="AX163" s="422"/>
      <c r="AY163" s="422"/>
      <c r="AZ163" s="422"/>
      <c r="BA163" s="422"/>
      <c r="BB163" s="422"/>
      <c r="BC163" s="422"/>
      <c r="BD163" s="422"/>
      <c r="BE163" s="422"/>
      <c r="BF163" s="422"/>
      <c r="BG163" s="422"/>
      <c r="BH163" s="422"/>
      <c r="BI163" s="422"/>
      <c r="BJ163" s="422"/>
      <c r="BK163" s="450"/>
      <c r="BL163" s="450"/>
      <c r="BM163" s="450"/>
      <c r="BN163" s="450"/>
      <c r="BO163" s="480"/>
      <c r="BP163" s="422"/>
      <c r="BQ163" s="422"/>
      <c r="BR163" s="422"/>
      <c r="BS163" s="456"/>
      <c r="BT163" s="456"/>
      <c r="BU163" s="456"/>
      <c r="BV163" s="456"/>
      <c r="BW163" s="456"/>
      <c r="BX163" s="422"/>
      <c r="BY163" s="422"/>
      <c r="BZ163" s="422"/>
      <c r="CA163" s="422"/>
      <c r="CB163" s="422"/>
      <c r="CC163" s="422"/>
      <c r="CD163" s="422"/>
      <c r="CE163" s="422"/>
      <c r="CF163" s="422"/>
      <c r="CG163" s="422"/>
      <c r="CH163" s="450"/>
      <c r="CI163" s="27"/>
      <c r="CJ163" s="365"/>
      <c r="CK163" s="422"/>
      <c r="CL163" s="422"/>
      <c r="CM163" s="422"/>
      <c r="CN163" s="422"/>
      <c r="CO163" s="17"/>
      <c r="CP163" s="17"/>
      <c r="CQ163" s="16"/>
      <c r="CR163" s="16"/>
      <c r="CS163" s="16"/>
      <c r="CT163" s="16"/>
      <c r="CU163" s="16"/>
      <c r="CV163" s="16"/>
      <c r="CW163" s="16"/>
      <c r="CX163" s="16"/>
      <c r="CY163" s="16"/>
      <c r="CZ163" s="16"/>
      <c r="DA163" s="16"/>
      <c r="DB163" s="16"/>
      <c r="DC163" s="16"/>
      <c r="DD163" s="16"/>
      <c r="DE163" s="16"/>
      <c r="DF163" s="16"/>
      <c r="DG163" s="17"/>
      <c r="DH163" s="17"/>
      <c r="DI163" s="17"/>
      <c r="DJ163" s="17"/>
      <c r="DK163" s="17"/>
      <c r="DL163" s="17"/>
      <c r="DM163" s="17"/>
      <c r="DN163" s="17"/>
      <c r="DO163" s="17"/>
    </row>
    <row r="164" spans="1:119" ht="18.75" customHeight="1" x14ac:dyDescent="0.2">
      <c r="A164" s="2715" t="s">
        <v>358</v>
      </c>
      <c r="B164" s="2716"/>
      <c r="C164" s="2716"/>
      <c r="D164" s="2716"/>
      <c r="E164" s="2716"/>
      <c r="F164" s="2716"/>
      <c r="G164" s="2717"/>
      <c r="H164" s="706"/>
      <c r="I164" s="707" t="s">
        <v>726</v>
      </c>
      <c r="J164" s="2711" t="str">
        <f>IF(H164&gt;0.1,IF($C$13&lt;1,"Fehler",O164)," ")</f>
        <v xml:space="preserve"> </v>
      </c>
      <c r="K164" s="2712"/>
      <c r="L164" s="2686"/>
      <c r="M164" s="2687"/>
      <c r="N164" s="17"/>
      <c r="O164" s="408" t="str">
        <f>IF(($C$13*H164*0.7)/1000=0," ",($C$13*H164*0.7)/1000)</f>
        <v xml:space="preserve"> </v>
      </c>
      <c r="P164" s="444"/>
      <c r="Q164" s="422">
        <f>IF(O164=" ",0,O164)</f>
        <v>0</v>
      </c>
      <c r="R164" s="422">
        <f>IF(Y164=1,Q164,0)</f>
        <v>0</v>
      </c>
      <c r="S164" s="422"/>
      <c r="T164" s="422"/>
      <c r="U164" s="422"/>
      <c r="V164" s="422"/>
      <c r="W164" s="422"/>
      <c r="X164" s="422"/>
      <c r="Y164" s="422">
        <v>2</v>
      </c>
      <c r="Z164" s="422"/>
      <c r="AA164" s="422"/>
      <c r="AB164" s="422"/>
      <c r="AC164" s="422"/>
      <c r="AD164" s="422"/>
      <c r="AE164" s="422"/>
      <c r="AF164" s="422"/>
      <c r="AG164" s="422"/>
      <c r="AH164" s="422"/>
      <c r="AI164" s="422"/>
      <c r="AJ164" s="422"/>
      <c r="AK164" s="422"/>
      <c r="AL164" s="422"/>
      <c r="AM164" s="422"/>
      <c r="AN164" s="422"/>
      <c r="AO164" s="422"/>
      <c r="AP164" s="422"/>
      <c r="AQ164" s="422"/>
      <c r="AR164" s="422"/>
      <c r="AS164" s="422"/>
      <c r="AT164" s="422"/>
      <c r="AU164" s="422"/>
      <c r="AV164" s="422"/>
      <c r="AW164" s="422"/>
      <c r="AX164" s="422"/>
      <c r="AY164" s="422"/>
      <c r="AZ164" s="422"/>
      <c r="BA164" s="422"/>
      <c r="BB164" s="422"/>
      <c r="BC164" s="422"/>
      <c r="BD164" s="422"/>
      <c r="BE164" s="422"/>
      <c r="BF164" s="423"/>
      <c r="BG164" s="423"/>
      <c r="BH164" s="423"/>
      <c r="BI164" s="423"/>
      <c r="BJ164" s="422"/>
      <c r="BK164" s="422"/>
      <c r="BL164" s="1073"/>
      <c r="BM164" s="422"/>
      <c r="BN164" s="422"/>
      <c r="BO164" s="422"/>
      <c r="BP164" s="422"/>
      <c r="BQ164" s="422"/>
      <c r="BR164" s="422"/>
      <c r="BS164" s="422"/>
      <c r="BT164" s="422"/>
      <c r="BU164" s="422"/>
      <c r="BV164" s="422"/>
      <c r="BW164" s="422"/>
      <c r="BX164" s="422"/>
      <c r="BY164" s="422"/>
      <c r="BZ164" s="422"/>
      <c r="CA164" s="422"/>
      <c r="CB164" s="422"/>
      <c r="CC164" s="422"/>
      <c r="CD164" s="422"/>
      <c r="CE164" s="422"/>
      <c r="CF164" s="422"/>
      <c r="CI164" s="466"/>
      <c r="CJ164" s="467"/>
      <c r="CK164" s="422"/>
      <c r="CL164" s="422"/>
      <c r="CM164" s="422"/>
      <c r="CN164" s="422"/>
      <c r="CO164" s="17"/>
      <c r="CP164" s="17"/>
      <c r="DG164" s="17"/>
      <c r="DH164" s="17"/>
      <c r="DI164" s="17"/>
      <c r="DJ164" s="17"/>
      <c r="DK164" s="17"/>
      <c r="DL164" s="17"/>
      <c r="DM164" s="17"/>
      <c r="DN164" s="17"/>
      <c r="DO164" s="17"/>
    </row>
    <row r="165" spans="1:119" s="330" customFormat="1" ht="18.75" customHeight="1" x14ac:dyDescent="0.2">
      <c r="A165" s="2708" t="s">
        <v>359</v>
      </c>
      <c r="B165" s="2709"/>
      <c r="C165" s="2709"/>
      <c r="D165" s="2709"/>
      <c r="E165" s="2709"/>
      <c r="F165" s="2709"/>
      <c r="G165" s="2710"/>
      <c r="H165" s="708"/>
      <c r="I165" s="709" t="s">
        <v>726</v>
      </c>
      <c r="J165" s="2468" t="str">
        <f>IF(H165&gt;0.1,IF($C$13&lt;1,"Fehler",O165)," ")</f>
        <v xml:space="preserve"> </v>
      </c>
      <c r="K165" s="2469"/>
      <c r="L165" s="2683"/>
      <c r="M165" s="2684"/>
      <c r="N165" s="18"/>
      <c r="O165" s="408" t="str">
        <f>IF(($C$13*H165*0.85)/1000=0," ",($C$13*H165*0.85)/1000)</f>
        <v xml:space="preserve"> </v>
      </c>
      <c r="P165" s="470">
        <f>IF(O165=" ",0,O165)</f>
        <v>0</v>
      </c>
      <c r="Q165" s="422">
        <f>IF(O165=" ",0,O165)</f>
        <v>0</v>
      </c>
      <c r="R165" s="422">
        <f t="shared" ref="R165:R170" si="188">IF(Y165=1,Q165,0)</f>
        <v>0</v>
      </c>
      <c r="S165" s="425"/>
      <c r="T165" s="425"/>
      <c r="U165" s="425"/>
      <c r="V165" s="425"/>
      <c r="W165" s="425"/>
      <c r="X165" s="425"/>
      <c r="Y165" s="425">
        <v>1</v>
      </c>
      <c r="Z165" s="328"/>
      <c r="AA165" s="328"/>
      <c r="AB165" s="328"/>
      <c r="AC165" s="328"/>
      <c r="AD165" s="425"/>
      <c r="AE165" s="425"/>
      <c r="AF165" s="425"/>
      <c r="AG165" s="425"/>
      <c r="AH165" s="425"/>
      <c r="AI165" s="425"/>
      <c r="AJ165" s="425"/>
      <c r="AK165" s="425"/>
      <c r="AL165" s="425"/>
      <c r="AM165" s="425"/>
      <c r="AN165" s="425"/>
      <c r="AO165" s="425"/>
      <c r="AP165" s="425"/>
      <c r="AQ165" s="425"/>
      <c r="AR165" s="425"/>
      <c r="AS165" s="425"/>
      <c r="AT165" s="425"/>
      <c r="AU165" s="425"/>
      <c r="AV165" s="425"/>
      <c r="AW165" s="425"/>
      <c r="AX165" s="425"/>
      <c r="AY165" s="425"/>
      <c r="AZ165" s="425"/>
      <c r="BA165" s="425"/>
      <c r="BB165" s="425"/>
      <c r="BC165" s="425"/>
      <c r="BD165" s="425"/>
      <c r="BE165" s="425"/>
      <c r="BF165" s="425"/>
      <c r="BG165" s="425"/>
      <c r="BH165" s="425"/>
      <c r="BI165" s="425"/>
      <c r="BJ165" s="425"/>
      <c r="BK165" s="425"/>
      <c r="BL165" s="1072"/>
      <c r="BM165" s="425"/>
      <c r="BN165" s="425"/>
      <c r="BO165" s="425"/>
      <c r="BP165" s="422"/>
      <c r="BQ165" s="422"/>
      <c r="BR165" s="422"/>
      <c r="BS165" s="422"/>
      <c r="BT165" s="422"/>
      <c r="BU165" s="422"/>
      <c r="BV165" s="422"/>
      <c r="BW165" s="422"/>
      <c r="BX165" s="422"/>
      <c r="BY165" s="425"/>
      <c r="BZ165" s="425"/>
      <c r="CA165" s="425"/>
      <c r="CB165" s="425"/>
      <c r="CC165" s="425"/>
      <c r="CD165" s="425"/>
      <c r="CE165" s="425"/>
      <c r="CF165" s="425"/>
      <c r="CI165" s="472"/>
      <c r="CJ165" s="467"/>
      <c r="CK165" s="425"/>
      <c r="CL165" s="425"/>
      <c r="CM165" s="425"/>
      <c r="CN165" s="425"/>
      <c r="CO165" s="328"/>
      <c r="CP165" s="328"/>
      <c r="CQ165" s="329"/>
      <c r="CR165" s="328"/>
      <c r="CS165" s="328"/>
      <c r="CT165" s="328"/>
      <c r="CU165" s="328"/>
      <c r="CV165" s="328"/>
      <c r="CW165" s="328"/>
      <c r="CX165" s="328"/>
      <c r="CY165" s="328"/>
      <c r="CZ165" s="328"/>
      <c r="DA165" s="328"/>
      <c r="DB165" s="328"/>
      <c r="DC165" s="328"/>
      <c r="DD165" s="328"/>
      <c r="DE165" s="328"/>
      <c r="DF165" s="328"/>
      <c r="DG165" s="328"/>
      <c r="DH165" s="328"/>
      <c r="DI165" s="328"/>
      <c r="DJ165" s="328"/>
      <c r="DK165" s="328"/>
      <c r="DL165" s="328"/>
      <c r="DM165" s="328"/>
      <c r="DN165" s="328"/>
      <c r="DO165" s="328"/>
    </row>
    <row r="166" spans="1:119" s="330" customFormat="1" ht="18.75" customHeight="1" x14ac:dyDescent="0.2">
      <c r="A166" s="2565" t="s">
        <v>360</v>
      </c>
      <c r="B166" s="2566"/>
      <c r="C166" s="2566"/>
      <c r="D166" s="2566"/>
      <c r="E166" s="2566"/>
      <c r="F166" s="2566"/>
      <c r="G166" s="2567"/>
      <c r="H166" s="878"/>
      <c r="I166" s="879" t="s">
        <v>726</v>
      </c>
      <c r="J166" s="2651" t="str">
        <f>IF(H166&gt;0.1,IF($C$13&lt;1,"Fehler",O166)," ")</f>
        <v xml:space="preserve"> </v>
      </c>
      <c r="K166" s="2652"/>
      <c r="L166" s="2563"/>
      <c r="M166" s="2564"/>
      <c r="N166" s="18"/>
      <c r="O166" s="408" t="str">
        <f>IF(($C$13*H166*0.85)/1000=0," ",($C$13*H166*0.85)/1000)</f>
        <v xml:space="preserve"> </v>
      </c>
      <c r="P166" s="470"/>
      <c r="Q166" s="422">
        <f>IF(O166=" ",0,O166)</f>
        <v>0</v>
      </c>
      <c r="R166" s="422">
        <f t="shared" si="188"/>
        <v>0</v>
      </c>
      <c r="S166" s="425"/>
      <c r="T166" s="425"/>
      <c r="U166" s="425"/>
      <c r="V166" s="425"/>
      <c r="W166" s="425"/>
      <c r="X166" s="425"/>
      <c r="Y166" s="425">
        <v>1</v>
      </c>
      <c r="Z166" s="328"/>
      <c r="AA166" s="328"/>
      <c r="AB166" s="328"/>
      <c r="AC166" s="328"/>
      <c r="AD166" s="425"/>
      <c r="AE166" s="425"/>
      <c r="AF166" s="425"/>
      <c r="AG166" s="425"/>
      <c r="AH166" s="425"/>
      <c r="AI166" s="425"/>
      <c r="AJ166" s="425"/>
      <c r="AK166" s="425"/>
      <c r="AL166" s="425"/>
      <c r="AM166" s="425"/>
      <c r="AN166" s="425"/>
      <c r="AO166" s="425"/>
      <c r="AP166" s="425"/>
      <c r="AQ166" s="425"/>
      <c r="AR166" s="425"/>
      <c r="AS166" s="425"/>
      <c r="AT166" s="425"/>
      <c r="AU166" s="425"/>
      <c r="AV166" s="425"/>
      <c r="AW166" s="425"/>
      <c r="AX166" s="425"/>
      <c r="AY166" s="425"/>
      <c r="AZ166" s="425"/>
      <c r="BA166" s="425"/>
      <c r="BB166" s="425"/>
      <c r="BC166" s="425"/>
      <c r="BD166" s="425"/>
      <c r="BE166" s="425"/>
      <c r="BF166" s="425"/>
      <c r="BG166" s="425"/>
      <c r="BH166" s="425"/>
      <c r="BI166" s="425"/>
      <c r="BJ166" s="425"/>
      <c r="BK166" s="425"/>
      <c r="BL166" s="1072"/>
      <c r="BM166" s="425"/>
      <c r="BN166" s="425"/>
      <c r="BO166" s="425"/>
      <c r="BP166" s="425"/>
      <c r="BQ166" s="425"/>
      <c r="BR166" s="425"/>
      <c r="BS166" s="425"/>
      <c r="BT166" s="425"/>
      <c r="BU166" s="425"/>
      <c r="BV166" s="425"/>
      <c r="BW166" s="425"/>
      <c r="BX166" s="425"/>
      <c r="BY166" s="425"/>
      <c r="BZ166" s="425"/>
      <c r="CA166" s="425"/>
      <c r="CB166" s="425"/>
      <c r="CC166" s="425"/>
      <c r="CD166" s="425"/>
      <c r="CE166" s="425"/>
      <c r="CF166" s="425"/>
      <c r="CI166" s="472"/>
      <c r="CJ166" s="467"/>
      <c r="CK166" s="425"/>
      <c r="CL166" s="425"/>
      <c r="CM166" s="425"/>
      <c r="CN166" s="425"/>
      <c r="CO166" s="328"/>
      <c r="CP166" s="328"/>
      <c r="CQ166" s="329"/>
      <c r="CR166" s="328"/>
      <c r="CS166" s="328"/>
      <c r="CT166" s="328"/>
      <c r="CU166" s="328"/>
      <c r="CV166" s="328"/>
      <c r="CW166" s="328"/>
      <c r="CX166" s="328"/>
      <c r="CY166" s="328"/>
      <c r="CZ166" s="328"/>
      <c r="DA166" s="328"/>
      <c r="DB166" s="328"/>
      <c r="DC166" s="328"/>
      <c r="DD166" s="328"/>
      <c r="DE166" s="328"/>
      <c r="DF166" s="328"/>
      <c r="DG166" s="328"/>
      <c r="DH166" s="328"/>
      <c r="DI166" s="328"/>
      <c r="DJ166" s="328"/>
      <c r="DK166" s="328"/>
      <c r="DL166" s="328"/>
      <c r="DM166" s="328"/>
      <c r="DN166" s="328"/>
      <c r="DO166" s="328"/>
    </row>
    <row r="167" spans="1:119" s="330" customFormat="1" ht="18.75" customHeight="1" x14ac:dyDescent="0.2">
      <c r="A167" s="2708" t="s">
        <v>349</v>
      </c>
      <c r="B167" s="2709"/>
      <c r="C167" s="2709"/>
      <c r="D167" s="2709"/>
      <c r="E167" s="2709"/>
      <c r="F167" s="2709"/>
      <c r="G167" s="2710"/>
      <c r="H167" s="516"/>
      <c r="I167" s="880" t="s">
        <v>727</v>
      </c>
      <c r="J167" s="2468" t="str">
        <f>+IF(H167&gt;0.1,H167*33.2," ")</f>
        <v xml:space="preserve"> </v>
      </c>
      <c r="K167" s="2469"/>
      <c r="L167" s="2683"/>
      <c r="M167" s="2684"/>
      <c r="N167" s="18"/>
      <c r="O167" s="328"/>
      <c r="P167" s="471"/>
      <c r="Q167" s="422">
        <f>IF(J167=" ",0,J167)</f>
        <v>0</v>
      </c>
      <c r="R167" s="422">
        <f t="shared" si="188"/>
        <v>0</v>
      </c>
      <c r="S167" s="425"/>
      <c r="T167" s="425"/>
      <c r="U167" s="425"/>
      <c r="V167" s="425"/>
      <c r="W167" s="425"/>
      <c r="X167" s="425"/>
      <c r="Y167" s="425">
        <v>1</v>
      </c>
      <c r="Z167" s="328"/>
      <c r="AA167" s="328"/>
      <c r="AB167" s="328"/>
      <c r="AC167" s="328"/>
      <c r="AD167" s="425"/>
      <c r="AE167" s="425"/>
      <c r="AF167" s="425"/>
      <c r="AG167" s="425"/>
      <c r="AH167" s="425"/>
      <c r="AI167" s="425"/>
      <c r="AJ167" s="425"/>
      <c r="AK167" s="425"/>
      <c r="AL167" s="425"/>
      <c r="AM167" s="425"/>
      <c r="AN167" s="425"/>
      <c r="AO167" s="425"/>
      <c r="AP167" s="425"/>
      <c r="AQ167" s="425"/>
      <c r="AR167" s="425"/>
      <c r="AS167" s="425"/>
      <c r="AT167" s="425"/>
      <c r="AU167" s="425"/>
      <c r="AV167" s="425"/>
      <c r="AW167" s="425"/>
      <c r="AX167" s="425"/>
      <c r="AY167" s="425"/>
      <c r="AZ167" s="425"/>
      <c r="BA167" s="425"/>
      <c r="BB167" s="425"/>
      <c r="BC167" s="425"/>
      <c r="BD167" s="425"/>
      <c r="BE167" s="425"/>
      <c r="BF167" s="425"/>
      <c r="BG167" s="425"/>
      <c r="BH167" s="425"/>
      <c r="BI167" s="425"/>
      <c r="BJ167" s="425"/>
      <c r="BK167" s="425"/>
      <c r="BL167" s="1072"/>
      <c r="BM167" s="425"/>
      <c r="BN167" s="425"/>
      <c r="BO167" s="425"/>
      <c r="BP167" s="425"/>
      <c r="BQ167" s="425"/>
      <c r="BR167" s="425"/>
      <c r="BS167" s="425"/>
      <c r="BT167" s="425"/>
      <c r="BU167" s="425"/>
      <c r="BV167" s="425"/>
      <c r="BW167" s="425"/>
      <c r="BX167" s="425"/>
      <c r="BY167" s="425"/>
      <c r="BZ167" s="425"/>
      <c r="CA167" s="425"/>
      <c r="CB167" s="425"/>
      <c r="CC167" s="425"/>
      <c r="CD167" s="425"/>
      <c r="CE167" s="425"/>
      <c r="CF167" s="425"/>
      <c r="CI167" s="472"/>
      <c r="CJ167" s="467"/>
      <c r="CK167" s="425"/>
      <c r="CL167" s="425"/>
      <c r="CM167" s="425"/>
      <c r="CN167" s="425"/>
      <c r="CO167" s="328"/>
      <c r="CP167" s="328"/>
      <c r="CQ167" s="328"/>
      <c r="CR167" s="328"/>
      <c r="CS167" s="328"/>
      <c r="CT167" s="328"/>
      <c r="CU167" s="328"/>
      <c r="CV167" s="328"/>
      <c r="CW167" s="328"/>
      <c r="CX167" s="328"/>
      <c r="CY167" s="328"/>
      <c r="CZ167" s="328"/>
      <c r="DA167" s="328"/>
      <c r="DB167" s="328"/>
      <c r="DC167" s="328"/>
      <c r="DD167" s="328"/>
      <c r="DE167" s="328"/>
      <c r="DF167" s="328"/>
      <c r="DG167" s="328"/>
      <c r="DH167" s="328"/>
      <c r="DI167" s="328"/>
      <c r="DJ167" s="328"/>
      <c r="DK167" s="328"/>
      <c r="DL167" s="328"/>
      <c r="DM167" s="328"/>
      <c r="DN167" s="328"/>
      <c r="DO167" s="328"/>
    </row>
    <row r="168" spans="1:119" s="330" customFormat="1" ht="18.75" customHeight="1" x14ac:dyDescent="0.2">
      <c r="A168" s="2874" t="s">
        <v>356</v>
      </c>
      <c r="B168" s="2875"/>
      <c r="C168" s="2875"/>
      <c r="D168" s="2875"/>
      <c r="E168" s="2875"/>
      <c r="F168" s="2875"/>
      <c r="G168" s="2876"/>
      <c r="H168" s="711"/>
      <c r="I168" s="710" t="s">
        <v>1</v>
      </c>
      <c r="J168" s="2442" t="str">
        <f>IF(H168&gt;0.1,H168," ")</f>
        <v xml:space="preserve"> </v>
      </c>
      <c r="K168" s="2443"/>
      <c r="L168" s="2571"/>
      <c r="M168" s="2572"/>
      <c r="N168" s="18"/>
      <c r="O168" s="328"/>
      <c r="P168" s="474">
        <f>IF(J168=" ",0,J168)</f>
        <v>0</v>
      </c>
      <c r="Q168" s="422">
        <f>IF(J168=" ",0,J168)</f>
        <v>0</v>
      </c>
      <c r="R168" s="422">
        <f t="shared" si="188"/>
        <v>0</v>
      </c>
      <c r="S168" s="425"/>
      <c r="T168" s="425"/>
      <c r="U168" s="425"/>
      <c r="V168" s="425"/>
      <c r="W168" s="425"/>
      <c r="X168" s="425"/>
      <c r="Y168" s="425">
        <v>2</v>
      </c>
      <c r="Z168" s="328"/>
      <c r="AA168" s="328"/>
      <c r="AB168" s="328"/>
      <c r="AC168" s="328"/>
      <c r="AD168" s="425"/>
      <c r="AE168" s="425"/>
      <c r="AF168" s="425"/>
      <c r="AG168" s="425"/>
      <c r="AH168" s="425"/>
      <c r="AI168" s="425"/>
      <c r="AJ168" s="425"/>
      <c r="AK168" s="425"/>
      <c r="AL168" s="425"/>
      <c r="AM168" s="425"/>
      <c r="AN168" s="425"/>
      <c r="AO168" s="425"/>
      <c r="AP168" s="425"/>
      <c r="AQ168" s="425"/>
      <c r="AR168" s="425"/>
      <c r="AS168" s="425"/>
      <c r="AT168" s="425"/>
      <c r="AU168" s="425"/>
      <c r="AV168" s="425"/>
      <c r="AW168" s="425"/>
      <c r="AX168" s="425"/>
      <c r="AY168" s="425"/>
      <c r="AZ168" s="425"/>
      <c r="BA168" s="425"/>
      <c r="BB168" s="425"/>
      <c r="BC168" s="425"/>
      <c r="BD168" s="425"/>
      <c r="BE168" s="425"/>
      <c r="BF168" s="425"/>
      <c r="BG168" s="425"/>
      <c r="BH168" s="425"/>
      <c r="BI168" s="425"/>
      <c r="BJ168" s="425"/>
      <c r="BK168" s="425"/>
      <c r="BL168" s="1072"/>
      <c r="BM168" s="425"/>
      <c r="BN168" s="425"/>
      <c r="BO168" s="425"/>
      <c r="BP168" s="425"/>
      <c r="BQ168" s="425"/>
      <c r="BR168" s="425"/>
      <c r="BS168" s="425"/>
      <c r="BT168" s="425"/>
      <c r="BU168" s="425"/>
      <c r="BV168" s="425"/>
      <c r="BW168" s="425"/>
      <c r="BX168" s="425"/>
      <c r="BY168" s="425"/>
      <c r="BZ168" s="425"/>
      <c r="CA168" s="425"/>
      <c r="CB168" s="425"/>
      <c r="CC168" s="425"/>
      <c r="CD168" s="425"/>
      <c r="CE168" s="425"/>
      <c r="CF168" s="425"/>
      <c r="CI168" s="472"/>
      <c r="CJ168" s="467"/>
      <c r="CK168" s="425"/>
      <c r="CL168" s="425"/>
      <c r="CM168" s="425"/>
      <c r="CN168" s="425"/>
      <c r="CO168" s="328"/>
      <c r="CP168" s="328"/>
      <c r="CQ168" s="329"/>
      <c r="CR168" s="328"/>
      <c r="CS168" s="328"/>
      <c r="CT168" s="328"/>
      <c r="CU168" s="328"/>
      <c r="CV168" s="328"/>
      <c r="CW168" s="328"/>
      <c r="CX168" s="328"/>
      <c r="CY168" s="328"/>
      <c r="CZ168" s="328"/>
      <c r="DA168" s="328"/>
      <c r="DB168" s="328"/>
      <c r="DC168" s="328"/>
      <c r="DD168" s="328"/>
      <c r="DE168" s="328"/>
      <c r="DF168" s="328"/>
      <c r="DG168" s="328"/>
      <c r="DH168" s="328"/>
      <c r="DI168" s="328"/>
      <c r="DJ168" s="328"/>
      <c r="DK168" s="328"/>
      <c r="DL168" s="328"/>
      <c r="DM168" s="328"/>
      <c r="DN168" s="328"/>
      <c r="DO168" s="328"/>
    </row>
    <row r="169" spans="1:119" s="330" customFormat="1" ht="18.75" customHeight="1" x14ac:dyDescent="0.2">
      <c r="A169" s="712" t="s">
        <v>357</v>
      </c>
      <c r="B169" s="713"/>
      <c r="C169" s="713"/>
      <c r="D169" s="713"/>
      <c r="E169" s="714"/>
      <c r="F169" s="714"/>
      <c r="G169" s="714"/>
      <c r="H169" s="516"/>
      <c r="I169" s="715" t="s">
        <v>1</v>
      </c>
      <c r="J169" s="2466" t="str">
        <f>IF(H169&gt;0.1,H169," ")</f>
        <v xml:space="preserve"> </v>
      </c>
      <c r="K169" s="2467"/>
      <c r="L169" s="2878" t="s">
        <v>721</v>
      </c>
      <c r="M169" s="2879"/>
      <c r="N169" s="18"/>
      <c r="O169" s="328"/>
      <c r="P169" s="425"/>
      <c r="Q169" s="422">
        <f>IF(J169=" ",0,J169)</f>
        <v>0</v>
      </c>
      <c r="R169" s="422">
        <f t="shared" si="188"/>
        <v>0</v>
      </c>
      <c r="S169" s="425"/>
      <c r="T169" s="425"/>
      <c r="U169" s="425"/>
      <c r="V169" s="425"/>
      <c r="W169" s="425"/>
      <c r="X169" s="425"/>
      <c r="Y169" s="425">
        <v>1</v>
      </c>
      <c r="Z169" s="328"/>
      <c r="AA169" s="328"/>
      <c r="AB169" s="328"/>
      <c r="AC169" s="328"/>
      <c r="AD169" s="425"/>
      <c r="AE169" s="425"/>
      <c r="AF169" s="425"/>
      <c r="AG169" s="425"/>
      <c r="AH169" s="425"/>
      <c r="AI169" s="425"/>
      <c r="AJ169" s="425"/>
      <c r="AK169" s="425"/>
      <c r="AL169" s="425"/>
      <c r="AM169" s="425"/>
      <c r="AN169" s="425"/>
      <c r="AO169" s="425"/>
      <c r="AP169" s="425"/>
      <c r="AQ169" s="425"/>
      <c r="AR169" s="425"/>
      <c r="AS169" s="425"/>
      <c r="AT169" s="425"/>
      <c r="AU169" s="425"/>
      <c r="AV169" s="425"/>
      <c r="AW169" s="425"/>
      <c r="AX169" s="425"/>
      <c r="AY169" s="425"/>
      <c r="AZ169" s="425"/>
      <c r="BA169" s="425"/>
      <c r="BB169" s="425"/>
      <c r="BC169" s="425"/>
      <c r="BD169" s="425"/>
      <c r="BE169" s="425"/>
      <c r="BF169" s="425"/>
      <c r="BG169" s="425"/>
      <c r="BH169" s="425"/>
      <c r="BI169" s="425"/>
      <c r="BJ169" s="425"/>
      <c r="BK169" s="425"/>
      <c r="BL169" s="1072"/>
      <c r="BM169" s="425"/>
      <c r="BN169" s="425"/>
      <c r="BO169" s="425"/>
      <c r="BP169" s="425"/>
      <c r="BQ169" s="425"/>
      <c r="BR169" s="425"/>
      <c r="BS169" s="425"/>
      <c r="BT169" s="425"/>
      <c r="BU169" s="425"/>
      <c r="BV169" s="425"/>
      <c r="BW169" s="425"/>
      <c r="BX169" s="425"/>
      <c r="BY169" s="425"/>
      <c r="BZ169" s="425"/>
      <c r="CA169" s="425"/>
      <c r="CB169" s="425"/>
      <c r="CC169" s="425"/>
      <c r="CD169" s="425"/>
      <c r="CE169" s="425"/>
      <c r="CF169" s="425"/>
      <c r="CI169" s="472"/>
      <c r="CJ169" s="467"/>
      <c r="CK169" s="425"/>
      <c r="CL169" s="425"/>
      <c r="CM169" s="425"/>
      <c r="CN169" s="425"/>
      <c r="CO169" s="328"/>
      <c r="CP169" s="328"/>
      <c r="CQ169" s="329"/>
      <c r="CR169" s="328"/>
      <c r="CS169" s="328"/>
      <c r="CT169" s="328"/>
      <c r="CU169" s="328"/>
      <c r="CV169" s="328"/>
      <c r="CW169" s="328"/>
      <c r="CX169" s="328"/>
      <c r="CY169" s="328"/>
      <c r="CZ169" s="328"/>
      <c r="DA169" s="328"/>
      <c r="DB169" s="328"/>
      <c r="DC169" s="328"/>
      <c r="DD169" s="328"/>
      <c r="DE169" s="328"/>
      <c r="DF169" s="328"/>
      <c r="DG169" s="328"/>
      <c r="DH169" s="328"/>
      <c r="DI169" s="328"/>
      <c r="DJ169" s="328"/>
      <c r="DK169" s="328"/>
      <c r="DL169" s="328"/>
      <c r="DM169" s="328"/>
      <c r="DN169" s="328"/>
      <c r="DO169" s="328"/>
    </row>
    <row r="170" spans="1:119" s="330" customFormat="1" ht="18.75" customHeight="1" thickBot="1" x14ac:dyDescent="0.25">
      <c r="A170" s="663" t="s">
        <v>357</v>
      </c>
      <c r="B170" s="664"/>
      <c r="C170" s="664"/>
      <c r="D170" s="664"/>
      <c r="E170" s="665"/>
      <c r="F170" s="665"/>
      <c r="G170" s="665"/>
      <c r="H170" s="515"/>
      <c r="I170" s="514" t="s">
        <v>1</v>
      </c>
      <c r="J170" s="2464" t="str">
        <f>IF(H170&gt;0.1,H170," ")</f>
        <v xml:space="preserve"> </v>
      </c>
      <c r="K170" s="2465"/>
      <c r="L170" s="2450" t="s">
        <v>731</v>
      </c>
      <c r="M170" s="2451"/>
      <c r="N170" s="18"/>
      <c r="O170" s="328"/>
      <c r="P170" s="425"/>
      <c r="Q170" s="422">
        <f>IF(J170=" ",0,J170)</f>
        <v>0</v>
      </c>
      <c r="R170" s="422">
        <f t="shared" si="188"/>
        <v>0</v>
      </c>
      <c r="S170" s="425"/>
      <c r="T170" s="425"/>
      <c r="U170" s="425"/>
      <c r="V170" s="425"/>
      <c r="W170" s="425"/>
      <c r="X170" s="425"/>
      <c r="Y170" s="425">
        <v>2</v>
      </c>
      <c r="Z170" s="328"/>
      <c r="AA170" s="328"/>
      <c r="AB170" s="328"/>
      <c r="AC170" s="328"/>
      <c r="AD170" s="425"/>
      <c r="AE170" s="425"/>
      <c r="AF170" s="425"/>
      <c r="AG170" s="425"/>
      <c r="AH170" s="425"/>
      <c r="AI170" s="425"/>
      <c r="AJ170" s="425"/>
      <c r="AK170" s="425"/>
      <c r="AL170" s="425"/>
      <c r="AM170" s="425"/>
      <c r="AN170" s="425"/>
      <c r="AO170" s="425"/>
      <c r="AP170" s="425"/>
      <c r="AQ170" s="425"/>
      <c r="AR170" s="425"/>
      <c r="AS170" s="425"/>
      <c r="AT170" s="425"/>
      <c r="AU170" s="425"/>
      <c r="AV170" s="425"/>
      <c r="AW170" s="425"/>
      <c r="AX170" s="425"/>
      <c r="AY170" s="425"/>
      <c r="AZ170" s="425"/>
      <c r="BA170" s="425"/>
      <c r="BB170" s="425"/>
      <c r="BC170" s="425"/>
      <c r="BD170" s="425"/>
      <c r="BE170" s="425"/>
      <c r="BF170" s="425"/>
      <c r="BG170" s="425"/>
      <c r="BH170" s="425"/>
      <c r="BI170" s="425"/>
      <c r="BJ170" s="425"/>
      <c r="BK170" s="425"/>
      <c r="BL170" s="1072"/>
      <c r="BM170" s="425"/>
      <c r="BN170" s="425"/>
      <c r="BO170" s="425"/>
      <c r="BP170" s="425"/>
      <c r="BQ170" s="425"/>
      <c r="BR170" s="425"/>
      <c r="BS170" s="425"/>
      <c r="BT170" s="425"/>
      <c r="BU170" s="425"/>
      <c r="BV170" s="425"/>
      <c r="BW170" s="425"/>
      <c r="BX170" s="425"/>
      <c r="BY170" s="425"/>
      <c r="BZ170" s="425"/>
      <c r="CA170" s="425"/>
      <c r="CB170" s="425"/>
      <c r="CC170" s="425"/>
      <c r="CD170" s="425"/>
      <c r="CE170" s="425"/>
      <c r="CF170" s="425"/>
      <c r="CI170" s="472"/>
      <c r="CJ170" s="467"/>
      <c r="CK170" s="425"/>
      <c r="CL170" s="425"/>
      <c r="CM170" s="425"/>
      <c r="CN170" s="425"/>
      <c r="CO170" s="328"/>
      <c r="CP170" s="328"/>
      <c r="CQ170" s="328"/>
      <c r="CR170" s="328"/>
      <c r="CS170" s="328"/>
      <c r="CT170" s="328"/>
      <c r="CU170" s="328"/>
      <c r="CV170" s="328"/>
      <c r="CW170" s="328"/>
      <c r="CX170" s="328"/>
      <c r="CY170" s="328"/>
      <c r="CZ170" s="328"/>
      <c r="DA170" s="328"/>
      <c r="DB170" s="328"/>
      <c r="DC170" s="328"/>
      <c r="DD170" s="328"/>
      <c r="DE170" s="328"/>
      <c r="DF170" s="328"/>
      <c r="DG170" s="328"/>
      <c r="DH170" s="328"/>
      <c r="DI170" s="328"/>
      <c r="DJ170" s="328"/>
      <c r="DK170" s="328"/>
      <c r="DL170" s="328"/>
      <c r="DM170" s="328"/>
      <c r="DN170" s="328"/>
      <c r="DO170" s="328"/>
    </row>
    <row r="171" spans="1:119" s="330" customFormat="1" ht="17.25" customHeight="1" x14ac:dyDescent="0.2">
      <c r="A171" s="2877"/>
      <c r="B171" s="2877"/>
      <c r="C171" s="2877"/>
      <c r="D171" s="2877"/>
      <c r="E171" s="2877"/>
      <c r="F171" s="2877"/>
      <c r="G171" s="2877"/>
      <c r="H171" s="2877"/>
      <c r="I171" s="2877"/>
      <c r="J171" s="2877"/>
      <c r="K171" s="2877"/>
      <c r="L171" s="2877"/>
      <c r="M171" s="22"/>
      <c r="N171" s="19"/>
      <c r="O171" s="329"/>
      <c r="P171" s="475"/>
      <c r="Q171" s="475"/>
      <c r="R171" s="475">
        <f>SUM(R164:R170)</f>
        <v>0</v>
      </c>
      <c r="S171" s="475"/>
      <c r="T171" s="475"/>
      <c r="U171" s="475"/>
      <c r="V171" s="475"/>
      <c r="W171" s="475"/>
      <c r="X171" s="475"/>
      <c r="Y171" s="475"/>
      <c r="AD171" s="484"/>
      <c r="AE171" s="484"/>
      <c r="AF171" s="484"/>
      <c r="AG171" s="484"/>
      <c r="AH171" s="484"/>
      <c r="AI171" s="484"/>
      <c r="AJ171" s="484"/>
      <c r="AK171" s="484"/>
      <c r="AL171" s="484"/>
      <c r="AM171" s="484"/>
      <c r="AN171" s="484"/>
      <c r="AO171" s="484"/>
      <c r="AP171" s="484"/>
      <c r="AQ171" s="484"/>
      <c r="AR171" s="484"/>
      <c r="AS171" s="484"/>
      <c r="AT171" s="484"/>
      <c r="AU171" s="484"/>
      <c r="AV171" s="484"/>
      <c r="AW171" s="485" t="s">
        <v>284</v>
      </c>
      <c r="AX171" s="475"/>
      <c r="AY171" s="475"/>
      <c r="AZ171" s="475"/>
      <c r="BA171" s="475"/>
      <c r="BB171" s="475"/>
      <c r="BC171" s="475"/>
      <c r="BD171" s="475"/>
      <c r="BE171" s="475"/>
      <c r="BF171" s="475"/>
      <c r="BG171" s="475"/>
      <c r="BH171" s="475"/>
      <c r="BI171" s="475"/>
      <c r="BJ171" s="475"/>
      <c r="BK171" s="425"/>
      <c r="BL171" s="1072"/>
      <c r="BM171" s="425"/>
      <c r="BN171" s="425"/>
      <c r="BO171" s="425"/>
      <c r="BP171" s="425"/>
      <c r="BQ171" s="425"/>
      <c r="BR171" s="425"/>
      <c r="BS171" s="425"/>
      <c r="BT171" s="425"/>
      <c r="BU171" s="425"/>
      <c r="BV171" s="425"/>
      <c r="BW171" s="425"/>
      <c r="BX171" s="425"/>
      <c r="BY171" s="425"/>
      <c r="BZ171" s="425"/>
      <c r="CA171" s="425"/>
      <c r="CB171" s="425"/>
      <c r="CC171" s="425"/>
      <c r="CD171" s="425"/>
      <c r="CE171" s="425"/>
      <c r="CF171" s="425"/>
      <c r="CI171" s="472"/>
      <c r="CJ171" s="467"/>
      <c r="CK171" s="425"/>
      <c r="CL171" s="425"/>
      <c r="CM171" s="425"/>
      <c r="CN171" s="425"/>
      <c r="CO171" s="328"/>
      <c r="CP171" s="328"/>
      <c r="CQ171" s="328"/>
      <c r="CR171" s="328"/>
      <c r="CS171" s="328"/>
      <c r="CT171" s="328"/>
      <c r="CU171" s="328"/>
      <c r="CV171" s="328"/>
      <c r="CW171" s="328"/>
      <c r="CX171" s="328"/>
      <c r="CY171" s="328"/>
      <c r="CZ171" s="328"/>
      <c r="DA171" s="328"/>
      <c r="DB171" s="328"/>
      <c r="DC171" s="328"/>
      <c r="DD171" s="328"/>
      <c r="DE171" s="328"/>
      <c r="DF171" s="328"/>
      <c r="DG171" s="328"/>
      <c r="DH171" s="328"/>
      <c r="DI171" s="328"/>
      <c r="DJ171" s="328"/>
      <c r="DK171" s="328"/>
      <c r="DL171" s="328"/>
      <c r="DM171" s="328"/>
      <c r="DN171" s="328"/>
      <c r="DO171" s="328"/>
    </row>
    <row r="172" spans="1:119" s="330" customFormat="1" ht="17.25" customHeight="1" thickBot="1" x14ac:dyDescent="0.25">
      <c r="A172" s="22"/>
      <c r="B172" s="22"/>
      <c r="C172" s="22"/>
      <c r="D172" s="22"/>
      <c r="E172" s="22"/>
      <c r="F172" s="22"/>
      <c r="G172" s="22"/>
      <c r="H172" s="22"/>
      <c r="I172" s="22"/>
      <c r="J172" s="22"/>
      <c r="K172" s="22"/>
      <c r="L172" s="22"/>
      <c r="M172" s="22"/>
      <c r="N172" s="19"/>
      <c r="O172" s="329"/>
      <c r="P172" s="475"/>
      <c r="Q172" s="475"/>
      <c r="R172" s="475"/>
      <c r="S172" s="475"/>
      <c r="T172" s="475"/>
      <c r="U172" s="475"/>
      <c r="V172" s="475"/>
      <c r="W172" s="475"/>
      <c r="X172" s="475"/>
      <c r="Y172" s="475"/>
      <c r="AD172" s="484"/>
      <c r="AE172" s="484"/>
      <c r="AF172" s="484"/>
      <c r="AG172" s="484"/>
      <c r="AH172" s="484"/>
      <c r="AI172" s="484"/>
      <c r="AJ172" s="484"/>
      <c r="AK172" s="484"/>
      <c r="AL172" s="484"/>
      <c r="AM172" s="484"/>
      <c r="AN172" s="484"/>
      <c r="AO172" s="484"/>
      <c r="AP172" s="484"/>
      <c r="AQ172" s="484"/>
      <c r="AR172" s="484"/>
      <c r="AS172" s="484"/>
      <c r="AT172" s="484"/>
      <c r="AU172" s="484"/>
      <c r="AV172" s="484"/>
      <c r="AW172" s="485"/>
      <c r="AX172" s="475"/>
      <c r="AY172" s="475"/>
      <c r="AZ172" s="475"/>
      <c r="BA172" s="475"/>
      <c r="BB172" s="475"/>
      <c r="BC172" s="475"/>
      <c r="BD172" s="475"/>
      <c r="BE172" s="475"/>
      <c r="BF172" s="475"/>
      <c r="BG172" s="475"/>
      <c r="BH172" s="475"/>
      <c r="BI172" s="475"/>
      <c r="BJ172" s="475"/>
      <c r="BK172" s="425"/>
      <c r="BL172" s="1072"/>
      <c r="BM172" s="425"/>
      <c r="BN172" s="425"/>
      <c r="BO172" s="425"/>
      <c r="BP172" s="425"/>
      <c r="BQ172" s="425"/>
      <c r="BR172" s="425"/>
      <c r="BS172" s="425"/>
      <c r="BT172" s="425"/>
      <c r="BU172" s="425"/>
      <c r="BV172" s="425"/>
      <c r="BW172" s="425"/>
      <c r="BX172" s="425"/>
      <c r="BY172" s="425"/>
      <c r="BZ172" s="425"/>
      <c r="CA172" s="425"/>
      <c r="CB172" s="425"/>
      <c r="CC172" s="425"/>
      <c r="CD172" s="425"/>
      <c r="CE172" s="425"/>
      <c r="CF172" s="425"/>
      <c r="CI172" s="472"/>
      <c r="CJ172" s="467"/>
      <c r="CK172" s="425"/>
      <c r="CL172" s="425"/>
      <c r="CM172" s="425"/>
      <c r="CN172" s="425"/>
      <c r="CO172" s="328"/>
      <c r="CP172" s="328"/>
      <c r="CQ172" s="328"/>
      <c r="CR172" s="328"/>
      <c r="CS172" s="328"/>
      <c r="CT172" s="328"/>
      <c r="CU172" s="328"/>
      <c r="CV172" s="328"/>
      <c r="CW172" s="328"/>
      <c r="CX172" s="328"/>
      <c r="CY172" s="328"/>
      <c r="CZ172" s="328"/>
      <c r="DA172" s="328"/>
      <c r="DB172" s="328"/>
      <c r="DC172" s="328"/>
      <c r="DD172" s="328"/>
      <c r="DE172" s="328"/>
      <c r="DF172" s="328"/>
      <c r="DG172" s="328"/>
      <c r="DH172" s="328"/>
      <c r="DI172" s="328"/>
      <c r="DJ172" s="328"/>
      <c r="DK172" s="328"/>
      <c r="DL172" s="328"/>
      <c r="DM172" s="328"/>
      <c r="DN172" s="328"/>
      <c r="DO172" s="328"/>
    </row>
    <row r="173" spans="1:119" s="330" customFormat="1" ht="17.25" customHeight="1" thickBot="1" x14ac:dyDescent="0.25">
      <c r="A173" s="1050" t="s">
        <v>861</v>
      </c>
      <c r="B173" s="1051"/>
      <c r="C173" s="1051"/>
      <c r="D173" s="1051"/>
      <c r="E173" s="1051"/>
      <c r="F173" s="1051"/>
      <c r="G173" s="1051"/>
      <c r="H173" s="1051"/>
      <c r="I173" s="1051"/>
      <c r="J173" s="1051"/>
      <c r="K173" s="1051"/>
      <c r="L173" s="1051"/>
      <c r="M173" s="1052"/>
      <c r="N173" s="19"/>
      <c r="O173" s="329"/>
      <c r="P173" s="475"/>
      <c r="Q173" s="549" t="s">
        <v>492</v>
      </c>
      <c r="R173" s="634" t="s">
        <v>489</v>
      </c>
      <c r="S173" s="475" t="s">
        <v>497</v>
      </c>
      <c r="T173" s="475"/>
      <c r="U173" s="475"/>
      <c r="V173" s="475"/>
      <c r="W173" s="475"/>
      <c r="X173" s="475"/>
      <c r="Y173" s="475"/>
      <c r="AD173" s="484"/>
      <c r="AE173" s="484"/>
      <c r="AF173" s="484"/>
      <c r="AG173" s="484"/>
      <c r="AH173" s="484"/>
      <c r="AI173" s="484"/>
      <c r="AJ173" s="484"/>
      <c r="AK173" s="484"/>
      <c r="AL173" s="484"/>
      <c r="AM173" s="484"/>
      <c r="AN173" s="484"/>
      <c r="AO173" s="484"/>
      <c r="AP173" s="484"/>
      <c r="AQ173" s="484"/>
      <c r="AR173" s="484"/>
      <c r="AS173" s="484"/>
      <c r="AT173" s="484"/>
      <c r="AU173" s="484"/>
      <c r="AV173" s="484"/>
      <c r="AW173" s="485"/>
      <c r="AX173" s="475"/>
      <c r="AY173" s="475"/>
      <c r="AZ173" s="475"/>
      <c r="BA173" s="475"/>
      <c r="BB173" s="475"/>
      <c r="BC173" s="475"/>
      <c r="BD173" s="475"/>
      <c r="BE173" s="475"/>
      <c r="BF173" s="475"/>
      <c r="BG173" s="475"/>
      <c r="BH173" s="475"/>
      <c r="BI173" s="475"/>
      <c r="BJ173" s="475"/>
      <c r="BK173" s="425"/>
      <c r="BL173" s="1072"/>
      <c r="BM173" s="425"/>
      <c r="BN173" s="425"/>
      <c r="BO173" s="425"/>
      <c r="BP173" s="425"/>
      <c r="BQ173" s="425"/>
      <c r="BR173" s="425"/>
      <c r="BS173" s="425"/>
      <c r="BT173" s="425"/>
      <c r="BU173" s="425"/>
      <c r="BV173" s="425"/>
      <c r="BW173" s="425"/>
      <c r="BX173" s="425"/>
      <c r="BY173" s="425"/>
      <c r="BZ173" s="425"/>
      <c r="CA173" s="425"/>
      <c r="CB173" s="425"/>
      <c r="CC173" s="425"/>
      <c r="CD173" s="425"/>
      <c r="CE173" s="425"/>
      <c r="CF173" s="425"/>
      <c r="CI173" s="472"/>
      <c r="CJ173" s="467"/>
      <c r="CK173" s="425"/>
      <c r="CL173" s="425"/>
      <c r="CM173" s="425"/>
      <c r="CN173" s="425"/>
      <c r="CO173" s="328"/>
      <c r="CP173" s="328"/>
      <c r="CQ173" s="328"/>
      <c r="CR173" s="328"/>
      <c r="CS173" s="328"/>
      <c r="CT173" s="328"/>
      <c r="CU173" s="328"/>
      <c r="CV173" s="328"/>
      <c r="CW173" s="328"/>
      <c r="CX173" s="328"/>
      <c r="CY173" s="328"/>
      <c r="CZ173" s="328"/>
      <c r="DA173" s="328"/>
      <c r="DB173" s="328"/>
      <c r="DC173" s="328"/>
      <c r="DD173" s="328"/>
      <c r="DE173" s="328"/>
      <c r="DF173" s="328"/>
      <c r="DG173" s="328"/>
      <c r="DH173" s="328"/>
      <c r="DI173" s="328"/>
      <c r="DJ173" s="328"/>
      <c r="DK173" s="328"/>
      <c r="DL173" s="328"/>
      <c r="DM173" s="328"/>
      <c r="DN173" s="328"/>
      <c r="DO173" s="328"/>
    </row>
    <row r="174" spans="1:119" s="330" customFormat="1" ht="17.25" customHeight="1" thickBot="1" x14ac:dyDescent="0.25">
      <c r="A174" s="22"/>
      <c r="B174" s="22"/>
      <c r="C174" s="22"/>
      <c r="D174" s="22"/>
      <c r="E174" s="22"/>
      <c r="F174" s="22"/>
      <c r="G174" s="22"/>
      <c r="H174" s="22"/>
      <c r="I174" s="22"/>
      <c r="J174" s="22"/>
      <c r="K174" s="22"/>
      <c r="L174" s="22"/>
      <c r="M174" s="22"/>
      <c r="N174" s="19"/>
      <c r="O174" s="329"/>
      <c r="P174" s="475"/>
      <c r="Q174" s="553" t="s">
        <v>498</v>
      </c>
      <c r="R174" s="635" t="s">
        <v>674</v>
      </c>
      <c r="S174" s="330" t="s">
        <v>716</v>
      </c>
      <c r="T174" s="475"/>
      <c r="U174" s="475"/>
      <c r="V174" s="475"/>
      <c r="W174" s="475"/>
      <c r="X174" s="475"/>
      <c r="Y174" s="475"/>
      <c r="AD174" s="484"/>
      <c r="AE174" s="484"/>
      <c r="AF174" s="484"/>
      <c r="AG174" s="484"/>
      <c r="AH174" s="484"/>
      <c r="AI174" s="484"/>
      <c r="AJ174" s="484"/>
      <c r="AK174" s="484"/>
      <c r="AL174" s="484"/>
      <c r="AM174" s="484"/>
      <c r="AN174" s="484"/>
      <c r="AO174" s="484"/>
      <c r="AP174" s="484"/>
      <c r="AQ174" s="484"/>
      <c r="AR174" s="484"/>
      <c r="AS174" s="484"/>
      <c r="AT174" s="484"/>
      <c r="AU174" s="484"/>
      <c r="AV174" s="484"/>
      <c r="AW174" s="485"/>
      <c r="AX174" s="475"/>
      <c r="AY174" s="475"/>
      <c r="AZ174" s="475"/>
      <c r="BA174" s="475"/>
      <c r="BB174" s="475"/>
      <c r="BC174" s="475"/>
      <c r="BD174" s="475"/>
      <c r="BE174" s="475"/>
      <c r="BF174" s="475"/>
      <c r="BG174" s="475"/>
      <c r="BH174" s="475"/>
      <c r="BI174" s="475"/>
      <c r="BJ174" s="475"/>
      <c r="BK174" s="425"/>
      <c r="BL174" s="1072"/>
      <c r="BM174" s="425"/>
      <c r="BN174" s="425"/>
      <c r="BO174" s="425"/>
      <c r="BP174" s="425"/>
      <c r="BQ174" s="425"/>
      <c r="BR174" s="425"/>
      <c r="BS174" s="425"/>
      <c r="BT174" s="425"/>
      <c r="BU174" s="425"/>
      <c r="BV174" s="425"/>
      <c r="BW174" s="425"/>
      <c r="BX174" s="425"/>
      <c r="BY174" s="425"/>
      <c r="BZ174" s="425"/>
      <c r="CA174" s="425"/>
      <c r="CB174" s="425"/>
      <c r="CC174" s="425"/>
      <c r="CD174" s="425"/>
      <c r="CE174" s="425"/>
      <c r="CF174" s="425"/>
      <c r="CI174" s="472"/>
      <c r="CJ174" s="467"/>
      <c r="CK174" s="425"/>
      <c r="CL174" s="425"/>
      <c r="CM174" s="425"/>
      <c r="CN174" s="425"/>
      <c r="CO174" s="328"/>
      <c r="CP174" s="328"/>
      <c r="CQ174" s="328"/>
      <c r="CR174" s="328"/>
      <c r="CS174" s="328"/>
      <c r="CT174" s="328"/>
      <c r="CU174" s="328"/>
      <c r="CV174" s="328"/>
      <c r="CW174" s="328"/>
      <c r="CX174" s="328"/>
      <c r="CY174" s="328"/>
      <c r="CZ174" s="328"/>
      <c r="DA174" s="328"/>
      <c r="DB174" s="328"/>
      <c r="DC174" s="328"/>
      <c r="DD174" s="328"/>
      <c r="DE174" s="328"/>
      <c r="DF174" s="328"/>
      <c r="DG174" s="328"/>
      <c r="DH174" s="328"/>
      <c r="DI174" s="328"/>
      <c r="DJ174" s="328"/>
      <c r="DK174" s="328"/>
      <c r="DL174" s="328"/>
      <c r="DM174" s="328"/>
      <c r="DN174" s="328"/>
      <c r="DO174" s="328"/>
    </row>
    <row r="175" spans="1:119" s="330" customFormat="1" ht="17.25" customHeight="1" x14ac:dyDescent="0.25">
      <c r="A175" s="963" t="s">
        <v>693</v>
      </c>
      <c r="B175" s="964"/>
      <c r="C175" s="964"/>
      <c r="D175" s="964"/>
      <c r="E175" s="964"/>
      <c r="F175" s="965"/>
      <c r="G175" s="965"/>
      <c r="H175" s="2889"/>
      <c r="I175" s="2890"/>
      <c r="J175" s="2891"/>
      <c r="K175" s="966" t="s">
        <v>692</v>
      </c>
      <c r="L175" s="967"/>
      <c r="M175" s="968"/>
      <c r="N175" s="578"/>
      <c r="O175" s="578"/>
      <c r="Q175" s="569" t="s">
        <v>479</v>
      </c>
      <c r="R175" s="636"/>
      <c r="S175" s="475" t="s">
        <v>2</v>
      </c>
      <c r="T175" s="475"/>
      <c r="U175" s="475"/>
      <c r="V175" s="475"/>
      <c r="W175" s="475"/>
      <c r="X175" s="475"/>
      <c r="Y175" s="475"/>
      <c r="AD175" s="484"/>
      <c r="AE175" s="484"/>
      <c r="AF175" s="484"/>
      <c r="AG175" s="484"/>
      <c r="AH175" s="484"/>
      <c r="AI175" s="484"/>
      <c r="AJ175" s="484"/>
      <c r="AK175" s="484"/>
      <c r="AL175" s="484"/>
      <c r="AM175" s="484"/>
      <c r="AN175" s="484"/>
      <c r="AO175" s="484"/>
      <c r="AP175" s="484"/>
      <c r="AQ175" s="484"/>
      <c r="AR175" s="484"/>
      <c r="AS175" s="484"/>
      <c r="AT175" s="484"/>
      <c r="AU175" s="484"/>
      <c r="AV175" s="484"/>
      <c r="AW175" s="485"/>
      <c r="AX175" s="475"/>
      <c r="AY175" s="475"/>
      <c r="AZ175" s="475"/>
      <c r="BA175" s="475"/>
      <c r="BB175" s="475"/>
      <c r="BC175" s="475"/>
      <c r="BD175" s="475"/>
      <c r="BE175" s="475"/>
      <c r="BF175" s="475"/>
      <c r="BG175" s="475"/>
      <c r="BH175" s="475"/>
      <c r="BI175" s="475"/>
      <c r="BJ175" s="475"/>
      <c r="BK175" s="425"/>
      <c r="BL175" s="1072"/>
      <c r="BM175" s="425"/>
      <c r="BN175" s="425"/>
      <c r="BO175" s="425"/>
      <c r="BP175" s="425"/>
      <c r="BQ175" s="425"/>
      <c r="BR175" s="425"/>
      <c r="BS175" s="425"/>
      <c r="BT175" s="425"/>
      <c r="BU175" s="425"/>
      <c r="BV175" s="425"/>
      <c r="BW175" s="425"/>
      <c r="BX175" s="425"/>
      <c r="BY175" s="425"/>
      <c r="BZ175" s="425"/>
      <c r="CA175" s="425"/>
      <c r="CB175" s="425"/>
      <c r="CC175" s="425"/>
      <c r="CD175" s="425"/>
      <c r="CE175" s="425"/>
      <c r="CF175" s="425"/>
      <c r="CI175" s="472"/>
      <c r="CJ175" s="467"/>
      <c r="CK175" s="425"/>
      <c r="CL175" s="425"/>
      <c r="CM175" s="425"/>
      <c r="CN175" s="425"/>
      <c r="CO175" s="328"/>
      <c r="CP175" s="328"/>
      <c r="CQ175" s="328"/>
      <c r="CR175" s="328"/>
      <c r="CS175" s="328"/>
      <c r="CT175" s="328"/>
      <c r="CU175" s="328"/>
      <c r="CV175" s="328"/>
      <c r="CW175" s="328"/>
      <c r="CX175" s="328"/>
      <c r="CY175" s="328"/>
      <c r="CZ175" s="328"/>
      <c r="DA175" s="328"/>
      <c r="DB175" s="328"/>
      <c r="DC175" s="328"/>
      <c r="DD175" s="328"/>
      <c r="DE175" s="328"/>
      <c r="DF175" s="328"/>
      <c r="DG175" s="328"/>
      <c r="DH175" s="328"/>
      <c r="DI175" s="328"/>
      <c r="DJ175" s="328"/>
      <c r="DK175" s="328"/>
      <c r="DL175" s="328"/>
      <c r="DM175" s="328"/>
      <c r="DN175" s="328"/>
      <c r="DO175" s="328"/>
    </row>
    <row r="176" spans="1:119" s="330" customFormat="1" ht="17.25" customHeight="1" x14ac:dyDescent="0.25">
      <c r="A176" s="724" t="s">
        <v>694</v>
      </c>
      <c r="B176" s="640"/>
      <c r="C176" s="640"/>
      <c r="D176" s="640"/>
      <c r="E176" s="640"/>
      <c r="F176" s="725"/>
      <c r="G176" s="725"/>
      <c r="H176" s="2461"/>
      <c r="I176" s="2462"/>
      <c r="J176" s="2463"/>
      <c r="K176" s="726" t="s">
        <v>692</v>
      </c>
      <c r="L176" s="694"/>
      <c r="M176" s="727"/>
      <c r="N176" s="578"/>
      <c r="O176" s="578"/>
      <c r="P176" s="330" t="s">
        <v>703</v>
      </c>
      <c r="Q176" s="475">
        <f>+Q157</f>
        <v>0</v>
      </c>
      <c r="R176" s="475">
        <f>+R157</f>
        <v>0</v>
      </c>
      <c r="S176" s="484">
        <f>IF(Q176=0,0,R176/Q176*100)</f>
        <v>0</v>
      </c>
      <c r="T176" s="475"/>
      <c r="U176" s="475"/>
      <c r="V176" s="475"/>
      <c r="W176" s="475"/>
      <c r="X176" s="475"/>
      <c r="Y176" s="475"/>
      <c r="AD176" s="484"/>
      <c r="AE176" s="484"/>
      <c r="AF176" s="484"/>
      <c r="AG176" s="484"/>
      <c r="AH176" s="484"/>
      <c r="AI176" s="484"/>
      <c r="AJ176" s="484"/>
      <c r="AK176" s="484"/>
      <c r="AL176" s="484"/>
      <c r="AM176" s="484"/>
      <c r="AN176" s="484"/>
      <c r="AO176" s="484"/>
      <c r="AP176" s="484"/>
      <c r="AQ176" s="484"/>
      <c r="AR176" s="484"/>
      <c r="AS176" s="484"/>
      <c r="AT176" s="484"/>
      <c r="AU176" s="484"/>
      <c r="AV176" s="484"/>
      <c r="AW176" s="485"/>
      <c r="AX176" s="475"/>
      <c r="AY176" s="475"/>
      <c r="AZ176" s="475"/>
      <c r="BA176" s="475"/>
      <c r="BB176" s="475"/>
      <c r="BC176" s="475"/>
      <c r="BD176" s="475"/>
      <c r="BE176" s="475"/>
      <c r="BF176" s="475"/>
      <c r="BG176" s="475"/>
      <c r="BH176" s="475"/>
      <c r="BI176" s="475"/>
      <c r="BJ176" s="475"/>
      <c r="BK176" s="425"/>
      <c r="BL176" s="1072"/>
      <c r="BM176" s="425"/>
      <c r="BN176" s="425"/>
      <c r="BO176" s="425"/>
      <c r="BP176" s="425"/>
      <c r="BQ176" s="425"/>
      <c r="BR176" s="425"/>
      <c r="BS176" s="425"/>
      <c r="BT176" s="425"/>
      <c r="BU176" s="425"/>
      <c r="BV176" s="425"/>
      <c r="BW176" s="425"/>
      <c r="BX176" s="425"/>
      <c r="BY176" s="425"/>
      <c r="BZ176" s="425"/>
      <c r="CA176" s="425"/>
      <c r="CB176" s="425"/>
      <c r="CC176" s="425"/>
      <c r="CD176" s="425"/>
      <c r="CE176" s="425"/>
      <c r="CF176" s="425"/>
      <c r="CI176" s="472"/>
      <c r="CJ176" s="467"/>
      <c r="CK176" s="425"/>
      <c r="CL176" s="425"/>
      <c r="CM176" s="425"/>
      <c r="CN176" s="425"/>
      <c r="CO176" s="328"/>
      <c r="CP176" s="328"/>
      <c r="CQ176" s="328"/>
      <c r="CR176" s="328"/>
      <c r="CS176" s="328"/>
      <c r="CT176" s="328"/>
      <c r="CU176" s="328"/>
      <c r="CV176" s="328"/>
      <c r="CW176" s="328"/>
      <c r="CX176" s="328"/>
      <c r="CY176" s="328"/>
      <c r="CZ176" s="328"/>
      <c r="DA176" s="328"/>
      <c r="DB176" s="328"/>
      <c r="DC176" s="328"/>
      <c r="DD176" s="328"/>
      <c r="DE176" s="328"/>
      <c r="DF176" s="328"/>
      <c r="DG176" s="328"/>
      <c r="DH176" s="328"/>
      <c r="DI176" s="328"/>
      <c r="DJ176" s="328"/>
      <c r="DK176" s="328"/>
      <c r="DL176" s="328"/>
      <c r="DM176" s="328"/>
      <c r="DN176" s="328"/>
      <c r="DO176" s="328"/>
    </row>
    <row r="177" spans="1:119" s="330" customFormat="1" ht="17.25" customHeight="1" x14ac:dyDescent="0.25">
      <c r="A177" s="724" t="s">
        <v>1037</v>
      </c>
      <c r="B177" s="640"/>
      <c r="C177" s="640"/>
      <c r="D177" s="640"/>
      <c r="E177" s="640"/>
      <c r="F177" s="725"/>
      <c r="G177" s="725"/>
      <c r="H177" s="2550"/>
      <c r="I177" s="2551"/>
      <c r="J177" s="2552"/>
      <c r="K177" s="2161" t="s">
        <v>1036</v>
      </c>
      <c r="L177" s="2162"/>
      <c r="M177" s="2163"/>
      <c r="N177" s="578"/>
      <c r="O177" s="578"/>
      <c r="Q177" s="1043"/>
      <c r="R177" s="1043"/>
      <c r="S177" s="484"/>
      <c r="T177" s="330" t="s">
        <v>1038</v>
      </c>
      <c r="U177" s="1043">
        <f>H177*9.0816/1000*H178/100</f>
        <v>0</v>
      </c>
      <c r="V177" s="1043" t="s">
        <v>1040</v>
      </c>
      <c r="W177" s="1043"/>
      <c r="X177" s="1043"/>
      <c r="Y177" s="1043"/>
      <c r="AD177" s="484"/>
      <c r="AE177" s="484"/>
      <c r="AF177" s="484"/>
      <c r="AG177" s="484"/>
      <c r="AH177" s="484"/>
      <c r="AI177" s="484"/>
      <c r="AJ177" s="484"/>
      <c r="AK177" s="484"/>
      <c r="AL177" s="484"/>
      <c r="AM177" s="484"/>
      <c r="AN177" s="484"/>
      <c r="AO177" s="484"/>
      <c r="AP177" s="484"/>
      <c r="AQ177" s="484"/>
      <c r="AR177" s="484"/>
      <c r="AS177" s="484"/>
      <c r="AT177" s="484"/>
      <c r="AU177" s="484"/>
      <c r="AV177" s="484"/>
      <c r="AW177" s="485"/>
      <c r="AX177" s="1043"/>
      <c r="AY177" s="1043"/>
      <c r="AZ177" s="1043"/>
      <c r="BA177" s="1043"/>
      <c r="BB177" s="1043"/>
      <c r="BC177" s="1043"/>
      <c r="BD177" s="1043"/>
      <c r="BE177" s="1043"/>
      <c r="BF177" s="1043"/>
      <c r="BG177" s="1043"/>
      <c r="BH177" s="1043"/>
      <c r="BI177" s="1043"/>
      <c r="BJ177" s="1043"/>
      <c r="BK177" s="1042"/>
      <c r="BL177" s="1072"/>
      <c r="BM177" s="1042"/>
      <c r="BN177" s="1042"/>
      <c r="BO177" s="1042"/>
      <c r="BP177" s="1042"/>
      <c r="BQ177" s="1042"/>
      <c r="BR177" s="1042"/>
      <c r="BS177" s="1042"/>
      <c r="BT177" s="1042"/>
      <c r="BU177" s="1042"/>
      <c r="BV177" s="1042"/>
      <c r="BW177" s="1042"/>
      <c r="BX177" s="1042"/>
      <c r="BY177" s="1042"/>
      <c r="BZ177" s="1042"/>
      <c r="CA177" s="1042"/>
      <c r="CB177" s="1042"/>
      <c r="CC177" s="1042"/>
      <c r="CD177" s="1042"/>
      <c r="CE177" s="1042"/>
      <c r="CF177" s="1042"/>
      <c r="CI177" s="472"/>
      <c r="CJ177" s="467"/>
      <c r="CK177" s="1042"/>
      <c r="CL177" s="1042"/>
      <c r="CM177" s="1042"/>
      <c r="CN177" s="1042"/>
      <c r="CO177" s="328"/>
      <c r="CP177" s="328"/>
      <c r="CQ177" s="328"/>
      <c r="CR177" s="328"/>
      <c r="CS177" s="328"/>
      <c r="CT177" s="328"/>
      <c r="CU177" s="328"/>
      <c r="CV177" s="328"/>
      <c r="CW177" s="328"/>
      <c r="CX177" s="328"/>
      <c r="CY177" s="328"/>
      <c r="CZ177" s="328"/>
      <c r="DA177" s="328"/>
      <c r="DB177" s="328"/>
      <c r="DC177" s="328"/>
      <c r="DD177" s="328"/>
      <c r="DE177" s="328"/>
      <c r="DF177" s="328"/>
      <c r="DG177" s="328"/>
      <c r="DH177" s="328"/>
      <c r="DI177" s="328"/>
      <c r="DJ177" s="328"/>
      <c r="DK177" s="328"/>
      <c r="DL177" s="328"/>
      <c r="DM177" s="328"/>
      <c r="DN177" s="328"/>
      <c r="DO177" s="328"/>
    </row>
    <row r="178" spans="1:119" s="330" customFormat="1" ht="17.25" customHeight="1" x14ac:dyDescent="0.25">
      <c r="A178" s="2164" t="s">
        <v>877</v>
      </c>
      <c r="B178" s="2165"/>
      <c r="C178" s="2165"/>
      <c r="D178" s="2165"/>
      <c r="E178" s="2165"/>
      <c r="F178" s="2166"/>
      <c r="G178" s="2166"/>
      <c r="H178" s="2452">
        <v>38</v>
      </c>
      <c r="I178" s="2453"/>
      <c r="J178" s="2454"/>
      <c r="K178" s="728" t="s">
        <v>2</v>
      </c>
      <c r="L178" s="728"/>
      <c r="M178" s="729"/>
      <c r="N178" s="19"/>
      <c r="O178" s="329"/>
      <c r="P178" s="475" t="s">
        <v>514</v>
      </c>
      <c r="Q178" s="475">
        <f>+Q156</f>
        <v>0</v>
      </c>
      <c r="R178" s="475">
        <f>+R156</f>
        <v>0</v>
      </c>
      <c r="S178" s="484">
        <f>IF(Q178=0,0,R178/Q178*100)</f>
        <v>0</v>
      </c>
      <c r="T178" s="475"/>
      <c r="U178" s="475"/>
      <c r="V178" s="475"/>
      <c r="W178" s="475"/>
      <c r="X178" s="475"/>
      <c r="Y178" s="475"/>
      <c r="AD178" s="484"/>
      <c r="AE178" s="484"/>
      <c r="AF178" s="484"/>
      <c r="AG178" s="484"/>
      <c r="AH178" s="484"/>
      <c r="AI178" s="484"/>
      <c r="AJ178" s="484"/>
      <c r="AK178" s="484"/>
      <c r="AL178" s="484"/>
      <c r="AM178" s="484"/>
      <c r="AN178" s="484"/>
      <c r="AO178" s="484"/>
      <c r="AP178" s="484"/>
      <c r="AQ178" s="484"/>
      <c r="AR178" s="484"/>
      <c r="AS178" s="484"/>
      <c r="AT178" s="484"/>
      <c r="AU178" s="484"/>
      <c r="AV178" s="484"/>
      <c r="AW178" s="485"/>
      <c r="AX178" s="475"/>
      <c r="AY178" s="475"/>
      <c r="AZ178" s="475"/>
      <c r="BA178" s="475"/>
      <c r="BB178" s="475"/>
      <c r="BC178" s="475"/>
      <c r="BD178" s="475"/>
      <c r="BE178" s="475"/>
      <c r="BF178" s="475"/>
      <c r="BG178" s="475"/>
      <c r="BH178" s="475"/>
      <c r="BI178" s="475"/>
      <c r="BJ178" s="475"/>
      <c r="BK178" s="425"/>
      <c r="BL178" s="1072"/>
      <c r="BM178" s="425"/>
      <c r="BN178" s="425"/>
      <c r="BO178" s="425"/>
      <c r="BP178" s="425"/>
      <c r="BQ178" s="425"/>
      <c r="BR178" s="425"/>
      <c r="BS178" s="425"/>
      <c r="BT178" s="425"/>
      <c r="BU178" s="425"/>
      <c r="BV178" s="425"/>
      <c r="BW178" s="425"/>
      <c r="BX178" s="425"/>
      <c r="BY178" s="425"/>
      <c r="BZ178" s="425"/>
      <c r="CA178" s="425"/>
      <c r="CB178" s="425"/>
      <c r="CC178" s="425"/>
      <c r="CD178" s="425"/>
      <c r="CE178" s="425"/>
      <c r="CF178" s="425"/>
      <c r="CI178" s="472"/>
      <c r="CJ178" s="467"/>
      <c r="CK178" s="425"/>
      <c r="CL178" s="425"/>
      <c r="CM178" s="425"/>
      <c r="CN178" s="425"/>
      <c r="CO178" s="328"/>
      <c r="CP178" s="328"/>
      <c r="CQ178" s="328"/>
      <c r="CR178" s="328"/>
      <c r="CS178" s="328"/>
      <c r="CT178" s="328"/>
      <c r="CU178" s="328"/>
      <c r="CV178" s="328"/>
      <c r="CW178" s="328"/>
      <c r="CX178" s="328"/>
      <c r="CY178" s="328"/>
      <c r="CZ178" s="328"/>
      <c r="DA178" s="328"/>
      <c r="DB178" s="328"/>
      <c r="DC178" s="328"/>
      <c r="DD178" s="328"/>
      <c r="DE178" s="328"/>
      <c r="DF178" s="328"/>
      <c r="DG178" s="328"/>
      <c r="DH178" s="328"/>
      <c r="DI178" s="328"/>
      <c r="DJ178" s="328"/>
      <c r="DK178" s="328"/>
      <c r="DL178" s="328"/>
      <c r="DM178" s="328"/>
      <c r="DN178" s="328"/>
      <c r="DO178" s="328"/>
    </row>
    <row r="179" spans="1:119" s="330" customFormat="1" ht="17.25" customHeight="1" x14ac:dyDescent="0.2">
      <c r="A179" s="881" t="s">
        <v>695</v>
      </c>
      <c r="B179" s="882"/>
      <c r="C179" s="882"/>
      <c r="D179" s="882"/>
      <c r="E179" s="882"/>
      <c r="F179" s="883"/>
      <c r="G179" s="884" t="s">
        <v>696</v>
      </c>
      <c r="H179" s="2455">
        <f>IF(H189&gt;H187*1.2,20,IF(H189&lt;H187*0.9,-10,IF(H189=0,0,(H189/H187*100)-100)))</f>
        <v>0</v>
      </c>
      <c r="I179" s="2456"/>
      <c r="J179" s="2457"/>
      <c r="K179" s="885" t="s">
        <v>2</v>
      </c>
      <c r="L179" s="885"/>
      <c r="M179" s="886"/>
      <c r="N179" s="19"/>
      <c r="O179" s="329"/>
      <c r="P179" s="475" t="s">
        <v>542</v>
      </c>
      <c r="Q179" s="475">
        <f>+Q178+Q176</f>
        <v>0</v>
      </c>
      <c r="R179" s="475">
        <f>+R178+R176</f>
        <v>0</v>
      </c>
      <c r="S179" s="484">
        <f>IF(Q179=0,0,R179/Q179*100)</f>
        <v>0</v>
      </c>
      <c r="T179" s="475"/>
      <c r="U179" s="475"/>
      <c r="V179" s="475"/>
      <c r="W179" s="475"/>
      <c r="X179" s="475"/>
      <c r="Y179" s="475"/>
      <c r="AD179" s="484"/>
      <c r="AE179" s="484"/>
      <c r="AF179" s="484"/>
      <c r="AG179" s="484"/>
      <c r="AH179" s="484"/>
      <c r="AI179" s="484"/>
      <c r="AJ179" s="484"/>
      <c r="AK179" s="484"/>
      <c r="AL179" s="484"/>
      <c r="AM179" s="484"/>
      <c r="AN179" s="484"/>
      <c r="AO179" s="484"/>
      <c r="AP179" s="484"/>
      <c r="AQ179" s="484"/>
      <c r="AR179" s="484"/>
      <c r="AS179" s="484"/>
      <c r="AT179" s="484"/>
      <c r="AU179" s="484"/>
      <c r="AV179" s="484"/>
      <c r="AW179" s="485"/>
      <c r="AX179" s="475"/>
      <c r="AY179" s="475"/>
      <c r="AZ179" s="475"/>
      <c r="BA179" s="475"/>
      <c r="BB179" s="475"/>
      <c r="BC179" s="475"/>
      <c r="BD179" s="475"/>
      <c r="BE179" s="475"/>
      <c r="BF179" s="475"/>
      <c r="BG179" s="475"/>
      <c r="BH179" s="475"/>
      <c r="BI179" s="475"/>
      <c r="BJ179" s="475"/>
      <c r="BK179" s="425"/>
      <c r="BL179" s="1072"/>
      <c r="BM179" s="425"/>
      <c r="BN179" s="425"/>
      <c r="BO179" s="425"/>
      <c r="BP179" s="425"/>
      <c r="BQ179" s="425"/>
      <c r="BR179" s="425"/>
      <c r="BS179" s="425"/>
      <c r="BT179" s="425"/>
      <c r="BU179" s="425"/>
      <c r="BV179" s="425"/>
      <c r="BW179" s="425"/>
      <c r="BX179" s="425"/>
      <c r="BY179" s="425"/>
      <c r="BZ179" s="425"/>
      <c r="CA179" s="425"/>
      <c r="CB179" s="425"/>
      <c r="CC179" s="425"/>
      <c r="CD179" s="425"/>
      <c r="CE179" s="425"/>
      <c r="CF179" s="425"/>
      <c r="CI179" s="472"/>
      <c r="CJ179" s="467"/>
      <c r="CK179" s="425"/>
      <c r="CL179" s="425"/>
      <c r="CM179" s="425"/>
      <c r="CN179" s="425"/>
      <c r="CO179" s="328"/>
      <c r="CP179" s="328"/>
      <c r="CQ179" s="328"/>
      <c r="CR179" s="328"/>
      <c r="CS179" s="328"/>
      <c r="CT179" s="328"/>
      <c r="CU179" s="328"/>
      <c r="CV179" s="328"/>
      <c r="CW179" s="328"/>
      <c r="CX179" s="328"/>
      <c r="CY179" s="328"/>
      <c r="CZ179" s="328"/>
      <c r="DA179" s="328"/>
      <c r="DB179" s="328"/>
      <c r="DC179" s="328"/>
      <c r="DD179" s="328"/>
      <c r="DE179" s="328"/>
      <c r="DF179" s="328"/>
      <c r="DG179" s="328"/>
      <c r="DH179" s="328"/>
      <c r="DI179" s="328"/>
      <c r="DJ179" s="328"/>
      <c r="DK179" s="328"/>
      <c r="DL179" s="328"/>
      <c r="DM179" s="328"/>
      <c r="DN179" s="328"/>
      <c r="DO179" s="328"/>
    </row>
    <row r="180" spans="1:119" s="330" customFormat="1" ht="17.25" customHeight="1" thickBot="1" x14ac:dyDescent="0.3">
      <c r="A180" s="717" t="s">
        <v>857</v>
      </c>
      <c r="B180" s="644"/>
      <c r="C180" s="644"/>
      <c r="D180" s="644"/>
      <c r="E180" s="644"/>
      <c r="F180" s="716"/>
      <c r="G180" s="1005" t="str">
        <f>IF(H180=""," ",IF(H180&gt;H179+0.1,"!!Zahl muss ≤ Vorschlag sein!!"," "))</f>
        <v xml:space="preserve"> </v>
      </c>
      <c r="H180" s="2458"/>
      <c r="I180" s="2459"/>
      <c r="J180" s="2460"/>
      <c r="K180" s="22" t="s">
        <v>2</v>
      </c>
      <c r="L180" s="22"/>
      <c r="M180" s="718"/>
      <c r="N180" s="19"/>
      <c r="O180" s="329"/>
      <c r="P180" s="475"/>
      <c r="Q180" s="475"/>
      <c r="R180" s="475"/>
      <c r="S180" s="475"/>
      <c r="T180" s="475"/>
      <c r="U180" s="475"/>
      <c r="V180" s="475"/>
      <c r="W180" s="475"/>
      <c r="X180" s="475"/>
      <c r="Y180" s="475"/>
      <c r="AD180" s="484"/>
      <c r="AE180" s="484"/>
      <c r="AF180" s="484"/>
      <c r="AG180" s="484"/>
      <c r="AH180" s="484"/>
      <c r="AI180" s="484"/>
      <c r="AJ180" s="484"/>
      <c r="AK180" s="484"/>
      <c r="AL180" s="484"/>
      <c r="AM180" s="484"/>
      <c r="AN180" s="484"/>
      <c r="AO180" s="484"/>
      <c r="AP180" s="484"/>
      <c r="AQ180" s="484"/>
      <c r="AR180" s="484"/>
      <c r="AS180" s="484"/>
      <c r="AT180" s="484"/>
      <c r="AU180" s="484"/>
      <c r="AV180" s="484"/>
      <c r="AW180" s="485"/>
      <c r="AX180" s="475"/>
      <c r="AY180" s="475"/>
      <c r="AZ180" s="475"/>
      <c r="BA180" s="475"/>
      <c r="BB180" s="475"/>
      <c r="BC180" s="475"/>
      <c r="BD180" s="475"/>
      <c r="BE180" s="475"/>
      <c r="BF180" s="475"/>
      <c r="BG180" s="475"/>
      <c r="BH180" s="475"/>
      <c r="BI180" s="475"/>
      <c r="BJ180" s="475"/>
      <c r="BK180" s="425"/>
      <c r="BL180" s="1072"/>
      <c r="BM180" s="425"/>
      <c r="BN180" s="425"/>
      <c r="BO180" s="425"/>
      <c r="BP180" s="425"/>
      <c r="BQ180" s="425"/>
      <c r="BR180" s="425"/>
      <c r="BS180" s="425"/>
      <c r="BT180" s="425"/>
      <c r="BU180" s="425"/>
      <c r="BV180" s="425"/>
      <c r="BW180" s="425"/>
      <c r="BX180" s="425"/>
      <c r="BY180" s="425"/>
      <c r="BZ180" s="425"/>
      <c r="CA180" s="425"/>
      <c r="CB180" s="425"/>
      <c r="CC180" s="425"/>
      <c r="CD180" s="425"/>
      <c r="CE180" s="425"/>
      <c r="CF180" s="425"/>
      <c r="CI180" s="472"/>
      <c r="CJ180" s="467"/>
      <c r="CK180" s="425"/>
      <c r="CL180" s="425"/>
      <c r="CM180" s="425"/>
      <c r="CN180" s="425"/>
      <c r="CO180" s="328"/>
      <c r="CP180" s="328"/>
      <c r="CQ180" s="328"/>
      <c r="CR180" s="328"/>
      <c r="CS180" s="328"/>
      <c r="CT180" s="328"/>
      <c r="CU180" s="328"/>
      <c r="CV180" s="328"/>
      <c r="CW180" s="328"/>
      <c r="CX180" s="328"/>
      <c r="CY180" s="328"/>
      <c r="CZ180" s="328"/>
      <c r="DA180" s="328"/>
      <c r="DB180" s="328"/>
      <c r="DC180" s="328"/>
      <c r="DD180" s="328"/>
      <c r="DE180" s="328"/>
      <c r="DF180" s="328"/>
      <c r="DG180" s="328"/>
      <c r="DH180" s="328"/>
      <c r="DI180" s="328"/>
      <c r="DJ180" s="328"/>
      <c r="DK180" s="328"/>
      <c r="DL180" s="328"/>
      <c r="DM180" s="328"/>
      <c r="DN180" s="328"/>
      <c r="DO180" s="328"/>
    </row>
    <row r="181" spans="1:119" s="330" customFormat="1" ht="17.25" customHeight="1" thickBot="1" x14ac:dyDescent="0.25">
      <c r="A181" s="719" t="s">
        <v>792</v>
      </c>
      <c r="B181" s="720"/>
      <c r="C181" s="720"/>
      <c r="D181" s="720"/>
      <c r="E181" s="720"/>
      <c r="F181" s="670"/>
      <c r="G181" s="670"/>
      <c r="H181" s="2886"/>
      <c r="I181" s="2887"/>
      <c r="J181" s="2888"/>
      <c r="K181" s="721" t="s">
        <v>791</v>
      </c>
      <c r="L181" s="722"/>
      <c r="M181" s="723"/>
      <c r="N181" s="19"/>
      <c r="O181" s="329"/>
      <c r="P181" s="475"/>
      <c r="Q181" s="475"/>
      <c r="R181" s="475"/>
      <c r="S181" s="475"/>
      <c r="T181" s="475"/>
      <c r="U181" s="475"/>
      <c r="V181" s="475"/>
      <c r="W181" s="475"/>
      <c r="X181" s="475"/>
      <c r="Y181" s="475"/>
      <c r="AD181" s="484"/>
      <c r="AE181" s="484"/>
      <c r="AF181" s="484"/>
      <c r="AG181" s="484"/>
      <c r="AH181" s="484"/>
      <c r="AI181" s="484"/>
      <c r="AJ181" s="484"/>
      <c r="AK181" s="484"/>
      <c r="AL181" s="484"/>
      <c r="AM181" s="484"/>
      <c r="AN181" s="484"/>
      <c r="AO181" s="484"/>
      <c r="AP181" s="484"/>
      <c r="AQ181" s="484"/>
      <c r="AR181" s="484"/>
      <c r="AS181" s="484"/>
      <c r="AT181" s="484"/>
      <c r="AU181" s="484"/>
      <c r="AV181" s="484"/>
      <c r="AW181" s="485"/>
      <c r="AX181" s="475"/>
      <c r="AY181" s="475"/>
      <c r="AZ181" s="475"/>
      <c r="BA181" s="475"/>
      <c r="BB181" s="475"/>
      <c r="BC181" s="475"/>
      <c r="BD181" s="475"/>
      <c r="BE181" s="475"/>
      <c r="BF181" s="475"/>
      <c r="BG181" s="475"/>
      <c r="BH181" s="475"/>
      <c r="BI181" s="475"/>
      <c r="BJ181" s="475"/>
      <c r="BK181" s="425"/>
      <c r="BL181" s="1072"/>
      <c r="BM181" s="425"/>
      <c r="BN181" s="425"/>
      <c r="BO181" s="425"/>
      <c r="BP181" s="425"/>
      <c r="BQ181" s="425"/>
      <c r="BR181" s="425"/>
      <c r="BS181" s="425"/>
      <c r="BT181" s="425"/>
      <c r="BU181" s="425"/>
      <c r="BV181" s="425"/>
      <c r="BW181" s="425"/>
      <c r="BX181" s="425"/>
      <c r="BY181" s="425"/>
      <c r="BZ181" s="425"/>
      <c r="CA181" s="425"/>
      <c r="CB181" s="425"/>
      <c r="CC181" s="425"/>
      <c r="CD181" s="425"/>
      <c r="CE181" s="425"/>
      <c r="CF181" s="425"/>
      <c r="CI181" s="472"/>
      <c r="CJ181" s="467"/>
      <c r="CK181" s="425"/>
      <c r="CL181" s="425"/>
      <c r="CM181" s="425"/>
      <c r="CN181" s="425"/>
      <c r="CO181" s="328"/>
      <c r="CP181" s="328"/>
      <c r="CQ181" s="328"/>
      <c r="CR181" s="328"/>
      <c r="CS181" s="328"/>
      <c r="CT181" s="328"/>
      <c r="CU181" s="328"/>
      <c r="CV181" s="328"/>
      <c r="CW181" s="328"/>
      <c r="CX181" s="328"/>
      <c r="CY181" s="328"/>
      <c r="CZ181" s="328"/>
      <c r="DA181" s="328"/>
      <c r="DB181" s="328"/>
      <c r="DC181" s="328"/>
      <c r="DD181" s="328"/>
      <c r="DE181" s="328"/>
      <c r="DF181" s="328"/>
      <c r="DG181" s="328"/>
      <c r="DH181" s="328"/>
      <c r="DI181" s="328"/>
      <c r="DJ181" s="328"/>
      <c r="DK181" s="328"/>
      <c r="DL181" s="328"/>
      <c r="DM181" s="328"/>
      <c r="DN181" s="328"/>
      <c r="DO181" s="328"/>
    </row>
    <row r="182" spans="1:119" s="363" customFormat="1" ht="17.25" customHeight="1" thickBot="1" x14ac:dyDescent="0.3">
      <c r="A182" s="638"/>
      <c r="B182" s="638"/>
      <c r="C182" s="638"/>
      <c r="D182" s="638"/>
      <c r="E182" s="639"/>
      <c r="F182" s="641"/>
      <c r="G182" s="641"/>
      <c r="H182" s="23"/>
      <c r="I182" s="23"/>
      <c r="J182" s="23"/>
      <c r="K182" s="23"/>
      <c r="L182" s="23"/>
      <c r="M182" s="23"/>
      <c r="N182" s="19"/>
      <c r="O182" s="329"/>
      <c r="P182" s="475"/>
      <c r="Q182" s="475"/>
      <c r="R182" s="475"/>
      <c r="S182" s="475"/>
      <c r="T182" s="475"/>
      <c r="U182" s="475"/>
      <c r="V182" s="475"/>
      <c r="W182" s="475"/>
      <c r="X182" s="475"/>
      <c r="Y182" s="475"/>
      <c r="AD182" s="484"/>
      <c r="AE182" s="484"/>
      <c r="AF182" s="484"/>
      <c r="AG182" s="484"/>
      <c r="AH182" s="484"/>
      <c r="AI182" s="484"/>
      <c r="AJ182" s="484"/>
      <c r="AK182" s="484"/>
      <c r="AL182" s="484"/>
      <c r="AM182" s="484"/>
      <c r="AN182" s="484"/>
      <c r="AO182" s="484"/>
      <c r="AP182" s="484"/>
      <c r="AQ182" s="484"/>
      <c r="AR182" s="484"/>
      <c r="AS182" s="484"/>
      <c r="AT182" s="484"/>
      <c r="AU182" s="484"/>
      <c r="AV182" s="484"/>
      <c r="AW182" s="485"/>
      <c r="AX182" s="475"/>
      <c r="AY182" s="475"/>
      <c r="AZ182" s="475"/>
      <c r="BA182" s="475"/>
      <c r="BB182" s="475"/>
      <c r="BC182" s="475"/>
      <c r="BD182" s="475"/>
      <c r="BE182" s="475"/>
      <c r="BF182" s="475"/>
      <c r="BG182" s="475"/>
      <c r="BH182" s="475"/>
      <c r="BI182" s="475"/>
      <c r="BJ182" s="475"/>
      <c r="BK182" s="425"/>
      <c r="BL182" s="1072"/>
      <c r="BM182" s="425"/>
      <c r="BN182" s="425"/>
      <c r="BO182" s="425"/>
      <c r="BP182" s="425"/>
      <c r="BQ182" s="425"/>
      <c r="BR182" s="425"/>
      <c r="BS182" s="425"/>
      <c r="BT182" s="425"/>
      <c r="BU182" s="425"/>
      <c r="BV182" s="425"/>
      <c r="BW182" s="425"/>
      <c r="BX182" s="425"/>
      <c r="BY182" s="425"/>
      <c r="BZ182" s="425"/>
      <c r="CA182" s="425"/>
      <c r="CB182" s="425"/>
      <c r="CC182" s="425"/>
      <c r="CD182" s="425"/>
      <c r="CE182" s="425"/>
      <c r="CF182" s="425"/>
      <c r="CI182" s="471"/>
      <c r="CJ182" s="454"/>
      <c r="CK182" s="425"/>
      <c r="CL182" s="425"/>
      <c r="CM182" s="425"/>
      <c r="CN182" s="425"/>
      <c r="CO182" s="328"/>
      <c r="CP182" s="328"/>
      <c r="CQ182" s="328"/>
      <c r="CR182" s="328"/>
      <c r="CS182" s="328"/>
      <c r="CT182" s="328"/>
      <c r="CU182" s="328"/>
      <c r="CV182" s="328"/>
      <c r="CW182" s="328"/>
      <c r="CX182" s="328"/>
      <c r="CY182" s="328"/>
      <c r="CZ182" s="328"/>
      <c r="DA182" s="328"/>
      <c r="DB182" s="328"/>
      <c r="DC182" s="328"/>
      <c r="DD182" s="328"/>
      <c r="DE182" s="328"/>
      <c r="DF182" s="328"/>
      <c r="DG182" s="328"/>
      <c r="DH182" s="328"/>
      <c r="DI182" s="328"/>
      <c r="DJ182" s="328"/>
      <c r="DK182" s="328"/>
      <c r="DL182" s="328"/>
      <c r="DM182" s="328"/>
      <c r="DN182" s="328"/>
      <c r="DO182" s="328"/>
    </row>
    <row r="183" spans="1:119" s="363" customFormat="1" ht="17.25" customHeight="1" x14ac:dyDescent="0.25">
      <c r="A183" s="887"/>
      <c r="B183" s="888"/>
      <c r="C183" s="888"/>
      <c r="D183" s="888"/>
      <c r="E183" s="888"/>
      <c r="F183" s="888"/>
      <c r="G183" s="889"/>
      <c r="H183" s="890"/>
      <c r="I183" s="891" t="s">
        <v>858</v>
      </c>
      <c r="J183" s="892"/>
      <c r="K183" s="23"/>
      <c r="L183" s="23"/>
      <c r="M183" s="23"/>
      <c r="N183" s="19"/>
      <c r="O183" s="329"/>
      <c r="P183" s="475"/>
      <c r="Q183" s="475"/>
      <c r="R183" s="475"/>
      <c r="S183" s="475"/>
      <c r="T183" s="475"/>
      <c r="U183" s="475"/>
      <c r="V183" s="475"/>
      <c r="W183" s="475"/>
      <c r="X183" s="475"/>
      <c r="Y183" s="475"/>
      <c r="AD183" s="484"/>
      <c r="AE183" s="484"/>
      <c r="AF183" s="484"/>
      <c r="AG183" s="484"/>
      <c r="AH183" s="484"/>
      <c r="AI183" s="484"/>
      <c r="AJ183" s="484"/>
      <c r="AK183" s="484"/>
      <c r="AL183" s="484"/>
      <c r="AM183" s="484"/>
      <c r="AN183" s="484"/>
      <c r="AO183" s="484"/>
      <c r="AP183" s="484"/>
      <c r="AQ183" s="484"/>
      <c r="AR183" s="484"/>
      <c r="AS183" s="484"/>
      <c r="AT183" s="484"/>
      <c r="AU183" s="484"/>
      <c r="AV183" s="484"/>
      <c r="AW183" s="485"/>
      <c r="AX183" s="475"/>
      <c r="AY183" s="475"/>
      <c r="AZ183" s="475"/>
      <c r="BA183" s="475"/>
      <c r="BB183" s="475"/>
      <c r="BC183" s="475"/>
      <c r="BD183" s="475"/>
      <c r="BE183" s="475"/>
      <c r="BF183" s="475"/>
      <c r="BG183" s="475"/>
      <c r="BH183" s="475"/>
      <c r="BI183" s="475"/>
      <c r="BJ183" s="475"/>
      <c r="BK183" s="425"/>
      <c r="BL183" s="1072"/>
      <c r="BM183" s="425"/>
      <c r="BN183" s="425"/>
      <c r="BO183" s="425"/>
      <c r="BP183" s="425"/>
      <c r="BQ183" s="425"/>
      <c r="BR183" s="425"/>
      <c r="BS183" s="425"/>
      <c r="BT183" s="425"/>
      <c r="BU183" s="425"/>
      <c r="BV183" s="425"/>
      <c r="BW183" s="425"/>
      <c r="BX183" s="425"/>
      <c r="BY183" s="425"/>
      <c r="BZ183" s="425"/>
      <c r="CA183" s="425"/>
      <c r="CB183" s="425"/>
      <c r="CC183" s="425"/>
      <c r="CD183" s="425"/>
      <c r="CE183" s="425"/>
      <c r="CF183" s="425"/>
      <c r="CI183" s="471"/>
      <c r="CJ183" s="454"/>
      <c r="CK183" s="425"/>
      <c r="CL183" s="425"/>
      <c r="CM183" s="425"/>
      <c r="CN183" s="425"/>
      <c r="CO183" s="328"/>
      <c r="CP183" s="328"/>
      <c r="CQ183" s="328"/>
      <c r="CR183" s="328"/>
      <c r="CS183" s="328"/>
      <c r="CT183" s="328"/>
      <c r="CU183" s="328"/>
      <c r="CV183" s="328"/>
      <c r="CW183" s="328"/>
      <c r="CX183" s="328"/>
      <c r="CY183" s="328"/>
      <c r="CZ183" s="328"/>
      <c r="DA183" s="328"/>
      <c r="DB183" s="328"/>
      <c r="DC183" s="328"/>
      <c r="DD183" s="328"/>
      <c r="DE183" s="328"/>
      <c r="DF183" s="328"/>
      <c r="DG183" s="328"/>
      <c r="DH183" s="328"/>
      <c r="DI183" s="328"/>
      <c r="DJ183" s="328"/>
      <c r="DK183" s="328"/>
      <c r="DL183" s="328"/>
      <c r="DM183" s="328"/>
      <c r="DN183" s="328"/>
      <c r="DO183" s="328"/>
    </row>
    <row r="184" spans="1:119" s="363" customFormat="1" ht="9.75" customHeight="1" x14ac:dyDescent="0.2">
      <c r="A184" s="893"/>
      <c r="B184" s="894"/>
      <c r="C184" s="894"/>
      <c r="D184" s="894"/>
      <c r="E184" s="894"/>
      <c r="F184" s="894"/>
      <c r="G184" s="895"/>
      <c r="H184" s="896"/>
      <c r="I184" s="897"/>
      <c r="J184" s="898"/>
      <c r="K184" s="23"/>
      <c r="L184" s="23"/>
      <c r="M184" s="23"/>
      <c r="N184" s="19"/>
      <c r="O184" s="329"/>
      <c r="P184" s="475"/>
      <c r="Q184" s="475"/>
      <c r="R184" s="475"/>
      <c r="S184" s="475"/>
      <c r="T184" s="475"/>
      <c r="U184" s="475"/>
      <c r="V184" s="475"/>
      <c r="W184" s="475"/>
      <c r="X184" s="475"/>
      <c r="Y184" s="475"/>
      <c r="AD184" s="484"/>
      <c r="AE184" s="484"/>
      <c r="AF184" s="484"/>
      <c r="AG184" s="484"/>
      <c r="AH184" s="484"/>
      <c r="AI184" s="484"/>
      <c r="AJ184" s="484"/>
      <c r="AK184" s="484"/>
      <c r="AL184" s="484"/>
      <c r="AM184" s="484"/>
      <c r="AN184" s="484"/>
      <c r="AO184" s="484"/>
      <c r="AP184" s="484"/>
      <c r="AQ184" s="484"/>
      <c r="AR184" s="484"/>
      <c r="AS184" s="484"/>
      <c r="AT184" s="484"/>
      <c r="AU184" s="484"/>
      <c r="AV184" s="484"/>
      <c r="AW184" s="485"/>
      <c r="AX184" s="475"/>
      <c r="AY184" s="475"/>
      <c r="AZ184" s="475"/>
      <c r="BA184" s="475"/>
      <c r="BB184" s="475"/>
      <c r="BC184" s="475"/>
      <c r="BD184" s="475"/>
      <c r="BE184" s="475"/>
      <c r="BF184" s="475"/>
      <c r="BG184" s="475"/>
      <c r="BH184" s="475"/>
      <c r="BI184" s="475"/>
      <c r="BJ184" s="475"/>
      <c r="BK184" s="425"/>
      <c r="BL184" s="1072"/>
      <c r="BM184" s="425"/>
      <c r="BN184" s="425"/>
      <c r="BO184" s="425"/>
      <c r="BP184" s="425"/>
      <c r="BQ184" s="425"/>
      <c r="BR184" s="425"/>
      <c r="BS184" s="425"/>
      <c r="BT184" s="425"/>
      <c r="BU184" s="425"/>
      <c r="BV184" s="425"/>
      <c r="BW184" s="425"/>
      <c r="BX184" s="425"/>
      <c r="BY184" s="425"/>
      <c r="BZ184" s="425"/>
      <c r="CA184" s="425"/>
      <c r="CB184" s="425"/>
      <c r="CC184" s="425"/>
      <c r="CD184" s="425"/>
      <c r="CE184" s="425"/>
      <c r="CF184" s="425"/>
      <c r="CI184" s="471"/>
      <c r="CJ184" s="454"/>
      <c r="CK184" s="425"/>
      <c r="CL184" s="425"/>
      <c r="CM184" s="425"/>
      <c r="CN184" s="425"/>
      <c r="CO184" s="328"/>
      <c r="CP184" s="328"/>
      <c r="CQ184" s="328"/>
      <c r="CR184" s="328"/>
      <c r="CS184" s="328"/>
      <c r="CT184" s="328"/>
      <c r="CU184" s="328"/>
      <c r="CV184" s="328"/>
      <c r="CW184" s="328"/>
      <c r="CX184" s="328"/>
      <c r="CY184" s="328"/>
      <c r="CZ184" s="328"/>
      <c r="DA184" s="328"/>
      <c r="DB184" s="328"/>
      <c r="DC184" s="328"/>
      <c r="DD184" s="328"/>
      <c r="DE184" s="328"/>
      <c r="DF184" s="328"/>
      <c r="DG184" s="328"/>
      <c r="DH184" s="328"/>
      <c r="DI184" s="328"/>
      <c r="DJ184" s="328"/>
      <c r="DK184" s="328"/>
      <c r="DL184" s="328"/>
      <c r="DM184" s="328"/>
      <c r="DN184" s="328"/>
      <c r="DO184" s="328"/>
    </row>
    <row r="185" spans="1:119" s="363" customFormat="1" ht="17.25" customHeight="1" x14ac:dyDescent="0.25">
      <c r="A185" s="899" t="s">
        <v>793</v>
      </c>
      <c r="B185" s="894"/>
      <c r="C185" s="894"/>
      <c r="D185" s="894"/>
      <c r="E185" s="894"/>
      <c r="F185" s="894"/>
      <c r="G185" s="895"/>
      <c r="H185" s="896"/>
      <c r="I185" s="900" t="s">
        <v>859</v>
      </c>
      <c r="J185" s="898"/>
      <c r="K185" s="23"/>
      <c r="L185" s="23"/>
      <c r="M185" s="23"/>
      <c r="N185" s="19"/>
      <c r="O185" s="329"/>
      <c r="P185" s="475"/>
      <c r="Q185" s="475"/>
      <c r="R185" s="475"/>
      <c r="S185" s="475"/>
      <c r="T185" s="475"/>
      <c r="U185" s="475"/>
      <c r="V185" s="475"/>
      <c r="W185" s="475"/>
      <c r="X185" s="475"/>
      <c r="Y185" s="475"/>
      <c r="AD185" s="484"/>
      <c r="AE185" s="484"/>
      <c r="AF185" s="484"/>
      <c r="AG185" s="484"/>
      <c r="AH185" s="484"/>
      <c r="AI185" s="484"/>
      <c r="AJ185" s="484"/>
      <c r="AK185" s="484"/>
      <c r="AL185" s="484"/>
      <c r="AM185" s="484"/>
      <c r="AN185" s="484"/>
      <c r="AO185" s="484"/>
      <c r="AP185" s="484"/>
      <c r="AQ185" s="484"/>
      <c r="AR185" s="484"/>
      <c r="AS185" s="484"/>
      <c r="AT185" s="484"/>
      <c r="AU185" s="484"/>
      <c r="AV185" s="484"/>
      <c r="AW185" s="485"/>
      <c r="AX185" s="475"/>
      <c r="AY185" s="475"/>
      <c r="AZ185" s="475"/>
      <c r="BA185" s="475"/>
      <c r="BB185" s="475"/>
      <c r="BC185" s="475"/>
      <c r="BD185" s="475"/>
      <c r="BE185" s="475"/>
      <c r="BF185" s="475"/>
      <c r="BG185" s="475"/>
      <c r="BH185" s="475"/>
      <c r="BI185" s="475"/>
      <c r="BJ185" s="475"/>
      <c r="BK185" s="425"/>
      <c r="BL185" s="1072"/>
      <c r="BM185" s="425"/>
      <c r="BN185" s="425"/>
      <c r="BO185" s="425"/>
      <c r="BP185" s="425"/>
      <c r="BQ185" s="425"/>
      <c r="BR185" s="425"/>
      <c r="BS185" s="425"/>
      <c r="BT185" s="425"/>
      <c r="BU185" s="425"/>
      <c r="BV185" s="425"/>
      <c r="BW185" s="425"/>
      <c r="BX185" s="425"/>
      <c r="BY185" s="425"/>
      <c r="BZ185" s="425"/>
      <c r="CA185" s="425"/>
      <c r="CB185" s="425"/>
      <c r="CC185" s="425"/>
      <c r="CD185" s="425"/>
      <c r="CE185" s="425"/>
      <c r="CF185" s="425"/>
      <c r="CI185" s="471"/>
      <c r="CJ185" s="454"/>
      <c r="CK185" s="425"/>
      <c r="CL185" s="425"/>
      <c r="CM185" s="425"/>
      <c r="CN185" s="425"/>
      <c r="CO185" s="328"/>
      <c r="CP185" s="328"/>
      <c r="CQ185" s="328"/>
      <c r="CR185" s="328"/>
      <c r="CS185" s="328"/>
      <c r="CT185" s="328"/>
      <c r="CU185" s="328"/>
      <c r="CV185" s="328"/>
      <c r="CW185" s="328"/>
      <c r="CX185" s="328"/>
      <c r="CY185" s="328"/>
      <c r="CZ185" s="328"/>
      <c r="DA185" s="328"/>
      <c r="DB185" s="328"/>
      <c r="DC185" s="328"/>
      <c r="DD185" s="328"/>
      <c r="DE185" s="328"/>
      <c r="DF185" s="328"/>
      <c r="DG185" s="328"/>
      <c r="DH185" s="328"/>
      <c r="DI185" s="328"/>
      <c r="DJ185" s="328"/>
      <c r="DK185" s="328"/>
      <c r="DL185" s="328"/>
      <c r="DM185" s="328"/>
      <c r="DN185" s="328"/>
      <c r="DO185" s="328"/>
    </row>
    <row r="186" spans="1:119" s="363" customFormat="1" ht="6.75" customHeight="1" thickBot="1" x14ac:dyDescent="0.25">
      <c r="A186" s="901"/>
      <c r="B186" s="902"/>
      <c r="C186" s="902"/>
      <c r="D186" s="902"/>
      <c r="E186" s="902"/>
      <c r="F186" s="902"/>
      <c r="G186" s="903"/>
      <c r="H186" s="904"/>
      <c r="I186" s="905"/>
      <c r="J186" s="906"/>
      <c r="K186" s="23"/>
      <c r="L186" s="23"/>
      <c r="M186" s="23"/>
      <c r="N186" s="19"/>
      <c r="O186" s="329"/>
      <c r="P186" s="475"/>
      <c r="Q186" s="475"/>
      <c r="R186" s="475"/>
      <c r="S186" s="475"/>
      <c r="T186" s="475"/>
      <c r="U186" s="475"/>
      <c r="V186" s="475"/>
      <c r="W186" s="475"/>
      <c r="X186" s="475"/>
      <c r="Y186" s="475"/>
      <c r="AD186" s="484"/>
      <c r="AE186" s="484"/>
      <c r="AF186" s="484"/>
      <c r="AG186" s="484"/>
      <c r="AH186" s="484"/>
      <c r="AI186" s="484"/>
      <c r="AJ186" s="484"/>
      <c r="AK186" s="484"/>
      <c r="AL186" s="484"/>
      <c r="AM186" s="484"/>
      <c r="AN186" s="484"/>
      <c r="AO186" s="484"/>
      <c r="AP186" s="484"/>
      <c r="AQ186" s="484"/>
      <c r="AR186" s="484"/>
      <c r="AS186" s="484"/>
      <c r="AT186" s="484"/>
      <c r="AU186" s="484"/>
      <c r="AV186" s="484"/>
      <c r="AW186" s="485"/>
      <c r="AX186" s="475"/>
      <c r="AY186" s="475"/>
      <c r="AZ186" s="475"/>
      <c r="BA186" s="475"/>
      <c r="BB186" s="475"/>
      <c r="BC186" s="475"/>
      <c r="BD186" s="475"/>
      <c r="BE186" s="475"/>
      <c r="BF186" s="475"/>
      <c r="BG186" s="475"/>
      <c r="BH186" s="475"/>
      <c r="BI186" s="475"/>
      <c r="BJ186" s="475"/>
      <c r="BK186" s="425"/>
      <c r="BL186" s="1072"/>
      <c r="BM186" s="425"/>
      <c r="BN186" s="425"/>
      <c r="BO186" s="425"/>
      <c r="BP186" s="425"/>
      <c r="BQ186" s="425"/>
      <c r="BR186" s="425"/>
      <c r="BS186" s="425"/>
      <c r="BT186" s="425"/>
      <c r="BU186" s="425"/>
      <c r="BV186" s="425"/>
      <c r="BW186" s="425"/>
      <c r="BX186" s="425"/>
      <c r="BY186" s="425"/>
      <c r="BZ186" s="425"/>
      <c r="CA186" s="425"/>
      <c r="CB186" s="425"/>
      <c r="CC186" s="425"/>
      <c r="CD186" s="425"/>
      <c r="CE186" s="425"/>
      <c r="CF186" s="425"/>
      <c r="CI186" s="471"/>
      <c r="CJ186" s="454"/>
      <c r="CK186" s="425"/>
      <c r="CL186" s="425"/>
      <c r="CM186" s="425"/>
      <c r="CN186" s="425"/>
      <c r="CO186" s="328"/>
      <c r="CP186" s="328"/>
      <c r="CQ186" s="328"/>
      <c r="CR186" s="328"/>
      <c r="CS186" s="328"/>
      <c r="CT186" s="328"/>
      <c r="CU186" s="328"/>
      <c r="CV186" s="328"/>
      <c r="CW186" s="328"/>
      <c r="CX186" s="328"/>
      <c r="CY186" s="328"/>
      <c r="CZ186" s="328"/>
      <c r="DA186" s="328"/>
      <c r="DB186" s="328"/>
      <c r="DC186" s="328"/>
      <c r="DD186" s="328"/>
      <c r="DE186" s="328"/>
      <c r="DF186" s="328"/>
      <c r="DG186" s="328"/>
      <c r="DH186" s="328"/>
      <c r="DI186" s="328"/>
      <c r="DJ186" s="328"/>
      <c r="DK186" s="328"/>
      <c r="DL186" s="328"/>
      <c r="DM186" s="328"/>
      <c r="DN186" s="328"/>
      <c r="DO186" s="328"/>
    </row>
    <row r="187" spans="1:119" s="363" customFormat="1" ht="17.25" customHeight="1" x14ac:dyDescent="0.2">
      <c r="A187" s="2420" t="s">
        <v>689</v>
      </c>
      <c r="B187" s="2421"/>
      <c r="C187" s="2421"/>
      <c r="D187" s="2421"/>
      <c r="E187" s="2421"/>
      <c r="F187" s="2421"/>
      <c r="G187" s="2421"/>
      <c r="H187" s="2444">
        <f>+Q179</f>
        <v>0</v>
      </c>
      <c r="I187" s="2445"/>
      <c r="J187" s="2446"/>
      <c r="K187" s="23"/>
      <c r="L187" s="23"/>
      <c r="M187" s="23"/>
      <c r="N187" s="19"/>
      <c r="O187" s="329"/>
      <c r="P187" s="475"/>
      <c r="Q187" s="475"/>
      <c r="R187" s="475"/>
      <c r="S187" s="475"/>
      <c r="T187" s="475"/>
      <c r="U187" s="475"/>
      <c r="V187" s="475"/>
      <c r="W187" s="475"/>
      <c r="X187" s="475"/>
      <c r="Y187" s="475"/>
      <c r="AD187" s="484"/>
      <c r="AE187" s="484"/>
      <c r="AF187" s="484"/>
      <c r="AG187" s="484"/>
      <c r="AH187" s="484"/>
      <c r="AI187" s="484"/>
      <c r="AJ187" s="484"/>
      <c r="AK187" s="484"/>
      <c r="AL187" s="484"/>
      <c r="AM187" s="484"/>
      <c r="AN187" s="484"/>
      <c r="AO187" s="484"/>
      <c r="AP187" s="484"/>
      <c r="AQ187" s="484"/>
      <c r="AR187" s="484"/>
      <c r="AS187" s="484"/>
      <c r="AT187" s="484"/>
      <c r="AU187" s="484"/>
      <c r="AV187" s="484"/>
      <c r="AW187" s="485"/>
      <c r="AX187" s="475"/>
      <c r="AY187" s="475"/>
      <c r="AZ187" s="475"/>
      <c r="BA187" s="475"/>
      <c r="BB187" s="475"/>
      <c r="BC187" s="475"/>
      <c r="BD187" s="475"/>
      <c r="BE187" s="475"/>
      <c r="BF187" s="475"/>
      <c r="BG187" s="475"/>
      <c r="BH187" s="475"/>
      <c r="BI187" s="475"/>
      <c r="BJ187" s="475"/>
      <c r="BK187" s="425"/>
      <c r="BL187" s="1072"/>
      <c r="BM187" s="425"/>
      <c r="BN187" s="425"/>
      <c r="BO187" s="425"/>
      <c r="BP187" s="425"/>
      <c r="BQ187" s="425"/>
      <c r="BR187" s="425"/>
      <c r="BS187" s="425"/>
      <c r="BT187" s="425"/>
      <c r="BU187" s="425"/>
      <c r="BV187" s="425"/>
      <c r="BW187" s="425"/>
      <c r="BX187" s="425"/>
      <c r="BY187" s="425"/>
      <c r="BZ187" s="425"/>
      <c r="CA187" s="425"/>
      <c r="CB187" s="425"/>
      <c r="CC187" s="425"/>
      <c r="CD187" s="425"/>
      <c r="CE187" s="425"/>
      <c r="CF187" s="425"/>
      <c r="CI187" s="471"/>
      <c r="CJ187" s="454"/>
      <c r="CK187" s="425"/>
      <c r="CL187" s="425"/>
      <c r="CM187" s="425"/>
      <c r="CN187" s="425"/>
      <c r="CO187" s="328"/>
      <c r="CP187" s="328"/>
      <c r="CQ187" s="328"/>
      <c r="CR187" s="328"/>
      <c r="CS187" s="328"/>
      <c r="CT187" s="328"/>
      <c r="CU187" s="328"/>
      <c r="CV187" s="328"/>
      <c r="CW187" s="328"/>
      <c r="CX187" s="328"/>
      <c r="CY187" s="328"/>
      <c r="CZ187" s="328"/>
      <c r="DA187" s="328"/>
      <c r="DB187" s="328"/>
      <c r="DC187" s="328"/>
      <c r="DD187" s="328"/>
      <c r="DE187" s="328"/>
      <c r="DF187" s="328"/>
      <c r="DG187" s="328"/>
      <c r="DH187" s="328"/>
      <c r="DI187" s="328"/>
      <c r="DJ187" s="328"/>
      <c r="DK187" s="328"/>
      <c r="DL187" s="328"/>
      <c r="DM187" s="328"/>
      <c r="DN187" s="328"/>
      <c r="DO187" s="328"/>
    </row>
    <row r="188" spans="1:119" s="363" customFormat="1" ht="17.25" customHeight="1" x14ac:dyDescent="0.2">
      <c r="A188" s="2422" t="s">
        <v>690</v>
      </c>
      <c r="B188" s="2423"/>
      <c r="C188" s="2423"/>
      <c r="D188" s="2423"/>
      <c r="E188" s="2423"/>
      <c r="F188" s="2423"/>
      <c r="G188" s="2423"/>
      <c r="H188" s="2447">
        <f>+H187*(100+H180)/100</f>
        <v>0</v>
      </c>
      <c r="I188" s="2448"/>
      <c r="J188" s="2449"/>
      <c r="K188" s="23"/>
      <c r="L188" s="23"/>
      <c r="M188" s="23"/>
      <c r="N188" s="19"/>
      <c r="O188" s="329"/>
      <c r="P188" s="475"/>
      <c r="Q188" s="475"/>
      <c r="R188" s="475"/>
      <c r="S188" s="475"/>
      <c r="T188" s="475"/>
      <c r="U188" s="475"/>
      <c r="V188" s="475"/>
      <c r="W188" s="475"/>
      <c r="X188" s="475"/>
      <c r="Y188" s="475"/>
      <c r="AD188" s="484"/>
      <c r="AE188" s="484"/>
      <c r="AF188" s="484"/>
      <c r="AG188" s="484"/>
      <c r="AH188" s="484"/>
      <c r="AI188" s="484"/>
      <c r="AJ188" s="484"/>
      <c r="AK188" s="484"/>
      <c r="AL188" s="484"/>
      <c r="AM188" s="484"/>
      <c r="AN188" s="484"/>
      <c r="AO188" s="484"/>
      <c r="AP188" s="484"/>
      <c r="AQ188" s="484"/>
      <c r="AR188" s="484"/>
      <c r="AS188" s="484"/>
      <c r="AT188" s="484"/>
      <c r="AU188" s="484"/>
      <c r="AV188" s="484"/>
      <c r="AW188" s="485"/>
      <c r="AX188" s="475"/>
      <c r="AY188" s="475"/>
      <c r="AZ188" s="475"/>
      <c r="BA188" s="475"/>
      <c r="BB188" s="475"/>
      <c r="BC188" s="475"/>
      <c r="BD188" s="475"/>
      <c r="BE188" s="475"/>
      <c r="BF188" s="475"/>
      <c r="BG188" s="475"/>
      <c r="BH188" s="475"/>
      <c r="BI188" s="475"/>
      <c r="BJ188" s="475"/>
      <c r="BK188" s="425"/>
      <c r="BL188" s="1072"/>
      <c r="BM188" s="425"/>
      <c r="BN188" s="425"/>
      <c r="BO188" s="425"/>
      <c r="BP188" s="425"/>
      <c r="BQ188" s="425"/>
      <c r="BR188" s="425"/>
      <c r="BS188" s="425"/>
      <c r="BT188" s="425"/>
      <c r="BU188" s="425"/>
      <c r="BV188" s="425"/>
      <c r="BW188" s="425"/>
      <c r="BX188" s="425"/>
      <c r="BY188" s="425"/>
      <c r="BZ188" s="425"/>
      <c r="CA188" s="425"/>
      <c r="CB188" s="425"/>
      <c r="CC188" s="425"/>
      <c r="CD188" s="425"/>
      <c r="CE188" s="425"/>
      <c r="CF188" s="425"/>
      <c r="CI188" s="471"/>
      <c r="CJ188" s="454"/>
      <c r="CK188" s="425"/>
      <c r="CL188" s="425"/>
      <c r="CM188" s="425"/>
      <c r="CN188" s="425"/>
      <c r="CO188" s="328"/>
      <c r="CP188" s="328"/>
      <c r="CQ188" s="328"/>
      <c r="CR188" s="328"/>
      <c r="CS188" s="328"/>
      <c r="CT188" s="328"/>
      <c r="CU188" s="328"/>
      <c r="CV188" s="328"/>
      <c r="CW188" s="328"/>
      <c r="CX188" s="328"/>
      <c r="CY188" s="328"/>
      <c r="CZ188" s="328"/>
      <c r="DA188" s="328"/>
      <c r="DB188" s="328"/>
      <c r="DC188" s="328"/>
      <c r="DD188" s="328"/>
      <c r="DE188" s="328"/>
      <c r="DF188" s="328"/>
      <c r="DG188" s="328"/>
      <c r="DH188" s="328"/>
      <c r="DI188" s="328"/>
      <c r="DJ188" s="328"/>
      <c r="DK188" s="328"/>
      <c r="DL188" s="328"/>
      <c r="DM188" s="328"/>
      <c r="DN188" s="328"/>
      <c r="DO188" s="328"/>
    </row>
    <row r="189" spans="1:119" s="363" customFormat="1" ht="17.25" customHeight="1" thickBot="1" x14ac:dyDescent="0.25">
      <c r="A189" s="2418" t="s">
        <v>691</v>
      </c>
      <c r="B189" s="2419"/>
      <c r="C189" s="2419"/>
      <c r="D189" s="2419"/>
      <c r="E189" s="2419"/>
      <c r="F189" s="2419"/>
      <c r="G189" s="2419"/>
      <c r="H189" s="2568">
        <f>IF(H175+S179=0,0,IF(S179=0,"Eingabe Substrate!",H181+((H175+H176-U177)/9.97/(H178/100)/(S179/100))))</f>
        <v>0</v>
      </c>
      <c r="I189" s="2569"/>
      <c r="J189" s="2570"/>
      <c r="K189" s="23"/>
      <c r="L189" s="23"/>
      <c r="M189" s="23"/>
      <c r="N189" s="19"/>
      <c r="O189" s="329"/>
      <c r="P189" s="475" t="s">
        <v>1273</v>
      </c>
      <c r="Q189" s="475"/>
      <c r="R189" s="475"/>
      <c r="S189" s="475"/>
      <c r="T189" s="475"/>
      <c r="U189" s="475"/>
      <c r="V189" s="475"/>
      <c r="W189" s="475"/>
      <c r="X189" s="475"/>
      <c r="Y189" s="475"/>
      <c r="AD189" s="484"/>
      <c r="AE189" s="484"/>
      <c r="AF189" s="484"/>
      <c r="AG189" s="484"/>
      <c r="AH189" s="484"/>
      <c r="AI189" s="484"/>
      <c r="AJ189" s="484"/>
      <c r="AK189" s="484"/>
      <c r="AL189" s="484"/>
      <c r="AM189" s="484"/>
      <c r="AN189" s="484"/>
      <c r="AO189" s="484"/>
      <c r="AP189" s="484"/>
      <c r="AQ189" s="484"/>
      <c r="AR189" s="484"/>
      <c r="AS189" s="484"/>
      <c r="AT189" s="484"/>
      <c r="AU189" s="484"/>
      <c r="AV189" s="484"/>
      <c r="AW189" s="485"/>
      <c r="AX189" s="475"/>
      <c r="AY189" s="475"/>
      <c r="AZ189" s="475"/>
      <c r="BA189" s="475"/>
      <c r="BB189" s="475"/>
      <c r="BC189" s="475"/>
      <c r="BD189" s="475"/>
      <c r="BE189" s="475"/>
      <c r="BF189" s="475"/>
      <c r="BG189" s="475"/>
      <c r="BH189" s="475"/>
      <c r="BI189" s="475"/>
      <c r="BJ189" s="475"/>
      <c r="BK189" s="425"/>
      <c r="BL189" s="1072"/>
      <c r="BM189" s="425"/>
      <c r="BN189" s="425"/>
      <c r="BO189" s="425"/>
      <c r="BP189" s="425"/>
      <c r="BQ189" s="425"/>
      <c r="BR189" s="425"/>
      <c r="BS189" s="425"/>
      <c r="BT189" s="425"/>
      <c r="BU189" s="425"/>
      <c r="BV189" s="425"/>
      <c r="BW189" s="425"/>
      <c r="BX189" s="425"/>
      <c r="BY189" s="425"/>
      <c r="BZ189" s="425"/>
      <c r="CA189" s="425"/>
      <c r="CB189" s="425"/>
      <c r="CC189" s="425"/>
      <c r="CD189" s="425"/>
      <c r="CE189" s="425"/>
      <c r="CF189" s="425"/>
      <c r="CI189" s="471"/>
      <c r="CJ189" s="454"/>
      <c r="CK189" s="425"/>
      <c r="CL189" s="425"/>
      <c r="CM189" s="425"/>
      <c r="CN189" s="425"/>
      <c r="CO189" s="328"/>
      <c r="CP189" s="328"/>
      <c r="CQ189" s="328"/>
      <c r="CR189" s="328"/>
      <c r="CS189" s="328"/>
      <c r="CT189" s="328"/>
      <c r="CU189" s="328"/>
      <c r="CV189" s="328"/>
      <c r="CW189" s="328"/>
      <c r="CX189" s="328"/>
      <c r="CY189" s="328"/>
      <c r="CZ189" s="328"/>
      <c r="DA189" s="328"/>
      <c r="DB189" s="328"/>
      <c r="DC189" s="328"/>
      <c r="DD189" s="328"/>
      <c r="DE189" s="328"/>
      <c r="DF189" s="328"/>
      <c r="DG189" s="328"/>
      <c r="DH189" s="328"/>
      <c r="DI189" s="328"/>
      <c r="DJ189" s="328"/>
      <c r="DK189" s="328"/>
      <c r="DL189" s="328"/>
      <c r="DM189" s="328"/>
      <c r="DN189" s="328"/>
      <c r="DO189" s="328"/>
    </row>
    <row r="190" spans="1:119" s="363" customFormat="1" ht="17.25" customHeight="1" x14ac:dyDescent="0.2">
      <c r="A190" s="2699" t="s">
        <v>677</v>
      </c>
      <c r="B190" s="2700"/>
      <c r="C190" s="2700"/>
      <c r="D190" s="2700"/>
      <c r="E190" s="2700"/>
      <c r="F190" s="2700"/>
      <c r="G190" s="2700"/>
      <c r="H190" s="2483">
        <f>IF(H188=0,IF(H189=0,0,H189/H188*100),H189/H188*100)</f>
        <v>0</v>
      </c>
      <c r="I190" s="2484"/>
      <c r="J190" s="2485"/>
      <c r="K190" s="23"/>
      <c r="L190" s="23"/>
      <c r="M190" s="23"/>
      <c r="N190" s="19"/>
      <c r="O190" s="329"/>
      <c r="P190" s="475">
        <v>90</v>
      </c>
      <c r="Q190" s="485" t="s">
        <v>1274</v>
      </c>
      <c r="R190" s="475"/>
      <c r="S190" s="475"/>
      <c r="T190" s="475"/>
      <c r="U190" s="475"/>
      <c r="V190" s="475"/>
      <c r="W190" s="475"/>
      <c r="X190" s="475"/>
      <c r="Y190" s="475"/>
      <c r="AD190" s="484"/>
      <c r="AE190" s="484"/>
      <c r="AF190" s="484"/>
      <c r="AG190" s="484"/>
      <c r="AH190" s="484"/>
      <c r="AI190" s="484"/>
      <c r="AJ190" s="484"/>
      <c r="AK190" s="484"/>
      <c r="AL190" s="484"/>
      <c r="AM190" s="484"/>
      <c r="AN190" s="484"/>
      <c r="AO190" s="484"/>
      <c r="AP190" s="484"/>
      <c r="AQ190" s="484"/>
      <c r="AR190" s="484"/>
      <c r="AS190" s="484"/>
      <c r="AT190" s="484"/>
      <c r="AU190" s="484"/>
      <c r="AV190" s="484"/>
      <c r="AW190" s="485"/>
      <c r="AX190" s="475"/>
      <c r="AY190" s="475"/>
      <c r="AZ190" s="475"/>
      <c r="BA190" s="475"/>
      <c r="BB190" s="475"/>
      <c r="BC190" s="475"/>
      <c r="BD190" s="475"/>
      <c r="BE190" s="475"/>
      <c r="BF190" s="475"/>
      <c r="BG190" s="475"/>
      <c r="BH190" s="475"/>
      <c r="BI190" s="475"/>
      <c r="BJ190" s="475"/>
      <c r="BK190" s="425"/>
      <c r="BL190" s="1072"/>
      <c r="BM190" s="425"/>
      <c r="BN190" s="425"/>
      <c r="BO190" s="425"/>
      <c r="BP190" s="425"/>
      <c r="BQ190" s="425"/>
      <c r="BR190" s="425"/>
      <c r="BS190" s="425"/>
      <c r="BT190" s="425"/>
      <c r="BU190" s="425"/>
      <c r="BV190" s="425"/>
      <c r="BW190" s="425"/>
      <c r="BX190" s="425"/>
      <c r="BY190" s="425"/>
      <c r="BZ190" s="425"/>
      <c r="CA190" s="425"/>
      <c r="CB190" s="425"/>
      <c r="CC190" s="425"/>
      <c r="CD190" s="425"/>
      <c r="CE190" s="425"/>
      <c r="CF190" s="425"/>
      <c r="CI190" s="471"/>
      <c r="CJ190" s="454"/>
      <c r="CK190" s="425"/>
      <c r="CL190" s="425"/>
      <c r="CM190" s="425"/>
      <c r="CN190" s="425"/>
      <c r="CO190" s="328"/>
      <c r="CP190" s="328"/>
      <c r="CQ190" s="328"/>
      <c r="CR190" s="328"/>
      <c r="CS190" s="328"/>
      <c r="CT190" s="328"/>
      <c r="CU190" s="328"/>
      <c r="CV190" s="328"/>
      <c r="CW190" s="328"/>
      <c r="CX190" s="328"/>
      <c r="CY190" s="328"/>
      <c r="CZ190" s="328"/>
      <c r="DA190" s="328"/>
      <c r="DB190" s="328"/>
      <c r="DC190" s="328"/>
      <c r="DD190" s="328"/>
      <c r="DE190" s="328"/>
      <c r="DF190" s="328"/>
      <c r="DG190" s="328"/>
      <c r="DH190" s="328"/>
      <c r="DI190" s="328"/>
      <c r="DJ190" s="328"/>
      <c r="DK190" s="328"/>
      <c r="DL190" s="328"/>
      <c r="DM190" s="328"/>
      <c r="DN190" s="328"/>
      <c r="DO190" s="328"/>
    </row>
    <row r="191" spans="1:119" s="363" customFormat="1" ht="17.25" customHeight="1" thickBot="1" x14ac:dyDescent="0.25">
      <c r="A191" s="2416" t="s">
        <v>788</v>
      </c>
      <c r="B191" s="2417"/>
      <c r="C191" s="2417"/>
      <c r="D191" s="2417"/>
      <c r="E191" s="2417"/>
      <c r="F191" s="2417"/>
      <c r="G191" s="2417"/>
      <c r="H191" s="2515" t="str">
        <f>IF(H190=0," ",IF(H190&lt;P190,"nein",IF(H190&gt;P191,"nein","ja")))</f>
        <v xml:space="preserve"> </v>
      </c>
      <c r="I191" s="2516"/>
      <c r="J191" s="2517"/>
      <c r="K191" s="23"/>
      <c r="L191" s="23"/>
      <c r="M191" s="23"/>
      <c r="N191" s="19"/>
      <c r="O191" s="329"/>
      <c r="P191" s="1317">
        <f>IF(H178&lt;=40,110,110-((H178-40)/40)*100)</f>
        <v>110</v>
      </c>
      <c r="Q191" s="485" t="s">
        <v>1275</v>
      </c>
      <c r="R191" s="475"/>
      <c r="S191" s="475"/>
      <c r="T191" s="475"/>
      <c r="U191" s="475"/>
      <c r="V191" s="475"/>
      <c r="W191" s="475"/>
      <c r="X191" s="475"/>
      <c r="Y191" s="475"/>
      <c r="AD191" s="484"/>
      <c r="AE191" s="484"/>
      <c r="AF191" s="484"/>
      <c r="AG191" s="484"/>
      <c r="AH191" s="484"/>
      <c r="AI191" s="484"/>
      <c r="AJ191" s="484"/>
      <c r="AK191" s="484"/>
      <c r="AL191" s="484"/>
      <c r="AM191" s="484"/>
      <c r="AN191" s="484"/>
      <c r="AO191" s="484"/>
      <c r="AP191" s="484"/>
      <c r="AQ191" s="484"/>
      <c r="AR191" s="484"/>
      <c r="AS191" s="484"/>
      <c r="AT191" s="484"/>
      <c r="AU191" s="484"/>
      <c r="AV191" s="484"/>
      <c r="AW191" s="485"/>
      <c r="AX191" s="475"/>
      <c r="AY191" s="475"/>
      <c r="AZ191" s="475"/>
      <c r="BA191" s="475"/>
      <c r="BB191" s="475"/>
      <c r="BC191" s="475"/>
      <c r="BD191" s="475"/>
      <c r="BE191" s="475"/>
      <c r="BF191" s="475"/>
      <c r="BG191" s="475"/>
      <c r="BH191" s="475"/>
      <c r="BI191" s="475"/>
      <c r="BJ191" s="475"/>
      <c r="BK191" s="425"/>
      <c r="BL191" s="1072"/>
      <c r="BM191" s="425"/>
      <c r="BN191" s="425"/>
      <c r="BO191" s="425"/>
      <c r="BP191" s="425"/>
      <c r="BQ191" s="425"/>
      <c r="BR191" s="425"/>
      <c r="BS191" s="425"/>
      <c r="BT191" s="425"/>
      <c r="BU191" s="425"/>
      <c r="BV191" s="425"/>
      <c r="BW191" s="425"/>
      <c r="BX191" s="425"/>
      <c r="BY191" s="425"/>
      <c r="BZ191" s="425"/>
      <c r="CA191" s="425"/>
      <c r="CB191" s="425"/>
      <c r="CC191" s="425"/>
      <c r="CD191" s="425"/>
      <c r="CE191" s="425"/>
      <c r="CF191" s="425"/>
      <c r="CI191" s="471"/>
      <c r="CJ191" s="454"/>
      <c r="CK191" s="425"/>
      <c r="CL191" s="425"/>
      <c r="CM191" s="425"/>
      <c r="CN191" s="425"/>
      <c r="CO191" s="328"/>
      <c r="CP191" s="328"/>
      <c r="CQ191" s="328"/>
      <c r="CR191" s="328"/>
      <c r="CS191" s="328"/>
      <c r="CT191" s="328"/>
      <c r="CU191" s="328"/>
      <c r="CV191" s="328"/>
      <c r="CW191" s="328"/>
      <c r="CX191" s="328"/>
      <c r="CY191" s="328"/>
      <c r="CZ191" s="328"/>
      <c r="DA191" s="328"/>
      <c r="DB191" s="328"/>
      <c r="DC191" s="328"/>
      <c r="DD191" s="328"/>
      <c r="DE191" s="328"/>
      <c r="DF191" s="328"/>
      <c r="DG191" s="328"/>
      <c r="DH191" s="328"/>
      <c r="DI191" s="328"/>
      <c r="DJ191" s="328"/>
      <c r="DK191" s="328"/>
      <c r="DL191" s="328"/>
      <c r="DM191" s="328"/>
      <c r="DN191" s="328"/>
      <c r="DO191" s="328"/>
    </row>
    <row r="192" spans="1:119" s="363" customFormat="1" ht="17.25" customHeight="1" x14ac:dyDescent="0.25">
      <c r="A192" s="638"/>
      <c r="B192" s="638"/>
      <c r="C192" s="638"/>
      <c r="D192" s="638"/>
      <c r="E192" s="639"/>
      <c r="F192" s="641"/>
      <c r="G192" s="641"/>
      <c r="H192" s="23"/>
      <c r="I192" s="23"/>
      <c r="J192" s="23"/>
      <c r="K192" s="23"/>
      <c r="L192" s="23"/>
      <c r="M192" s="23"/>
      <c r="N192" s="19"/>
      <c r="O192" s="329"/>
      <c r="P192" s="1336"/>
      <c r="Q192" s="475"/>
      <c r="R192" s="475"/>
      <c r="S192" s="475"/>
      <c r="T192" s="475"/>
      <c r="U192" s="475"/>
      <c r="V192" s="475"/>
      <c r="W192" s="475"/>
      <c r="X192" s="475"/>
      <c r="Y192" s="475"/>
      <c r="AD192" s="484"/>
      <c r="AE192" s="484"/>
      <c r="AF192" s="484"/>
      <c r="AG192" s="484"/>
      <c r="AH192" s="484"/>
      <c r="AI192" s="484"/>
      <c r="AJ192" s="484"/>
      <c r="AK192" s="484"/>
      <c r="AL192" s="484"/>
      <c r="AM192" s="484"/>
      <c r="AN192" s="484"/>
      <c r="AO192" s="484"/>
      <c r="AP192" s="484"/>
      <c r="AQ192" s="484"/>
      <c r="AR192" s="484"/>
      <c r="AS192" s="484"/>
      <c r="AT192" s="484"/>
      <c r="AU192" s="484"/>
      <c r="AV192" s="484"/>
      <c r="AW192" s="485"/>
      <c r="AX192" s="475"/>
      <c r="AY192" s="475"/>
      <c r="AZ192" s="475"/>
      <c r="BA192" s="475"/>
      <c r="BB192" s="475"/>
      <c r="BC192" s="475"/>
      <c r="BD192" s="475"/>
      <c r="BE192" s="475"/>
      <c r="BF192" s="475"/>
      <c r="BG192" s="475"/>
      <c r="BH192" s="475"/>
      <c r="BI192" s="475"/>
      <c r="BJ192" s="475"/>
      <c r="BK192" s="425"/>
      <c r="BL192" s="1072"/>
      <c r="BM192" s="425"/>
      <c r="BN192" s="425"/>
      <c r="BO192" s="425"/>
      <c r="BP192" s="425"/>
      <c r="BQ192" s="425"/>
      <c r="BR192" s="425"/>
      <c r="BS192" s="425"/>
      <c r="BT192" s="425"/>
      <c r="BU192" s="425"/>
      <c r="BV192" s="425"/>
      <c r="BW192" s="425"/>
      <c r="BX192" s="425"/>
      <c r="BY192" s="425"/>
      <c r="BZ192" s="425"/>
      <c r="CA192" s="425"/>
      <c r="CB192" s="425"/>
      <c r="CC192" s="425"/>
      <c r="CD192" s="425"/>
      <c r="CE192" s="425"/>
      <c r="CF192" s="425"/>
      <c r="CI192" s="471"/>
      <c r="CJ192" s="454"/>
      <c r="CK192" s="425"/>
      <c r="CL192" s="425"/>
      <c r="CM192" s="425"/>
      <c r="CN192" s="425"/>
      <c r="CO192" s="328"/>
      <c r="CP192" s="328"/>
      <c r="CQ192" s="328"/>
      <c r="CR192" s="328"/>
      <c r="CS192" s="328"/>
      <c r="CT192" s="328"/>
      <c r="CU192" s="328"/>
      <c r="CV192" s="328"/>
      <c r="CW192" s="328"/>
      <c r="CX192" s="328"/>
      <c r="CY192" s="328"/>
      <c r="CZ192" s="328"/>
      <c r="DA192" s="328"/>
      <c r="DB192" s="328"/>
      <c r="DC192" s="328"/>
      <c r="DD192" s="328"/>
      <c r="DE192" s="328"/>
      <c r="DF192" s="328"/>
      <c r="DG192" s="328"/>
      <c r="DH192" s="328"/>
      <c r="DI192" s="328"/>
      <c r="DJ192" s="328"/>
      <c r="DK192" s="328"/>
      <c r="DL192" s="328"/>
      <c r="DM192" s="328"/>
      <c r="DN192" s="328"/>
      <c r="DO192" s="328"/>
    </row>
    <row r="193" spans="1:119" s="363" customFormat="1" ht="17.25" customHeight="1" x14ac:dyDescent="0.25">
      <c r="A193" s="638"/>
      <c r="B193" s="638"/>
      <c r="C193" s="638"/>
      <c r="D193" s="638"/>
      <c r="E193" s="639"/>
      <c r="F193" s="641"/>
      <c r="G193" s="641"/>
      <c r="H193" s="23"/>
      <c r="I193" s="23"/>
      <c r="J193" s="23"/>
      <c r="K193" s="23"/>
      <c r="L193" s="23"/>
      <c r="M193" s="23"/>
      <c r="N193" s="19"/>
      <c r="O193" s="329"/>
      <c r="P193" s="705"/>
      <c r="Q193" s="475"/>
      <c r="R193" s="475"/>
      <c r="S193" s="475"/>
      <c r="T193" s="475"/>
      <c r="U193" s="475"/>
      <c r="V193" s="475"/>
      <c r="W193" s="475"/>
      <c r="X193" s="475"/>
      <c r="Y193" s="475"/>
      <c r="AD193" s="484"/>
      <c r="AE193" s="484"/>
      <c r="AF193" s="484"/>
      <c r="AG193" s="484"/>
      <c r="AH193" s="484"/>
      <c r="AI193" s="484"/>
      <c r="AJ193" s="484"/>
      <c r="AK193" s="484"/>
      <c r="AL193" s="484"/>
      <c r="AM193" s="484"/>
      <c r="AN193" s="484"/>
      <c r="AO193" s="484"/>
      <c r="AP193" s="484"/>
      <c r="AQ193" s="484"/>
      <c r="AR193" s="484"/>
      <c r="AS193" s="484"/>
      <c r="AT193" s="484"/>
      <c r="AU193" s="484"/>
      <c r="AV193" s="484"/>
      <c r="AW193" s="485"/>
      <c r="AX193" s="475"/>
      <c r="AY193" s="475"/>
      <c r="AZ193" s="475"/>
      <c r="BA193" s="475"/>
      <c r="BB193" s="475"/>
      <c r="BC193" s="475"/>
      <c r="BD193" s="475"/>
      <c r="BE193" s="475"/>
      <c r="BF193" s="475"/>
      <c r="BG193" s="475"/>
      <c r="BH193" s="475"/>
      <c r="BI193" s="475"/>
      <c r="BJ193" s="475"/>
      <c r="BK193" s="425"/>
      <c r="BL193" s="1072"/>
      <c r="BM193" s="425"/>
      <c r="BN193" s="425"/>
      <c r="BO193" s="425"/>
      <c r="BP193" s="425"/>
      <c r="BQ193" s="425"/>
      <c r="BR193" s="425"/>
      <c r="BS193" s="425"/>
      <c r="BT193" s="425"/>
      <c r="BU193" s="425"/>
      <c r="BV193" s="425"/>
      <c r="BW193" s="425"/>
      <c r="BX193" s="425"/>
      <c r="BY193" s="425"/>
      <c r="BZ193" s="425"/>
      <c r="CA193" s="425"/>
      <c r="CB193" s="425"/>
      <c r="CC193" s="425"/>
      <c r="CD193" s="425"/>
      <c r="CE193" s="425"/>
      <c r="CF193" s="425"/>
      <c r="CI193" s="471"/>
      <c r="CJ193" s="454"/>
      <c r="CK193" s="425"/>
      <c r="CL193" s="425"/>
      <c r="CM193" s="425"/>
      <c r="CN193" s="425"/>
      <c r="CO193" s="328"/>
      <c r="CP193" s="328"/>
      <c r="CQ193" s="328"/>
      <c r="CR193" s="328"/>
      <c r="CS193" s="328"/>
      <c r="CT193" s="328"/>
      <c r="CU193" s="328"/>
      <c r="CV193" s="328"/>
      <c r="CW193" s="328"/>
      <c r="CX193" s="328"/>
      <c r="CY193" s="328"/>
      <c r="CZ193" s="328"/>
      <c r="DA193" s="328"/>
      <c r="DB193" s="328"/>
      <c r="DC193" s="328"/>
      <c r="DD193" s="328"/>
      <c r="DE193" s="328"/>
      <c r="DF193" s="328"/>
      <c r="DG193" s="328"/>
      <c r="DH193" s="328"/>
      <c r="DI193" s="328"/>
      <c r="DJ193" s="328"/>
      <c r="DK193" s="328"/>
      <c r="DL193" s="328"/>
      <c r="DM193" s="328"/>
      <c r="DN193" s="328"/>
      <c r="DO193" s="328"/>
    </row>
    <row r="194" spans="1:119" s="363" customFormat="1" ht="17.25" customHeight="1" x14ac:dyDescent="0.25">
      <c r="A194" s="638"/>
      <c r="B194" s="638"/>
      <c r="C194" s="638"/>
      <c r="D194" s="638"/>
      <c r="E194" s="639"/>
      <c r="F194" s="641"/>
      <c r="G194" s="641"/>
      <c r="H194" s="23"/>
      <c r="I194" s="23"/>
      <c r="J194" s="23"/>
      <c r="K194" s="23"/>
      <c r="L194" s="23"/>
      <c r="M194" s="23"/>
      <c r="N194" s="19"/>
      <c r="O194" s="329"/>
      <c r="P194" s="475"/>
      <c r="Q194" s="475"/>
      <c r="R194" s="475"/>
      <c r="S194" s="475"/>
      <c r="T194" s="475"/>
      <c r="U194" s="475"/>
      <c r="V194" s="475"/>
      <c r="W194" s="475"/>
      <c r="X194" s="475"/>
      <c r="Y194" s="475"/>
      <c r="AD194" s="484"/>
      <c r="AE194" s="484"/>
      <c r="AF194" s="484"/>
      <c r="AG194" s="484"/>
      <c r="AH194" s="484"/>
      <c r="AI194" s="484"/>
      <c r="AJ194" s="484"/>
      <c r="AK194" s="484"/>
      <c r="AL194" s="484"/>
      <c r="AM194" s="484"/>
      <c r="AN194" s="484"/>
      <c r="AO194" s="484"/>
      <c r="AP194" s="484"/>
      <c r="AQ194" s="484"/>
      <c r="AR194" s="484"/>
      <c r="AS194" s="484"/>
      <c r="AT194" s="484"/>
      <c r="AU194" s="484"/>
      <c r="AV194" s="484"/>
      <c r="AW194" s="485"/>
      <c r="AX194" s="475"/>
      <c r="AY194" s="475"/>
      <c r="AZ194" s="475"/>
      <c r="BA194" s="475"/>
      <c r="BB194" s="475"/>
      <c r="BC194" s="475"/>
      <c r="BD194" s="475"/>
      <c r="BE194" s="475"/>
      <c r="BF194" s="475"/>
      <c r="BG194" s="475"/>
      <c r="BH194" s="475"/>
      <c r="BI194" s="475"/>
      <c r="BJ194" s="475"/>
      <c r="BK194" s="425"/>
      <c r="BL194" s="1072"/>
      <c r="BM194" s="425"/>
      <c r="BN194" s="425"/>
      <c r="BO194" s="425"/>
      <c r="BP194" s="425"/>
      <c r="BQ194" s="425"/>
      <c r="BR194" s="425"/>
      <c r="BS194" s="425"/>
      <c r="BT194" s="425"/>
      <c r="BU194" s="425"/>
      <c r="BV194" s="425"/>
      <c r="BW194" s="425"/>
      <c r="BX194" s="425"/>
      <c r="BY194" s="425"/>
      <c r="BZ194" s="425"/>
      <c r="CA194" s="425"/>
      <c r="CB194" s="425"/>
      <c r="CC194" s="425"/>
      <c r="CD194" s="425"/>
      <c r="CE194" s="425"/>
      <c r="CF194" s="425"/>
      <c r="CI194" s="471"/>
      <c r="CJ194" s="454"/>
      <c r="CK194" s="425"/>
      <c r="CL194" s="425"/>
      <c r="CM194" s="425"/>
      <c r="CN194" s="425"/>
      <c r="CO194" s="328"/>
      <c r="CP194" s="328"/>
      <c r="CQ194" s="328"/>
      <c r="CR194" s="328"/>
      <c r="CS194" s="328"/>
      <c r="CT194" s="328"/>
      <c r="CU194" s="328"/>
      <c r="CV194" s="328"/>
      <c r="CW194" s="328"/>
      <c r="CX194" s="328"/>
      <c r="CY194" s="328"/>
      <c r="CZ194" s="328"/>
      <c r="DA194" s="328"/>
      <c r="DB194" s="328"/>
      <c r="DC194" s="328"/>
      <c r="DD194" s="328"/>
      <c r="DE194" s="328"/>
      <c r="DF194" s="328"/>
      <c r="DG194" s="328"/>
      <c r="DH194" s="328"/>
      <c r="DI194" s="328"/>
      <c r="DJ194" s="328"/>
      <c r="DK194" s="328"/>
      <c r="DL194" s="328"/>
      <c r="DM194" s="328"/>
      <c r="DN194" s="328"/>
      <c r="DO194" s="328"/>
    </row>
    <row r="195" spans="1:119" s="330" customFormat="1" ht="17.25" customHeight="1" x14ac:dyDescent="0.2">
      <c r="A195" s="22"/>
      <c r="B195" s="22"/>
      <c r="C195" s="22"/>
      <c r="D195" s="22"/>
      <c r="E195" s="22"/>
      <c r="F195" s="22"/>
      <c r="G195" s="22"/>
      <c r="H195" s="22"/>
      <c r="I195" s="22"/>
      <c r="J195" s="22"/>
      <c r="K195" s="22"/>
      <c r="L195" s="22"/>
      <c r="M195" s="22"/>
      <c r="N195" s="19"/>
      <c r="O195" s="329"/>
      <c r="P195" s="475"/>
      <c r="Q195" s="475"/>
      <c r="R195" s="475"/>
      <c r="S195" s="475"/>
      <c r="T195" s="475"/>
      <c r="U195" s="475"/>
      <c r="V195" s="475"/>
      <c r="W195" s="475"/>
      <c r="X195" s="475"/>
      <c r="Y195" s="475"/>
      <c r="AD195" s="484"/>
      <c r="AE195" s="484"/>
      <c r="AF195" s="484"/>
      <c r="AG195" s="484"/>
      <c r="AH195" s="484"/>
      <c r="AI195" s="484"/>
      <c r="AJ195" s="484"/>
      <c r="AK195" s="484"/>
      <c r="AL195" s="484"/>
      <c r="AM195" s="484"/>
      <c r="AN195" s="484"/>
      <c r="AO195" s="484"/>
      <c r="AP195" s="484"/>
      <c r="AQ195" s="484"/>
      <c r="AR195" s="484"/>
      <c r="AS195" s="484"/>
      <c r="AT195" s="484"/>
      <c r="AU195" s="484"/>
      <c r="AV195" s="484"/>
      <c r="AW195" s="485"/>
      <c r="AX195" s="475"/>
      <c r="AY195" s="475"/>
      <c r="AZ195" s="475"/>
      <c r="BA195" s="475"/>
      <c r="BB195" s="475"/>
      <c r="BC195" s="475"/>
      <c r="BD195" s="475"/>
      <c r="BE195" s="475"/>
      <c r="BF195" s="475"/>
      <c r="BG195" s="475"/>
      <c r="BH195" s="475"/>
      <c r="BI195" s="475"/>
      <c r="BJ195" s="475"/>
      <c r="BK195" s="425"/>
      <c r="BL195" s="1072"/>
      <c r="BM195" s="425"/>
      <c r="BN195" s="425"/>
      <c r="BO195" s="425"/>
      <c r="BP195" s="425"/>
      <c r="BQ195" s="425"/>
      <c r="BR195" s="425"/>
      <c r="BS195" s="425"/>
      <c r="BT195" s="425"/>
      <c r="BU195" s="425"/>
      <c r="BV195" s="425"/>
      <c r="BW195" s="425"/>
      <c r="BX195" s="425"/>
      <c r="BY195" s="425"/>
      <c r="BZ195" s="425"/>
      <c r="CA195" s="425"/>
      <c r="CB195" s="425"/>
      <c r="CC195" s="425"/>
      <c r="CD195" s="425"/>
      <c r="CE195" s="425"/>
      <c r="CF195" s="425"/>
      <c r="CI195" s="472"/>
      <c r="CJ195" s="467"/>
      <c r="CK195" s="425"/>
      <c r="CL195" s="425"/>
      <c r="CM195" s="425"/>
      <c r="CN195" s="425"/>
      <c r="CO195" s="328"/>
      <c r="CP195" s="328"/>
      <c r="CQ195" s="328"/>
      <c r="CR195" s="328"/>
      <c r="CS195" s="328"/>
      <c r="CT195" s="328"/>
      <c r="CU195" s="328"/>
      <c r="CV195" s="328"/>
      <c r="CW195" s="328"/>
      <c r="CX195" s="328"/>
      <c r="CY195" s="328"/>
      <c r="CZ195" s="328"/>
      <c r="DA195" s="328"/>
      <c r="DB195" s="328"/>
      <c r="DC195" s="328"/>
      <c r="DD195" s="328"/>
      <c r="DE195" s="328"/>
      <c r="DF195" s="328"/>
      <c r="DG195" s="328"/>
      <c r="DH195" s="328"/>
      <c r="DI195" s="328"/>
      <c r="DJ195" s="328"/>
      <c r="DK195" s="328"/>
      <c r="DL195" s="328"/>
      <c r="DM195" s="328"/>
      <c r="DN195" s="328"/>
      <c r="DO195" s="328"/>
    </row>
    <row r="196" spans="1:119" s="330" customFormat="1" ht="17.25" customHeight="1" thickBot="1" x14ac:dyDescent="0.25">
      <c r="A196" s="22"/>
      <c r="B196" s="22"/>
      <c r="C196" s="22"/>
      <c r="D196" s="22"/>
      <c r="E196" s="22"/>
      <c r="F196" s="22"/>
      <c r="G196" s="22"/>
      <c r="H196" s="22"/>
      <c r="I196" s="22"/>
      <c r="J196" s="22"/>
      <c r="K196" s="22"/>
      <c r="L196" s="22"/>
      <c r="M196" s="22"/>
      <c r="N196" s="19"/>
      <c r="O196" s="329"/>
      <c r="P196" s="475"/>
      <c r="Q196" s="475"/>
      <c r="R196" s="475"/>
      <c r="S196" s="475"/>
      <c r="T196" s="475"/>
      <c r="U196" s="475"/>
      <c r="V196" s="475"/>
      <c r="W196" s="475"/>
      <c r="X196" s="475"/>
      <c r="Y196" s="475"/>
      <c r="AD196" s="484"/>
      <c r="AE196" s="484"/>
      <c r="AF196" s="484"/>
      <c r="AG196" s="484"/>
      <c r="AH196" s="484"/>
      <c r="AI196" s="484"/>
      <c r="AJ196" s="484"/>
      <c r="AK196" s="484"/>
      <c r="AL196" s="484"/>
      <c r="AM196" s="484"/>
      <c r="AN196" s="484"/>
      <c r="AO196" s="484"/>
      <c r="AP196" s="484"/>
      <c r="AQ196" s="484"/>
      <c r="AR196" s="484"/>
      <c r="AS196" s="484"/>
      <c r="AT196" s="484"/>
      <c r="AU196" s="484"/>
      <c r="AV196" s="484"/>
      <c r="AW196" s="485"/>
      <c r="AX196" s="475"/>
      <c r="AY196" s="475"/>
      <c r="AZ196" s="475"/>
      <c r="BA196" s="475"/>
      <c r="BB196" s="475"/>
      <c r="BC196" s="475"/>
      <c r="BD196" s="475"/>
      <c r="BE196" s="475"/>
      <c r="BF196" s="475"/>
      <c r="BG196" s="475"/>
      <c r="BH196" s="475"/>
      <c r="BI196" s="475"/>
      <c r="BJ196" s="475"/>
      <c r="BK196" s="425"/>
      <c r="BL196" s="1072"/>
      <c r="BM196" s="425"/>
      <c r="BN196" s="425"/>
      <c r="BO196" s="425"/>
      <c r="BP196" s="425"/>
      <c r="BQ196" s="425"/>
      <c r="BR196" s="425"/>
      <c r="BS196" s="425"/>
      <c r="BT196" s="425"/>
      <c r="BU196" s="425"/>
      <c r="BV196" s="425"/>
      <c r="BW196" s="425"/>
      <c r="BX196" s="425"/>
      <c r="BY196" s="425"/>
      <c r="BZ196" s="425"/>
      <c r="CA196" s="425"/>
      <c r="CB196" s="425"/>
      <c r="CC196" s="425"/>
      <c r="CD196" s="425"/>
      <c r="CE196" s="425"/>
      <c r="CF196" s="425"/>
      <c r="CI196" s="472"/>
      <c r="CJ196" s="467"/>
      <c r="CK196" s="425"/>
      <c r="CL196" s="425"/>
      <c r="CM196" s="425"/>
      <c r="CN196" s="425"/>
      <c r="CO196" s="328"/>
      <c r="CP196" s="328"/>
      <c r="CQ196" s="328"/>
      <c r="CR196" s="328"/>
      <c r="CS196" s="328"/>
      <c r="CT196" s="328"/>
      <c r="CU196" s="328"/>
      <c r="CV196" s="328"/>
      <c r="CW196" s="328"/>
      <c r="CX196" s="328"/>
      <c r="CY196" s="328"/>
      <c r="CZ196" s="328"/>
      <c r="DA196" s="328"/>
      <c r="DB196" s="328"/>
      <c r="DC196" s="328"/>
      <c r="DD196" s="328"/>
      <c r="DE196" s="328"/>
      <c r="DF196" s="328"/>
      <c r="DG196" s="328"/>
      <c r="DH196" s="328"/>
      <c r="DI196" s="328"/>
      <c r="DJ196" s="328"/>
      <c r="DK196" s="328"/>
      <c r="DL196" s="328"/>
      <c r="DM196" s="328"/>
      <c r="DN196" s="328"/>
      <c r="DO196" s="328"/>
    </row>
    <row r="197" spans="1:119" s="330" customFormat="1" ht="17.25" customHeight="1" thickBot="1" x14ac:dyDescent="0.25">
      <c r="A197" s="1050" t="s">
        <v>867</v>
      </c>
      <c r="B197" s="1051"/>
      <c r="C197" s="1051"/>
      <c r="D197" s="1051"/>
      <c r="E197" s="1051"/>
      <c r="F197" s="1051"/>
      <c r="G197" s="1051"/>
      <c r="H197" s="1051"/>
      <c r="I197" s="1051"/>
      <c r="J197" s="1051"/>
      <c r="K197" s="1051"/>
      <c r="L197" s="1051"/>
      <c r="M197" s="1052"/>
      <c r="N197" s="19"/>
      <c r="O197" s="329"/>
      <c r="P197" s="475"/>
      <c r="Q197" s="475"/>
      <c r="R197" s="475"/>
      <c r="S197" s="475"/>
      <c r="T197" s="475"/>
      <c r="U197" s="475"/>
      <c r="V197" s="475"/>
      <c r="W197" s="475"/>
      <c r="X197" s="475"/>
      <c r="Y197" s="475"/>
      <c r="AD197" s="484"/>
      <c r="AE197" s="484"/>
      <c r="AF197" s="484"/>
      <c r="AG197" s="484"/>
      <c r="AH197" s="484"/>
      <c r="AI197" s="484"/>
      <c r="AJ197" s="484"/>
      <c r="AK197" s="484"/>
      <c r="AL197" s="484"/>
      <c r="AM197" s="484"/>
      <c r="AN197" s="484"/>
      <c r="AO197" s="484"/>
      <c r="AP197" s="484"/>
      <c r="AQ197" s="484"/>
      <c r="AR197" s="484"/>
      <c r="AS197" s="484"/>
      <c r="AT197" s="484"/>
      <c r="AU197" s="484"/>
      <c r="AV197" s="484"/>
      <c r="AW197" s="485"/>
      <c r="AX197" s="475"/>
      <c r="AY197" s="475"/>
      <c r="AZ197" s="475"/>
      <c r="BA197" s="475"/>
      <c r="BB197" s="475"/>
      <c r="BC197" s="475"/>
      <c r="BD197" s="475"/>
      <c r="BE197" s="475"/>
      <c r="BF197" s="475"/>
      <c r="BG197" s="475"/>
      <c r="BH197" s="475"/>
      <c r="BI197" s="475"/>
      <c r="BJ197" s="475"/>
      <c r="BK197" s="425"/>
      <c r="BL197" s="1072"/>
      <c r="BM197" s="425"/>
      <c r="BN197" s="425"/>
      <c r="BO197" s="425"/>
      <c r="BP197" s="425"/>
      <c r="BQ197" s="425"/>
      <c r="BR197" s="425"/>
      <c r="BS197" s="425"/>
      <c r="BT197" s="425"/>
      <c r="BU197" s="425"/>
      <c r="BV197" s="425"/>
      <c r="BW197" s="425"/>
      <c r="BX197" s="425"/>
      <c r="BY197" s="425"/>
      <c r="BZ197" s="425"/>
      <c r="CA197" s="425"/>
      <c r="CB197" s="425"/>
      <c r="CC197" s="425"/>
      <c r="CD197" s="425"/>
      <c r="CE197" s="425"/>
      <c r="CF197" s="425"/>
      <c r="CI197" s="472"/>
      <c r="CJ197" s="467"/>
      <c r="CK197" s="425"/>
      <c r="CL197" s="425"/>
      <c r="CM197" s="425"/>
      <c r="CN197" s="425"/>
      <c r="CO197" s="328"/>
      <c r="CP197" s="328"/>
      <c r="CQ197" s="328"/>
      <c r="CR197" s="328"/>
      <c r="CS197" s="328"/>
      <c r="CT197" s="328"/>
      <c r="CU197" s="328"/>
      <c r="CV197" s="328"/>
      <c r="CW197" s="328"/>
      <c r="CX197" s="328"/>
      <c r="CY197" s="328"/>
      <c r="CZ197" s="328"/>
      <c r="DA197" s="328"/>
      <c r="DB197" s="328"/>
      <c r="DC197" s="328"/>
      <c r="DD197" s="328"/>
      <c r="DE197" s="328"/>
      <c r="DF197" s="328"/>
      <c r="DG197" s="328"/>
      <c r="DH197" s="328"/>
      <c r="DI197" s="328"/>
      <c r="DJ197" s="328"/>
      <c r="DK197" s="328"/>
      <c r="DL197" s="328"/>
      <c r="DM197" s="328"/>
      <c r="DN197" s="328"/>
      <c r="DO197" s="328"/>
    </row>
    <row r="198" spans="1:119" s="330" customFormat="1" ht="17.25" customHeight="1" x14ac:dyDescent="0.2">
      <c r="A198" s="637" t="s">
        <v>843</v>
      </c>
      <c r="B198" s="22"/>
      <c r="C198" s="22"/>
      <c r="D198" s="22"/>
      <c r="E198" s="22"/>
      <c r="F198" s="22"/>
      <c r="G198" s="22"/>
      <c r="H198" s="22"/>
      <c r="I198" s="22"/>
      <c r="J198" s="22"/>
      <c r="K198" s="22"/>
      <c r="L198" s="22"/>
      <c r="M198" s="22"/>
      <c r="N198" s="19"/>
      <c r="O198" s="329"/>
      <c r="P198" s="475"/>
      <c r="Q198" s="475"/>
      <c r="R198" s="475"/>
      <c r="S198" s="475"/>
      <c r="T198" s="475"/>
      <c r="U198" s="475"/>
      <c r="V198" s="475"/>
      <c r="W198" s="475"/>
      <c r="X198" s="475"/>
      <c r="Y198" s="475"/>
      <c r="AD198" s="484"/>
      <c r="AE198" s="484"/>
      <c r="AF198" s="484"/>
      <c r="AG198" s="484"/>
      <c r="AH198" s="484"/>
      <c r="AI198" s="484"/>
      <c r="AJ198" s="484"/>
      <c r="AK198" s="484"/>
      <c r="AL198" s="484"/>
      <c r="AM198" s="484"/>
      <c r="AN198" s="484"/>
      <c r="AO198" s="484"/>
      <c r="AP198" s="484"/>
      <c r="AQ198" s="484"/>
      <c r="AR198" s="484"/>
      <c r="AS198" s="484"/>
      <c r="AT198" s="484"/>
      <c r="AU198" s="484"/>
      <c r="AV198" s="484"/>
      <c r="AW198" s="485"/>
      <c r="AX198" s="475"/>
      <c r="AY198" s="475"/>
      <c r="AZ198" s="475"/>
      <c r="BA198" s="475"/>
      <c r="BB198" s="475"/>
      <c r="BC198" s="475"/>
      <c r="BD198" s="475"/>
      <c r="BE198" s="475"/>
      <c r="BF198" s="475"/>
      <c r="BG198" s="475"/>
      <c r="BH198" s="475"/>
      <c r="BI198" s="475"/>
      <c r="BJ198" s="475"/>
      <c r="BK198" s="425"/>
      <c r="BL198" s="1072"/>
      <c r="BM198" s="425"/>
      <c r="BN198" s="425"/>
      <c r="BO198" s="425"/>
      <c r="BP198" s="425"/>
      <c r="BQ198" s="425"/>
      <c r="BR198" s="425"/>
      <c r="BS198" s="425"/>
      <c r="BT198" s="425"/>
      <c r="BU198" s="425"/>
      <c r="BV198" s="425"/>
      <c r="BW198" s="425"/>
      <c r="BX198" s="425"/>
      <c r="BY198" s="425"/>
      <c r="BZ198" s="425"/>
      <c r="CA198" s="425"/>
      <c r="CB198" s="425"/>
      <c r="CC198" s="425"/>
      <c r="CD198" s="425"/>
      <c r="CE198" s="425"/>
      <c r="CF198" s="425"/>
      <c r="CI198" s="472"/>
      <c r="CJ198" s="467"/>
      <c r="CK198" s="425"/>
      <c r="CL198" s="425"/>
      <c r="CM198" s="425"/>
      <c r="CN198" s="425"/>
      <c r="CO198" s="328"/>
      <c r="CP198" s="328"/>
      <c r="CQ198" s="328"/>
      <c r="CR198" s="328"/>
      <c r="CS198" s="328"/>
      <c r="CT198" s="328"/>
      <c r="CU198" s="328"/>
      <c r="CV198" s="328"/>
      <c r="CW198" s="328"/>
      <c r="CX198" s="328"/>
      <c r="CY198" s="328"/>
      <c r="CZ198" s="328"/>
      <c r="DA198" s="328"/>
      <c r="DB198" s="328"/>
      <c r="DC198" s="328"/>
      <c r="DD198" s="328"/>
      <c r="DE198" s="328"/>
      <c r="DF198" s="328"/>
      <c r="DG198" s="328"/>
      <c r="DH198" s="328"/>
      <c r="DI198" s="328"/>
      <c r="DJ198" s="328"/>
      <c r="DK198" s="328"/>
      <c r="DL198" s="328"/>
      <c r="DM198" s="328"/>
      <c r="DN198" s="328"/>
      <c r="DO198" s="328"/>
    </row>
    <row r="199" spans="1:119" s="330" customFormat="1" ht="17.25" customHeight="1" x14ac:dyDescent="0.2">
      <c r="A199" s="22"/>
      <c r="B199" s="22"/>
      <c r="C199" s="22"/>
      <c r="D199" s="22"/>
      <c r="E199" s="22"/>
      <c r="F199" s="22"/>
      <c r="G199" s="22"/>
      <c r="H199" s="22"/>
      <c r="I199" s="22"/>
      <c r="J199" s="22"/>
      <c r="K199" s="22"/>
      <c r="L199" s="22"/>
      <c r="M199" s="22"/>
      <c r="N199" s="19"/>
      <c r="O199" s="329"/>
      <c r="P199" s="475"/>
      <c r="Q199" s="475"/>
      <c r="R199" s="475"/>
      <c r="S199" s="475"/>
      <c r="T199" s="475"/>
      <c r="U199" s="475"/>
      <c r="V199" s="475"/>
      <c r="W199" s="475"/>
      <c r="X199" s="475"/>
      <c r="Y199" s="475"/>
      <c r="AD199" s="484"/>
      <c r="AE199" s="484"/>
      <c r="AF199" s="484"/>
      <c r="AG199" s="484"/>
      <c r="AH199" s="484"/>
      <c r="AI199" s="484"/>
      <c r="AJ199" s="484"/>
      <c r="AK199" s="484"/>
      <c r="AL199" s="484"/>
      <c r="AM199" s="484"/>
      <c r="AN199" s="484"/>
      <c r="AO199" s="484"/>
      <c r="AP199" s="484"/>
      <c r="AQ199" s="484"/>
      <c r="AR199" s="484"/>
      <c r="AS199" s="484"/>
      <c r="AT199" s="484"/>
      <c r="AU199" s="484"/>
      <c r="AV199" s="484"/>
      <c r="AW199" s="485"/>
      <c r="AX199" s="475"/>
      <c r="AY199" s="475"/>
      <c r="AZ199" s="475"/>
      <c r="BA199" s="475"/>
      <c r="BB199" s="475"/>
      <c r="BC199" s="475"/>
      <c r="BD199" s="475"/>
      <c r="BE199" s="475"/>
      <c r="BF199" s="475"/>
      <c r="BG199" s="475"/>
      <c r="BH199" s="475"/>
      <c r="BI199" s="475"/>
      <c r="BJ199" s="475"/>
      <c r="BK199" s="425"/>
      <c r="BL199" s="1072"/>
      <c r="BM199" s="425"/>
      <c r="BN199" s="425"/>
      <c r="BO199" s="425"/>
      <c r="BP199" s="425"/>
      <c r="BQ199" s="425"/>
      <c r="BR199" s="425"/>
      <c r="BS199" s="425"/>
      <c r="BT199" s="425"/>
      <c r="BU199" s="425"/>
      <c r="BV199" s="425"/>
      <c r="BW199" s="425"/>
      <c r="BX199" s="425"/>
      <c r="BY199" s="425"/>
      <c r="BZ199" s="425"/>
      <c r="CA199" s="425"/>
      <c r="CB199" s="425"/>
      <c r="CC199" s="425"/>
      <c r="CD199" s="425"/>
      <c r="CE199" s="425"/>
      <c r="CF199" s="425"/>
      <c r="CI199" s="472"/>
      <c r="CJ199" s="467"/>
      <c r="CK199" s="425"/>
      <c r="CL199" s="425"/>
      <c r="CM199" s="425"/>
      <c r="CN199" s="425"/>
      <c r="CO199" s="328"/>
      <c r="CP199" s="328"/>
      <c r="CQ199" s="328"/>
      <c r="CR199" s="328"/>
      <c r="CS199" s="328"/>
      <c r="CT199" s="328"/>
      <c r="CU199" s="328"/>
      <c r="CV199" s="328"/>
      <c r="CW199" s="328"/>
      <c r="CX199" s="328"/>
      <c r="CY199" s="328"/>
      <c r="CZ199" s="328"/>
      <c r="DA199" s="328"/>
      <c r="DB199" s="328"/>
      <c r="DC199" s="328"/>
      <c r="DD199" s="328"/>
      <c r="DE199" s="328"/>
      <c r="DF199" s="328"/>
      <c r="DG199" s="328"/>
      <c r="DH199" s="328"/>
      <c r="DI199" s="328"/>
      <c r="DJ199" s="328"/>
      <c r="DK199" s="328"/>
      <c r="DL199" s="328"/>
      <c r="DM199" s="328"/>
      <c r="DN199" s="328"/>
      <c r="DO199" s="328"/>
    </row>
    <row r="200" spans="1:119" s="330" customFormat="1" ht="16.5" customHeight="1" thickBot="1" x14ac:dyDescent="0.25">
      <c r="A200" s="22"/>
      <c r="B200" s="22"/>
      <c r="C200" s="22"/>
      <c r="D200" s="22"/>
      <c r="E200" s="22"/>
      <c r="F200" s="22"/>
      <c r="G200" s="22"/>
      <c r="H200" s="22"/>
      <c r="I200" s="22"/>
      <c r="J200" s="22"/>
      <c r="K200" s="22"/>
      <c r="L200" s="22"/>
      <c r="M200" s="22"/>
      <c r="N200" s="19"/>
      <c r="O200" s="329"/>
      <c r="P200" s="475"/>
      <c r="Q200" s="475"/>
      <c r="R200" s="475"/>
      <c r="S200" s="475"/>
      <c r="T200" s="475"/>
      <c r="U200" s="475"/>
      <c r="V200" s="475"/>
      <c r="W200" s="475"/>
      <c r="X200" s="475"/>
      <c r="Y200" s="475"/>
      <c r="AD200" s="484"/>
      <c r="AE200" s="484"/>
      <c r="AF200" s="484"/>
      <c r="AG200" s="484"/>
      <c r="AH200" s="484"/>
      <c r="AI200" s="484"/>
      <c r="AJ200" s="484"/>
      <c r="AK200" s="484"/>
      <c r="AL200" s="484"/>
      <c r="AM200" s="484"/>
      <c r="AN200" s="484"/>
      <c r="AO200" s="484"/>
      <c r="AP200" s="484"/>
      <c r="AQ200" s="484"/>
      <c r="AR200" s="484"/>
      <c r="AS200" s="484"/>
      <c r="AT200" s="484"/>
      <c r="AU200" s="484"/>
      <c r="AV200" s="484"/>
      <c r="AW200" s="485"/>
      <c r="AX200" s="475"/>
      <c r="AY200" s="475"/>
      <c r="AZ200" s="475"/>
      <c r="BA200" s="475"/>
      <c r="BB200" s="475"/>
      <c r="BC200" s="475"/>
      <c r="BD200" s="475"/>
      <c r="BE200" s="475"/>
      <c r="BF200" s="475"/>
      <c r="BG200" s="475"/>
      <c r="BH200" s="475"/>
      <c r="BI200" s="475"/>
      <c r="BJ200" s="475"/>
      <c r="BK200" s="425"/>
      <c r="BL200" s="1072"/>
      <c r="BM200" s="425"/>
      <c r="BN200" s="425"/>
      <c r="BO200" s="425"/>
      <c r="BP200" s="425"/>
      <c r="BQ200" s="425"/>
      <c r="BR200" s="425"/>
      <c r="BS200" s="425"/>
      <c r="BT200" s="425"/>
      <c r="BU200" s="425"/>
      <c r="BV200" s="425"/>
      <c r="BW200" s="425"/>
      <c r="BX200" s="425"/>
      <c r="BY200" s="425"/>
      <c r="BZ200" s="425"/>
      <c r="CA200" s="425"/>
      <c r="CB200" s="425"/>
      <c r="CC200" s="425"/>
      <c r="CD200" s="425"/>
      <c r="CE200" s="425"/>
      <c r="CF200" s="425"/>
      <c r="CI200" s="472"/>
      <c r="CJ200" s="467"/>
      <c r="CK200" s="425"/>
      <c r="CL200" s="425"/>
      <c r="CM200" s="425"/>
      <c r="CN200" s="425"/>
      <c r="CO200" s="328"/>
      <c r="CP200" s="328"/>
      <c r="CQ200" s="328"/>
      <c r="CR200" s="328"/>
      <c r="CS200" s="328"/>
      <c r="CT200" s="328"/>
      <c r="CU200" s="328"/>
      <c r="CV200" s="328"/>
      <c r="CW200" s="328"/>
      <c r="CX200" s="328"/>
      <c r="CY200" s="328"/>
      <c r="CZ200" s="328"/>
      <c r="DA200" s="328"/>
      <c r="DB200" s="328"/>
      <c r="DC200" s="328"/>
      <c r="DD200" s="328"/>
      <c r="DE200" s="328"/>
      <c r="DF200" s="328"/>
      <c r="DG200" s="328"/>
      <c r="DH200" s="328"/>
      <c r="DI200" s="328"/>
      <c r="DJ200" s="328"/>
      <c r="DK200" s="328"/>
      <c r="DL200" s="328"/>
      <c r="DM200" s="328"/>
      <c r="DN200" s="328"/>
      <c r="DO200" s="328"/>
    </row>
    <row r="201" spans="1:119" s="330" customFormat="1" ht="17.25" customHeight="1" thickBot="1" x14ac:dyDescent="0.25">
      <c r="A201" s="1050" t="s">
        <v>481</v>
      </c>
      <c r="B201" s="1051"/>
      <c r="C201" s="1051"/>
      <c r="D201" s="1051"/>
      <c r="E201" s="1051"/>
      <c r="F201" s="1051"/>
      <c r="G201" s="1051"/>
      <c r="H201" s="1051"/>
      <c r="I201" s="1051"/>
      <c r="J201" s="1051"/>
      <c r="K201" s="1051"/>
      <c r="L201" s="1051"/>
      <c r="M201" s="1052"/>
      <c r="N201" s="19"/>
      <c r="O201" s="329"/>
      <c r="P201" s="475"/>
      <c r="Q201" s="475"/>
      <c r="R201" s="475"/>
      <c r="S201" s="475"/>
      <c r="T201" s="475"/>
      <c r="U201" s="475"/>
      <c r="V201" s="475"/>
      <c r="W201" s="475"/>
      <c r="X201" s="475"/>
      <c r="Y201" s="475"/>
      <c r="AD201" s="484"/>
      <c r="AE201" s="484"/>
      <c r="AF201" s="484"/>
      <c r="AG201" s="484"/>
      <c r="AH201" s="484"/>
      <c r="AI201" s="484"/>
      <c r="AJ201" s="484"/>
      <c r="AK201" s="484"/>
      <c r="AL201" s="484"/>
      <c r="AM201" s="484"/>
      <c r="AN201" s="484"/>
      <c r="AO201" s="484"/>
      <c r="AP201" s="484"/>
      <c r="AQ201" s="484"/>
      <c r="AR201" s="484"/>
      <c r="AS201" s="484"/>
      <c r="AT201" s="484"/>
      <c r="AU201" s="484"/>
      <c r="AV201" s="484"/>
      <c r="AW201" s="485"/>
      <c r="AX201" s="475"/>
      <c r="AY201" s="475"/>
      <c r="AZ201" s="475"/>
      <c r="BA201" s="475"/>
      <c r="BB201" s="475"/>
      <c r="BC201" s="475"/>
      <c r="BD201" s="475"/>
      <c r="BE201" s="475"/>
      <c r="BF201" s="475"/>
      <c r="BG201" s="475"/>
      <c r="BH201" s="475"/>
      <c r="BI201" s="475"/>
      <c r="BJ201" s="475"/>
      <c r="BK201" s="425"/>
      <c r="BL201" s="1072"/>
      <c r="BM201" s="425"/>
      <c r="BN201" s="425"/>
      <c r="BO201" s="425"/>
      <c r="BP201" s="425"/>
      <c r="BQ201" s="425"/>
      <c r="BR201" s="425"/>
      <c r="BS201" s="425"/>
      <c r="BT201" s="425"/>
      <c r="BU201" s="425"/>
      <c r="BV201" s="425"/>
      <c r="BW201" s="425"/>
      <c r="BX201" s="425"/>
      <c r="BY201" s="425"/>
      <c r="BZ201" s="425"/>
      <c r="CA201" s="425"/>
      <c r="CB201" s="425"/>
      <c r="CC201" s="425"/>
      <c r="CD201" s="425"/>
      <c r="CE201" s="425"/>
      <c r="CF201" s="425"/>
      <c r="CI201" s="472"/>
      <c r="CJ201" s="467"/>
      <c r="CK201" s="425"/>
      <c r="CL201" s="425"/>
      <c r="CM201" s="425"/>
      <c r="CN201" s="425"/>
      <c r="CO201" s="328"/>
      <c r="CP201" s="328"/>
      <c r="CQ201" s="328"/>
      <c r="CR201" s="328"/>
      <c r="CS201" s="328"/>
      <c r="CT201" s="328"/>
      <c r="CU201" s="328"/>
      <c r="CV201" s="328"/>
      <c r="CW201" s="328"/>
      <c r="CX201" s="328"/>
      <c r="CY201" s="328"/>
      <c r="CZ201" s="328"/>
      <c r="DA201" s="328"/>
      <c r="DB201" s="328"/>
      <c r="DC201" s="328"/>
      <c r="DD201" s="328"/>
      <c r="DE201" s="328"/>
      <c r="DF201" s="328"/>
      <c r="DG201" s="328"/>
      <c r="DH201" s="328"/>
      <c r="DI201" s="328"/>
      <c r="DJ201" s="328"/>
      <c r="DK201" s="328"/>
      <c r="DL201" s="328"/>
      <c r="DM201" s="328"/>
      <c r="DN201" s="328"/>
      <c r="DO201" s="328"/>
    </row>
    <row r="202" spans="1:119" s="330" customFormat="1" ht="17.25" customHeight="1" thickBot="1" x14ac:dyDescent="0.25">
      <c r="A202" s="730"/>
      <c r="B202" s="730"/>
      <c r="C202" s="730"/>
      <c r="D202" s="730"/>
      <c r="E202" s="730"/>
      <c r="F202" s="730"/>
      <c r="G202" s="730"/>
      <c r="H202" s="730"/>
      <c r="I202" s="730"/>
      <c r="J202" s="730"/>
      <c r="K202" s="730"/>
      <c r="L202" s="730"/>
      <c r="M202" s="730"/>
      <c r="N202" s="19"/>
      <c r="O202" s="329"/>
      <c r="P202" s="475"/>
      <c r="Q202" s="475"/>
      <c r="R202" s="475"/>
      <c r="S202" s="475"/>
      <c r="T202" s="475"/>
      <c r="U202" s="475"/>
      <c r="V202" s="475"/>
      <c r="W202" s="475"/>
      <c r="X202" s="475"/>
      <c r="Y202" s="475"/>
      <c r="AD202" s="484"/>
      <c r="AE202" s="484"/>
      <c r="AF202" s="484"/>
      <c r="AG202" s="484"/>
      <c r="AH202" s="484"/>
      <c r="AI202" s="484"/>
      <c r="AJ202" s="484"/>
      <c r="AK202" s="484"/>
      <c r="AL202" s="484"/>
      <c r="AM202" s="484"/>
      <c r="AN202" s="484"/>
      <c r="AO202" s="484"/>
      <c r="AP202" s="484"/>
      <c r="AQ202" s="484"/>
      <c r="AR202" s="484"/>
      <c r="AS202" s="484"/>
      <c r="AT202" s="484"/>
      <c r="AU202" s="484"/>
      <c r="AV202" s="484"/>
      <c r="AW202" s="485"/>
      <c r="AX202" s="475"/>
      <c r="AY202" s="475"/>
      <c r="AZ202" s="475"/>
      <c r="BA202" s="475"/>
      <c r="BB202" s="475"/>
      <c r="BC202" s="475"/>
      <c r="BD202" s="475"/>
      <c r="BE202" s="475"/>
      <c r="BF202" s="475"/>
      <c r="BG202" s="475"/>
      <c r="BH202" s="475"/>
      <c r="BI202" s="475"/>
      <c r="BJ202" s="475"/>
      <c r="BK202" s="425"/>
      <c r="BL202" s="1072"/>
      <c r="BM202" s="425"/>
      <c r="BN202" s="425"/>
      <c r="BO202" s="425"/>
      <c r="BP202" s="425"/>
      <c r="BQ202" s="425"/>
      <c r="BR202" s="425"/>
      <c r="BS202" s="425"/>
      <c r="BT202" s="425"/>
      <c r="BU202" s="425"/>
      <c r="BV202" s="425"/>
      <c r="BW202" s="425"/>
      <c r="BX202" s="425"/>
      <c r="BY202" s="425"/>
      <c r="BZ202" s="425"/>
      <c r="CA202" s="425"/>
      <c r="CB202" s="425"/>
      <c r="CC202" s="425"/>
      <c r="CD202" s="425"/>
      <c r="CE202" s="425"/>
      <c r="CF202" s="425"/>
      <c r="CI202" s="472"/>
      <c r="CJ202" s="467"/>
      <c r="CK202" s="425"/>
      <c r="CL202" s="425"/>
      <c r="CM202" s="425"/>
      <c r="CN202" s="425"/>
      <c r="CO202" s="328"/>
      <c r="CP202" s="328"/>
      <c r="CQ202" s="328"/>
      <c r="CR202" s="328"/>
      <c r="CS202" s="328"/>
      <c r="CT202" s="328"/>
      <c r="CU202" s="328"/>
      <c r="CV202" s="328"/>
      <c r="CW202" s="328"/>
      <c r="CX202" s="328"/>
      <c r="CY202" s="328"/>
      <c r="CZ202" s="328"/>
      <c r="DA202" s="328"/>
      <c r="DB202" s="328"/>
      <c r="DC202" s="328"/>
      <c r="DD202" s="328"/>
      <c r="DE202" s="328"/>
      <c r="DF202" s="328"/>
      <c r="DG202" s="328"/>
      <c r="DH202" s="328"/>
      <c r="DI202" s="328"/>
      <c r="DJ202" s="328"/>
      <c r="DK202" s="328"/>
      <c r="DL202" s="328"/>
      <c r="DM202" s="328"/>
      <c r="DN202" s="328"/>
      <c r="DO202" s="328"/>
    </row>
    <row r="203" spans="1:119" s="330" customFormat="1" ht="17.25" customHeight="1" x14ac:dyDescent="0.2">
      <c r="A203" s="923"/>
      <c r="B203" s="2685" t="s">
        <v>676</v>
      </c>
      <c r="C203" s="2685"/>
      <c r="D203" s="925" t="s">
        <v>321</v>
      </c>
      <c r="E203" s="927" t="s">
        <v>4</v>
      </c>
      <c r="F203" s="928" t="s">
        <v>862</v>
      </c>
      <c r="G203" s="929" t="s">
        <v>239</v>
      </c>
      <c r="H203" s="925" t="s">
        <v>240</v>
      </c>
      <c r="I203" s="22"/>
      <c r="J203" s="22"/>
      <c r="K203" s="22"/>
      <c r="L203" s="22"/>
      <c r="M203" s="22"/>
      <c r="N203" s="19"/>
      <c r="O203" s="329"/>
      <c r="P203" s="475"/>
      <c r="Q203" s="475"/>
      <c r="R203" s="475"/>
      <c r="S203" s="475"/>
      <c r="T203" s="475"/>
      <c r="U203" s="475"/>
      <c r="V203" s="475"/>
      <c r="W203" s="475"/>
      <c r="X203" s="475"/>
      <c r="Y203" s="475"/>
      <c r="AD203" s="484"/>
      <c r="AE203" s="484"/>
      <c r="AF203" s="484"/>
      <c r="AG203" s="484"/>
      <c r="AH203" s="484"/>
      <c r="AI203" s="484"/>
      <c r="AJ203" s="484"/>
      <c r="AK203" s="484"/>
      <c r="AL203" s="484"/>
      <c r="AM203" s="484"/>
      <c r="AN203" s="484"/>
      <c r="AO203" s="484"/>
      <c r="AP203" s="484"/>
      <c r="AQ203" s="484"/>
      <c r="AR203" s="484"/>
      <c r="AS203" s="484"/>
      <c r="AT203" s="484"/>
      <c r="AU203" s="484"/>
      <c r="AV203" s="484"/>
      <c r="AW203" s="485"/>
      <c r="AX203" s="475"/>
      <c r="AY203" s="475"/>
      <c r="AZ203" s="475"/>
      <c r="BA203" s="475"/>
      <c r="BB203" s="475"/>
      <c r="BC203" s="475"/>
      <c r="BD203" s="475"/>
      <c r="BE203" s="475"/>
      <c r="BF203" s="475"/>
      <c r="BG203" s="475"/>
      <c r="BH203" s="475"/>
      <c r="BI203" s="475"/>
      <c r="BJ203" s="475"/>
      <c r="BK203" s="425"/>
      <c r="BL203" s="1072"/>
      <c r="BM203" s="425"/>
      <c r="BN203" s="425"/>
      <c r="BO203" s="425"/>
      <c r="BP203" s="425"/>
      <c r="BQ203" s="425"/>
      <c r="BR203" s="425"/>
      <c r="BS203" s="425"/>
      <c r="BT203" s="425"/>
      <c r="BU203" s="425"/>
      <c r="BV203" s="425"/>
      <c r="BW203" s="425"/>
      <c r="BX203" s="425"/>
      <c r="BY203" s="425"/>
      <c r="BZ203" s="425"/>
      <c r="CA203" s="425"/>
      <c r="CB203" s="425"/>
      <c r="CC203" s="425"/>
      <c r="CD203" s="425"/>
      <c r="CE203" s="425"/>
      <c r="CF203" s="425"/>
      <c r="CI203" s="472"/>
      <c r="CJ203" s="467"/>
      <c r="CK203" s="425"/>
      <c r="CL203" s="425"/>
      <c r="CM203" s="425"/>
      <c r="CN203" s="425"/>
      <c r="CO203" s="328"/>
      <c r="CP203" s="328"/>
      <c r="CQ203" s="328"/>
      <c r="CR203" s="328"/>
      <c r="CS203" s="328"/>
      <c r="CT203" s="328"/>
      <c r="CU203" s="328"/>
      <c r="CV203" s="328"/>
      <c r="CW203" s="328"/>
      <c r="CX203" s="328"/>
      <c r="CY203" s="328"/>
      <c r="CZ203" s="328"/>
      <c r="DA203" s="328"/>
      <c r="DB203" s="328"/>
      <c r="DC203" s="328"/>
      <c r="DD203" s="328"/>
      <c r="DE203" s="328"/>
      <c r="DF203" s="328"/>
      <c r="DG203" s="328"/>
      <c r="DH203" s="328"/>
      <c r="DI203" s="328"/>
      <c r="DJ203" s="328"/>
      <c r="DK203" s="328"/>
      <c r="DL203" s="328"/>
      <c r="DM203" s="328"/>
      <c r="DN203" s="328"/>
      <c r="DO203" s="328"/>
    </row>
    <row r="204" spans="1:119" s="330" customFormat="1" ht="17.25" customHeight="1" x14ac:dyDescent="0.2">
      <c r="A204" s="924"/>
      <c r="B204" s="2698" t="s">
        <v>1</v>
      </c>
      <c r="C204" s="2698"/>
      <c r="D204" s="926" t="s">
        <v>2</v>
      </c>
      <c r="E204" s="2413" t="s">
        <v>278</v>
      </c>
      <c r="F204" s="2414"/>
      <c r="G204" s="2414"/>
      <c r="H204" s="2415"/>
      <c r="I204" s="22"/>
      <c r="J204" s="22"/>
      <c r="K204" s="22"/>
      <c r="L204" s="22"/>
      <c r="M204" s="22"/>
      <c r="N204" s="19"/>
      <c r="O204" s="329"/>
      <c r="P204" s="475"/>
      <c r="Q204" s="475"/>
      <c r="R204" s="475"/>
      <c r="S204" s="475"/>
      <c r="T204" s="475"/>
      <c r="U204" s="475"/>
      <c r="V204" s="475"/>
      <c r="W204" s="475"/>
      <c r="X204" s="475"/>
      <c r="Y204" s="475"/>
      <c r="AD204" s="484"/>
      <c r="AE204" s="484"/>
      <c r="AF204" s="484"/>
      <c r="AG204" s="484"/>
      <c r="AH204" s="484"/>
      <c r="AI204" s="484"/>
      <c r="AJ204" s="484"/>
      <c r="AK204" s="484"/>
      <c r="AL204" s="484"/>
      <c r="AM204" s="484"/>
      <c r="AN204" s="484"/>
      <c r="AO204" s="484"/>
      <c r="AP204" s="484"/>
      <c r="AQ204" s="484"/>
      <c r="AR204" s="484"/>
      <c r="AS204" s="484"/>
      <c r="AT204" s="484"/>
      <c r="AU204" s="484"/>
      <c r="AV204" s="484"/>
      <c r="AW204" s="485"/>
      <c r="AX204" s="475"/>
      <c r="AY204" s="475"/>
      <c r="AZ204" s="475"/>
      <c r="BA204" s="475"/>
      <c r="BB204" s="475"/>
      <c r="BC204" s="475"/>
      <c r="BD204" s="475"/>
      <c r="BE204" s="475"/>
      <c r="BF204" s="475"/>
      <c r="BG204" s="475"/>
      <c r="BH204" s="475"/>
      <c r="BI204" s="475"/>
      <c r="BJ204" s="475"/>
      <c r="BK204" s="425"/>
      <c r="BL204" s="1072"/>
      <c r="BM204" s="425"/>
      <c r="BN204" s="425"/>
      <c r="BO204" s="425"/>
      <c r="BP204" s="425"/>
      <c r="BQ204" s="425"/>
      <c r="BR204" s="425"/>
      <c r="BS204" s="425"/>
      <c r="BT204" s="425"/>
      <c r="BU204" s="425"/>
      <c r="BV204" s="425"/>
      <c r="BW204" s="425"/>
      <c r="BX204" s="425"/>
      <c r="BY204" s="425"/>
      <c r="BZ204" s="425"/>
      <c r="CA204" s="425"/>
      <c r="CB204" s="425"/>
      <c r="CC204" s="425"/>
      <c r="CD204" s="425"/>
      <c r="CE204" s="425"/>
      <c r="CF204" s="425"/>
      <c r="CI204" s="472"/>
      <c r="CJ204" s="467"/>
      <c r="CK204" s="425"/>
      <c r="CL204" s="425"/>
      <c r="CM204" s="425"/>
      <c r="CN204" s="425"/>
      <c r="CO204" s="328"/>
      <c r="CP204" s="328"/>
      <c r="CQ204" s="328"/>
      <c r="CR204" s="328"/>
      <c r="CS204" s="328"/>
      <c r="CT204" s="328"/>
      <c r="CU204" s="328"/>
      <c r="CV204" s="328"/>
      <c r="CW204" s="328"/>
      <c r="CX204" s="328"/>
      <c r="CY204" s="328"/>
      <c r="CZ204" s="328"/>
      <c r="DA204" s="328"/>
      <c r="DB204" s="328"/>
      <c r="DC204" s="328"/>
      <c r="DD204" s="328"/>
      <c r="DE204" s="328"/>
      <c r="DF204" s="328"/>
      <c r="DG204" s="328"/>
      <c r="DH204" s="328"/>
      <c r="DI204" s="328"/>
      <c r="DJ204" s="328"/>
      <c r="DK204" s="328"/>
      <c r="DL204" s="328"/>
      <c r="DM204" s="328"/>
      <c r="DN204" s="328"/>
      <c r="DO204" s="328"/>
    </row>
    <row r="205" spans="1:119" s="330" customFormat="1" ht="17.25" customHeight="1" thickBot="1" x14ac:dyDescent="0.25">
      <c r="A205" s="921" t="s">
        <v>675</v>
      </c>
      <c r="B205" s="2424">
        <f>+F41</f>
        <v>0</v>
      </c>
      <c r="C205" s="2424"/>
      <c r="D205" s="922">
        <f>IF($F$41=0,0,J41/$F$41*100)</f>
        <v>0</v>
      </c>
      <c r="E205" s="930">
        <f>IF($F$41=0,0,G41/$F$41*1000)</f>
        <v>0</v>
      </c>
      <c r="F205" s="931">
        <f>+E25</f>
        <v>0</v>
      </c>
      <c r="G205" s="931">
        <f>IF($F$41=0,0,H41/$F$41*1000)</f>
        <v>0</v>
      </c>
      <c r="H205" s="922">
        <f>IF($F$41=0,0,I41/$F$41*1000)</f>
        <v>0</v>
      </c>
      <c r="I205" s="22"/>
      <c r="J205" s="22"/>
      <c r="K205" s="22"/>
      <c r="L205" s="22"/>
      <c r="M205" s="22"/>
      <c r="N205" s="19"/>
      <c r="O205" s="329"/>
      <c r="P205" s="475"/>
      <c r="Q205" s="475"/>
      <c r="R205" s="475"/>
      <c r="S205" s="475"/>
      <c r="T205" s="475"/>
      <c r="U205" s="475"/>
      <c r="V205" s="475"/>
      <c r="W205" s="475"/>
      <c r="X205" s="475"/>
      <c r="Y205" s="475"/>
      <c r="AD205" s="484"/>
      <c r="AE205" s="484"/>
      <c r="AF205" s="484"/>
      <c r="AG205" s="484"/>
      <c r="AH205" s="484"/>
      <c r="AI205" s="484"/>
      <c r="AJ205" s="484"/>
      <c r="AK205" s="484"/>
      <c r="AL205" s="484"/>
      <c r="AM205" s="484"/>
      <c r="AN205" s="484"/>
      <c r="AO205" s="484"/>
      <c r="AP205" s="484"/>
      <c r="AQ205" s="484"/>
      <c r="AR205" s="484"/>
      <c r="AS205" s="484"/>
      <c r="AT205" s="484"/>
      <c r="AU205" s="484"/>
      <c r="AV205" s="484"/>
      <c r="AW205" s="485"/>
      <c r="AX205" s="475"/>
      <c r="AY205" s="475"/>
      <c r="AZ205" s="475"/>
      <c r="BA205" s="475"/>
      <c r="BB205" s="475"/>
      <c r="BC205" s="475"/>
      <c r="BD205" s="475"/>
      <c r="BE205" s="475"/>
      <c r="BF205" s="475"/>
      <c r="BG205" s="475"/>
      <c r="BH205" s="475"/>
      <c r="BI205" s="475"/>
      <c r="BJ205" s="475"/>
      <c r="BK205" s="425"/>
      <c r="BL205" s="1072"/>
      <c r="BM205" s="425"/>
      <c r="BN205" s="425"/>
      <c r="BO205" s="425"/>
      <c r="BP205" s="425"/>
      <c r="BQ205" s="425"/>
      <c r="BR205" s="425"/>
      <c r="BS205" s="425"/>
      <c r="BT205" s="425"/>
      <c r="BU205" s="425"/>
      <c r="BV205" s="425"/>
      <c r="BW205" s="425"/>
      <c r="BX205" s="425"/>
      <c r="BY205" s="425"/>
      <c r="BZ205" s="425"/>
      <c r="CA205" s="425"/>
      <c r="CB205" s="425"/>
      <c r="CC205" s="425"/>
      <c r="CD205" s="425"/>
      <c r="CE205" s="425"/>
      <c r="CF205" s="425"/>
      <c r="CI205" s="472"/>
      <c r="CJ205" s="467"/>
      <c r="CK205" s="425"/>
      <c r="CL205" s="425"/>
      <c r="CM205" s="425"/>
      <c r="CN205" s="425"/>
      <c r="CO205" s="328"/>
      <c r="CP205" s="328"/>
      <c r="CQ205" s="328"/>
      <c r="CR205" s="328"/>
      <c r="CS205" s="328"/>
      <c r="CT205" s="328"/>
      <c r="CU205" s="328"/>
      <c r="CV205" s="328"/>
      <c r="CW205" s="328"/>
      <c r="CX205" s="328"/>
      <c r="CY205" s="328"/>
      <c r="CZ205" s="328"/>
      <c r="DA205" s="328"/>
      <c r="DB205" s="328"/>
      <c r="DC205" s="328"/>
      <c r="DD205" s="328"/>
      <c r="DE205" s="328"/>
      <c r="DF205" s="328"/>
      <c r="DG205" s="328"/>
      <c r="DH205" s="328"/>
      <c r="DI205" s="328"/>
      <c r="DJ205" s="328"/>
      <c r="DK205" s="328"/>
      <c r="DL205" s="328"/>
      <c r="DM205" s="328"/>
      <c r="DN205" s="328"/>
      <c r="DO205" s="328"/>
    </row>
    <row r="206" spans="1:119" s="330" customFormat="1" ht="17.25" customHeight="1" thickBot="1" x14ac:dyDescent="0.25">
      <c r="A206" s="22"/>
      <c r="B206" s="22"/>
      <c r="C206" s="22"/>
      <c r="D206" s="22"/>
      <c r="E206" s="932">
        <f>IF(G34=0,0,(G35+AS156)/G34*100)</f>
        <v>0</v>
      </c>
      <c r="F206" s="933"/>
      <c r="G206" s="934">
        <f>IF(H34=0,0,(H35+AT156)/H34*100)</f>
        <v>0</v>
      </c>
      <c r="H206" s="935"/>
      <c r="I206" s="2701" t="s">
        <v>820</v>
      </c>
      <c r="J206" s="2702"/>
      <c r="K206" s="2702"/>
      <c r="L206" s="2703"/>
      <c r="M206" s="22"/>
      <c r="N206" s="19"/>
      <c r="O206" s="329"/>
      <c r="P206" s="475"/>
      <c r="Q206" s="475"/>
      <c r="R206" s="475"/>
      <c r="S206" s="475"/>
      <c r="T206" s="475"/>
      <c r="U206" s="475"/>
      <c r="V206" s="475"/>
      <c r="W206" s="475"/>
      <c r="X206" s="475"/>
      <c r="Y206" s="475"/>
      <c r="AD206" s="484"/>
      <c r="AE206" s="484"/>
      <c r="AF206" s="484"/>
      <c r="AG206" s="484"/>
      <c r="AH206" s="484"/>
      <c r="AI206" s="484"/>
      <c r="AJ206" s="484"/>
      <c r="AK206" s="484"/>
      <c r="AL206" s="484"/>
      <c r="AM206" s="484"/>
      <c r="AN206" s="484"/>
      <c r="AO206" s="484"/>
      <c r="AP206" s="484"/>
      <c r="AQ206" s="484"/>
      <c r="AR206" s="484"/>
      <c r="AS206" s="484"/>
      <c r="AT206" s="484"/>
      <c r="AU206" s="484"/>
      <c r="AV206" s="484"/>
      <c r="AW206" s="485"/>
      <c r="AX206" s="475"/>
      <c r="AY206" s="475"/>
      <c r="AZ206" s="475"/>
      <c r="BA206" s="475"/>
      <c r="BB206" s="475"/>
      <c r="BC206" s="475"/>
      <c r="BD206" s="475"/>
      <c r="BE206" s="475"/>
      <c r="BF206" s="475"/>
      <c r="BG206" s="475"/>
      <c r="BH206" s="475"/>
      <c r="BI206" s="475"/>
      <c r="BJ206" s="475"/>
      <c r="BK206" s="425"/>
      <c r="BL206" s="1072"/>
      <c r="BM206" s="425"/>
      <c r="BN206" s="425"/>
      <c r="BO206" s="425"/>
      <c r="BP206" s="425"/>
      <c r="BQ206" s="425"/>
      <c r="BR206" s="425"/>
      <c r="BS206" s="425"/>
      <c r="BT206" s="425"/>
      <c r="BU206" s="425"/>
      <c r="BV206" s="425"/>
      <c r="BW206" s="425"/>
      <c r="BX206" s="425"/>
      <c r="BY206" s="425"/>
      <c r="BZ206" s="425"/>
      <c r="CA206" s="425"/>
      <c r="CB206" s="425"/>
      <c r="CC206" s="425"/>
      <c r="CD206" s="425"/>
      <c r="CE206" s="425"/>
      <c r="CF206" s="425"/>
      <c r="CI206" s="472"/>
      <c r="CJ206" s="467"/>
      <c r="CK206" s="425"/>
      <c r="CL206" s="425"/>
      <c r="CM206" s="425"/>
      <c r="CN206" s="425"/>
      <c r="CO206" s="328"/>
      <c r="CP206" s="328"/>
      <c r="CQ206" s="328"/>
      <c r="CR206" s="328"/>
      <c r="CS206" s="328"/>
      <c r="CT206" s="328"/>
      <c r="CU206" s="328"/>
      <c r="CV206" s="328"/>
      <c r="CW206" s="328"/>
      <c r="CX206" s="328"/>
      <c r="CY206" s="328"/>
      <c r="CZ206" s="328"/>
      <c r="DA206" s="328"/>
      <c r="DB206" s="328"/>
      <c r="DC206" s="328"/>
      <c r="DD206" s="328"/>
      <c r="DE206" s="328"/>
      <c r="DF206" s="328"/>
      <c r="DG206" s="328"/>
      <c r="DH206" s="328"/>
      <c r="DI206" s="328"/>
      <c r="DJ206" s="328"/>
      <c r="DK206" s="328"/>
      <c r="DL206" s="328"/>
      <c r="DM206" s="328"/>
      <c r="DN206" s="328"/>
      <c r="DO206" s="328"/>
    </row>
    <row r="207" spans="1:119" s="330" customFormat="1" ht="17.25" customHeight="1" x14ac:dyDescent="0.2">
      <c r="A207" s="22"/>
      <c r="C207" s="22"/>
      <c r="D207" s="22"/>
      <c r="E207" s="22"/>
      <c r="F207" s="22"/>
      <c r="G207" s="22"/>
      <c r="H207" s="22"/>
      <c r="I207" s="22"/>
      <c r="J207" s="22"/>
      <c r="K207" s="22"/>
      <c r="L207" s="22"/>
      <c r="M207" s="22"/>
      <c r="N207" s="19"/>
      <c r="O207" s="329"/>
      <c r="P207" s="475"/>
      <c r="Q207" s="475"/>
      <c r="R207" s="475"/>
      <c r="S207" s="475"/>
      <c r="T207" s="475"/>
      <c r="U207" s="475"/>
      <c r="V207" s="475"/>
      <c r="W207" s="475"/>
      <c r="X207" s="475"/>
      <c r="Y207" s="475"/>
      <c r="AD207" s="484"/>
      <c r="AE207" s="484"/>
      <c r="AF207" s="484"/>
      <c r="AG207" s="484"/>
      <c r="AH207" s="484"/>
      <c r="AI207" s="484"/>
      <c r="AJ207" s="484"/>
      <c r="AK207" s="484"/>
      <c r="AL207" s="484"/>
      <c r="AM207" s="484"/>
      <c r="AN207" s="484"/>
      <c r="AO207" s="484"/>
      <c r="AP207" s="484"/>
      <c r="AQ207" s="484"/>
      <c r="AR207" s="484"/>
      <c r="AS207" s="484"/>
      <c r="AT207" s="484"/>
      <c r="AU207" s="484"/>
      <c r="AV207" s="484"/>
      <c r="AW207" s="485"/>
      <c r="AX207" s="475"/>
      <c r="AY207" s="475"/>
      <c r="AZ207" s="475"/>
      <c r="BA207" s="475"/>
      <c r="BB207" s="475"/>
      <c r="BC207" s="475"/>
      <c r="BD207" s="475"/>
      <c r="BE207" s="475"/>
      <c r="BF207" s="475"/>
      <c r="BG207" s="475"/>
      <c r="BH207" s="475"/>
      <c r="BI207" s="475"/>
      <c r="BJ207" s="475"/>
      <c r="BK207" s="425"/>
      <c r="BL207" s="1072"/>
      <c r="BM207" s="425"/>
      <c r="BN207" s="425"/>
      <c r="BO207" s="425"/>
      <c r="BP207" s="425"/>
      <c r="BQ207" s="425"/>
      <c r="BR207" s="425"/>
      <c r="BS207" s="425"/>
      <c r="BT207" s="425"/>
      <c r="BU207" s="425"/>
      <c r="BV207" s="425"/>
      <c r="BW207" s="425"/>
      <c r="BX207" s="425"/>
      <c r="BY207" s="425"/>
      <c r="BZ207" s="425"/>
      <c r="CA207" s="425"/>
      <c r="CB207" s="425"/>
      <c r="CC207" s="425"/>
      <c r="CD207" s="425"/>
      <c r="CE207" s="425"/>
      <c r="CF207" s="425"/>
      <c r="CI207" s="472"/>
      <c r="CJ207" s="467"/>
      <c r="CK207" s="425"/>
      <c r="CL207" s="425"/>
      <c r="CM207" s="425"/>
      <c r="CN207" s="425"/>
      <c r="CO207" s="328"/>
      <c r="CP207" s="328"/>
      <c r="CQ207" s="328"/>
      <c r="CR207" s="328"/>
      <c r="CS207" s="328"/>
      <c r="CT207" s="328"/>
      <c r="CU207" s="328"/>
      <c r="CV207" s="328"/>
      <c r="CW207" s="328"/>
      <c r="CX207" s="328"/>
      <c r="CY207" s="328"/>
      <c r="CZ207" s="328"/>
      <c r="DA207" s="328"/>
      <c r="DB207" s="328"/>
      <c r="DC207" s="328"/>
      <c r="DD207" s="328"/>
      <c r="DE207" s="328"/>
      <c r="DF207" s="328"/>
      <c r="DG207" s="328"/>
      <c r="DH207" s="328"/>
      <c r="DI207" s="328"/>
      <c r="DJ207" s="328"/>
      <c r="DK207" s="328"/>
      <c r="DL207" s="328"/>
      <c r="DM207" s="328"/>
      <c r="DN207" s="328"/>
      <c r="DO207" s="328"/>
    </row>
    <row r="208" spans="1:119" s="330" customFormat="1" ht="15.75" customHeight="1" thickBot="1" x14ac:dyDescent="0.25">
      <c r="B208" s="22"/>
      <c r="H208" s="317"/>
      <c r="I208" s="317"/>
      <c r="J208" s="317"/>
      <c r="K208" s="317"/>
      <c r="L208" s="317"/>
      <c r="M208" s="317"/>
      <c r="N208" s="18"/>
      <c r="O208" s="328"/>
      <c r="P208" s="425"/>
      <c r="Q208" s="425"/>
      <c r="R208" s="425"/>
      <c r="S208" s="425"/>
      <c r="T208" s="425"/>
      <c r="U208" s="425"/>
      <c r="V208" s="425"/>
      <c r="W208" s="425"/>
      <c r="X208" s="425"/>
      <c r="Y208" s="425"/>
      <c r="Z208" s="425"/>
      <c r="AA208" s="425"/>
      <c r="AB208" s="425"/>
      <c r="AC208" s="425"/>
      <c r="AD208" s="425"/>
      <c r="AE208" s="425"/>
      <c r="AF208" s="425"/>
      <c r="AG208" s="425"/>
      <c r="AH208" s="425"/>
      <c r="AI208" s="425"/>
      <c r="AJ208" s="425"/>
      <c r="AK208" s="425"/>
      <c r="AL208" s="425"/>
      <c r="AM208" s="425"/>
      <c r="AN208" s="425"/>
      <c r="AO208" s="425"/>
      <c r="AP208" s="425"/>
      <c r="AQ208" s="425"/>
      <c r="AR208" s="425"/>
      <c r="AS208" s="425"/>
      <c r="AT208" s="425"/>
      <c r="AU208" s="425"/>
      <c r="AV208" s="425"/>
      <c r="AW208" s="425"/>
      <c r="AX208" s="425"/>
      <c r="AY208" s="425"/>
      <c r="AZ208" s="425"/>
      <c r="BA208" s="425"/>
      <c r="BB208" s="425"/>
      <c r="BC208" s="425"/>
      <c r="BD208" s="425"/>
      <c r="BE208" s="425"/>
      <c r="BF208" s="425"/>
      <c r="BG208" s="425"/>
      <c r="BH208" s="425"/>
      <c r="BI208" s="425"/>
      <c r="BJ208" s="425"/>
      <c r="BK208" s="425"/>
      <c r="BL208" s="1072"/>
      <c r="BM208" s="425"/>
      <c r="BN208" s="425"/>
      <c r="BO208" s="425"/>
      <c r="BP208" s="425"/>
      <c r="BQ208" s="425"/>
      <c r="BR208" s="425"/>
      <c r="BS208" s="425"/>
      <c r="BT208" s="425"/>
      <c r="BU208" s="425"/>
      <c r="BV208" s="425"/>
      <c r="BW208" s="425"/>
      <c r="BX208" s="425"/>
      <c r="CI208" s="472"/>
      <c r="CJ208" s="486"/>
      <c r="CK208" s="328"/>
      <c r="CL208" s="328"/>
      <c r="CM208" s="328"/>
      <c r="CN208" s="328"/>
      <c r="CO208" s="328"/>
      <c r="CP208" s="328"/>
      <c r="CQ208" s="328"/>
      <c r="CR208" s="328"/>
      <c r="CS208" s="328"/>
      <c r="CT208" s="328"/>
      <c r="CU208" s="328"/>
      <c r="CV208" s="328"/>
      <c r="CW208" s="328"/>
      <c r="CX208" s="328"/>
      <c r="CY208" s="328"/>
      <c r="CZ208" s="328"/>
      <c r="DA208" s="328"/>
      <c r="DB208" s="328"/>
      <c r="DC208" s="328"/>
      <c r="DD208" s="328"/>
      <c r="DE208" s="328"/>
      <c r="DF208" s="328"/>
      <c r="DG208" s="328"/>
      <c r="DH208" s="328"/>
      <c r="DI208" s="328"/>
      <c r="DJ208" s="328"/>
      <c r="DK208" s="328"/>
    </row>
    <row r="209" spans="1:115" s="330" customFormat="1" ht="15.75" customHeight="1" thickBot="1" x14ac:dyDescent="0.25">
      <c r="A209" s="1050" t="s">
        <v>914</v>
      </c>
      <c r="B209" s="1051"/>
      <c r="C209" s="1051"/>
      <c r="D209" s="1051"/>
      <c r="E209" s="1051"/>
      <c r="F209" s="1051"/>
      <c r="G209" s="1051"/>
      <c r="H209" s="1051"/>
      <c r="I209" s="1051"/>
      <c r="J209" s="1051"/>
      <c r="K209" s="1051"/>
      <c r="L209" s="1051"/>
      <c r="M209" s="1052"/>
      <c r="N209" s="18"/>
      <c r="O209" s="328"/>
      <c r="P209" s="425"/>
      <c r="Q209" s="425"/>
      <c r="R209" s="425"/>
      <c r="S209" s="425"/>
      <c r="T209" s="425"/>
      <c r="U209" s="425"/>
      <c r="V209" s="425"/>
      <c r="W209" s="425"/>
      <c r="X209" s="425"/>
      <c r="Y209" s="425"/>
      <c r="Z209" s="425"/>
      <c r="AA209" s="425"/>
      <c r="AB209" s="425"/>
      <c r="AC209" s="425"/>
      <c r="AD209" s="425"/>
      <c r="AE209" s="425"/>
      <c r="AF209" s="425"/>
      <c r="AG209" s="425"/>
      <c r="AH209" s="425"/>
      <c r="AI209" s="425"/>
      <c r="AJ209" s="425"/>
      <c r="AK209" s="425"/>
      <c r="AL209" s="425"/>
      <c r="AM209" s="425"/>
      <c r="AN209" s="425"/>
      <c r="AO209" s="425"/>
      <c r="AP209" s="425"/>
      <c r="AQ209" s="425"/>
      <c r="AR209" s="425"/>
      <c r="AS209" s="425"/>
      <c r="AT209" s="425"/>
      <c r="AU209" s="425"/>
      <c r="AV209" s="425"/>
      <c r="AW209" s="425"/>
      <c r="AX209" s="425"/>
      <c r="AY209" s="425"/>
      <c r="AZ209" s="425"/>
      <c r="BA209" s="425"/>
      <c r="BB209" s="425"/>
      <c r="BC209" s="425"/>
      <c r="BD209" s="425"/>
      <c r="BE209" s="425"/>
      <c r="BF209" s="425"/>
      <c r="BG209" s="425"/>
      <c r="BH209" s="425"/>
      <c r="BI209" s="425"/>
      <c r="BJ209" s="425"/>
      <c r="BK209" s="425"/>
      <c r="BL209" s="1072"/>
      <c r="BM209" s="425"/>
      <c r="BN209" s="425"/>
      <c r="BO209" s="425"/>
      <c r="BP209" s="425"/>
      <c r="BQ209" s="425"/>
      <c r="BR209" s="425"/>
      <c r="BS209" s="425"/>
      <c r="BT209" s="425"/>
      <c r="BU209" s="425"/>
      <c r="BV209" s="425"/>
      <c r="BW209" s="425"/>
      <c r="BX209" s="425"/>
      <c r="CI209" s="472"/>
      <c r="CJ209" s="486"/>
      <c r="CK209" s="328"/>
      <c r="CL209" s="328"/>
      <c r="CM209" s="328"/>
      <c r="CN209" s="328"/>
      <c r="CO209" s="328"/>
      <c r="CP209" s="328"/>
      <c r="CQ209" s="328"/>
      <c r="CR209" s="328"/>
      <c r="CS209" s="328"/>
      <c r="CT209" s="328"/>
      <c r="CU209" s="328"/>
      <c r="CV209" s="328"/>
      <c r="CW209" s="328"/>
      <c r="CX209" s="328"/>
      <c r="CY209" s="328"/>
      <c r="CZ209" s="328"/>
      <c r="DA209" s="328"/>
      <c r="DB209" s="328"/>
      <c r="DC209" s="328"/>
      <c r="DD209" s="328"/>
      <c r="DE209" s="328"/>
      <c r="DF209" s="328"/>
      <c r="DG209" s="328"/>
      <c r="DH209" s="328"/>
      <c r="DI209" s="328"/>
      <c r="DJ209" s="328"/>
      <c r="DK209" s="328"/>
    </row>
    <row r="210" spans="1:115" s="330" customFormat="1" ht="15.75" customHeight="1" x14ac:dyDescent="0.2">
      <c r="H210" s="796"/>
      <c r="I210" s="318"/>
      <c r="J210" s="318"/>
      <c r="K210" s="318"/>
      <c r="L210" s="318"/>
      <c r="M210" s="318"/>
      <c r="N210" s="18"/>
      <c r="O210" s="328"/>
      <c r="P210" s="425"/>
      <c r="Q210" s="425"/>
      <c r="R210" s="425"/>
      <c r="S210" s="425"/>
      <c r="T210" s="425"/>
      <c r="U210" s="425"/>
      <c r="V210" s="425"/>
      <c r="W210" s="425"/>
      <c r="X210" s="425"/>
      <c r="Y210" s="425"/>
      <c r="Z210" s="425"/>
      <c r="AA210" s="425"/>
      <c r="AB210" s="425"/>
      <c r="AC210" s="425"/>
      <c r="AD210" s="425"/>
      <c r="AE210" s="425"/>
      <c r="AF210" s="425"/>
      <c r="AG210" s="425"/>
      <c r="AH210" s="425"/>
      <c r="AI210" s="425"/>
      <c r="AJ210" s="425"/>
      <c r="AK210" s="425"/>
      <c r="AL210" s="425"/>
      <c r="AM210" s="425"/>
      <c r="AN210" s="425"/>
      <c r="AO210" s="425"/>
      <c r="AP210" s="425"/>
      <c r="AQ210" s="425"/>
      <c r="AR210" s="425"/>
      <c r="AS210" s="425"/>
      <c r="AT210" s="425"/>
      <c r="AU210" s="425"/>
      <c r="AV210" s="425"/>
      <c r="AW210" s="425"/>
      <c r="AX210" s="425"/>
      <c r="AY210" s="425"/>
      <c r="AZ210" s="425"/>
      <c r="BA210" s="425"/>
      <c r="BB210" s="425"/>
      <c r="BC210" s="425"/>
      <c r="BD210" s="425"/>
      <c r="BE210" s="425"/>
      <c r="BF210" s="425"/>
      <c r="BG210" s="425"/>
      <c r="BH210" s="425"/>
      <c r="BI210" s="425"/>
      <c r="BJ210" s="425"/>
      <c r="BK210" s="425"/>
      <c r="BL210" s="1072"/>
      <c r="BM210" s="425"/>
      <c r="BN210" s="425"/>
      <c r="BO210" s="425"/>
      <c r="BP210" s="425"/>
      <c r="BQ210" s="425"/>
      <c r="BR210" s="425"/>
      <c r="BS210" s="425"/>
      <c r="BT210" s="425"/>
      <c r="BU210" s="425"/>
      <c r="BV210" s="425"/>
      <c r="BW210" s="425"/>
      <c r="BX210" s="425"/>
      <c r="CI210" s="472"/>
      <c r="CJ210" s="486"/>
      <c r="CK210" s="328"/>
      <c r="CL210" s="328"/>
      <c r="CM210" s="328"/>
      <c r="CN210" s="328"/>
      <c r="CO210" s="328"/>
      <c r="CP210" s="328"/>
      <c r="CQ210" s="328"/>
      <c r="CR210" s="328"/>
      <c r="CS210" s="328"/>
      <c r="CT210" s="328"/>
      <c r="CU210" s="328"/>
      <c r="CV210" s="328"/>
      <c r="CW210" s="328"/>
      <c r="CX210" s="328"/>
      <c r="CY210" s="328"/>
      <c r="CZ210" s="328"/>
      <c r="DA210" s="328"/>
      <c r="DB210" s="328"/>
      <c r="DC210" s="328"/>
      <c r="DD210" s="328"/>
      <c r="DE210" s="328"/>
      <c r="DF210" s="328"/>
      <c r="DG210" s="328"/>
      <c r="DH210" s="328"/>
      <c r="DI210" s="328"/>
      <c r="DJ210" s="328"/>
      <c r="DK210" s="328"/>
    </row>
    <row r="211" spans="1:115" s="330" customFormat="1" ht="15.75" customHeight="1" x14ac:dyDescent="0.2">
      <c r="A211" s="312"/>
      <c r="B211" s="313"/>
      <c r="C211" s="313"/>
      <c r="D211" s="316"/>
      <c r="E211" s="310"/>
      <c r="F211" s="310"/>
      <c r="G211" s="310"/>
      <c r="H211" s="316"/>
      <c r="I211" s="316"/>
      <c r="J211" s="316"/>
      <c r="K211" s="316"/>
      <c r="L211" s="310"/>
      <c r="M211" s="310"/>
      <c r="N211" s="18"/>
      <c r="O211" s="328"/>
      <c r="P211" s="425"/>
      <c r="Q211" s="1075"/>
      <c r="S211" s="1075"/>
      <c r="T211" s="1075"/>
      <c r="U211" s="1075"/>
      <c r="V211" s="1075"/>
      <c r="W211" s="1075"/>
      <c r="X211" s="1075"/>
      <c r="Y211" s="1075"/>
      <c r="Z211" s="1075"/>
      <c r="AA211" s="1075"/>
      <c r="AB211" s="425"/>
      <c r="AC211" s="425"/>
      <c r="AD211" s="425"/>
      <c r="AE211" s="425"/>
      <c r="AF211" s="425"/>
      <c r="AG211" s="425"/>
      <c r="AH211" s="425"/>
      <c r="AI211" s="425"/>
      <c r="AJ211" s="425"/>
      <c r="AK211" s="425"/>
      <c r="AL211" s="425"/>
      <c r="AM211" s="425"/>
      <c r="AN211" s="425"/>
      <c r="AO211" s="425"/>
      <c r="AP211" s="425"/>
      <c r="AQ211" s="425"/>
      <c r="AR211" s="425"/>
      <c r="AS211" s="425"/>
      <c r="AT211" s="425"/>
      <c r="AU211" s="425"/>
      <c r="AV211" s="425"/>
      <c r="AW211" s="425"/>
      <c r="AX211" s="425"/>
      <c r="AY211" s="425"/>
      <c r="AZ211" s="425"/>
      <c r="BA211" s="425"/>
      <c r="BB211" s="425"/>
      <c r="BC211" s="425"/>
      <c r="BD211" s="425"/>
      <c r="BE211" s="425"/>
      <c r="BF211" s="425"/>
      <c r="BG211" s="425"/>
      <c r="BH211" s="425"/>
      <c r="BI211" s="425"/>
      <c r="BJ211" s="425"/>
      <c r="BK211" s="425"/>
      <c r="BL211" s="1072"/>
      <c r="BM211" s="425"/>
      <c r="BN211" s="425"/>
      <c r="BO211" s="425"/>
      <c r="BP211" s="425"/>
      <c r="BQ211" s="425"/>
      <c r="BR211" s="425"/>
      <c r="BS211" s="425"/>
      <c r="BT211" s="425"/>
      <c r="BU211" s="425"/>
      <c r="BV211" s="425"/>
      <c r="BW211" s="425"/>
      <c r="BX211" s="425"/>
      <c r="CI211" s="472"/>
      <c r="CJ211" s="467"/>
      <c r="CK211" s="328"/>
      <c r="CL211" s="328"/>
      <c r="CM211" s="328"/>
      <c r="CN211" s="328"/>
      <c r="CO211" s="328"/>
      <c r="CP211" s="328"/>
      <c r="CQ211" s="328"/>
      <c r="CR211" s="328"/>
      <c r="CS211" s="328"/>
      <c r="CT211" s="328"/>
      <c r="CU211" s="328"/>
      <c r="CV211" s="328"/>
      <c r="CW211" s="328"/>
      <c r="CX211" s="328"/>
      <c r="CY211" s="328"/>
      <c r="CZ211" s="328"/>
      <c r="DA211" s="328"/>
      <c r="DB211" s="328"/>
      <c r="DC211" s="328"/>
      <c r="DD211" s="328"/>
      <c r="DE211" s="328"/>
      <c r="DF211" s="328"/>
      <c r="DG211" s="328"/>
      <c r="DH211" s="328"/>
      <c r="DI211" s="328"/>
      <c r="DJ211" s="328"/>
      <c r="DK211" s="328"/>
    </row>
    <row r="212" spans="1:115" s="330" customFormat="1" ht="15.75" customHeight="1" thickBot="1" x14ac:dyDescent="0.3">
      <c r="A212" s="309"/>
      <c r="B212" s="797"/>
      <c r="C212" s="797"/>
      <c r="D212" s="797"/>
      <c r="E212" s="797"/>
      <c r="F212" s="797"/>
      <c r="G212" s="797"/>
      <c r="H212" s="797"/>
      <c r="I212" s="797"/>
      <c r="J212" s="797"/>
      <c r="K212" s="797"/>
      <c r="L212" s="797"/>
      <c r="M212" s="797"/>
      <c r="N212" s="18"/>
      <c r="O212" s="328"/>
      <c r="P212" s="425"/>
      <c r="R212" s="1075"/>
      <c r="S212" s="1075"/>
      <c r="T212" s="1075"/>
      <c r="U212" s="2520" t="s">
        <v>279</v>
      </c>
      <c r="V212" s="2520"/>
      <c r="W212" s="2520" t="s">
        <v>280</v>
      </c>
      <c r="X212" s="2520"/>
      <c r="Y212" s="1075"/>
      <c r="Z212" s="1075"/>
      <c r="AA212" s="1075"/>
      <c r="AB212" s="425"/>
      <c r="AC212" s="425"/>
      <c r="AD212" s="425"/>
      <c r="AE212" s="425"/>
      <c r="AF212" s="425"/>
      <c r="AG212" s="425"/>
      <c r="AH212" s="425"/>
      <c r="AI212" s="425"/>
      <c r="AJ212" s="425"/>
      <c r="AK212" s="425"/>
      <c r="AL212" s="425"/>
      <c r="AM212" s="425"/>
      <c r="AN212" s="425"/>
      <c r="AO212" s="425"/>
      <c r="AP212" s="425"/>
      <c r="AQ212" s="425"/>
      <c r="AR212" s="425"/>
      <c r="AS212" s="425"/>
      <c r="AT212" s="425"/>
      <c r="AU212" s="425"/>
      <c r="AV212" s="425"/>
      <c r="AW212" s="425"/>
      <c r="AX212" s="425"/>
      <c r="AY212" s="425"/>
      <c r="AZ212" s="425"/>
      <c r="BA212" s="425"/>
      <c r="BB212" s="425"/>
      <c r="BC212" s="425"/>
      <c r="BD212" s="425"/>
      <c r="BE212" s="425"/>
      <c r="BF212" s="425"/>
      <c r="BG212" s="425"/>
      <c r="BH212" s="425"/>
      <c r="BI212" s="425"/>
      <c r="BJ212" s="425"/>
      <c r="BK212" s="425"/>
      <c r="BL212" s="1072"/>
      <c r="BM212" s="425"/>
      <c r="BN212" s="425"/>
      <c r="BO212" s="425"/>
      <c r="BP212" s="425"/>
      <c r="BQ212" s="425"/>
      <c r="BR212" s="425"/>
      <c r="BS212" s="425"/>
      <c r="BT212" s="425"/>
      <c r="BU212" s="425"/>
      <c r="BV212" s="425"/>
      <c r="BW212" s="425"/>
      <c r="BX212" s="425"/>
      <c r="CI212" s="472"/>
      <c r="CJ212" s="467"/>
      <c r="CK212" s="328"/>
      <c r="CL212" s="328"/>
      <c r="CM212" s="328"/>
      <c r="CN212" s="328"/>
      <c r="CO212" s="328"/>
      <c r="CP212" s="328"/>
      <c r="CQ212" s="328"/>
      <c r="CR212" s="328"/>
      <c r="CS212" s="328"/>
      <c r="CT212" s="328"/>
      <c r="CU212" s="328"/>
      <c r="CV212" s="328"/>
      <c r="CW212" s="328"/>
      <c r="CX212" s="328"/>
      <c r="CY212" s="328"/>
      <c r="CZ212" s="328"/>
      <c r="DA212" s="328"/>
      <c r="DB212" s="328"/>
      <c r="DC212" s="328"/>
      <c r="DD212" s="328"/>
      <c r="DE212" s="328"/>
      <c r="DF212" s="328"/>
      <c r="DG212" s="328"/>
      <c r="DH212" s="328"/>
      <c r="DI212" s="328"/>
      <c r="DJ212" s="328"/>
      <c r="DK212" s="328"/>
    </row>
    <row r="213" spans="1:115" s="330" customFormat="1" ht="15.75" customHeight="1" thickBot="1" x14ac:dyDescent="0.25">
      <c r="A213" s="314"/>
      <c r="B213" s="4"/>
      <c r="C213" s="4"/>
      <c r="D213" s="4"/>
      <c r="E213" s="4"/>
      <c r="F213" s="4"/>
      <c r="G213" s="4"/>
      <c r="H213" s="4"/>
      <c r="I213" s="4"/>
      <c r="J213" s="4"/>
      <c r="K213" s="4"/>
      <c r="L213" s="4"/>
      <c r="M213" s="4"/>
      <c r="N213" s="18"/>
      <c r="O213" s="328"/>
      <c r="P213" s="425"/>
      <c r="Q213" s="1075"/>
      <c r="R213" s="1075"/>
      <c r="S213" s="1075"/>
      <c r="T213" s="1075"/>
      <c r="U213" s="330" t="s">
        <v>1048</v>
      </c>
      <c r="W213" s="2521" t="s">
        <v>1048</v>
      </c>
      <c r="X213" s="2522"/>
      <c r="Y213" s="1077"/>
      <c r="Z213" s="1078" t="s">
        <v>1049</v>
      </c>
      <c r="AA213" s="1079"/>
      <c r="AB213" s="425"/>
      <c r="AC213" s="425"/>
      <c r="AD213" s="425"/>
      <c r="AE213" s="425"/>
      <c r="AF213" s="425"/>
      <c r="AG213" s="425"/>
      <c r="AH213" s="425"/>
      <c r="AI213" s="425"/>
      <c r="AJ213" s="425"/>
      <c r="AK213" s="425"/>
      <c r="AL213" s="425"/>
      <c r="AM213" s="425"/>
      <c r="AN213" s="425"/>
      <c r="AO213" s="425"/>
      <c r="AP213" s="425"/>
      <c r="AQ213" s="425"/>
      <c r="AR213" s="425"/>
      <c r="AS213" s="425"/>
      <c r="AT213" s="425"/>
      <c r="AU213" s="425"/>
      <c r="AV213" s="425"/>
      <c r="AW213" s="425"/>
      <c r="AX213" s="425"/>
      <c r="AY213" s="425"/>
      <c r="AZ213" s="425"/>
      <c r="BA213" s="425"/>
      <c r="BB213" s="425"/>
      <c r="BC213" s="425"/>
      <c r="BD213" s="425"/>
      <c r="BE213" s="425"/>
      <c r="BF213" s="425"/>
      <c r="BG213" s="425"/>
      <c r="BH213" s="425"/>
      <c r="BI213" s="425"/>
      <c r="BJ213" s="425"/>
      <c r="BK213" s="425"/>
      <c r="BL213" s="1072"/>
      <c r="BM213" s="425"/>
      <c r="BN213" s="425"/>
      <c r="BO213" s="425"/>
      <c r="BP213" s="425"/>
      <c r="BQ213" s="425"/>
      <c r="BR213" s="425"/>
      <c r="BS213" s="425"/>
      <c r="BT213" s="425"/>
      <c r="BU213" s="425"/>
      <c r="BV213" s="425"/>
      <c r="BW213" s="425"/>
      <c r="BX213" s="425"/>
      <c r="CI213" s="472"/>
      <c r="CJ213" s="467"/>
      <c r="CK213" s="328"/>
      <c r="CL213" s="328"/>
      <c r="CM213" s="328"/>
      <c r="CN213" s="328"/>
      <c r="CO213" s="328"/>
      <c r="CP213" s="328"/>
      <c r="CQ213" s="328"/>
      <c r="CR213" s="328"/>
      <c r="CS213" s="328"/>
      <c r="CT213" s="328"/>
      <c r="CU213" s="328"/>
      <c r="CV213" s="328"/>
      <c r="CW213" s="328"/>
      <c r="CX213" s="328"/>
      <c r="CY213" s="328"/>
      <c r="CZ213" s="328"/>
      <c r="DA213" s="328"/>
      <c r="DB213" s="328"/>
      <c r="DC213" s="328"/>
      <c r="DD213" s="328"/>
      <c r="DE213" s="328"/>
      <c r="DF213" s="328"/>
      <c r="DG213" s="328"/>
      <c r="DH213" s="328"/>
      <c r="DI213" s="328"/>
      <c r="DJ213" s="328"/>
      <c r="DK213" s="328"/>
    </row>
    <row r="214" spans="1:115" s="330" customFormat="1" ht="15.75" customHeight="1" thickBot="1" x14ac:dyDescent="0.3">
      <c r="A214" s="4"/>
      <c r="B214" s="371"/>
      <c r="C214" s="371"/>
      <c r="D214" s="398">
        <f>100-E214</f>
        <v>100</v>
      </c>
      <c r="E214" s="393">
        <v>0</v>
      </c>
      <c r="F214" s="311" t="s">
        <v>351</v>
      </c>
      <c r="G214" s="371"/>
      <c r="H214" s="371"/>
      <c r="I214" s="371"/>
      <c r="J214" s="371"/>
      <c r="K214" s="371"/>
      <c r="L214" s="371"/>
      <c r="M214" s="371"/>
      <c r="N214" s="18"/>
      <c r="O214" s="328"/>
      <c r="P214" s="425"/>
      <c r="Q214" s="1075" t="s">
        <v>495</v>
      </c>
      <c r="R214" s="1075"/>
      <c r="S214" s="1075" t="s">
        <v>1050</v>
      </c>
      <c r="T214" s="1075"/>
      <c r="U214" s="330" t="s">
        <v>321</v>
      </c>
      <c r="V214" s="330" t="s">
        <v>1050</v>
      </c>
      <c r="W214" s="330" t="s">
        <v>321</v>
      </c>
      <c r="X214" s="1075" t="s">
        <v>1050</v>
      </c>
      <c r="Y214" s="1080"/>
      <c r="Z214" s="1075" t="s">
        <v>279</v>
      </c>
      <c r="AA214" s="1081" t="s">
        <v>280</v>
      </c>
      <c r="AB214" s="425"/>
      <c r="AC214" s="425"/>
      <c r="AD214" s="425"/>
      <c r="AE214" s="425"/>
      <c r="AF214" s="425"/>
      <c r="AG214" s="425"/>
      <c r="AH214" s="425"/>
      <c r="AI214" s="425"/>
      <c r="AJ214" s="425"/>
      <c r="AK214" s="425"/>
      <c r="AL214" s="425"/>
      <c r="AM214" s="425"/>
      <c r="AN214" s="425"/>
      <c r="AO214" s="425"/>
      <c r="AP214" s="425"/>
      <c r="AQ214" s="425"/>
      <c r="AR214" s="425"/>
      <c r="AS214" s="425"/>
      <c r="AT214" s="425"/>
      <c r="AU214" s="425"/>
      <c r="AV214" s="425"/>
      <c r="AW214" s="425"/>
      <c r="AX214" s="425"/>
      <c r="AY214" s="425"/>
      <c r="AZ214" s="425"/>
      <c r="BA214" s="425"/>
      <c r="BB214" s="425"/>
      <c r="BC214" s="425"/>
      <c r="BD214" s="425"/>
      <c r="BE214" s="425"/>
      <c r="BF214" s="425"/>
      <c r="BG214" s="425"/>
      <c r="BH214" s="425"/>
      <c r="BI214" s="425"/>
      <c r="BJ214" s="425"/>
      <c r="BK214" s="425"/>
      <c r="BL214" s="1072"/>
      <c r="BM214" s="425"/>
      <c r="BN214" s="425"/>
      <c r="BO214" s="425"/>
      <c r="BP214" s="425"/>
      <c r="BQ214" s="425"/>
      <c r="BR214" s="425"/>
      <c r="BS214" s="425"/>
      <c r="BT214" s="425"/>
      <c r="BU214" s="425"/>
      <c r="BV214" s="425"/>
      <c r="BW214" s="425"/>
      <c r="BX214" s="425"/>
      <c r="CI214" s="472"/>
      <c r="CJ214" s="467"/>
      <c r="CK214" s="328"/>
      <c r="CL214" s="328"/>
      <c r="CM214" s="328"/>
      <c r="CN214" s="328"/>
      <c r="CO214" s="328"/>
      <c r="CP214" s="328"/>
      <c r="CQ214" s="328"/>
      <c r="CR214" s="328"/>
      <c r="CS214" s="328"/>
      <c r="CT214" s="328"/>
      <c r="CU214" s="328"/>
      <c r="CV214" s="328"/>
      <c r="CW214" s="328"/>
      <c r="CX214" s="328"/>
      <c r="CY214" s="328"/>
      <c r="CZ214" s="328"/>
      <c r="DA214" s="328"/>
      <c r="DB214" s="328"/>
      <c r="DC214" s="328"/>
      <c r="DD214" s="328"/>
      <c r="DE214" s="328"/>
      <c r="DF214" s="328"/>
      <c r="DG214" s="328"/>
      <c r="DH214" s="328"/>
      <c r="DI214" s="328"/>
      <c r="DJ214" s="328"/>
      <c r="DK214" s="328"/>
    </row>
    <row r="215" spans="1:115" s="330" customFormat="1" ht="15.75" customHeight="1" x14ac:dyDescent="0.25">
      <c r="A215" s="314"/>
      <c r="B215" s="371"/>
      <c r="C215" s="371"/>
      <c r="D215" s="315"/>
      <c r="E215" s="310"/>
      <c r="F215" s="311"/>
      <c r="G215" s="371"/>
      <c r="H215" s="371"/>
      <c r="I215" s="371"/>
      <c r="J215" s="371"/>
      <c r="K215" s="371"/>
      <c r="L215" s="371"/>
      <c r="M215" s="371"/>
      <c r="N215" s="18"/>
      <c r="O215" s="328"/>
      <c r="P215" s="425"/>
      <c r="Q215" s="1075">
        <v>30</v>
      </c>
      <c r="R215" s="1075"/>
      <c r="S215" s="1075">
        <f>100-Q215</f>
        <v>70</v>
      </c>
      <c r="T215" s="1082"/>
      <c r="U215" s="1075">
        <f>IF(OR(D205="0,00",B205=0,E214=0),0,B205*E214/100*E205*Q215/100/(B205*E214/100*D205/100)*F229*F230/100)</f>
        <v>0</v>
      </c>
      <c r="V215" s="1083">
        <f>IF(OR(D205="0,00",B205=0,E214=0),0,B205*E214/100*E205*S215/100/(B205*E214/100*(1-(D205/100)))*F229*(1-(F230/100)))</f>
        <v>0</v>
      </c>
      <c r="W215" s="1083">
        <f>IF(OR(D205="0,00",B205=0,E214=0),0,B205*E214/100*E205*Q215/100/(B205*E214/100*D205/100)*K229*K230/100)</f>
        <v>0</v>
      </c>
      <c r="X215" s="1082">
        <f>IF(OR(D205="0,00",B205=0,E214=0),0,B205*E214/100*E205*S215/100/(B205*E214/100*(1-(D205/100)))*K229*(1-(K230/100)))</f>
        <v>0</v>
      </c>
      <c r="Y215" s="1084" t="s">
        <v>4</v>
      </c>
      <c r="Z215" s="330">
        <f>IF($F$229=0,0,(U215+V215)/$F$229)</f>
        <v>0</v>
      </c>
      <c r="AA215" s="1081" t="e">
        <f>IF($K$229=0,0,(W215+X215)/$K$229)</f>
        <v>#DIV/0!</v>
      </c>
      <c r="AB215" s="425"/>
      <c r="AC215" s="425"/>
      <c r="AD215" s="425"/>
      <c r="AE215" s="425"/>
      <c r="AF215" s="425"/>
      <c r="AG215" s="425"/>
      <c r="AH215" s="425"/>
      <c r="AI215" s="425"/>
      <c r="AJ215" s="425"/>
      <c r="AK215" s="425"/>
      <c r="AL215" s="425"/>
      <c r="AM215" s="425"/>
      <c r="AN215" s="425"/>
      <c r="AO215" s="425"/>
      <c r="AP215" s="425"/>
      <c r="AQ215" s="425"/>
      <c r="AR215" s="425"/>
      <c r="AS215" s="425"/>
      <c r="AT215" s="425"/>
      <c r="AU215" s="425"/>
      <c r="AV215" s="425"/>
      <c r="AW215" s="425"/>
      <c r="AX215" s="425"/>
      <c r="AY215" s="425"/>
      <c r="AZ215" s="425"/>
      <c r="BA215" s="425"/>
      <c r="BB215" s="425"/>
      <c r="BC215" s="425"/>
      <c r="BD215" s="425"/>
      <c r="BE215" s="425"/>
      <c r="BF215" s="425"/>
      <c r="BG215" s="425"/>
      <c r="BH215" s="425"/>
      <c r="BI215" s="425"/>
      <c r="BJ215" s="425"/>
      <c r="BK215" s="425"/>
      <c r="BL215" s="1072"/>
      <c r="BM215" s="425"/>
      <c r="BN215" s="425"/>
      <c r="BO215" s="425"/>
      <c r="BP215" s="425"/>
      <c r="BQ215" s="425"/>
      <c r="BR215" s="425"/>
      <c r="BS215" s="425"/>
      <c r="BT215" s="425"/>
      <c r="BU215" s="425"/>
      <c r="BV215" s="425"/>
      <c r="BW215" s="425"/>
      <c r="BX215" s="425"/>
      <c r="CI215" s="472"/>
      <c r="CJ215" s="467"/>
      <c r="CK215" s="328"/>
      <c r="CL215" s="328"/>
      <c r="CM215" s="328"/>
      <c r="CN215" s="328"/>
      <c r="CO215" s="328"/>
      <c r="CP215" s="328"/>
      <c r="CQ215" s="328"/>
      <c r="CR215" s="328"/>
      <c r="CS215" s="328"/>
      <c r="CT215" s="328"/>
      <c r="CU215" s="328"/>
      <c r="CV215" s="328"/>
      <c r="CW215" s="328"/>
      <c r="CX215" s="328"/>
      <c r="CY215" s="328"/>
      <c r="CZ215" s="328"/>
      <c r="DA215" s="328"/>
      <c r="DB215" s="328"/>
      <c r="DC215" s="328"/>
      <c r="DD215" s="328"/>
      <c r="DE215" s="328"/>
      <c r="DF215" s="328"/>
      <c r="DG215" s="328"/>
      <c r="DH215" s="328"/>
      <c r="DI215" s="328"/>
      <c r="DJ215" s="328"/>
      <c r="DK215" s="328"/>
    </row>
    <row r="216" spans="1:115" s="330" customFormat="1" ht="15.75" customHeight="1" x14ac:dyDescent="0.25">
      <c r="A216" s="314"/>
      <c r="B216" s="371"/>
      <c r="C216" s="371"/>
      <c r="D216" s="315"/>
      <c r="E216" s="310"/>
      <c r="F216" s="311"/>
      <c r="G216" s="371"/>
      <c r="H216" s="371"/>
      <c r="I216" s="371"/>
      <c r="J216" s="371"/>
      <c r="K216" s="371"/>
      <c r="L216" s="371"/>
      <c r="M216" s="371"/>
      <c r="N216" s="18"/>
      <c r="O216" s="328"/>
      <c r="P216" s="425"/>
      <c r="Q216" s="1085">
        <v>10</v>
      </c>
      <c r="R216" s="1075"/>
      <c r="S216" s="1973">
        <f t="shared" ref="S216:S218" si="189">100-Q216</f>
        <v>90</v>
      </c>
      <c r="T216" s="1082"/>
      <c r="U216" s="1083">
        <f>IF(OR(D205="0,00",B205=0,E214=0),0,B205*E214/100*F205*Q216/100/(B205*E214/100*D205/100)*F229*F230/100)</f>
        <v>0</v>
      </c>
      <c r="V216" s="1083">
        <f>IF(OR(D205="0,00",B205=0,E214=0),0,B205*E214/100*F205*S216/100/(B205*E214/100*(1-(D205/100)))*F229*(1-(F230/100)))</f>
        <v>0</v>
      </c>
      <c r="W216" s="1083">
        <f>IF(OR(D205="0,00",B205=0,E214=0),0,B205*E214/100*F205*Q216/100/(B205*E214/100*D205/100)*K229*K230/100)</f>
        <v>0</v>
      </c>
      <c r="X216" s="1082">
        <f>IF(OR(D205="0,00",B205=0,E214=0),0,B205*E214/100*F205*S216/100/(B205*E214/100*(1-(D205/100)))*K229*(1-(K230/100)))</f>
        <v>0</v>
      </c>
      <c r="Y216" s="1086" t="s">
        <v>1051</v>
      </c>
      <c r="Z216" s="1075">
        <f>IF($F$229=0,0,(U216+V216)/$F$229)</f>
        <v>0</v>
      </c>
      <c r="AA216" s="1081" t="e">
        <f>IF($K$229=0,0,(W216+X216)/$K$229)</f>
        <v>#DIV/0!</v>
      </c>
      <c r="AB216" s="425"/>
      <c r="AC216" s="425"/>
      <c r="AD216" s="425"/>
      <c r="AE216" s="425"/>
      <c r="AF216" s="425"/>
      <c r="AG216" s="425"/>
      <c r="AH216" s="425"/>
      <c r="AI216" s="425"/>
      <c r="AJ216" s="425"/>
      <c r="AK216" s="425"/>
      <c r="AL216" s="425"/>
      <c r="AM216" s="425"/>
      <c r="AN216" s="425"/>
      <c r="AO216" s="425"/>
      <c r="AP216" s="425"/>
      <c r="AQ216" s="425"/>
      <c r="AR216" s="425"/>
      <c r="AS216" s="425"/>
      <c r="AT216" s="425"/>
      <c r="AU216" s="425"/>
      <c r="AV216" s="425"/>
      <c r="AW216" s="425"/>
      <c r="AX216" s="425"/>
      <c r="AY216" s="425"/>
      <c r="AZ216" s="425"/>
      <c r="BA216" s="425"/>
      <c r="BB216" s="425"/>
      <c r="BC216" s="425"/>
      <c r="BD216" s="425"/>
      <c r="BE216" s="425"/>
      <c r="BF216" s="425"/>
      <c r="BG216" s="425"/>
      <c r="BH216" s="425"/>
      <c r="BI216" s="425"/>
      <c r="BJ216" s="425"/>
      <c r="BK216" s="425"/>
      <c r="BL216" s="1072"/>
      <c r="BM216" s="425"/>
      <c r="BN216" s="425"/>
      <c r="BO216" s="425"/>
      <c r="BP216" s="425"/>
      <c r="BQ216" s="425"/>
      <c r="BR216" s="425"/>
      <c r="BS216" s="425"/>
      <c r="BT216" s="425"/>
      <c r="BU216" s="425"/>
      <c r="BV216" s="425"/>
      <c r="BW216" s="425"/>
      <c r="BX216" s="425"/>
      <c r="CI216" s="472"/>
      <c r="CJ216" s="467"/>
      <c r="CK216" s="328"/>
      <c r="CL216" s="328"/>
      <c r="CM216" s="328"/>
      <c r="CN216" s="328"/>
      <c r="CO216" s="328"/>
      <c r="CP216" s="328"/>
      <c r="CQ216" s="328"/>
      <c r="CR216" s="328"/>
      <c r="CS216" s="328"/>
      <c r="CT216" s="328"/>
      <c r="CU216" s="328"/>
      <c r="CV216" s="328"/>
      <c r="CW216" s="328"/>
      <c r="CX216" s="328"/>
      <c r="CY216" s="328"/>
      <c r="CZ216" s="328"/>
      <c r="DA216" s="328"/>
      <c r="DB216" s="328"/>
      <c r="DC216" s="328"/>
      <c r="DD216" s="328"/>
      <c r="DE216" s="328"/>
      <c r="DF216" s="328"/>
      <c r="DG216" s="328"/>
      <c r="DH216" s="328"/>
      <c r="DI216" s="328"/>
      <c r="DJ216" s="328"/>
      <c r="DK216" s="328"/>
    </row>
    <row r="217" spans="1:115" s="330" customFormat="1" ht="15.75" customHeight="1" x14ac:dyDescent="0.25">
      <c r="A217" s="314"/>
      <c r="B217" s="371"/>
      <c r="C217" s="371"/>
      <c r="D217" s="315"/>
      <c r="E217" s="310"/>
      <c r="F217" s="311"/>
      <c r="G217" s="371"/>
      <c r="H217" s="371"/>
      <c r="I217" s="371"/>
      <c r="J217" s="371"/>
      <c r="K217" s="371"/>
      <c r="L217" s="371"/>
      <c r="M217" s="371"/>
      <c r="N217" s="18"/>
      <c r="O217" s="328"/>
      <c r="P217" s="425"/>
      <c r="Q217" s="1087">
        <v>75</v>
      </c>
      <c r="R217" s="1075"/>
      <c r="S217" s="1973">
        <f t="shared" si="189"/>
        <v>25</v>
      </c>
      <c r="T217" s="1082"/>
      <c r="U217" s="1083">
        <f>IF(OR(D205="0,00",B205=0,E214=0),0,B205*E214/100*G205*Q217/100/(B205*E214/100*D205/100)*F229*F230/100)</f>
        <v>0</v>
      </c>
      <c r="V217" s="1083">
        <f>IF(OR(D205="0,00",B205=0,E214=0),0,B205*E214/100*G205*S217/100/(B205*E214/100*(1-(D205/100)))*F229*(1-(F230/100)))</f>
        <v>0</v>
      </c>
      <c r="W217" s="1083">
        <f>IF(OR(D205="0,00",B205=0,E214=0),0,B205*E214/100*G205*Q217/100/(B205*E214/100*D205/100)*K229*K230/100)</f>
        <v>0</v>
      </c>
      <c r="X217" s="1082">
        <f>IF(OR(D205="0,00",B205=0,E214=0),0,B205*E214/100*G205*S217/100/(B205*E214/100*(1-(D205/100)))*K229*(1-(K230/100)))</f>
        <v>0</v>
      </c>
      <c r="Y217" s="1084" t="s">
        <v>1052</v>
      </c>
      <c r="Z217" s="1075">
        <f>IF($F$229=0,0,(U217+V217)/$F$229)</f>
        <v>0</v>
      </c>
      <c r="AA217" s="1081" t="e">
        <f>IF($K$229=0,0,(W217+X217)/$K$229)</f>
        <v>#DIV/0!</v>
      </c>
      <c r="AB217" s="425"/>
      <c r="AC217" s="425"/>
      <c r="AD217" s="425"/>
      <c r="AE217" s="425"/>
      <c r="AF217" s="425"/>
      <c r="AG217" s="425"/>
      <c r="AH217" s="425"/>
      <c r="AI217" s="425"/>
      <c r="AJ217" s="425"/>
      <c r="AK217" s="425"/>
      <c r="AL217" s="425"/>
      <c r="AM217" s="425"/>
      <c r="AN217" s="425"/>
      <c r="AO217" s="425"/>
      <c r="AP217" s="425"/>
      <c r="AQ217" s="425"/>
      <c r="AR217" s="425"/>
      <c r="AS217" s="425"/>
      <c r="AT217" s="425"/>
      <c r="AU217" s="425"/>
      <c r="AV217" s="425"/>
      <c r="AW217" s="425"/>
      <c r="AX217" s="425"/>
      <c r="AY217" s="425"/>
      <c r="AZ217" s="425"/>
      <c r="BA217" s="425"/>
      <c r="BB217" s="425"/>
      <c r="BC217" s="425"/>
      <c r="BD217" s="425"/>
      <c r="BE217" s="425"/>
      <c r="BF217" s="425"/>
      <c r="BG217" s="425"/>
      <c r="BH217" s="425"/>
      <c r="BI217" s="425"/>
      <c r="BJ217" s="425"/>
      <c r="BK217" s="425"/>
      <c r="BL217" s="1072"/>
      <c r="BM217" s="425"/>
      <c r="BN217" s="425"/>
      <c r="BO217" s="425"/>
      <c r="BP217" s="425"/>
      <c r="BQ217" s="425"/>
      <c r="BR217" s="425"/>
      <c r="BS217" s="425"/>
      <c r="BT217" s="425"/>
      <c r="BU217" s="425"/>
      <c r="BV217" s="425"/>
      <c r="BW217" s="425"/>
      <c r="BX217" s="425"/>
      <c r="CI217" s="472"/>
      <c r="CJ217" s="467"/>
      <c r="CK217" s="328"/>
      <c r="CL217" s="328"/>
      <c r="CM217" s="328"/>
      <c r="CN217" s="328"/>
      <c r="CO217" s="328"/>
      <c r="CP217" s="328"/>
      <c r="CQ217" s="328"/>
      <c r="CR217" s="328"/>
      <c r="CS217" s="328"/>
      <c r="CT217" s="328"/>
      <c r="CU217" s="328"/>
      <c r="CV217" s="328"/>
      <c r="CW217" s="328"/>
      <c r="CX217" s="328"/>
      <c r="CY217" s="328"/>
      <c r="CZ217" s="328"/>
      <c r="DA217" s="328"/>
      <c r="DB217" s="328"/>
      <c r="DC217" s="328"/>
      <c r="DD217" s="328"/>
      <c r="DE217" s="328"/>
      <c r="DF217" s="328"/>
      <c r="DG217" s="328"/>
      <c r="DH217" s="328"/>
      <c r="DI217" s="328"/>
      <c r="DJ217" s="328"/>
      <c r="DK217" s="328"/>
    </row>
    <row r="218" spans="1:115" s="330" customFormat="1" ht="15.75" customHeight="1" thickBot="1" x14ac:dyDescent="0.3">
      <c r="A218" s="314"/>
      <c r="B218" s="371"/>
      <c r="C218" s="371"/>
      <c r="D218" s="315"/>
      <c r="E218" s="310"/>
      <c r="F218" s="311"/>
      <c r="G218" s="371"/>
      <c r="H218" s="371"/>
      <c r="I218" s="371"/>
      <c r="J218" s="371"/>
      <c r="K218" s="371"/>
      <c r="L218" s="371"/>
      <c r="M218" s="371"/>
      <c r="N218" s="18"/>
      <c r="O218" s="328"/>
      <c r="P218" s="425"/>
      <c r="Q218" s="1085">
        <v>10</v>
      </c>
      <c r="R218" s="1075"/>
      <c r="S218" s="1973">
        <f t="shared" si="189"/>
        <v>90</v>
      </c>
      <c r="T218" s="1082"/>
      <c r="U218" s="1083">
        <f>IF(OR(D205="0,00",B205=0,E214=0),0,B205*E214/100*H205*Q218/100/(B205*E214/100*D205/100)*F229*F230/100)</f>
        <v>0</v>
      </c>
      <c r="V218" s="1083">
        <f>IF(OR(D205="0,00",B205=0,E214=0),0,B205*E214/100*H205*S218/100/(B205*E214/100*(1-(D205/100)))*F229*(1-(F230/100)))</f>
        <v>0</v>
      </c>
      <c r="W218" s="1083">
        <f>IF(OR(D205="0,00",B205=0,E214=0),0,B205*E214/100*H205*Q218/100/(B205*E214/100*D205/100)*K229*K230/100)</f>
        <v>0</v>
      </c>
      <c r="X218" s="1082">
        <f>IF(OR(D205="0,00",B205=0,E214=0),0,B205*E214/100*H205*S218/100/(B205*E214/100*(1-(D205/100)))*K229*(1-(K230/100)))</f>
        <v>0</v>
      </c>
      <c r="Y218" s="1088" t="s">
        <v>1053</v>
      </c>
      <c r="Z218" s="1089">
        <f>IF($F$229=0,0,(U218+V218)/$F$229)</f>
        <v>0</v>
      </c>
      <c r="AA218" s="1090" t="e">
        <f>IF($K$229=0,0,(W218+X218)/$K$229)</f>
        <v>#DIV/0!</v>
      </c>
      <c r="AB218" s="425"/>
      <c r="AC218" s="425"/>
      <c r="AD218" s="425"/>
      <c r="AE218" s="425"/>
      <c r="AF218" s="425"/>
      <c r="AG218" s="425"/>
      <c r="AH218" s="425"/>
      <c r="AI218" s="425"/>
      <c r="AJ218" s="425"/>
      <c r="AK218" s="425"/>
      <c r="AL218" s="425"/>
      <c r="AM218" s="425"/>
      <c r="AN218" s="425"/>
      <c r="AO218" s="425"/>
      <c r="AP218" s="425"/>
      <c r="AQ218" s="425"/>
      <c r="AR218" s="425"/>
      <c r="AS218" s="425"/>
      <c r="AT218" s="425"/>
      <c r="AU218" s="425"/>
      <c r="AV218" s="425"/>
      <c r="AW218" s="425"/>
      <c r="AX218" s="425"/>
      <c r="AY218" s="425"/>
      <c r="AZ218" s="425"/>
      <c r="BA218" s="425"/>
      <c r="BB218" s="425"/>
      <c r="BC218" s="425"/>
      <c r="BD218" s="425"/>
      <c r="BE218" s="425"/>
      <c r="BF218" s="425"/>
      <c r="BG218" s="425"/>
      <c r="BH218" s="425"/>
      <c r="BI218" s="425"/>
      <c r="BJ218" s="425"/>
      <c r="BK218" s="425"/>
      <c r="BL218" s="1072"/>
      <c r="BM218" s="425"/>
      <c r="BN218" s="425"/>
      <c r="BO218" s="425"/>
      <c r="BP218" s="425"/>
      <c r="BQ218" s="425"/>
      <c r="BR218" s="425"/>
      <c r="BS218" s="425"/>
      <c r="BT218" s="425"/>
      <c r="BU218" s="425"/>
      <c r="BV218" s="425"/>
      <c r="BW218" s="425"/>
      <c r="BX218" s="425"/>
      <c r="CI218" s="472"/>
      <c r="CJ218" s="467"/>
      <c r="CK218" s="328"/>
      <c r="CL218" s="328"/>
      <c r="CM218" s="328"/>
      <c r="CN218" s="328"/>
      <c r="CO218" s="328"/>
      <c r="CP218" s="328"/>
      <c r="CQ218" s="328"/>
      <c r="CR218" s="328"/>
      <c r="CS218" s="328"/>
      <c r="CT218" s="328"/>
      <c r="CU218" s="328"/>
      <c r="CV218" s="328"/>
      <c r="CW218" s="328"/>
      <c r="CX218" s="328"/>
      <c r="CY218" s="328"/>
      <c r="CZ218" s="328"/>
      <c r="DA218" s="328"/>
      <c r="DB218" s="328"/>
      <c r="DC218" s="328"/>
      <c r="DD218" s="328"/>
      <c r="DE218" s="328"/>
      <c r="DF218" s="328"/>
      <c r="DG218" s="328"/>
      <c r="DH218" s="328"/>
      <c r="DI218" s="328"/>
      <c r="DJ218" s="328"/>
      <c r="DK218" s="328"/>
    </row>
    <row r="219" spans="1:115" s="330" customFormat="1" ht="15.75" customHeight="1" x14ac:dyDescent="0.25">
      <c r="A219" s="314"/>
      <c r="B219" s="371"/>
      <c r="C219" s="371"/>
      <c r="D219" s="315"/>
      <c r="E219" s="310"/>
      <c r="F219" s="311"/>
      <c r="G219" s="371"/>
      <c r="H219" s="371"/>
      <c r="I219" s="371"/>
      <c r="J219" s="371"/>
      <c r="K219" s="371"/>
      <c r="L219" s="371"/>
      <c r="M219" s="371"/>
      <c r="N219" s="18"/>
      <c r="O219" s="328"/>
      <c r="P219" s="425"/>
      <c r="Q219" s="425"/>
      <c r="R219" s="425"/>
      <c r="S219" s="425"/>
      <c r="T219" s="425"/>
      <c r="U219" s="425"/>
      <c r="V219" s="425"/>
      <c r="W219" s="425"/>
      <c r="X219" s="425"/>
      <c r="Y219" s="425"/>
      <c r="Z219" s="425"/>
      <c r="AA219" s="425"/>
      <c r="AB219" s="425"/>
      <c r="AC219" s="425"/>
      <c r="AD219" s="425"/>
      <c r="AE219" s="425"/>
      <c r="AF219" s="425"/>
      <c r="AG219" s="425"/>
      <c r="AH219" s="425"/>
      <c r="AI219" s="425"/>
      <c r="AJ219" s="425"/>
      <c r="AK219" s="425"/>
      <c r="AL219" s="425"/>
      <c r="AM219" s="425"/>
      <c r="AN219" s="425"/>
      <c r="AO219" s="425"/>
      <c r="AP219" s="425"/>
      <c r="AQ219" s="425"/>
      <c r="AR219" s="425"/>
      <c r="AS219" s="425"/>
      <c r="AT219" s="425"/>
      <c r="AU219" s="425"/>
      <c r="AV219" s="425"/>
      <c r="AW219" s="425"/>
      <c r="AX219" s="425"/>
      <c r="AY219" s="425"/>
      <c r="AZ219" s="425"/>
      <c r="BA219" s="425"/>
      <c r="BB219" s="425"/>
      <c r="BC219" s="425"/>
      <c r="BD219" s="425"/>
      <c r="BE219" s="425"/>
      <c r="BF219" s="425"/>
      <c r="BG219" s="425"/>
      <c r="BH219" s="425"/>
      <c r="BI219" s="425"/>
      <c r="BJ219" s="425"/>
      <c r="BK219" s="425"/>
      <c r="BL219" s="1072"/>
      <c r="BM219" s="425"/>
      <c r="BN219" s="425"/>
      <c r="BO219" s="425"/>
      <c r="BP219" s="425"/>
      <c r="BQ219" s="425"/>
      <c r="BR219" s="425"/>
      <c r="BS219" s="425"/>
      <c r="BT219" s="425"/>
      <c r="BU219" s="425"/>
      <c r="BV219" s="425"/>
      <c r="BW219" s="425"/>
      <c r="BX219" s="425"/>
      <c r="CI219" s="472"/>
      <c r="CJ219" s="467"/>
      <c r="CK219" s="328"/>
      <c r="CL219" s="328"/>
      <c r="CM219" s="328"/>
      <c r="CN219" s="328"/>
      <c r="CO219" s="328"/>
      <c r="CP219" s="328"/>
      <c r="CQ219" s="328"/>
      <c r="CR219" s="328"/>
      <c r="CS219" s="328"/>
      <c r="CT219" s="328"/>
      <c r="CU219" s="328"/>
      <c r="CV219" s="328"/>
      <c r="CW219" s="328"/>
      <c r="CX219" s="328"/>
      <c r="CY219" s="328"/>
      <c r="CZ219" s="328"/>
      <c r="DA219" s="328"/>
      <c r="DB219" s="328"/>
      <c r="DC219" s="328"/>
      <c r="DD219" s="328"/>
      <c r="DE219" s="328"/>
      <c r="DF219" s="328"/>
      <c r="DG219" s="328"/>
      <c r="DH219" s="328"/>
      <c r="DI219" s="328"/>
      <c r="DJ219" s="328"/>
      <c r="DK219" s="328"/>
    </row>
    <row r="220" spans="1:115" s="330" customFormat="1" ht="15.75" customHeight="1" x14ac:dyDescent="0.25">
      <c r="A220" s="314"/>
      <c r="B220" s="371"/>
      <c r="C220" s="371"/>
      <c r="D220" s="315"/>
      <c r="E220" s="310"/>
      <c r="F220" s="311"/>
      <c r="G220" s="371"/>
      <c r="H220" s="371"/>
      <c r="I220" s="371"/>
      <c r="J220" s="371"/>
      <c r="K220" s="371"/>
      <c r="L220" s="371"/>
      <c r="M220" s="371"/>
      <c r="N220" s="18"/>
      <c r="O220" s="328"/>
      <c r="P220" s="425"/>
      <c r="Q220" s="425"/>
      <c r="R220" s="425"/>
      <c r="S220" s="425"/>
      <c r="T220" s="425"/>
      <c r="U220" s="425"/>
      <c r="V220" s="425"/>
      <c r="W220" s="425"/>
      <c r="X220" s="425"/>
      <c r="Y220" s="425"/>
      <c r="Z220" s="425"/>
      <c r="AA220" s="425"/>
      <c r="AB220" s="425"/>
      <c r="AC220" s="425"/>
      <c r="AD220" s="425"/>
      <c r="AE220" s="425"/>
      <c r="AF220" s="425"/>
      <c r="AG220" s="425"/>
      <c r="AH220" s="425"/>
      <c r="AI220" s="425"/>
      <c r="AJ220" s="425"/>
      <c r="AK220" s="425"/>
      <c r="AL220" s="425"/>
      <c r="AM220" s="425"/>
      <c r="AN220" s="425"/>
      <c r="AO220" s="425"/>
      <c r="AP220" s="425"/>
      <c r="AQ220" s="425"/>
      <c r="AR220" s="425"/>
      <c r="AS220" s="425"/>
      <c r="AT220" s="425"/>
      <c r="AU220" s="425"/>
      <c r="AV220" s="425"/>
      <c r="AW220" s="425"/>
      <c r="AX220" s="425"/>
      <c r="AY220" s="425"/>
      <c r="AZ220" s="425"/>
      <c r="BA220" s="425"/>
      <c r="BB220" s="425"/>
      <c r="BC220" s="425"/>
      <c r="BD220" s="425"/>
      <c r="BE220" s="425"/>
      <c r="BF220" s="425"/>
      <c r="BG220" s="425"/>
      <c r="BH220" s="425"/>
      <c r="BI220" s="425"/>
      <c r="BJ220" s="425"/>
      <c r="BK220" s="425"/>
      <c r="BL220" s="1072"/>
      <c r="BM220" s="425"/>
      <c r="BN220" s="425"/>
      <c r="BO220" s="425"/>
      <c r="BP220" s="425"/>
      <c r="BQ220" s="425"/>
      <c r="BR220" s="425"/>
      <c r="BS220" s="425"/>
      <c r="BT220" s="425"/>
      <c r="BU220" s="425"/>
      <c r="BV220" s="425"/>
      <c r="BW220" s="425"/>
      <c r="BX220" s="425"/>
      <c r="CI220" s="472"/>
      <c r="CJ220" s="467"/>
      <c r="CK220" s="328"/>
      <c r="CL220" s="328"/>
      <c r="CM220" s="328"/>
      <c r="CN220" s="328"/>
      <c r="CO220" s="328"/>
      <c r="CP220" s="328"/>
      <c r="CQ220" s="328"/>
      <c r="CR220" s="328"/>
      <c r="CS220" s="328"/>
      <c r="CT220" s="328"/>
      <c r="CU220" s="328"/>
      <c r="CV220" s="328"/>
      <c r="CW220" s="328"/>
      <c r="CX220" s="328"/>
      <c r="CY220" s="328"/>
      <c r="CZ220" s="328"/>
      <c r="DA220" s="328"/>
      <c r="DB220" s="328"/>
      <c r="DC220" s="328"/>
      <c r="DD220" s="328"/>
      <c r="DE220" s="328"/>
      <c r="DF220" s="328"/>
      <c r="DG220" s="328"/>
      <c r="DH220" s="328"/>
      <c r="DI220" s="328"/>
      <c r="DJ220" s="328"/>
      <c r="DK220" s="328"/>
    </row>
    <row r="221" spans="1:115" s="330" customFormat="1" ht="15.75" customHeight="1" x14ac:dyDescent="0.25">
      <c r="A221" s="314"/>
      <c r="B221" s="371"/>
      <c r="C221" s="371"/>
      <c r="D221" s="315"/>
      <c r="E221" s="310"/>
      <c r="F221" s="311"/>
      <c r="G221" s="371"/>
      <c r="H221" s="371"/>
      <c r="I221" s="371"/>
      <c r="J221" s="371"/>
      <c r="K221" s="371"/>
      <c r="L221" s="371"/>
      <c r="M221" s="371"/>
      <c r="N221" s="18"/>
      <c r="O221" s="328"/>
      <c r="P221" s="425"/>
      <c r="Q221" s="425"/>
      <c r="R221" s="425"/>
      <c r="S221" s="425"/>
      <c r="T221" s="425"/>
      <c r="U221" s="425"/>
      <c r="V221" s="425"/>
      <c r="W221" s="425"/>
      <c r="X221" s="425"/>
      <c r="Y221" s="425"/>
      <c r="Z221" s="425"/>
      <c r="AA221" s="425"/>
      <c r="AB221" s="425"/>
      <c r="AC221" s="425"/>
      <c r="AD221" s="425"/>
      <c r="AE221" s="425"/>
      <c r="AF221" s="425"/>
      <c r="AG221" s="425"/>
      <c r="AH221" s="425"/>
      <c r="AI221" s="425"/>
      <c r="AJ221" s="425"/>
      <c r="AK221" s="425"/>
      <c r="AL221" s="425"/>
      <c r="AM221" s="425"/>
      <c r="AN221" s="425"/>
      <c r="AO221" s="425"/>
      <c r="AP221" s="425"/>
      <c r="AQ221" s="425"/>
      <c r="AR221" s="425"/>
      <c r="AS221" s="425"/>
      <c r="AT221" s="425"/>
      <c r="AU221" s="425"/>
      <c r="AV221" s="425"/>
      <c r="AW221" s="425"/>
      <c r="AX221" s="425"/>
      <c r="AY221" s="425"/>
      <c r="AZ221" s="425"/>
      <c r="BA221" s="425"/>
      <c r="BB221" s="425"/>
      <c r="BC221" s="425"/>
      <c r="BD221" s="425"/>
      <c r="BE221" s="425"/>
      <c r="BF221" s="425"/>
      <c r="BG221" s="425"/>
      <c r="BH221" s="425"/>
      <c r="BI221" s="425"/>
      <c r="BJ221" s="425"/>
      <c r="BK221" s="425"/>
      <c r="BL221" s="1072"/>
      <c r="BM221" s="425"/>
      <c r="BN221" s="425"/>
      <c r="BO221" s="425"/>
      <c r="BP221" s="425"/>
      <c r="BQ221" s="425"/>
      <c r="BR221" s="425"/>
      <c r="BS221" s="425"/>
      <c r="BT221" s="425"/>
      <c r="BU221" s="425"/>
      <c r="BV221" s="425"/>
      <c r="BW221" s="425"/>
      <c r="BX221" s="425"/>
      <c r="CI221" s="472"/>
      <c r="CJ221" s="467"/>
      <c r="CK221" s="328"/>
      <c r="CL221" s="328"/>
      <c r="CM221" s="328"/>
      <c r="CN221" s="328"/>
      <c r="CO221" s="328"/>
      <c r="CP221" s="328"/>
      <c r="CQ221" s="328"/>
      <c r="CR221" s="328"/>
      <c r="CS221" s="328"/>
      <c r="CT221" s="328"/>
      <c r="CU221" s="328"/>
      <c r="CV221" s="328"/>
      <c r="CW221" s="328"/>
      <c r="CX221" s="328"/>
      <c r="CY221" s="328"/>
      <c r="CZ221" s="328"/>
      <c r="DA221" s="328"/>
      <c r="DB221" s="328"/>
      <c r="DC221" s="328"/>
      <c r="DD221" s="328"/>
      <c r="DE221" s="328"/>
      <c r="DF221" s="328"/>
      <c r="DG221" s="328"/>
      <c r="DH221" s="328"/>
      <c r="DI221" s="328"/>
      <c r="DJ221" s="328"/>
      <c r="DK221" s="328"/>
    </row>
    <row r="222" spans="1:115" s="330" customFormat="1" ht="15.75" customHeight="1" x14ac:dyDescent="0.25">
      <c r="A222" s="312"/>
      <c r="B222" s="371"/>
      <c r="C222" s="371"/>
      <c r="D222" s="371"/>
      <c r="E222" s="371"/>
      <c r="F222" s="371"/>
      <c r="G222" s="371"/>
      <c r="H222" s="371"/>
      <c r="I222" s="371"/>
      <c r="J222" s="371"/>
      <c r="K222" s="371"/>
      <c r="L222" s="371"/>
      <c r="M222" s="371"/>
      <c r="N222" s="18"/>
      <c r="O222" s="328"/>
      <c r="P222" s="425"/>
      <c r="Q222" s="425"/>
      <c r="R222" s="425"/>
      <c r="S222" s="425"/>
      <c r="T222" s="425"/>
      <c r="U222" s="425"/>
      <c r="V222" s="425"/>
      <c r="W222" s="425"/>
      <c r="X222" s="425"/>
      <c r="Y222" s="425"/>
      <c r="Z222" s="425"/>
      <c r="AA222" s="425"/>
      <c r="AB222" s="425"/>
      <c r="AC222" s="425"/>
      <c r="AD222" s="425"/>
      <c r="AE222" s="425"/>
      <c r="AF222" s="425"/>
      <c r="AG222" s="425"/>
      <c r="AH222" s="425"/>
      <c r="AI222" s="425"/>
      <c r="AJ222" s="425"/>
      <c r="AK222" s="425"/>
      <c r="AL222" s="425"/>
      <c r="AM222" s="425"/>
      <c r="AN222" s="425"/>
      <c r="AO222" s="425"/>
      <c r="AP222" s="425"/>
      <c r="AQ222" s="425"/>
      <c r="AR222" s="425"/>
      <c r="AS222" s="425"/>
      <c r="AT222" s="425"/>
      <c r="AU222" s="425"/>
      <c r="AV222" s="425"/>
      <c r="AW222" s="425"/>
      <c r="AX222" s="425"/>
      <c r="AY222" s="425"/>
      <c r="AZ222" s="425"/>
      <c r="BA222" s="425"/>
      <c r="BB222" s="425"/>
      <c r="BC222" s="425"/>
      <c r="BD222" s="425"/>
      <c r="BE222" s="425"/>
      <c r="BF222" s="425"/>
      <c r="BG222" s="425"/>
      <c r="BH222" s="425"/>
      <c r="BI222" s="425"/>
      <c r="BJ222" s="425"/>
      <c r="BK222" s="425"/>
      <c r="BL222" s="1072"/>
      <c r="BM222" s="425"/>
      <c r="BN222" s="425"/>
      <c r="BO222" s="425"/>
      <c r="BP222" s="425"/>
      <c r="BQ222" s="425"/>
      <c r="BR222" s="425"/>
      <c r="BS222" s="425"/>
      <c r="BT222" s="425"/>
      <c r="BU222" s="425"/>
      <c r="BV222" s="425"/>
      <c r="BW222" s="425"/>
      <c r="BX222" s="425"/>
      <c r="CI222" s="472"/>
      <c r="CJ222" s="467"/>
      <c r="CK222" s="328"/>
      <c r="CL222" s="328"/>
      <c r="CM222" s="328"/>
      <c r="CN222" s="328"/>
      <c r="CO222" s="328"/>
      <c r="CP222" s="328"/>
      <c r="CQ222" s="328"/>
      <c r="CR222" s="328"/>
      <c r="CS222" s="328"/>
      <c r="CT222" s="328"/>
      <c r="CU222" s="328"/>
      <c r="CV222" s="328"/>
      <c r="CW222" s="328"/>
      <c r="CX222" s="328"/>
      <c r="CY222" s="328"/>
      <c r="CZ222" s="328"/>
      <c r="DA222" s="328"/>
      <c r="DB222" s="328"/>
      <c r="DC222" s="328"/>
      <c r="DD222" s="328"/>
      <c r="DE222" s="328"/>
      <c r="DF222" s="328"/>
      <c r="DG222" s="328"/>
      <c r="DH222" s="328"/>
      <c r="DI222" s="328"/>
      <c r="DJ222" s="328"/>
      <c r="DK222" s="328"/>
    </row>
    <row r="223" spans="1:115" s="330" customFormat="1" ht="15.75" customHeight="1" x14ac:dyDescent="0.25">
      <c r="A223" s="312"/>
      <c r="B223" s="371"/>
      <c r="C223" s="371"/>
      <c r="D223" s="371"/>
      <c r="E223" s="371"/>
      <c r="F223" s="371"/>
      <c r="G223" s="371"/>
      <c r="H223" s="371"/>
      <c r="I223" s="371"/>
      <c r="J223" s="371"/>
      <c r="K223" s="371"/>
      <c r="L223" s="371"/>
      <c r="M223" s="371"/>
      <c r="N223" s="18"/>
      <c r="O223" s="328"/>
      <c r="P223" s="425"/>
      <c r="Q223" s="425"/>
      <c r="R223" s="425"/>
      <c r="S223" s="425"/>
      <c r="T223" s="425"/>
      <c r="U223" s="425"/>
      <c r="V223" s="425"/>
      <c r="W223" s="425"/>
      <c r="X223" s="425"/>
      <c r="Y223" s="425"/>
      <c r="Z223" s="425"/>
      <c r="AA223" s="425"/>
      <c r="AB223" s="425"/>
      <c r="AC223" s="425"/>
      <c r="AD223" s="425"/>
      <c r="AE223" s="425"/>
      <c r="AF223" s="425"/>
      <c r="AG223" s="425"/>
      <c r="AH223" s="425"/>
      <c r="AI223" s="425"/>
      <c r="AJ223" s="425"/>
      <c r="AK223" s="425"/>
      <c r="AL223" s="425"/>
      <c r="AM223" s="425"/>
      <c r="AN223" s="425"/>
      <c r="AO223" s="425"/>
      <c r="AP223" s="425"/>
      <c r="AQ223" s="425"/>
      <c r="AR223" s="425"/>
      <c r="AS223" s="425"/>
      <c r="AT223" s="425"/>
      <c r="AU223" s="425"/>
      <c r="AV223" s="425"/>
      <c r="AW223" s="425"/>
      <c r="AX223" s="425"/>
      <c r="AY223" s="425"/>
      <c r="AZ223" s="425"/>
      <c r="BA223" s="425"/>
      <c r="BB223" s="425"/>
      <c r="BC223" s="425"/>
      <c r="BD223" s="425"/>
      <c r="BE223" s="425"/>
      <c r="BF223" s="425"/>
      <c r="BG223" s="425"/>
      <c r="BH223" s="425"/>
      <c r="BI223" s="425"/>
      <c r="BJ223" s="425"/>
      <c r="BK223" s="425"/>
      <c r="BL223" s="1072"/>
      <c r="BM223" s="425"/>
      <c r="BN223" s="425"/>
      <c r="BO223" s="425"/>
      <c r="BP223" s="425"/>
      <c r="BQ223" s="425"/>
      <c r="BR223" s="425"/>
      <c r="BS223" s="425"/>
      <c r="BT223" s="425"/>
      <c r="BU223" s="425"/>
      <c r="BV223" s="425"/>
      <c r="BW223" s="425"/>
      <c r="BX223" s="425"/>
      <c r="CI223" s="472"/>
      <c r="CJ223" s="467"/>
      <c r="CK223" s="328"/>
      <c r="CL223" s="328"/>
      <c r="CM223" s="328"/>
      <c r="CN223" s="328"/>
      <c r="CO223" s="328"/>
      <c r="CP223" s="328"/>
      <c r="CQ223" s="328"/>
      <c r="CR223" s="328"/>
      <c r="CS223" s="328"/>
      <c r="CT223" s="328"/>
      <c r="CU223" s="328"/>
      <c r="CV223" s="328"/>
      <c r="CW223" s="328"/>
      <c r="CX223" s="328"/>
      <c r="CY223" s="328"/>
      <c r="CZ223" s="328"/>
      <c r="DA223" s="328"/>
      <c r="DB223" s="328"/>
      <c r="DC223" s="328"/>
      <c r="DD223" s="328"/>
      <c r="DE223" s="328"/>
      <c r="DF223" s="328"/>
      <c r="DG223" s="328"/>
      <c r="DH223" s="328"/>
      <c r="DI223" s="328"/>
      <c r="DJ223" s="328"/>
      <c r="DK223" s="328"/>
    </row>
    <row r="224" spans="1:115" s="330" customFormat="1" ht="15.75" customHeight="1" x14ac:dyDescent="0.2">
      <c r="A224" s="4"/>
      <c r="B224" s="4"/>
      <c r="C224" s="4"/>
      <c r="D224" s="4"/>
      <c r="E224" s="4"/>
      <c r="F224" s="4"/>
      <c r="G224" s="4"/>
      <c r="H224" s="4"/>
      <c r="I224" s="4"/>
      <c r="J224" s="4"/>
      <c r="K224" s="4"/>
      <c r="L224" s="4"/>
      <c r="M224" s="4"/>
      <c r="N224" s="18"/>
      <c r="O224" s="328"/>
      <c r="P224" s="425"/>
      <c r="Q224" s="425"/>
      <c r="R224" s="425"/>
      <c r="S224" s="425"/>
      <c r="T224" s="425"/>
      <c r="U224" s="425"/>
      <c r="V224" s="425"/>
      <c r="W224" s="425"/>
      <c r="X224" s="425"/>
      <c r="Y224" s="425"/>
      <c r="Z224" s="425"/>
      <c r="AA224" s="425"/>
      <c r="AB224" s="425"/>
      <c r="AC224" s="425"/>
      <c r="AD224" s="425"/>
      <c r="AE224" s="425"/>
      <c r="AF224" s="425"/>
      <c r="AG224" s="425"/>
      <c r="AH224" s="425"/>
      <c r="AI224" s="425"/>
      <c r="AJ224" s="425"/>
      <c r="AK224" s="425"/>
      <c r="AL224" s="425"/>
      <c r="AM224" s="425"/>
      <c r="AN224" s="425"/>
      <c r="AO224" s="425"/>
      <c r="AP224" s="425"/>
      <c r="AQ224" s="425"/>
      <c r="AR224" s="425"/>
      <c r="AS224" s="425"/>
      <c r="AT224" s="425"/>
      <c r="AU224" s="425"/>
      <c r="AV224" s="425"/>
      <c r="AW224" s="425"/>
      <c r="AX224" s="425"/>
      <c r="AY224" s="425"/>
      <c r="AZ224" s="425"/>
      <c r="BA224" s="425"/>
      <c r="BB224" s="425"/>
      <c r="BC224" s="425"/>
      <c r="BD224" s="425"/>
      <c r="BE224" s="425"/>
      <c r="BF224" s="425"/>
      <c r="BG224" s="425"/>
      <c r="BH224" s="425"/>
      <c r="BI224" s="425"/>
      <c r="BJ224" s="425"/>
      <c r="BK224" s="425"/>
      <c r="BL224" s="1072"/>
      <c r="BM224" s="425"/>
      <c r="BN224" s="425"/>
      <c r="BO224" s="425"/>
      <c r="BP224" s="425"/>
      <c r="BQ224" s="425"/>
      <c r="BR224" s="425"/>
      <c r="BS224" s="425"/>
      <c r="BT224" s="425"/>
      <c r="BU224" s="425"/>
      <c r="BV224" s="425"/>
      <c r="BW224" s="425"/>
      <c r="BX224" s="425"/>
      <c r="CI224" s="472"/>
      <c r="CJ224" s="467"/>
      <c r="CK224" s="328"/>
      <c r="CL224" s="328"/>
      <c r="CM224" s="328"/>
      <c r="CN224" s="328"/>
      <c r="CO224" s="328"/>
      <c r="CP224" s="328"/>
      <c r="CQ224" s="328"/>
      <c r="CR224" s="328"/>
      <c r="CS224" s="328"/>
      <c r="CT224" s="328"/>
      <c r="CU224" s="328"/>
      <c r="CV224" s="328"/>
      <c r="CW224" s="328"/>
      <c r="CX224" s="328"/>
      <c r="CY224" s="328"/>
      <c r="CZ224" s="328"/>
      <c r="DA224" s="328"/>
      <c r="DB224" s="328"/>
      <c r="DC224" s="328"/>
      <c r="DD224" s="328"/>
      <c r="DE224" s="328"/>
      <c r="DF224" s="328"/>
      <c r="DG224" s="328"/>
      <c r="DH224" s="328"/>
      <c r="DI224" s="328"/>
      <c r="DJ224" s="328"/>
      <c r="DK224" s="328"/>
    </row>
    <row r="225" spans="1:115" s="330" customFormat="1" ht="15.75" customHeight="1" x14ac:dyDescent="0.25">
      <c r="A225" s="309"/>
      <c r="B225" s="371"/>
      <c r="C225" s="371"/>
      <c r="D225" s="371"/>
      <c r="E225" s="371"/>
      <c r="F225" s="371"/>
      <c r="G225" s="371"/>
      <c r="H225" s="371"/>
      <c r="I225" s="371"/>
      <c r="J225" s="371"/>
      <c r="K225" s="371"/>
      <c r="L225" s="371"/>
      <c r="M225" s="371"/>
      <c r="N225" s="18"/>
      <c r="O225" s="328"/>
      <c r="P225" s="425"/>
      <c r="Q225" s="425"/>
      <c r="R225" s="425"/>
      <c r="S225" s="425"/>
      <c r="T225" s="425"/>
      <c r="U225" s="425"/>
      <c r="V225" s="425"/>
      <c r="W225" s="425"/>
      <c r="X225" s="425"/>
      <c r="Y225" s="425"/>
      <c r="Z225" s="425"/>
      <c r="AA225" s="425"/>
      <c r="AB225" s="425"/>
      <c r="AC225" s="425"/>
      <c r="AD225" s="425"/>
      <c r="AE225" s="425"/>
      <c r="AF225" s="425"/>
      <c r="AG225" s="425"/>
      <c r="AH225" s="425"/>
      <c r="AI225" s="425"/>
      <c r="AJ225" s="425"/>
      <c r="AK225" s="425"/>
      <c r="AL225" s="425"/>
      <c r="AM225" s="425"/>
      <c r="AN225" s="425"/>
      <c r="AO225" s="425"/>
      <c r="AP225" s="425"/>
      <c r="AQ225" s="425"/>
      <c r="AR225" s="425"/>
      <c r="AS225" s="425"/>
      <c r="AT225" s="425"/>
      <c r="AU225" s="425"/>
      <c r="AV225" s="425"/>
      <c r="AW225" s="425"/>
      <c r="AX225" s="425"/>
      <c r="AY225" s="425"/>
      <c r="AZ225" s="425"/>
      <c r="BA225" s="425"/>
      <c r="BB225" s="425"/>
      <c r="BC225" s="425"/>
      <c r="BD225" s="425"/>
      <c r="BE225" s="425"/>
      <c r="BF225" s="425"/>
      <c r="BG225" s="425"/>
      <c r="BH225" s="425"/>
      <c r="BI225" s="425"/>
      <c r="BJ225" s="425"/>
      <c r="BK225" s="425"/>
      <c r="BL225" s="1072"/>
      <c r="BM225" s="425"/>
      <c r="BN225" s="425"/>
      <c r="BO225" s="425"/>
      <c r="BP225" s="425"/>
      <c r="BQ225" s="425"/>
      <c r="BR225" s="425"/>
      <c r="BS225" s="425"/>
      <c r="BT225" s="425"/>
      <c r="BU225" s="425"/>
      <c r="BV225" s="425"/>
      <c r="BW225" s="425"/>
      <c r="BX225" s="425"/>
      <c r="CI225" s="472"/>
      <c r="CJ225" s="467"/>
      <c r="CK225" s="328"/>
      <c r="CL225" s="328"/>
      <c r="CM225" s="328"/>
      <c r="CN225" s="328"/>
      <c r="CO225" s="328"/>
      <c r="CP225" s="328"/>
      <c r="CQ225" s="328"/>
      <c r="CR225" s="328"/>
      <c r="CS225" s="328"/>
      <c r="CT225" s="328"/>
      <c r="CU225" s="328"/>
      <c r="CV225" s="328"/>
      <c r="CW225" s="328"/>
      <c r="CX225" s="328"/>
      <c r="CY225" s="328"/>
      <c r="CZ225" s="328"/>
      <c r="DA225" s="328"/>
      <c r="DB225" s="328"/>
      <c r="DC225" s="328"/>
      <c r="DD225" s="328"/>
      <c r="DE225" s="328"/>
      <c r="DF225" s="328"/>
      <c r="DG225" s="328"/>
      <c r="DH225" s="328"/>
      <c r="DI225" s="328"/>
      <c r="DJ225" s="328"/>
      <c r="DK225" s="328"/>
    </row>
    <row r="226" spans="1:115" s="330" customFormat="1" ht="15.75" customHeight="1" x14ac:dyDescent="0.25">
      <c r="A226" s="309"/>
      <c r="B226" s="371"/>
      <c r="C226" s="371"/>
      <c r="D226" s="371"/>
      <c r="E226" s="371"/>
      <c r="F226" s="371"/>
      <c r="G226" s="371"/>
      <c r="H226" s="371"/>
      <c r="I226" s="371"/>
      <c r="J226" s="371"/>
      <c r="K226" s="371"/>
      <c r="L226" s="371"/>
      <c r="M226" s="371"/>
      <c r="N226" s="18"/>
      <c r="O226" s="328"/>
      <c r="P226" s="425"/>
      <c r="Q226" s="425"/>
      <c r="R226" s="425"/>
      <c r="S226" s="487" t="s">
        <v>281</v>
      </c>
      <c r="T226" s="487" t="s">
        <v>344</v>
      </c>
      <c r="U226" s="425"/>
      <c r="V226" s="425"/>
      <c r="W226" s="425"/>
      <c r="X226" s="425"/>
      <c r="Y226" s="425"/>
      <c r="Z226" s="425"/>
      <c r="AA226" s="425"/>
      <c r="AB226" s="425"/>
      <c r="AC226" s="425"/>
      <c r="AD226" s="425"/>
      <c r="AE226" s="425"/>
      <c r="AF226" s="425"/>
      <c r="AG226" s="425"/>
      <c r="AH226" s="425"/>
      <c r="AI226" s="425"/>
      <c r="AJ226" s="425"/>
      <c r="AK226" s="425"/>
      <c r="AL226" s="425"/>
      <c r="AM226" s="425"/>
      <c r="AN226" s="425"/>
      <c r="AO226" s="425"/>
      <c r="AP226" s="425"/>
      <c r="AQ226" s="425"/>
      <c r="AR226" s="425"/>
      <c r="AS226" s="425"/>
      <c r="AT226" s="425"/>
      <c r="AU226" s="425"/>
      <c r="AV226" s="425"/>
      <c r="AW226" s="425"/>
      <c r="AX226" s="425"/>
      <c r="AY226" s="425"/>
      <c r="AZ226" s="425"/>
      <c r="BA226" s="425"/>
      <c r="BB226" s="425"/>
      <c r="BC226" s="425"/>
      <c r="BD226" s="425"/>
      <c r="BE226" s="425"/>
      <c r="BF226" s="425"/>
      <c r="BG226" s="425"/>
      <c r="BH226" s="425"/>
      <c r="BI226" s="425"/>
      <c r="BJ226" s="425"/>
      <c r="BK226" s="425"/>
      <c r="BL226" s="1072"/>
      <c r="BM226" s="425"/>
      <c r="BN226" s="425"/>
      <c r="BO226" s="425"/>
      <c r="BP226" s="425"/>
      <c r="BQ226" s="425"/>
      <c r="BR226" s="425"/>
      <c r="BS226" s="425"/>
      <c r="BT226" s="425"/>
      <c r="BU226" s="425"/>
      <c r="BV226" s="425"/>
      <c r="BW226" s="425"/>
      <c r="BX226" s="425"/>
      <c r="CI226" s="472"/>
      <c r="CJ226" s="467"/>
      <c r="CK226" s="328"/>
      <c r="CL226" s="328"/>
      <c r="CM226" s="328"/>
      <c r="CN226" s="328"/>
      <c r="CO226" s="328"/>
      <c r="CP226" s="328"/>
      <c r="CQ226" s="328"/>
      <c r="CR226" s="328"/>
      <c r="CS226" s="328"/>
      <c r="CT226" s="328"/>
      <c r="CU226" s="328"/>
      <c r="CV226" s="328"/>
      <c r="CW226" s="328"/>
      <c r="CX226" s="328"/>
      <c r="CY226" s="328"/>
      <c r="CZ226" s="328"/>
      <c r="DA226" s="328"/>
      <c r="DB226" s="328"/>
      <c r="DC226" s="328"/>
      <c r="DD226" s="328"/>
      <c r="DE226" s="328"/>
      <c r="DF226" s="328"/>
      <c r="DG226" s="328"/>
      <c r="DH226" s="328"/>
      <c r="DI226" s="328"/>
      <c r="DJ226" s="328"/>
      <c r="DK226" s="328"/>
    </row>
    <row r="227" spans="1:115" s="330" customFormat="1" ht="15.75" customHeight="1" x14ac:dyDescent="0.25">
      <c r="A227" s="2386" t="s">
        <v>8426</v>
      </c>
      <c r="B227" s="2387"/>
      <c r="C227" s="2387"/>
      <c r="D227" s="2387"/>
      <c r="E227" s="2387"/>
      <c r="F227" s="2387"/>
      <c r="G227" s="2387"/>
      <c r="H227" s="2387"/>
      <c r="I227" s="2387"/>
      <c r="J227" s="2387"/>
      <c r="K227" s="2387"/>
      <c r="L227" s="2387"/>
      <c r="M227" s="2387"/>
      <c r="N227" s="18"/>
      <c r="O227" s="1097"/>
      <c r="P227" s="2173"/>
      <c r="Q227" s="2173"/>
      <c r="R227" s="2173"/>
      <c r="S227" s="487"/>
      <c r="T227" s="487"/>
      <c r="U227" s="2173"/>
      <c r="V227" s="2173"/>
      <c r="W227" s="2173"/>
      <c r="X227" s="2173"/>
      <c r="Y227" s="2173"/>
      <c r="Z227" s="2173"/>
      <c r="AA227" s="2173"/>
      <c r="AB227" s="2173"/>
      <c r="AC227" s="2173"/>
      <c r="AD227" s="2173"/>
      <c r="AE227" s="2173"/>
      <c r="AF227" s="2173"/>
      <c r="AG227" s="2173"/>
      <c r="AH227" s="2173"/>
      <c r="AI227" s="2173"/>
      <c r="AJ227" s="2173"/>
      <c r="AK227" s="2173"/>
      <c r="AL227" s="2173"/>
      <c r="AM227" s="2173"/>
      <c r="AN227" s="2173"/>
      <c r="AO227" s="2173"/>
      <c r="AP227" s="2173"/>
      <c r="AQ227" s="2173"/>
      <c r="AR227" s="2173"/>
      <c r="AS227" s="2173"/>
      <c r="AT227" s="2173"/>
      <c r="AU227" s="2173"/>
      <c r="AV227" s="2173"/>
      <c r="AW227" s="2173"/>
      <c r="AX227" s="2173"/>
      <c r="AY227" s="2173"/>
      <c r="AZ227" s="2173"/>
      <c r="BA227" s="2173"/>
      <c r="BB227" s="2173"/>
      <c r="BC227" s="2173"/>
      <c r="BD227" s="2173"/>
      <c r="BE227" s="2173"/>
      <c r="BF227" s="2173"/>
      <c r="BG227" s="2173"/>
      <c r="BH227" s="2173"/>
      <c r="BI227" s="2173"/>
      <c r="BJ227" s="2173"/>
      <c r="BK227" s="2173"/>
      <c r="BL227" s="2173"/>
      <c r="BM227" s="2173"/>
      <c r="BN227" s="2173"/>
      <c r="BO227" s="2173"/>
      <c r="BP227" s="2173"/>
      <c r="BQ227" s="2173"/>
      <c r="BR227" s="2173"/>
      <c r="BS227" s="2173"/>
      <c r="BT227" s="2173"/>
      <c r="BU227" s="2173"/>
      <c r="BV227" s="2173"/>
      <c r="BW227" s="2173"/>
      <c r="BX227" s="2173"/>
      <c r="CI227" s="472"/>
      <c r="CJ227" s="467"/>
      <c r="CK227" s="1097"/>
      <c r="CL227" s="1097"/>
      <c r="CM227" s="1097"/>
      <c r="CN227" s="1097"/>
      <c r="CO227" s="1097"/>
      <c r="CP227" s="1097"/>
      <c r="CQ227" s="1097"/>
      <c r="CR227" s="1097"/>
      <c r="CS227" s="1097"/>
      <c r="CT227" s="1097"/>
      <c r="CU227" s="1097"/>
      <c r="CV227" s="1097"/>
      <c r="CW227" s="1097"/>
      <c r="CX227" s="1097"/>
      <c r="CY227" s="1097"/>
      <c r="CZ227" s="1097"/>
      <c r="DA227" s="1097"/>
      <c r="DB227" s="1097"/>
      <c r="DC227" s="1097"/>
      <c r="DD227" s="1097"/>
      <c r="DE227" s="1097"/>
      <c r="DF227" s="1097"/>
      <c r="DG227" s="1097"/>
      <c r="DH227" s="1097"/>
      <c r="DI227" s="1097"/>
      <c r="DJ227" s="1097"/>
      <c r="DK227" s="1097"/>
    </row>
    <row r="228" spans="1:115" s="330" customFormat="1" ht="8.25" customHeight="1" thickBot="1" x14ac:dyDescent="0.3">
      <c r="A228" s="309"/>
      <c r="B228" s="371"/>
      <c r="C228" s="371"/>
      <c r="D228" s="371"/>
      <c r="E228" s="371"/>
      <c r="F228" s="371"/>
      <c r="G228" s="371"/>
      <c r="H228" s="371"/>
      <c r="I228" s="371"/>
      <c r="J228" s="371"/>
      <c r="K228" s="371"/>
      <c r="L228" s="371"/>
      <c r="M228" s="371"/>
      <c r="N228" s="18"/>
      <c r="O228" s="1097"/>
      <c r="P228" s="2173"/>
      <c r="Q228" s="2173"/>
      <c r="R228" s="2173"/>
      <c r="S228" s="487"/>
      <c r="T228" s="487"/>
      <c r="U228" s="2173"/>
      <c r="V228" s="2173"/>
      <c r="W228" s="2173"/>
      <c r="X228" s="2173"/>
      <c r="Y228" s="2173"/>
      <c r="Z228" s="2173"/>
      <c r="AA228" s="2173"/>
      <c r="AB228" s="2173"/>
      <c r="AC228" s="2173"/>
      <c r="AD228" s="2173"/>
      <c r="AE228" s="2173"/>
      <c r="AF228" s="2173"/>
      <c r="AG228" s="2173"/>
      <c r="AH228" s="2173"/>
      <c r="AI228" s="2173"/>
      <c r="AJ228" s="2173"/>
      <c r="AK228" s="2173"/>
      <c r="AL228" s="2173"/>
      <c r="AM228" s="2173"/>
      <c r="AN228" s="2173"/>
      <c r="AO228" s="2173"/>
      <c r="AP228" s="2173"/>
      <c r="AQ228" s="2173"/>
      <c r="AR228" s="2173"/>
      <c r="AS228" s="2173"/>
      <c r="AT228" s="2173"/>
      <c r="AU228" s="2173"/>
      <c r="AV228" s="2173"/>
      <c r="AW228" s="2173"/>
      <c r="AX228" s="2173"/>
      <c r="AY228" s="2173"/>
      <c r="AZ228" s="2173"/>
      <c r="BA228" s="2173"/>
      <c r="BB228" s="2173"/>
      <c r="BC228" s="2173"/>
      <c r="BD228" s="2173"/>
      <c r="BE228" s="2173"/>
      <c r="BF228" s="2173"/>
      <c r="BG228" s="2173"/>
      <c r="BH228" s="2173"/>
      <c r="BI228" s="2173"/>
      <c r="BJ228" s="2173"/>
      <c r="BK228" s="2173"/>
      <c r="BL228" s="2173"/>
      <c r="BM228" s="2173"/>
      <c r="BN228" s="2173"/>
      <c r="BO228" s="2173"/>
      <c r="BP228" s="2173"/>
      <c r="BQ228" s="2173"/>
      <c r="BR228" s="2173"/>
      <c r="BS228" s="2173"/>
      <c r="BT228" s="2173"/>
      <c r="BU228" s="2173"/>
      <c r="BV228" s="2173"/>
      <c r="BW228" s="2173"/>
      <c r="BX228" s="2173"/>
      <c r="CI228" s="472"/>
      <c r="CJ228" s="467"/>
      <c r="CK228" s="1097"/>
      <c r="CL228" s="1097"/>
      <c r="CM228" s="1097"/>
      <c r="CN228" s="1097"/>
      <c r="CO228" s="1097"/>
      <c r="CP228" s="1097"/>
      <c r="CQ228" s="1097"/>
      <c r="CR228" s="1097"/>
      <c r="CS228" s="1097"/>
      <c r="CT228" s="1097"/>
      <c r="CU228" s="1097"/>
      <c r="CV228" s="1097"/>
      <c r="CW228" s="1097"/>
      <c r="CX228" s="1097"/>
      <c r="CY228" s="1097"/>
      <c r="CZ228" s="1097"/>
      <c r="DA228" s="1097"/>
      <c r="DB228" s="1097"/>
      <c r="DC228" s="1097"/>
      <c r="DD228" s="1097"/>
      <c r="DE228" s="1097"/>
      <c r="DF228" s="1097"/>
      <c r="DG228" s="1097"/>
      <c r="DH228" s="1097"/>
      <c r="DI228" s="1097"/>
      <c r="DJ228" s="1097"/>
      <c r="DK228" s="1097"/>
    </row>
    <row r="229" spans="1:115" s="363" customFormat="1" ht="15.75" customHeight="1" x14ac:dyDescent="0.2">
      <c r="A229" s="1064" t="s">
        <v>324</v>
      </c>
      <c r="B229" s="1058">
        <f>P229</f>
        <v>0</v>
      </c>
      <c r="C229" s="572"/>
      <c r="D229" s="2425" t="s">
        <v>324</v>
      </c>
      <c r="E229" s="2426"/>
      <c r="F229" s="399">
        <f>+Q229</f>
        <v>0</v>
      </c>
      <c r="H229" s="2559" t="s">
        <v>325</v>
      </c>
      <c r="I229" s="2560"/>
      <c r="J229" s="2560"/>
      <c r="K229" s="2540" t="str">
        <f>+S229</f>
        <v>0</v>
      </c>
      <c r="L229" s="2540"/>
      <c r="M229" s="2541"/>
      <c r="N229" s="18"/>
      <c r="O229" s="328"/>
      <c r="P229" s="488">
        <f>B205*D214/100</f>
        <v>0</v>
      </c>
      <c r="Q229" s="489">
        <f>B205-B229-K229</f>
        <v>0</v>
      </c>
      <c r="R229" s="490"/>
      <c r="S229" s="489" t="str">
        <f>IF(F230+K230=0,"0",B205*E214/100*((D205-F230)/(K230-F230)))</f>
        <v>0</v>
      </c>
      <c r="T229" s="491">
        <f>S229*(1/0.9)</f>
        <v>0</v>
      </c>
      <c r="U229" s="425"/>
      <c r="V229" s="425"/>
      <c r="W229" s="425"/>
      <c r="X229" s="2973">
        <v>9979.7641509433961</v>
      </c>
      <c r="Y229" s="2973"/>
      <c r="Z229" s="2973"/>
      <c r="AA229" s="425"/>
      <c r="AB229" s="425"/>
      <c r="AC229" s="425"/>
      <c r="AD229" s="425"/>
      <c r="AE229" s="425"/>
      <c r="AF229" s="425"/>
      <c r="AG229" s="425"/>
      <c r="AH229" s="425"/>
      <c r="AI229" s="425"/>
      <c r="AJ229" s="425"/>
      <c r="AK229" s="425"/>
      <c r="AL229" s="425"/>
      <c r="AM229" s="425"/>
      <c r="AN229" s="425"/>
      <c r="AO229" s="425"/>
      <c r="AP229" s="425"/>
      <c r="AQ229" s="425"/>
      <c r="AR229" s="425"/>
      <c r="AS229" s="425"/>
      <c r="AT229" s="425"/>
      <c r="AU229" s="425"/>
      <c r="AV229" s="425"/>
      <c r="AW229" s="425"/>
      <c r="AX229" s="425"/>
      <c r="AY229" s="425"/>
      <c r="AZ229" s="425"/>
      <c r="BA229" s="425"/>
      <c r="BB229" s="425"/>
      <c r="BC229" s="425"/>
      <c r="BD229" s="425"/>
      <c r="BE229" s="425"/>
      <c r="BF229" s="425"/>
      <c r="BG229" s="425"/>
      <c r="BH229" s="425"/>
      <c r="BI229" s="425"/>
      <c r="BJ229" s="425"/>
      <c r="BK229" s="425"/>
      <c r="BL229" s="1072"/>
      <c r="BM229" s="425"/>
      <c r="BN229" s="425"/>
      <c r="BO229" s="425"/>
      <c r="BP229" s="425"/>
      <c r="BQ229" s="425"/>
      <c r="BR229" s="425"/>
      <c r="BS229" s="425"/>
      <c r="BT229" s="425"/>
      <c r="BU229" s="425"/>
      <c r="BV229" s="425"/>
      <c r="BW229" s="425"/>
      <c r="BX229" s="425"/>
      <c r="CI229" s="471">
        <f>+AI298</f>
        <v>0</v>
      </c>
      <c r="CJ229" s="492">
        <f>IF(T229=" ",0,CI229*T229)</f>
        <v>0</v>
      </c>
      <c r="CK229" s="328"/>
      <c r="CL229" s="328"/>
      <c r="CM229" s="328"/>
      <c r="CN229" s="328"/>
      <c r="CO229" s="328"/>
      <c r="CP229" s="328"/>
      <c r="CQ229" s="328"/>
      <c r="CR229" s="328"/>
      <c r="CS229" s="328"/>
      <c r="CT229" s="328"/>
      <c r="CU229" s="328"/>
      <c r="CV229" s="328"/>
      <c r="CW229" s="328"/>
      <c r="CX229" s="328"/>
      <c r="CY229" s="328"/>
      <c r="CZ229" s="328"/>
      <c r="DA229" s="328"/>
      <c r="DB229" s="328"/>
      <c r="DC229" s="328"/>
      <c r="DD229" s="328"/>
      <c r="DE229" s="328"/>
      <c r="DF229" s="328"/>
      <c r="DG229" s="328"/>
      <c r="DH229" s="328"/>
      <c r="DI229" s="328"/>
      <c r="DJ229" s="328"/>
      <c r="DK229" s="328"/>
    </row>
    <row r="230" spans="1:115" s="363" customFormat="1" ht="15.75" customHeight="1" x14ac:dyDescent="0.2">
      <c r="A230" s="1059" t="s">
        <v>326</v>
      </c>
      <c r="B230" s="1060" t="str">
        <f>IF(B229=0,"",D205)</f>
        <v/>
      </c>
      <c r="C230" s="582"/>
      <c r="D230" s="2696" t="s">
        <v>326</v>
      </c>
      <c r="E230" s="2697"/>
      <c r="F230" s="1063"/>
      <c r="H230" s="2561" t="s">
        <v>326</v>
      </c>
      <c r="I230" s="2562"/>
      <c r="J230" s="2562"/>
      <c r="K230" s="2542"/>
      <c r="L230" s="2542"/>
      <c r="M230" s="2543"/>
      <c r="N230" s="18"/>
      <c r="O230" s="328"/>
      <c r="P230" s="425"/>
      <c r="Q230" s="425"/>
      <c r="R230" s="425"/>
      <c r="S230" s="425"/>
      <c r="T230" s="425"/>
      <c r="U230" s="425"/>
      <c r="V230" s="425"/>
      <c r="W230" s="425"/>
      <c r="X230" s="425"/>
      <c r="Y230" s="425"/>
      <c r="Z230" s="425"/>
      <c r="AA230" s="425"/>
      <c r="AB230" s="425"/>
      <c r="AC230" s="425"/>
      <c r="AD230" s="425"/>
      <c r="AE230" s="425"/>
      <c r="AF230" s="425"/>
      <c r="AG230" s="425"/>
      <c r="AH230" s="425"/>
      <c r="AI230" s="425"/>
      <c r="AJ230" s="425"/>
      <c r="AK230" s="425"/>
      <c r="AL230" s="425"/>
      <c r="AM230" s="425"/>
      <c r="AN230" s="425"/>
      <c r="AO230" s="425"/>
      <c r="AP230" s="425"/>
      <c r="AQ230" s="425"/>
      <c r="AR230" s="425"/>
      <c r="AS230" s="425"/>
      <c r="AT230" s="425"/>
      <c r="AU230" s="425"/>
      <c r="AV230" s="425"/>
      <c r="AW230" s="425"/>
      <c r="AX230" s="425"/>
      <c r="AY230" s="425"/>
      <c r="AZ230" s="425"/>
      <c r="BA230" s="425"/>
      <c r="BB230" s="425"/>
      <c r="BC230" s="425"/>
      <c r="BD230" s="425"/>
      <c r="BE230" s="425"/>
      <c r="BF230" s="425"/>
      <c r="BG230" s="425"/>
      <c r="BH230" s="425"/>
      <c r="BI230" s="425"/>
      <c r="BJ230" s="425"/>
      <c r="BK230" s="425"/>
      <c r="BL230" s="1072"/>
      <c r="BM230" s="425"/>
      <c r="BN230" s="425"/>
      <c r="BO230" s="425"/>
      <c r="BP230" s="425"/>
      <c r="BQ230" s="425"/>
      <c r="BR230" s="425"/>
      <c r="BS230" s="425"/>
      <c r="BT230" s="425"/>
      <c r="BU230" s="425"/>
      <c r="BV230" s="425"/>
      <c r="BW230" s="425"/>
      <c r="BX230" s="425"/>
      <c r="CI230" s="472"/>
      <c r="CJ230" s="486"/>
      <c r="CK230" s="328"/>
      <c r="CL230" s="328"/>
      <c r="CM230" s="328"/>
      <c r="CN230" s="328"/>
      <c r="CO230" s="328"/>
      <c r="CP230" s="328"/>
      <c r="CQ230" s="328"/>
      <c r="CR230" s="328"/>
      <c r="CS230" s="328"/>
      <c r="CT230" s="328"/>
      <c r="CU230" s="328"/>
      <c r="CV230" s="328"/>
      <c r="CW230" s="328"/>
      <c r="CX230" s="328"/>
      <c r="CY230" s="328"/>
      <c r="CZ230" s="328"/>
      <c r="DA230" s="328"/>
      <c r="DB230" s="328"/>
      <c r="DC230" s="328"/>
      <c r="DD230" s="328"/>
      <c r="DE230" s="328"/>
      <c r="DF230" s="328"/>
      <c r="DG230" s="328"/>
      <c r="DH230" s="328"/>
      <c r="DI230" s="328"/>
      <c r="DJ230" s="328"/>
      <c r="DK230" s="328"/>
    </row>
    <row r="231" spans="1:115" s="363" customFormat="1" ht="15.75" customHeight="1" x14ac:dyDescent="0.2">
      <c r="A231" s="1059" t="s">
        <v>4</v>
      </c>
      <c r="B231" s="1093" t="str">
        <f>IF(B229=0,"",E205)</f>
        <v/>
      </c>
      <c r="C231" s="364"/>
      <c r="D231" s="2437" t="s">
        <v>4</v>
      </c>
      <c r="E231" s="2438"/>
      <c r="F231" s="1091" t="str">
        <f>IF(OR($F$229=0,$F$230=""),"",Z215)</f>
        <v/>
      </c>
      <c r="H231" s="2553" t="s">
        <v>4</v>
      </c>
      <c r="I231" s="2554"/>
      <c r="J231" s="2554"/>
      <c r="K231" s="2405" t="str">
        <f>IF(OR($K$229=0,$K$229="0",$K$230=""),"",AA215)</f>
        <v/>
      </c>
      <c r="L231" s="2405"/>
      <c r="M231" s="2406"/>
      <c r="N231" s="18"/>
      <c r="O231" s="328"/>
      <c r="P231" s="425"/>
      <c r="Q231" s="425"/>
      <c r="R231" s="425"/>
      <c r="S231" s="425"/>
      <c r="T231" s="425"/>
      <c r="U231" s="425"/>
      <c r="V231" s="425"/>
      <c r="W231" s="425"/>
      <c r="X231" s="425"/>
      <c r="Y231" s="425">
        <v>4.7596315184973363</v>
      </c>
      <c r="Z231" s="425"/>
      <c r="AA231" s="425"/>
      <c r="AB231" s="425"/>
      <c r="AC231" s="425"/>
      <c r="AD231" s="425"/>
      <c r="AE231" s="425"/>
      <c r="AF231" s="425"/>
      <c r="AG231" s="425"/>
      <c r="AH231" s="425"/>
      <c r="AI231" s="425"/>
      <c r="AJ231" s="425"/>
      <c r="AK231" s="425"/>
      <c r="AL231" s="425"/>
      <c r="AM231" s="425"/>
      <c r="AN231" s="425"/>
      <c r="AO231" s="425"/>
      <c r="AP231" s="425"/>
      <c r="AQ231" s="425"/>
      <c r="AR231" s="425"/>
      <c r="AS231" s="425"/>
      <c r="AT231" s="425"/>
      <c r="AU231" s="425"/>
      <c r="AV231" s="425"/>
      <c r="AW231" s="425"/>
      <c r="AX231" s="425"/>
      <c r="AY231" s="425"/>
      <c r="AZ231" s="425"/>
      <c r="BA231" s="425"/>
      <c r="BB231" s="425"/>
      <c r="BC231" s="425"/>
      <c r="BD231" s="425"/>
      <c r="BE231" s="425"/>
      <c r="BF231" s="425"/>
      <c r="BG231" s="425"/>
      <c r="BH231" s="425"/>
      <c r="BI231" s="425"/>
      <c r="BJ231" s="425"/>
      <c r="BK231" s="425"/>
      <c r="BL231" s="1072"/>
      <c r="BM231" s="425"/>
      <c r="BN231" s="425"/>
      <c r="BO231" s="425"/>
      <c r="BP231" s="425"/>
      <c r="BQ231" s="425"/>
      <c r="BR231" s="425"/>
      <c r="BS231" s="425"/>
      <c r="BT231" s="425"/>
      <c r="BU231" s="425"/>
      <c r="BV231" s="425"/>
      <c r="BW231" s="425"/>
      <c r="BX231" s="425"/>
      <c r="CI231" s="472"/>
      <c r="CJ231" s="467"/>
      <c r="CK231" s="328"/>
      <c r="CL231" s="328"/>
      <c r="CM231" s="328"/>
      <c r="CN231" s="328"/>
      <c r="CO231" s="328"/>
      <c r="CP231" s="328"/>
      <c r="CQ231" s="328"/>
      <c r="CR231" s="328"/>
      <c r="CS231" s="328"/>
      <c r="CT231" s="328"/>
      <c r="CU231" s="328"/>
      <c r="CV231" s="328"/>
      <c r="CW231" s="328"/>
      <c r="CX231" s="328"/>
      <c r="CY231" s="328"/>
      <c r="CZ231" s="328"/>
      <c r="DA231" s="328"/>
      <c r="DB231" s="328"/>
      <c r="DC231" s="328"/>
      <c r="DD231" s="328"/>
      <c r="DE231" s="328"/>
      <c r="DF231" s="328"/>
      <c r="DG231" s="328"/>
      <c r="DH231" s="328"/>
      <c r="DI231" s="328"/>
      <c r="DJ231" s="328"/>
      <c r="DK231" s="328"/>
    </row>
    <row r="232" spans="1:115" s="363" customFormat="1" ht="15.75" customHeight="1" x14ac:dyDescent="0.2">
      <c r="A232" s="1059" t="s">
        <v>1039</v>
      </c>
      <c r="B232" s="1091" t="str">
        <f>IF(B229=0,"",F205)</f>
        <v/>
      </c>
      <c r="C232" s="364"/>
      <c r="D232" s="2437" t="s">
        <v>1039</v>
      </c>
      <c r="E232" s="2438"/>
      <c r="F232" s="1091" t="str">
        <f>IF(OR($F$229=0,$F$230=""),"",Z216)</f>
        <v/>
      </c>
      <c r="H232" s="2553" t="s">
        <v>1039</v>
      </c>
      <c r="I232" s="2554"/>
      <c r="J232" s="2554"/>
      <c r="K232" s="2405" t="str">
        <f>IF(OR($K$229=0,$K$229="0",$K$230=""),"",AA216)</f>
        <v/>
      </c>
      <c r="L232" s="2405"/>
      <c r="M232" s="2406"/>
      <c r="N232" s="18"/>
      <c r="O232" s="328"/>
      <c r="P232" s="425"/>
      <c r="Q232" s="425"/>
      <c r="R232" s="425"/>
      <c r="S232" s="425"/>
      <c r="T232" s="425"/>
      <c r="U232" s="425"/>
      <c r="V232" s="425"/>
      <c r="W232" s="425"/>
      <c r="X232" s="425"/>
      <c r="Y232" s="425"/>
      <c r="Z232" s="425"/>
      <c r="AA232" s="425"/>
      <c r="AB232" s="425"/>
      <c r="AC232" s="425"/>
      <c r="AD232" s="425"/>
      <c r="AE232" s="425"/>
      <c r="AF232" s="425"/>
      <c r="AG232" s="425"/>
      <c r="AH232" s="425"/>
      <c r="AI232" s="425"/>
      <c r="AJ232" s="425"/>
      <c r="AK232" s="425"/>
      <c r="AL232" s="425"/>
      <c r="AM232" s="425"/>
      <c r="AN232" s="425"/>
      <c r="AO232" s="425"/>
      <c r="AP232" s="425"/>
      <c r="AQ232" s="425"/>
      <c r="AR232" s="425"/>
      <c r="AS232" s="425"/>
      <c r="AT232" s="425"/>
      <c r="AU232" s="425"/>
      <c r="AV232" s="425"/>
      <c r="AW232" s="425"/>
      <c r="AX232" s="425"/>
      <c r="AY232" s="425"/>
      <c r="AZ232" s="425"/>
      <c r="BA232" s="425"/>
      <c r="BB232" s="425"/>
      <c r="BC232" s="425"/>
      <c r="BD232" s="425"/>
      <c r="BE232" s="425"/>
      <c r="BF232" s="425"/>
      <c r="BG232" s="425"/>
      <c r="BH232" s="425"/>
      <c r="BI232" s="425"/>
      <c r="BJ232" s="425"/>
      <c r="BK232" s="425"/>
      <c r="BL232" s="1072"/>
      <c r="BM232" s="425"/>
      <c r="BN232" s="425"/>
      <c r="BO232" s="425"/>
      <c r="BP232" s="425"/>
      <c r="BQ232" s="425"/>
      <c r="BR232" s="425"/>
      <c r="BS232" s="425"/>
      <c r="BT232" s="425"/>
      <c r="BU232" s="425"/>
      <c r="BV232" s="425"/>
      <c r="BW232" s="425"/>
      <c r="BX232" s="425"/>
      <c r="CI232" s="472"/>
      <c r="CJ232" s="467"/>
      <c r="CK232" s="328"/>
      <c r="CL232" s="328"/>
      <c r="CM232" s="328"/>
      <c r="CN232" s="328"/>
      <c r="CO232" s="328"/>
      <c r="CP232" s="328"/>
      <c r="CQ232" s="328"/>
      <c r="CR232" s="328"/>
      <c r="CS232" s="328"/>
      <c r="CT232" s="328"/>
      <c r="CU232" s="328"/>
      <c r="CV232" s="328"/>
      <c r="CW232" s="328"/>
      <c r="CX232" s="328"/>
      <c r="CY232" s="328"/>
      <c r="CZ232" s="328"/>
      <c r="DA232" s="328"/>
      <c r="DB232" s="328"/>
      <c r="DC232" s="328"/>
      <c r="DD232" s="328"/>
      <c r="DE232" s="328"/>
      <c r="DF232" s="328"/>
      <c r="DG232" s="328"/>
      <c r="DH232" s="328"/>
      <c r="DI232" s="328"/>
      <c r="DJ232" s="328"/>
      <c r="DK232" s="328"/>
    </row>
    <row r="233" spans="1:115" s="365" customFormat="1" ht="15.75" x14ac:dyDescent="0.2">
      <c r="A233" s="1061" t="s">
        <v>352</v>
      </c>
      <c r="B233" s="1093" t="str">
        <f>IF(B229=0,"",G205)</f>
        <v/>
      </c>
      <c r="D233" s="2439" t="s">
        <v>352</v>
      </c>
      <c r="E233" s="2440"/>
      <c r="F233" s="1091" t="str">
        <f>IF(OR($F$229=0,$F$230=""),"",Z217)</f>
        <v/>
      </c>
      <c r="H233" s="2555" t="s">
        <v>352</v>
      </c>
      <c r="I233" s="2556"/>
      <c r="J233" s="2556"/>
      <c r="K233" s="2405" t="str">
        <f>IF(OR($K$229=0,$K$229="0",$K$230=""),"",AA217)</f>
        <v/>
      </c>
      <c r="L233" s="2405"/>
      <c r="M233" s="2406"/>
      <c r="N233" s="9"/>
      <c r="P233" s="412"/>
      <c r="Q233" s="412"/>
      <c r="R233" s="412"/>
      <c r="S233" s="412"/>
      <c r="T233" s="412"/>
      <c r="U233" s="412"/>
      <c r="V233" s="412"/>
      <c r="W233" s="412"/>
      <c r="X233" s="412"/>
      <c r="Y233" s="412"/>
      <c r="Z233" s="412"/>
      <c r="AA233" s="412"/>
      <c r="AB233" s="412"/>
      <c r="AC233" s="412"/>
      <c r="AD233" s="412"/>
      <c r="AE233" s="412"/>
      <c r="AF233" s="412"/>
      <c r="AG233" s="412"/>
      <c r="AH233" s="412"/>
      <c r="AI233" s="412"/>
      <c r="AJ233" s="412"/>
      <c r="AK233" s="412"/>
      <c r="AL233" s="412"/>
      <c r="AM233" s="412"/>
      <c r="AN233" s="412"/>
      <c r="AO233" s="412"/>
      <c r="AP233" s="412"/>
      <c r="AQ233" s="412"/>
      <c r="AR233" s="412"/>
      <c r="AS233" s="412"/>
      <c r="AT233" s="412"/>
      <c r="AU233" s="412"/>
      <c r="AV233" s="412"/>
      <c r="AW233" s="412"/>
      <c r="AX233" s="412"/>
      <c r="AY233" s="412"/>
      <c r="AZ233" s="412"/>
      <c r="BA233" s="412"/>
      <c r="BB233" s="412"/>
      <c r="BC233" s="412"/>
      <c r="BD233" s="412"/>
      <c r="BE233" s="412"/>
      <c r="BF233" s="412"/>
      <c r="BG233" s="412"/>
      <c r="BH233" s="412"/>
      <c r="BI233" s="412"/>
      <c r="BJ233" s="412"/>
      <c r="BK233" s="412"/>
      <c r="BL233" s="412"/>
      <c r="BM233" s="412"/>
      <c r="BN233" s="412"/>
      <c r="BO233" s="412"/>
      <c r="BP233" s="412"/>
      <c r="BQ233" s="412"/>
      <c r="BR233" s="412"/>
      <c r="BS233" s="412"/>
      <c r="BT233" s="412"/>
      <c r="BU233" s="412"/>
      <c r="BV233" s="412"/>
      <c r="BW233" s="412"/>
      <c r="BX233" s="412"/>
      <c r="CI233" s="493"/>
      <c r="CJ233" s="467"/>
    </row>
    <row r="234" spans="1:115" s="365" customFormat="1" ht="16.5" thickBot="1" x14ac:dyDescent="0.25">
      <c r="A234" s="1062" t="s">
        <v>353</v>
      </c>
      <c r="B234" s="1094" t="str">
        <f>IF(B229=0,"",H205)</f>
        <v/>
      </c>
      <c r="D234" s="2435" t="s">
        <v>353</v>
      </c>
      <c r="E234" s="2436"/>
      <c r="F234" s="1092" t="str">
        <f>IF(OR($F$229=0,$F$230=""),"",Z218)</f>
        <v/>
      </c>
      <c r="H234" s="2557" t="s">
        <v>353</v>
      </c>
      <c r="I234" s="2558"/>
      <c r="J234" s="2558"/>
      <c r="K234" s="2407" t="str">
        <f>IF(OR($K$229=0,$K$229="0",$K$230=""),"",AA218)</f>
        <v/>
      </c>
      <c r="L234" s="2407"/>
      <c r="M234" s="2408"/>
      <c r="N234" s="9"/>
      <c r="P234" s="412"/>
      <c r="Q234" s="412"/>
      <c r="R234" s="412"/>
      <c r="S234" s="412"/>
      <c r="T234" s="412"/>
      <c r="U234" s="412"/>
      <c r="V234" s="425"/>
      <c r="W234" s="425"/>
      <c r="X234" s="412"/>
      <c r="Y234" s="412"/>
      <c r="Z234" s="412"/>
      <c r="AA234" s="412"/>
      <c r="AB234" s="412"/>
      <c r="AC234" s="412"/>
      <c r="AD234" s="412"/>
      <c r="AE234" s="412"/>
      <c r="AF234" s="412"/>
      <c r="AG234" s="412"/>
      <c r="AH234" s="412"/>
      <c r="AI234" s="412"/>
      <c r="AJ234" s="412"/>
      <c r="AK234" s="412"/>
      <c r="AL234" s="412"/>
      <c r="AM234" s="412"/>
      <c r="AN234" s="412"/>
      <c r="AO234" s="412"/>
      <c r="AP234" s="412"/>
      <c r="AQ234" s="412"/>
      <c r="AR234" s="412"/>
      <c r="AS234" s="412"/>
      <c r="AT234" s="412"/>
      <c r="AU234" s="412"/>
      <c r="AV234" s="412"/>
      <c r="AW234" s="412"/>
      <c r="AX234" s="412"/>
      <c r="AY234" s="412"/>
      <c r="AZ234" s="412"/>
      <c r="BA234" s="412"/>
      <c r="BB234" s="412"/>
      <c r="BC234" s="412"/>
      <c r="BD234" s="412"/>
      <c r="BE234" s="412"/>
      <c r="BF234" s="412"/>
      <c r="BG234" s="412"/>
      <c r="BH234" s="412"/>
      <c r="BI234" s="412"/>
      <c r="BJ234" s="412"/>
      <c r="BK234" s="412"/>
      <c r="BL234" s="412"/>
      <c r="BM234" s="412"/>
      <c r="BN234" s="412"/>
      <c r="BO234" s="412"/>
      <c r="BP234" s="412"/>
      <c r="BQ234" s="412"/>
      <c r="BR234" s="412"/>
      <c r="BS234" s="412"/>
      <c r="BT234" s="412"/>
      <c r="BU234" s="412"/>
      <c r="BV234" s="412"/>
      <c r="BW234" s="412"/>
      <c r="BX234" s="412"/>
      <c r="CI234" s="493"/>
      <c r="CJ234" s="467"/>
    </row>
    <row r="235" spans="1:115" s="363" customFormat="1" ht="15.75" customHeight="1" x14ac:dyDescent="0.2">
      <c r="G235" s="2172" t="str">
        <f>IF(OR(F229&lt;-0.01,K229&lt;0.01,AND(E214&gt;0,OR(F230="",K230=""))),"Fehler TS","")</f>
        <v/>
      </c>
      <c r="N235" s="18"/>
      <c r="O235" s="328"/>
      <c r="P235" s="425"/>
      <c r="Q235" s="475"/>
      <c r="R235" s="425"/>
      <c r="S235" s="425"/>
      <c r="T235" s="425"/>
      <c r="U235" s="425"/>
      <c r="V235" s="425"/>
      <c r="W235" s="425"/>
      <c r="X235" s="425"/>
      <c r="Y235" s="425"/>
      <c r="Z235" s="425"/>
      <c r="AA235" s="425"/>
      <c r="AB235" s="425"/>
      <c r="AC235" s="425"/>
      <c r="AD235" s="425"/>
      <c r="AE235" s="425"/>
      <c r="AF235" s="425"/>
      <c r="AG235" s="425"/>
      <c r="AH235" s="425"/>
      <c r="AI235" s="425"/>
      <c r="AJ235" s="425"/>
      <c r="AK235" s="425"/>
      <c r="AL235" s="425"/>
      <c r="AM235" s="425"/>
      <c r="AN235" s="425"/>
      <c r="AO235" s="425"/>
      <c r="AP235" s="425"/>
      <c r="AQ235" s="425"/>
      <c r="AR235" s="425"/>
      <c r="AS235" s="425"/>
      <c r="AT235" s="425"/>
      <c r="AU235" s="425"/>
      <c r="AV235" s="425"/>
      <c r="AW235" s="425"/>
      <c r="AX235" s="425"/>
      <c r="AY235" s="425"/>
      <c r="AZ235" s="425"/>
      <c r="BA235" s="425"/>
      <c r="BB235" s="425"/>
      <c r="BC235" s="425"/>
      <c r="BD235" s="425"/>
      <c r="BE235" s="425"/>
      <c r="BF235" s="425"/>
      <c r="BG235" s="425"/>
      <c r="BH235" s="425"/>
      <c r="BI235" s="425"/>
      <c r="BJ235" s="425"/>
      <c r="BK235" s="425"/>
      <c r="BL235" s="1072"/>
      <c r="BM235" s="425"/>
      <c r="BN235" s="425"/>
      <c r="BO235" s="425"/>
      <c r="BP235" s="425"/>
      <c r="BQ235" s="425"/>
      <c r="BR235" s="425"/>
      <c r="BS235" s="425"/>
      <c r="BT235" s="425"/>
      <c r="BU235" s="425"/>
      <c r="BV235" s="425"/>
      <c r="BW235" s="425"/>
      <c r="BX235" s="425"/>
      <c r="CI235" s="472"/>
      <c r="CJ235" s="467"/>
      <c r="CK235" s="328"/>
      <c r="CL235" s="328"/>
      <c r="CM235" s="328"/>
      <c r="CN235" s="328"/>
      <c r="CO235" s="328"/>
      <c r="CP235" s="328"/>
      <c r="CQ235" s="328"/>
      <c r="CR235" s="328"/>
      <c r="CS235" s="328"/>
      <c r="CT235" s="328"/>
      <c r="CU235" s="328"/>
      <c r="CV235" s="328"/>
      <c r="CW235" s="328"/>
      <c r="CX235" s="328"/>
      <c r="CY235" s="328"/>
      <c r="CZ235" s="328"/>
      <c r="DA235" s="328"/>
      <c r="DB235" s="328"/>
      <c r="DC235" s="328"/>
      <c r="DD235" s="328"/>
      <c r="DE235" s="328"/>
      <c r="DF235" s="328"/>
      <c r="DG235" s="328"/>
      <c r="DH235" s="328"/>
      <c r="DI235" s="328"/>
      <c r="DJ235" s="328"/>
      <c r="DK235" s="328"/>
    </row>
    <row r="236" spans="1:115" s="363" customFormat="1" ht="15.75" customHeight="1" thickBot="1" x14ac:dyDescent="0.25">
      <c r="N236" s="18"/>
      <c r="O236" s="328"/>
      <c r="P236" s="704">
        <f>B229+F229</f>
        <v>0</v>
      </c>
      <c r="Q236" s="475"/>
      <c r="R236" s="425"/>
      <c r="S236" s="425"/>
      <c r="T236" s="425"/>
      <c r="U236" s="425"/>
      <c r="V236" s="425"/>
      <c r="W236" s="425"/>
      <c r="X236" s="425"/>
      <c r="Y236" s="425"/>
      <c r="Z236" s="425"/>
      <c r="AA236" s="425"/>
      <c r="AB236" s="425"/>
      <c r="AC236" s="425"/>
      <c r="AD236" s="425"/>
      <c r="AE236" s="425"/>
      <c r="AF236" s="425"/>
      <c r="AG236" s="425"/>
      <c r="AH236" s="425"/>
      <c r="AI236" s="425"/>
      <c r="AJ236" s="425"/>
      <c r="AK236" s="425"/>
      <c r="AL236" s="425"/>
      <c r="AM236" s="425"/>
      <c r="AN236" s="425"/>
      <c r="AO236" s="425"/>
      <c r="AP236" s="425"/>
      <c r="AQ236" s="425"/>
      <c r="AR236" s="425"/>
      <c r="AS236" s="425"/>
      <c r="AT236" s="425"/>
      <c r="AU236" s="425"/>
      <c r="AV236" s="425"/>
      <c r="AW236" s="425"/>
      <c r="AX236" s="425"/>
      <c r="AY236" s="425"/>
      <c r="AZ236" s="425"/>
      <c r="BA236" s="425"/>
      <c r="BB236" s="425"/>
      <c r="BC236" s="425"/>
      <c r="BD236" s="425"/>
      <c r="BE236" s="425"/>
      <c r="BF236" s="425"/>
      <c r="BG236" s="425"/>
      <c r="BH236" s="425"/>
      <c r="BI236" s="425"/>
      <c r="BJ236" s="425"/>
      <c r="BK236" s="425"/>
      <c r="BL236" s="1072"/>
      <c r="BM236" s="425"/>
      <c r="BN236" s="425"/>
      <c r="BO236" s="425"/>
      <c r="BP236" s="425"/>
      <c r="BQ236" s="425"/>
      <c r="BR236" s="425"/>
      <c r="BS236" s="425"/>
      <c r="BT236" s="425"/>
      <c r="BU236" s="425"/>
      <c r="BV236" s="425"/>
      <c r="BW236" s="425"/>
      <c r="BX236" s="425"/>
      <c r="CI236" s="472"/>
      <c r="CJ236" s="467"/>
      <c r="CK236" s="328"/>
      <c r="CL236" s="328"/>
      <c r="CM236" s="328"/>
      <c r="CN236" s="328"/>
      <c r="CO236" s="328"/>
      <c r="CP236" s="328"/>
      <c r="CQ236" s="328"/>
      <c r="CR236" s="328"/>
      <c r="CS236" s="328"/>
      <c r="CT236" s="328"/>
      <c r="CU236" s="328"/>
      <c r="CV236" s="328"/>
      <c r="CW236" s="328"/>
      <c r="CX236" s="328"/>
      <c r="CY236" s="328"/>
      <c r="CZ236" s="328"/>
      <c r="DA236" s="328"/>
      <c r="DB236" s="328"/>
      <c r="DC236" s="328"/>
      <c r="DD236" s="328"/>
      <c r="DE236" s="328"/>
      <c r="DF236" s="328"/>
      <c r="DG236" s="328"/>
      <c r="DH236" s="328"/>
      <c r="DI236" s="328"/>
      <c r="DJ236" s="328"/>
      <c r="DK236" s="328"/>
    </row>
    <row r="237" spans="1:115" s="363" customFormat="1" ht="38.25" customHeight="1" x14ac:dyDescent="0.2">
      <c r="B237" s="1100" t="s">
        <v>1054</v>
      </c>
      <c r="C237" s="2428" t="s">
        <v>675</v>
      </c>
      <c r="D237" s="2428"/>
      <c r="E237" s="2896" t="s">
        <v>1072</v>
      </c>
      <c r="F237" s="2897"/>
      <c r="H237" s="2518" t="s">
        <v>1055</v>
      </c>
      <c r="I237" s="2519"/>
      <c r="J237" s="2396" t="s">
        <v>1056</v>
      </c>
      <c r="K237" s="2397"/>
      <c r="L237" s="2544" t="s">
        <v>8425</v>
      </c>
      <c r="M237" s="2545"/>
      <c r="N237" s="18"/>
      <c r="O237" s="328"/>
      <c r="P237" s="425"/>
      <c r="Q237" s="475"/>
      <c r="R237" s="425"/>
      <c r="S237" s="425"/>
      <c r="T237" s="425"/>
      <c r="U237" s="425"/>
      <c r="V237" s="425"/>
      <c r="W237" s="425"/>
      <c r="X237" s="425"/>
      <c r="Y237" s="425"/>
      <c r="Z237" s="425"/>
      <c r="AA237" s="425"/>
      <c r="AB237" s="425"/>
      <c r="AC237" s="425"/>
      <c r="AD237" s="425"/>
      <c r="AE237" s="425"/>
      <c r="AF237" s="425"/>
      <c r="AG237" s="425"/>
      <c r="AH237" s="425"/>
      <c r="AI237" s="425"/>
      <c r="AJ237" s="425"/>
      <c r="AK237" s="425"/>
      <c r="AL237" s="425"/>
      <c r="AM237" s="425"/>
      <c r="AN237" s="425"/>
      <c r="AO237" s="425"/>
      <c r="AP237" s="425"/>
      <c r="AQ237" s="425"/>
      <c r="AR237" s="425"/>
      <c r="AS237" s="425"/>
      <c r="AT237" s="425"/>
      <c r="AU237" s="425"/>
      <c r="AV237" s="425"/>
      <c r="AW237" s="425"/>
      <c r="AX237" s="425"/>
      <c r="AY237" s="425"/>
      <c r="AZ237" s="425"/>
      <c r="BA237" s="425"/>
      <c r="BB237" s="425"/>
      <c r="BC237" s="425"/>
      <c r="BD237" s="425"/>
      <c r="BE237" s="425"/>
      <c r="BF237" s="425"/>
      <c r="BG237" s="425"/>
      <c r="BH237" s="425"/>
      <c r="BI237" s="425"/>
      <c r="BJ237" s="425"/>
      <c r="BK237" s="425"/>
      <c r="BL237" s="1072"/>
      <c r="BM237" s="425"/>
      <c r="BN237" s="425"/>
      <c r="BO237" s="425"/>
      <c r="BP237" s="425"/>
      <c r="BQ237" s="425"/>
      <c r="BR237" s="425"/>
      <c r="BS237" s="425"/>
      <c r="BT237" s="425"/>
      <c r="BU237" s="425"/>
      <c r="BV237" s="425"/>
      <c r="BW237" s="425"/>
      <c r="BX237" s="425"/>
      <c r="CI237" s="437"/>
      <c r="CJ237" s="454"/>
      <c r="CK237" s="328"/>
      <c r="CL237" s="328"/>
      <c r="CM237" s="328"/>
      <c r="CN237" s="328"/>
      <c r="CO237" s="328"/>
      <c r="CP237" s="328"/>
      <c r="CQ237" s="328"/>
      <c r="CR237" s="328"/>
      <c r="CS237" s="328"/>
      <c r="CT237" s="328"/>
      <c r="CU237" s="328"/>
      <c r="CV237" s="328"/>
      <c r="CW237" s="328"/>
      <c r="CX237" s="328"/>
      <c r="CY237" s="328"/>
      <c r="CZ237" s="328"/>
      <c r="DA237" s="328"/>
      <c r="DB237" s="328"/>
      <c r="DC237" s="328"/>
      <c r="DD237" s="328"/>
      <c r="DE237" s="328"/>
      <c r="DF237" s="328"/>
      <c r="DG237" s="328"/>
      <c r="DH237" s="328"/>
      <c r="DI237" s="328"/>
      <c r="DJ237" s="328"/>
      <c r="DK237" s="328"/>
    </row>
    <row r="238" spans="1:115" s="363" customFormat="1" ht="15.75" customHeight="1" x14ac:dyDescent="0.2">
      <c r="B238" s="2432" t="s">
        <v>324</v>
      </c>
      <c r="C238" s="2900">
        <f>P236</f>
        <v>0</v>
      </c>
      <c r="D238" s="2900"/>
      <c r="E238" s="2430">
        <f>(S88+T88)/2</f>
        <v>0</v>
      </c>
      <c r="F238" s="2431"/>
      <c r="H238" s="2388" t="s">
        <v>266</v>
      </c>
      <c r="I238" s="2389"/>
      <c r="J238" s="2398" t="str">
        <f>+S229</f>
        <v>0</v>
      </c>
      <c r="K238" s="2399"/>
      <c r="L238" s="2398">
        <f>Q91</f>
        <v>0</v>
      </c>
      <c r="M238" s="2576"/>
      <c r="N238" s="18"/>
      <c r="O238" s="328"/>
      <c r="P238" s="1075" t="e">
        <f>(F229*F230/100+B229*D205/100)/P236*100</f>
        <v>#DIV/0!</v>
      </c>
      <c r="Q238" s="475"/>
      <c r="R238" s="425"/>
      <c r="S238" s="425"/>
      <c r="T238" s="425"/>
      <c r="U238" s="425"/>
      <c r="V238" s="425"/>
      <c r="W238" s="425"/>
      <c r="X238" s="425"/>
      <c r="Y238" s="425"/>
      <c r="Z238" s="425"/>
      <c r="AA238" s="425"/>
      <c r="AB238" s="425"/>
      <c r="AC238" s="425"/>
      <c r="AD238" s="425"/>
      <c r="AE238" s="425"/>
      <c r="AF238" s="425"/>
      <c r="AG238" s="425"/>
      <c r="AH238" s="425"/>
      <c r="AI238" s="425"/>
      <c r="AJ238" s="425"/>
      <c r="AK238" s="425"/>
      <c r="AL238" s="425"/>
      <c r="AM238" s="425"/>
      <c r="AN238" s="425"/>
      <c r="AO238" s="425"/>
      <c r="AP238" s="425"/>
      <c r="AQ238" s="425"/>
      <c r="AR238" s="425"/>
      <c r="AS238" s="425"/>
      <c r="AT238" s="425"/>
      <c r="AU238" s="425"/>
      <c r="AV238" s="425"/>
      <c r="AW238" s="425"/>
      <c r="AX238" s="425"/>
      <c r="AY238" s="425"/>
      <c r="AZ238" s="425"/>
      <c r="BA238" s="425"/>
      <c r="BB238" s="425"/>
      <c r="BC238" s="425"/>
      <c r="BD238" s="425"/>
      <c r="BE238" s="425"/>
      <c r="BF238" s="425"/>
      <c r="BG238" s="425"/>
      <c r="BH238" s="425"/>
      <c r="BI238" s="425"/>
      <c r="BJ238" s="425"/>
      <c r="BK238" s="425"/>
      <c r="BL238" s="1072"/>
      <c r="BM238" s="425"/>
      <c r="BN238" s="425"/>
      <c r="BO238" s="425"/>
      <c r="BP238" s="425"/>
      <c r="BQ238" s="425"/>
      <c r="BR238" s="425"/>
      <c r="BS238" s="425"/>
      <c r="BT238" s="425"/>
      <c r="BU238" s="425"/>
      <c r="BV238" s="425"/>
      <c r="BW238" s="425"/>
      <c r="BX238" s="425"/>
      <c r="CI238" s="471"/>
      <c r="CJ238" s="453">
        <f>SUM(CJ68:CJ237)</f>
        <v>0</v>
      </c>
      <c r="CK238" s="328"/>
      <c r="CL238" s="328"/>
      <c r="CM238" s="328"/>
      <c r="CN238" s="328"/>
      <c r="CO238" s="328"/>
      <c r="CP238" s="328"/>
      <c r="CQ238" s="328"/>
      <c r="CR238" s="328"/>
      <c r="CS238" s="328"/>
      <c r="CT238" s="328"/>
      <c r="CU238" s="328"/>
      <c r="CV238" s="328"/>
      <c r="CW238" s="328"/>
      <c r="CX238" s="328"/>
      <c r="CY238" s="328"/>
      <c r="CZ238" s="328"/>
      <c r="DA238" s="328"/>
      <c r="DB238" s="328"/>
      <c r="DC238" s="328"/>
      <c r="DD238" s="328"/>
      <c r="DE238" s="328"/>
      <c r="DF238" s="328"/>
      <c r="DG238" s="328"/>
      <c r="DH238" s="328"/>
      <c r="DI238" s="328"/>
      <c r="DJ238" s="328"/>
      <c r="DK238" s="328"/>
    </row>
    <row r="239" spans="1:115" s="363" customFormat="1" ht="15.75" customHeight="1" x14ac:dyDescent="0.2">
      <c r="B239" s="2432"/>
      <c r="C239" s="2429">
        <f>C238+E238</f>
        <v>0</v>
      </c>
      <c r="D239" s="2430"/>
      <c r="E239" s="2430"/>
      <c r="F239" s="2431"/>
      <c r="H239" s="2388"/>
      <c r="I239" s="2389"/>
      <c r="J239" s="2380">
        <f>J238+L238</f>
        <v>0</v>
      </c>
      <c r="K239" s="2381"/>
      <c r="L239" s="2381"/>
      <c r="M239" s="2382"/>
      <c r="N239" s="18"/>
      <c r="O239" s="328"/>
      <c r="P239" s="1075" t="e">
        <f>(F229*Z215/100+B229*E205/100)/P236*100</f>
        <v>#DIV/0!</v>
      </c>
      <c r="Q239" s="475"/>
      <c r="R239" s="425"/>
      <c r="S239" s="425"/>
      <c r="T239" s="425"/>
      <c r="U239" s="425"/>
      <c r="V239" s="425"/>
      <c r="W239" s="425"/>
      <c r="X239" s="425"/>
      <c r="Y239" s="425"/>
      <c r="Z239" s="425"/>
      <c r="AA239" s="425"/>
      <c r="AB239" s="425"/>
      <c r="AC239" s="425"/>
      <c r="AD239" s="425"/>
      <c r="AE239" s="425"/>
      <c r="AF239" s="425"/>
      <c r="AG239" s="425"/>
      <c r="AH239" s="425"/>
      <c r="AI239" s="425"/>
      <c r="AJ239" s="425"/>
      <c r="AK239" s="425"/>
      <c r="AL239" s="425"/>
      <c r="AM239" s="425"/>
      <c r="AN239" s="425"/>
      <c r="AO239" s="425"/>
      <c r="AP239" s="425"/>
      <c r="AQ239" s="425"/>
      <c r="AR239" s="425"/>
      <c r="AS239" s="425"/>
      <c r="AT239" s="425"/>
      <c r="AU239" s="425"/>
      <c r="AV239" s="425"/>
      <c r="AW239" s="425"/>
      <c r="AX239" s="425"/>
      <c r="AY239" s="425"/>
      <c r="AZ239" s="425"/>
      <c r="BA239" s="425"/>
      <c r="BB239" s="425"/>
      <c r="BC239" s="425"/>
      <c r="BD239" s="425"/>
      <c r="BE239" s="425"/>
      <c r="BF239" s="425"/>
      <c r="BG239" s="425"/>
      <c r="BH239" s="425"/>
      <c r="BI239" s="425"/>
      <c r="BJ239" s="425"/>
      <c r="BK239" s="425"/>
      <c r="BL239" s="1072"/>
      <c r="BM239" s="425"/>
      <c r="BN239" s="425"/>
      <c r="BO239" s="425"/>
      <c r="BP239" s="425"/>
      <c r="BQ239" s="425"/>
      <c r="BR239" s="425"/>
      <c r="BS239" s="425"/>
      <c r="BT239" s="425"/>
      <c r="BU239" s="425"/>
      <c r="BV239" s="425"/>
      <c r="BW239" s="425"/>
      <c r="BX239" s="425"/>
      <c r="CI239" s="474"/>
      <c r="CJ239" s="532">
        <f>IF(CJ238=0,0,CJ238/(R88+T229))</f>
        <v>0</v>
      </c>
      <c r="CK239" s="328"/>
      <c r="CL239" s="328"/>
      <c r="CM239" s="328"/>
      <c r="CN239" s="328"/>
      <c r="CO239" s="328"/>
      <c r="CP239" s="328"/>
      <c r="CQ239" s="328"/>
      <c r="CR239" s="328"/>
      <c r="CS239" s="328"/>
      <c r="CT239" s="328"/>
      <c r="CU239" s="328"/>
      <c r="CV239" s="328"/>
      <c r="CW239" s="328"/>
      <c r="CX239" s="328"/>
      <c r="CY239" s="328"/>
      <c r="CZ239" s="328"/>
      <c r="DA239" s="328"/>
      <c r="DB239" s="328"/>
      <c r="DC239" s="328"/>
      <c r="DD239" s="328"/>
      <c r="DE239" s="328"/>
      <c r="DF239" s="328"/>
      <c r="DG239" s="328"/>
      <c r="DH239" s="328"/>
      <c r="DI239" s="328"/>
      <c r="DJ239" s="328"/>
      <c r="DK239" s="328"/>
    </row>
    <row r="240" spans="1:115" s="330" customFormat="1" ht="15.75" customHeight="1" x14ac:dyDescent="0.2">
      <c r="B240" s="1101" t="s">
        <v>326</v>
      </c>
      <c r="C240" s="2901" t="str">
        <f>+IF($C$238=0,"",P238)</f>
        <v/>
      </c>
      <c r="D240" s="2901"/>
      <c r="E240" s="2898" t="str">
        <f>IF(E238=0,"",(AJ92*CK88+AK92*CL88)/(CK88+CL88))</f>
        <v/>
      </c>
      <c r="F240" s="2899"/>
      <c r="H240" s="2394" t="s">
        <v>265</v>
      </c>
      <c r="I240" s="2395"/>
      <c r="J240" s="2400">
        <f>+T229</f>
        <v>0</v>
      </c>
      <c r="K240" s="2401"/>
      <c r="L240" s="2400">
        <f>R91</f>
        <v>0</v>
      </c>
      <c r="M240" s="2577"/>
      <c r="N240" s="18"/>
      <c r="O240" s="328"/>
      <c r="P240" s="1075" t="e">
        <f>(F229*Z216/100+B229*F205/100)/P236*100</f>
        <v>#DIV/0!</v>
      </c>
      <c r="Q240" s="475"/>
      <c r="R240" s="425"/>
      <c r="S240" s="425"/>
      <c r="T240" s="425"/>
      <c r="U240" s="425"/>
      <c r="V240" s="425"/>
      <c r="W240" s="425"/>
      <c r="X240" s="425"/>
      <c r="Y240" s="425"/>
      <c r="Z240" s="425"/>
      <c r="AA240" s="425"/>
      <c r="AB240" s="425"/>
      <c r="AC240" s="425"/>
      <c r="AD240" s="425"/>
      <c r="AE240" s="425"/>
      <c r="AF240" s="425"/>
      <c r="AG240" s="425"/>
      <c r="AH240" s="425"/>
      <c r="AI240" s="425"/>
      <c r="AJ240" s="425"/>
      <c r="AK240" s="425"/>
      <c r="AL240" s="425"/>
      <c r="AM240" s="425"/>
      <c r="AN240" s="425"/>
      <c r="AO240" s="425"/>
      <c r="AP240" s="425"/>
      <c r="AQ240" s="425"/>
      <c r="AR240" s="425"/>
      <c r="AS240" s="425"/>
      <c r="AT240" s="425"/>
      <c r="AU240" s="425"/>
      <c r="AV240" s="425"/>
      <c r="AW240" s="425"/>
      <c r="AX240" s="425"/>
      <c r="AY240" s="425"/>
      <c r="AZ240" s="425"/>
      <c r="BA240" s="425"/>
      <c r="BB240" s="425"/>
      <c r="BC240" s="425"/>
      <c r="BD240" s="425"/>
      <c r="BE240" s="425"/>
      <c r="BF240" s="425"/>
      <c r="BG240" s="425"/>
      <c r="BH240" s="425"/>
      <c r="BI240" s="425"/>
      <c r="BJ240" s="425"/>
      <c r="BK240" s="425"/>
      <c r="BL240" s="1072"/>
      <c r="BM240" s="425"/>
      <c r="BN240" s="425"/>
      <c r="BO240" s="425"/>
      <c r="BP240" s="425"/>
      <c r="BQ240" s="425"/>
      <c r="BR240" s="425"/>
      <c r="BS240" s="425"/>
      <c r="BT240" s="425"/>
      <c r="BU240" s="425"/>
      <c r="BV240" s="425"/>
      <c r="BW240" s="425"/>
      <c r="BX240" s="425"/>
      <c r="BY240" s="425"/>
      <c r="BZ240" s="425"/>
      <c r="CA240" s="425"/>
      <c r="CB240" s="425"/>
      <c r="CC240" s="425"/>
      <c r="CD240" s="425"/>
      <c r="CE240" s="425"/>
      <c r="CF240" s="425"/>
      <c r="CG240" s="425"/>
      <c r="CH240" s="328"/>
      <c r="CI240" s="328"/>
      <c r="CJ240" s="328"/>
      <c r="CK240" s="328"/>
      <c r="CL240" s="328"/>
      <c r="CM240" s="328"/>
      <c r="CN240" s="328"/>
      <c r="CO240" s="328"/>
      <c r="CP240" s="328"/>
    </row>
    <row r="241" spans="1:94" s="330" customFormat="1" ht="15.75" customHeight="1" x14ac:dyDescent="0.2">
      <c r="B241" s="1101" t="s">
        <v>4</v>
      </c>
      <c r="C241" s="2427" t="str">
        <f>+IF($C$238=0,"",P239)</f>
        <v/>
      </c>
      <c r="D241" s="2427"/>
      <c r="E241" s="2433" t="str">
        <f>IF(E238=0,"",(AB94+AF94)/2)</f>
        <v/>
      </c>
      <c r="F241" s="2434"/>
      <c r="H241" s="2394"/>
      <c r="I241" s="2395"/>
      <c r="J241" s="2383">
        <f>J240+L240</f>
        <v>0</v>
      </c>
      <c r="K241" s="2384"/>
      <c r="L241" s="2384"/>
      <c r="M241" s="2385"/>
      <c r="N241" s="18"/>
      <c r="O241" s="328"/>
      <c r="P241" s="1075" t="e">
        <f>(F229*Z217/100+B229*G205/100)/P236*100</f>
        <v>#DIV/0!</v>
      </c>
      <c r="Q241" s="475"/>
      <c r="W241" s="425"/>
      <c r="X241" s="425"/>
      <c r="Y241" s="425"/>
      <c r="Z241" s="425"/>
      <c r="AA241" s="425"/>
      <c r="AB241" s="425"/>
      <c r="AC241" s="425"/>
      <c r="AD241" s="425"/>
      <c r="AE241" s="425"/>
      <c r="AF241" s="425"/>
      <c r="AG241" s="425"/>
      <c r="AH241" s="425"/>
      <c r="AI241" s="425"/>
      <c r="AJ241" s="425"/>
      <c r="AK241" s="425"/>
      <c r="AL241" s="425"/>
      <c r="AM241" s="425"/>
      <c r="AN241" s="425"/>
      <c r="AO241" s="425"/>
      <c r="AP241" s="425"/>
      <c r="AQ241" s="425"/>
      <c r="AR241" s="425"/>
      <c r="AS241" s="425"/>
      <c r="AT241" s="425"/>
      <c r="AU241" s="425"/>
      <c r="AV241" s="425"/>
      <c r="AW241" s="425"/>
      <c r="AX241" s="425"/>
      <c r="AY241" s="425"/>
      <c r="AZ241" s="425"/>
      <c r="BA241" s="425"/>
      <c r="BB241" s="425"/>
      <c r="BC241" s="425"/>
      <c r="BD241" s="425"/>
      <c r="BE241" s="425"/>
      <c r="BF241" s="425"/>
      <c r="BG241" s="425"/>
      <c r="BH241" s="425"/>
      <c r="BI241" s="425"/>
      <c r="BJ241" s="425"/>
      <c r="BK241" s="425"/>
      <c r="BL241" s="1072"/>
      <c r="BM241" s="425"/>
      <c r="BN241" s="425"/>
      <c r="BO241" s="425"/>
      <c r="BP241" s="425"/>
      <c r="BQ241" s="425"/>
      <c r="BR241" s="425"/>
      <c r="BS241" s="425"/>
      <c r="BT241" s="425"/>
      <c r="BU241" s="425"/>
      <c r="BV241" s="425"/>
      <c r="BW241" s="425"/>
      <c r="BX241" s="425"/>
      <c r="BY241" s="425"/>
      <c r="BZ241" s="425"/>
      <c r="CA241" s="425"/>
      <c r="CB241" s="425"/>
      <c r="CC241" s="425"/>
      <c r="CD241" s="425"/>
      <c r="CE241" s="425"/>
      <c r="CF241" s="425"/>
      <c r="CG241" s="425"/>
      <c r="CH241" s="328"/>
      <c r="CI241" s="328"/>
      <c r="CJ241" s="328"/>
      <c r="CK241" s="328"/>
      <c r="CL241" s="328"/>
      <c r="CM241" s="328"/>
      <c r="CN241" s="328"/>
      <c r="CO241" s="328"/>
      <c r="CP241" s="328"/>
    </row>
    <row r="242" spans="1:94" s="330" customFormat="1" ht="15.75" customHeight="1" x14ac:dyDescent="0.2">
      <c r="B242" s="1101" t="s">
        <v>1039</v>
      </c>
      <c r="C242" s="2405" t="str">
        <f>+IF($C$238=0,"",P240)</f>
        <v/>
      </c>
      <c r="D242" s="2405"/>
      <c r="E242" s="2433" t="str">
        <f>IF(E238=0,"",CS90/F96)</f>
        <v/>
      </c>
      <c r="F242" s="2434"/>
      <c r="H242" s="2388" t="s">
        <v>326</v>
      </c>
      <c r="I242" s="2389"/>
      <c r="J242" s="2398" t="str">
        <f>IF(J238="0","",K230)</f>
        <v/>
      </c>
      <c r="K242" s="2399"/>
      <c r="L242" s="2376" t="str">
        <f>IF(L238=0,"",AR92)</f>
        <v/>
      </c>
      <c r="M242" s="2377"/>
      <c r="N242" s="18"/>
      <c r="O242" s="328"/>
      <c r="P242" s="1075" t="e">
        <f>(F229*Z218/100+B229*H205/100)/P236*100</f>
        <v>#DIV/0!</v>
      </c>
      <c r="Q242" s="475"/>
      <c r="W242" s="425"/>
      <c r="X242" s="425"/>
      <c r="Y242" s="425"/>
      <c r="Z242" s="425"/>
      <c r="AA242" s="425"/>
      <c r="AB242" s="425"/>
      <c r="AC242" s="425"/>
      <c r="AD242" s="425"/>
      <c r="AE242" s="425"/>
      <c r="AF242" s="425"/>
      <c r="AG242" s="425"/>
      <c r="AH242" s="425"/>
      <c r="AI242" s="425"/>
      <c r="AJ242" s="425"/>
      <c r="AK242" s="425"/>
      <c r="AL242" s="425"/>
      <c r="AM242" s="425"/>
      <c r="AN242" s="425"/>
      <c r="AO242" s="425"/>
      <c r="AP242" s="425"/>
      <c r="AQ242" s="425"/>
      <c r="AR242" s="425"/>
      <c r="AS242" s="425"/>
      <c r="AT242" s="425"/>
      <c r="AU242" s="425"/>
      <c r="AV242" s="425"/>
      <c r="AW242" s="425"/>
      <c r="AX242" s="425"/>
      <c r="AY242" s="425"/>
      <c r="AZ242" s="425"/>
      <c r="BA242" s="425"/>
      <c r="BB242" s="425"/>
      <c r="BC242" s="425"/>
      <c r="BD242" s="425"/>
      <c r="BE242" s="425"/>
      <c r="BF242" s="425"/>
      <c r="BG242" s="425"/>
      <c r="BH242" s="425"/>
      <c r="BI242" s="425"/>
      <c r="BJ242" s="425"/>
      <c r="BK242" s="425"/>
      <c r="BL242" s="1072"/>
      <c r="BM242" s="425"/>
      <c r="BN242" s="425"/>
      <c r="BO242" s="425"/>
      <c r="BP242" s="425"/>
      <c r="BQ242" s="425"/>
      <c r="BR242" s="425"/>
      <c r="BS242" s="425"/>
      <c r="BT242" s="425"/>
      <c r="BU242" s="425"/>
      <c r="BV242" s="425"/>
      <c r="BW242" s="425"/>
      <c r="BX242" s="425"/>
      <c r="BY242" s="425"/>
      <c r="BZ242" s="425"/>
      <c r="CA242" s="425"/>
      <c r="CB242" s="425"/>
      <c r="CC242" s="425"/>
      <c r="CD242" s="425"/>
      <c r="CE242" s="425"/>
      <c r="CF242" s="425"/>
      <c r="CG242" s="425"/>
      <c r="CH242" s="328"/>
      <c r="CI242" s="328"/>
      <c r="CJ242" s="328"/>
      <c r="CK242" s="328"/>
      <c r="CL242" s="328"/>
      <c r="CM242" s="328"/>
      <c r="CN242" s="328"/>
      <c r="CO242" s="328"/>
      <c r="CP242" s="328"/>
    </row>
    <row r="243" spans="1:94" s="330" customFormat="1" ht="15.75" customHeight="1" x14ac:dyDescent="0.2">
      <c r="B243" s="1102" t="s">
        <v>352</v>
      </c>
      <c r="C243" s="2427" t="str">
        <f>+IF($C$238=0,"",P241)</f>
        <v/>
      </c>
      <c r="D243" s="2427"/>
      <c r="E243" s="2433" t="str">
        <f>IF(E238=0,"",(AD94+AH94)/2)</f>
        <v/>
      </c>
      <c r="F243" s="2434"/>
      <c r="H243" s="2388" t="s">
        <v>4</v>
      </c>
      <c r="I243" s="2389"/>
      <c r="J243" s="2376" t="str">
        <f>IF($J$238=0,"",K231)</f>
        <v/>
      </c>
      <c r="K243" s="2402"/>
      <c r="L243" s="2376" t="str">
        <f>IF(L238=0,"",(AS95+AV95)/2)</f>
        <v/>
      </c>
      <c r="M243" s="2377"/>
      <c r="N243" s="18"/>
      <c r="O243" s="328"/>
      <c r="P243" s="425"/>
      <c r="Q243" s="475"/>
      <c r="R243" s="425"/>
      <c r="S243" s="425"/>
      <c r="T243" s="425"/>
      <c r="U243" s="425"/>
      <c r="V243" s="425"/>
      <c r="W243" s="425"/>
      <c r="X243" s="425"/>
      <c r="Y243" s="425"/>
      <c r="Z243" s="425"/>
      <c r="AA243" s="425"/>
      <c r="AB243" s="425"/>
      <c r="AC243" s="425"/>
      <c r="AD243" s="425"/>
      <c r="AE243" s="425"/>
      <c r="AF243" s="425"/>
      <c r="AG243" s="425"/>
      <c r="AH243" s="425"/>
      <c r="AI243" s="425"/>
      <c r="AJ243" s="425"/>
      <c r="AK243" s="425"/>
      <c r="AL243" s="425"/>
      <c r="AM243" s="425"/>
      <c r="AN243" s="425"/>
      <c r="AO243" s="425"/>
      <c r="AP243" s="425"/>
      <c r="AQ243" s="425"/>
      <c r="AR243" s="425"/>
      <c r="AS243" s="425"/>
      <c r="AT243" s="425"/>
      <c r="AU243" s="425"/>
      <c r="AV243" s="425"/>
      <c r="AW243" s="425"/>
      <c r="AX243" s="425"/>
      <c r="AY243" s="425"/>
      <c r="AZ243" s="425"/>
      <c r="BA243" s="425"/>
      <c r="BB243" s="425"/>
      <c r="BC243" s="425"/>
      <c r="BD243" s="425"/>
      <c r="BE243" s="425"/>
      <c r="BF243" s="425"/>
      <c r="BG243" s="425"/>
      <c r="BH243" s="425"/>
      <c r="BI243" s="425"/>
      <c r="BJ243" s="425"/>
      <c r="BK243" s="425"/>
      <c r="BL243" s="1072"/>
      <c r="BM243" s="425"/>
      <c r="BN243" s="425"/>
      <c r="BO243" s="425"/>
      <c r="BP243" s="425"/>
      <c r="BQ243" s="425"/>
      <c r="BR243" s="425"/>
      <c r="BS243" s="425"/>
      <c r="BT243" s="425"/>
      <c r="BU243" s="425"/>
      <c r="BV243" s="425"/>
      <c r="BW243" s="425"/>
      <c r="BX243" s="425"/>
      <c r="BY243" s="425"/>
      <c r="BZ243" s="425"/>
      <c r="CA243" s="425"/>
      <c r="CB243" s="425"/>
      <c r="CC243" s="425"/>
      <c r="CD243" s="425"/>
      <c r="CE243" s="425"/>
      <c r="CF243" s="425"/>
      <c r="CG243" s="425"/>
      <c r="CH243" s="328"/>
      <c r="CI243" s="328"/>
      <c r="CJ243" s="328"/>
      <c r="CK243" s="328"/>
      <c r="CL243" s="328"/>
      <c r="CM243" s="328"/>
      <c r="CN243" s="328"/>
      <c r="CO243" s="328"/>
      <c r="CP243" s="328"/>
    </row>
    <row r="244" spans="1:94" s="330" customFormat="1" ht="15.75" customHeight="1" x14ac:dyDescent="0.2">
      <c r="A244" s="1096"/>
      <c r="B244" s="1102" t="s">
        <v>353</v>
      </c>
      <c r="C244" s="2427" t="str">
        <f>+IF($C$238=0,"",P242)</f>
        <v/>
      </c>
      <c r="D244" s="2427"/>
      <c r="E244" s="2433" t="str">
        <f>IF(E238=0,"",(AE94+AI94)/2)</f>
        <v/>
      </c>
      <c r="F244" s="2434"/>
      <c r="G244" s="1096"/>
      <c r="H244" s="2388" t="s">
        <v>1039</v>
      </c>
      <c r="I244" s="2389"/>
      <c r="J244" s="2376" t="str">
        <f>IF($J$238=0,"",K232)</f>
        <v/>
      </c>
      <c r="K244" s="2402"/>
      <c r="L244" s="2376" t="str">
        <f>IF(L238=0,"",CT90/Q91)</f>
        <v/>
      </c>
      <c r="M244" s="2377"/>
      <c r="N244" s="18"/>
      <c r="O244" s="328"/>
      <c r="P244" s="425"/>
      <c r="Q244" s="475"/>
      <c r="R244" s="425"/>
      <c r="S244" s="425"/>
      <c r="T244" s="425"/>
      <c r="U244" s="425"/>
      <c r="V244" s="425"/>
      <c r="W244" s="425"/>
      <c r="X244" s="425"/>
      <c r="Y244" s="425"/>
      <c r="Z244" s="425"/>
      <c r="AA244" s="425"/>
      <c r="AB244" s="425"/>
      <c r="AC244" s="425"/>
      <c r="AD244" s="425"/>
      <c r="AE244" s="425"/>
      <c r="AF244" s="425"/>
      <c r="AG244" s="425"/>
      <c r="AH244" s="425"/>
      <c r="AI244" s="425"/>
      <c r="AJ244" s="425"/>
      <c r="AK244" s="425"/>
      <c r="AL244" s="425"/>
      <c r="AM244" s="425"/>
      <c r="AN244" s="425"/>
      <c r="AO244" s="425"/>
      <c r="AP244" s="425"/>
      <c r="AQ244" s="425"/>
      <c r="AR244" s="425"/>
      <c r="AS244" s="425"/>
      <c r="AT244" s="425"/>
      <c r="AU244" s="425"/>
      <c r="AV244" s="425"/>
      <c r="AW244" s="425"/>
      <c r="AX244" s="425"/>
      <c r="AY244" s="425"/>
      <c r="AZ244" s="425"/>
      <c r="BA244" s="425"/>
      <c r="BB244" s="425"/>
      <c r="BC244" s="425"/>
      <c r="BD244" s="425"/>
      <c r="BE244" s="425"/>
      <c r="BF244" s="425"/>
      <c r="BG244" s="425"/>
      <c r="BH244" s="425"/>
      <c r="BI244" s="425"/>
      <c r="BJ244" s="425"/>
      <c r="BK244" s="425"/>
      <c r="BL244" s="1072"/>
      <c r="BM244" s="425"/>
      <c r="BN244" s="425"/>
      <c r="BO244" s="425"/>
      <c r="BP244" s="425"/>
      <c r="BQ244" s="425"/>
      <c r="BR244" s="425"/>
      <c r="BS244" s="425"/>
      <c r="BT244" s="425"/>
      <c r="BU244" s="425"/>
      <c r="BV244" s="425"/>
      <c r="BW244" s="425"/>
      <c r="BX244" s="425"/>
      <c r="BY244" s="425"/>
      <c r="BZ244" s="425"/>
      <c r="CA244" s="425"/>
      <c r="CB244" s="425"/>
      <c r="CC244" s="425"/>
      <c r="CD244" s="425"/>
      <c r="CE244" s="425"/>
      <c r="CF244" s="425"/>
      <c r="CG244" s="425"/>
      <c r="CH244" s="328"/>
      <c r="CI244" s="328"/>
      <c r="CJ244" s="328"/>
      <c r="CK244" s="328"/>
      <c r="CL244" s="328"/>
      <c r="CM244" s="328"/>
      <c r="CN244" s="328"/>
      <c r="CO244" s="328"/>
      <c r="CP244" s="328"/>
    </row>
    <row r="245" spans="1:94" s="330" customFormat="1" ht="15.75" customHeight="1" x14ac:dyDescent="0.2">
      <c r="A245" s="1096"/>
      <c r="B245" s="2409" t="s">
        <v>897</v>
      </c>
      <c r="C245" s="2411" t="str">
        <f>IF(C238=0,"","Biogasgärrest flüssig")</f>
        <v/>
      </c>
      <c r="D245" s="2411"/>
      <c r="E245" s="2411" t="str">
        <f>IF(E238=0,"",W99)</f>
        <v/>
      </c>
      <c r="F245" s="2894"/>
      <c r="G245" s="1096"/>
      <c r="H245" s="2390" t="s">
        <v>352</v>
      </c>
      <c r="I245" s="2391"/>
      <c r="J245" s="2376" t="str">
        <f>IF($J$238=0,"",K233)</f>
        <v/>
      </c>
      <c r="K245" s="2402"/>
      <c r="L245" s="2376" t="str">
        <f>IF(L238=0,"",(AT95+AW95)/2)</f>
        <v/>
      </c>
      <c r="M245" s="2377"/>
      <c r="N245" s="18"/>
      <c r="O245" s="328"/>
      <c r="P245" s="425"/>
      <c r="Q245" s="475"/>
      <c r="R245" s="425"/>
      <c r="S245" s="425"/>
      <c r="T245" s="425"/>
      <c r="U245" s="425"/>
      <c r="V245" s="425"/>
      <c r="W245" s="425"/>
      <c r="X245" s="425"/>
      <c r="Y245" s="425"/>
      <c r="Z245" s="425"/>
      <c r="AA245" s="425"/>
      <c r="AB245" s="425"/>
      <c r="AC245" s="425"/>
      <c r="AD245" s="425"/>
      <c r="AE245" s="425"/>
      <c r="AF245" s="425"/>
      <c r="AG245" s="425"/>
      <c r="AH245" s="425"/>
      <c r="AI245" s="425"/>
      <c r="AJ245" s="425"/>
      <c r="AK245" s="425"/>
      <c r="AL245" s="425"/>
      <c r="AM245" s="425"/>
      <c r="AN245" s="425"/>
      <c r="AO245" s="425"/>
      <c r="AP245" s="425"/>
      <c r="AQ245" s="425"/>
      <c r="AR245" s="425"/>
      <c r="AS245" s="425"/>
      <c r="AT245" s="425"/>
      <c r="AU245" s="425"/>
      <c r="AV245" s="425"/>
      <c r="AW245" s="425"/>
      <c r="AX245" s="425"/>
      <c r="AY245" s="425"/>
      <c r="AZ245" s="425"/>
      <c r="BA245" s="425"/>
      <c r="BB245" s="425"/>
      <c r="BC245" s="425"/>
      <c r="BD245" s="425"/>
      <c r="BE245" s="425"/>
      <c r="BF245" s="425"/>
      <c r="BG245" s="425"/>
      <c r="BH245" s="425"/>
      <c r="BI245" s="425"/>
      <c r="BJ245" s="425"/>
      <c r="BK245" s="425"/>
      <c r="BL245" s="1072"/>
      <c r="BM245" s="425"/>
      <c r="BN245" s="425"/>
      <c r="BO245" s="425"/>
      <c r="BP245" s="425"/>
      <c r="BQ245" s="425"/>
      <c r="BR245" s="425"/>
      <c r="BS245" s="425"/>
      <c r="BT245" s="425"/>
      <c r="BU245" s="425"/>
      <c r="BV245" s="425"/>
      <c r="BW245" s="425"/>
      <c r="BX245" s="425"/>
      <c r="BY245" s="425"/>
      <c r="BZ245" s="425"/>
      <c r="CA245" s="425"/>
      <c r="CB245" s="425"/>
      <c r="CC245" s="425"/>
      <c r="CD245" s="425"/>
      <c r="CE245" s="425"/>
      <c r="CF245" s="425"/>
      <c r="CG245" s="425"/>
      <c r="CH245" s="328"/>
      <c r="CI245" s="328"/>
      <c r="CJ245" s="328"/>
      <c r="CK245" s="328"/>
      <c r="CL245" s="328"/>
      <c r="CM245" s="328"/>
      <c r="CN245" s="328"/>
      <c r="CO245" s="328"/>
      <c r="CP245" s="328"/>
    </row>
    <row r="246" spans="1:94" s="330" customFormat="1" ht="15.75" customHeight="1" thickBot="1" x14ac:dyDescent="0.25">
      <c r="A246" s="320"/>
      <c r="B246" s="2410"/>
      <c r="C246" s="2412"/>
      <c r="D246" s="2412"/>
      <c r="E246" s="2412"/>
      <c r="F246" s="2895"/>
      <c r="G246" s="1069"/>
      <c r="H246" s="2392" t="s">
        <v>353</v>
      </c>
      <c r="I246" s="2393"/>
      <c r="J246" s="2403" t="str">
        <f>IF($J$238=0,"",K234)</f>
        <v/>
      </c>
      <c r="K246" s="2404"/>
      <c r="L246" s="2378" t="str">
        <f>IF(L238=0,"",(AU95+AX95)/2)</f>
        <v/>
      </c>
      <c r="M246" s="2379"/>
      <c r="N246" s="18"/>
      <c r="O246" s="328"/>
      <c r="P246" s="425"/>
      <c r="Q246" s="475"/>
      <c r="R246" s="425"/>
      <c r="S246" s="425"/>
      <c r="T246" s="425"/>
      <c r="U246" s="425"/>
      <c r="V246" s="425"/>
      <c r="W246" s="425"/>
      <c r="X246" s="425"/>
      <c r="Y246" s="425"/>
      <c r="Z246" s="425"/>
      <c r="AA246" s="425"/>
      <c r="AB246" s="425"/>
      <c r="AC246" s="425"/>
      <c r="AD246" s="425"/>
      <c r="AE246" s="425"/>
      <c r="AF246" s="425"/>
      <c r="AG246" s="425"/>
      <c r="AH246" s="425"/>
      <c r="AI246" s="425"/>
      <c r="AJ246" s="425"/>
      <c r="AK246" s="425"/>
      <c r="AL246" s="425"/>
      <c r="AM246" s="425"/>
      <c r="AN246" s="425"/>
      <c r="AO246" s="425"/>
      <c r="AP246" s="425"/>
      <c r="AQ246" s="425"/>
      <c r="AR246" s="425"/>
      <c r="AS246" s="425"/>
      <c r="AT246" s="425"/>
      <c r="AU246" s="425"/>
      <c r="AV246" s="425"/>
      <c r="AW246" s="425"/>
      <c r="AX246" s="425"/>
      <c r="AY246" s="425"/>
      <c r="AZ246" s="425"/>
      <c r="BA246" s="425"/>
      <c r="BB246" s="425"/>
      <c r="BC246" s="425"/>
      <c r="BD246" s="425"/>
      <c r="BE246" s="425"/>
      <c r="BF246" s="425"/>
      <c r="BG246" s="425"/>
      <c r="BH246" s="425"/>
      <c r="BI246" s="425"/>
      <c r="BJ246" s="425"/>
      <c r="BK246" s="425"/>
      <c r="BL246" s="1072"/>
      <c r="BM246" s="425"/>
      <c r="BN246" s="425"/>
      <c r="BO246" s="425"/>
      <c r="BP246" s="425"/>
      <c r="BQ246" s="425"/>
      <c r="BR246" s="425"/>
      <c r="BS246" s="425"/>
      <c r="BT246" s="425"/>
      <c r="BU246" s="425"/>
      <c r="BV246" s="425"/>
      <c r="BW246" s="425"/>
      <c r="BX246" s="425"/>
      <c r="BY246" s="425"/>
      <c r="BZ246" s="425"/>
      <c r="CA246" s="425"/>
      <c r="CB246" s="425"/>
      <c r="CC246" s="425"/>
      <c r="CD246" s="425"/>
      <c r="CE246" s="425"/>
      <c r="CF246" s="425"/>
      <c r="CG246" s="425"/>
      <c r="CH246" s="328"/>
      <c r="CI246" s="328"/>
      <c r="CJ246" s="328"/>
      <c r="CK246" s="328"/>
      <c r="CL246" s="328"/>
      <c r="CM246" s="328"/>
      <c r="CN246" s="328"/>
      <c r="CO246" s="328"/>
      <c r="CP246" s="328"/>
    </row>
    <row r="247" spans="1:94" s="330" customFormat="1" ht="15.75" customHeight="1" x14ac:dyDescent="0.2">
      <c r="N247" s="18"/>
      <c r="O247" s="328"/>
      <c r="P247" s="425"/>
      <c r="Q247" s="475"/>
      <c r="R247" s="425"/>
      <c r="S247" s="425"/>
      <c r="T247" s="425"/>
      <c r="U247" s="425"/>
      <c r="V247" s="425"/>
      <c r="W247" s="425"/>
      <c r="X247" s="425"/>
      <c r="Y247" s="425"/>
      <c r="Z247" s="425"/>
      <c r="AA247" s="425"/>
      <c r="AB247" s="425"/>
      <c r="AC247" s="425"/>
      <c r="AD247" s="425"/>
      <c r="AE247" s="425"/>
      <c r="AF247" s="425"/>
      <c r="AG247" s="425"/>
      <c r="AH247" s="425"/>
      <c r="AI247" s="425"/>
      <c r="AJ247" s="425"/>
      <c r="AK247" s="425"/>
      <c r="AL247" s="425"/>
      <c r="AM247" s="425"/>
      <c r="AN247" s="425"/>
      <c r="AO247" s="425"/>
      <c r="AP247" s="425"/>
      <c r="AQ247" s="425"/>
      <c r="AR247" s="425"/>
      <c r="AS247" s="425"/>
      <c r="AT247" s="425"/>
      <c r="AU247" s="425"/>
      <c r="AV247" s="425"/>
      <c r="AW247" s="425"/>
      <c r="AX247" s="425"/>
      <c r="AY247" s="425"/>
      <c r="AZ247" s="425"/>
      <c r="BA247" s="425"/>
      <c r="BB247" s="425"/>
      <c r="BC247" s="425"/>
      <c r="BD247" s="425"/>
      <c r="BE247" s="425"/>
      <c r="BF247" s="425"/>
      <c r="BG247" s="425"/>
      <c r="BH247" s="425"/>
      <c r="BI247" s="425"/>
      <c r="BJ247" s="425"/>
      <c r="BK247" s="425"/>
      <c r="BL247" s="1072"/>
      <c r="BM247" s="425"/>
      <c r="BN247" s="425"/>
      <c r="BO247" s="425"/>
      <c r="BP247" s="425"/>
      <c r="BQ247" s="425"/>
      <c r="BR247" s="425"/>
      <c r="BS247" s="425"/>
      <c r="BT247" s="425"/>
      <c r="BU247" s="425"/>
      <c r="BV247" s="425"/>
      <c r="BW247" s="425"/>
      <c r="BX247" s="425"/>
      <c r="BY247" s="425"/>
      <c r="BZ247" s="425"/>
      <c r="CA247" s="425"/>
      <c r="CB247" s="425"/>
      <c r="CC247" s="425"/>
      <c r="CD247" s="425"/>
      <c r="CE247" s="425"/>
      <c r="CF247" s="425"/>
      <c r="CG247" s="425"/>
      <c r="CH247" s="328"/>
      <c r="CI247" s="328"/>
      <c r="CJ247" s="328"/>
      <c r="CK247" s="328"/>
      <c r="CL247" s="328"/>
      <c r="CM247" s="328"/>
      <c r="CN247" s="328"/>
      <c r="CO247" s="328"/>
      <c r="CP247" s="328"/>
    </row>
    <row r="248" spans="1:94" s="330" customFormat="1" ht="15.75" hidden="1" customHeight="1" x14ac:dyDescent="0.2">
      <c r="A248" s="1098"/>
      <c r="B248" s="320"/>
      <c r="C248" s="1127"/>
      <c r="D248" s="24"/>
      <c r="E248" s="24"/>
      <c r="F248" s="24"/>
      <c r="G248" s="18"/>
      <c r="H248" s="18"/>
      <c r="I248" s="18"/>
      <c r="J248" s="1126"/>
      <c r="K248" s="576"/>
      <c r="L248" s="1126"/>
      <c r="M248" s="1126"/>
      <c r="N248" s="18"/>
      <c r="O248" s="328"/>
      <c r="P248" s="425"/>
      <c r="Q248" s="475"/>
      <c r="R248" s="425"/>
      <c r="S248" s="425"/>
      <c r="T248" s="425"/>
      <c r="U248" s="425"/>
      <c r="V248" s="425"/>
      <c r="W248" s="425"/>
      <c r="X248" s="425"/>
      <c r="Y248" s="425"/>
      <c r="Z248" s="425"/>
      <c r="AA248" s="425"/>
      <c r="AB248" s="425"/>
      <c r="AC248" s="425"/>
      <c r="AD248" s="425"/>
      <c r="AE248" s="425"/>
      <c r="AF248" s="425"/>
      <c r="AG248" s="425"/>
      <c r="AH248" s="425"/>
      <c r="AI248" s="425"/>
      <c r="AJ248" s="425"/>
      <c r="AK248" s="425"/>
      <c r="AL248" s="425"/>
      <c r="AM248" s="425"/>
      <c r="AN248" s="425"/>
      <c r="AO248" s="425"/>
      <c r="AP248" s="425"/>
      <c r="AQ248" s="425"/>
      <c r="AR248" s="425"/>
      <c r="AS248" s="425"/>
      <c r="AT248" s="425"/>
      <c r="AU248" s="425"/>
      <c r="AV248" s="425"/>
      <c r="AW248" s="425"/>
      <c r="AX248" s="425"/>
      <c r="AY248" s="425"/>
      <c r="AZ248" s="425"/>
      <c r="BA248" s="425"/>
      <c r="BB248" s="425"/>
      <c r="BC248" s="425"/>
      <c r="BD248" s="425"/>
      <c r="BE248" s="425"/>
      <c r="BF248" s="425"/>
      <c r="BG248" s="425"/>
      <c r="BH248" s="425"/>
      <c r="BI248" s="425"/>
      <c r="BJ248" s="425"/>
      <c r="BK248" s="425"/>
      <c r="BL248" s="1072"/>
      <c r="BM248" s="425"/>
      <c r="BN248" s="425"/>
      <c r="BO248" s="425"/>
      <c r="BP248" s="425"/>
      <c r="BQ248" s="425"/>
      <c r="BR248" s="425"/>
      <c r="BS248" s="425"/>
      <c r="BT248" s="425"/>
      <c r="BU248" s="425"/>
      <c r="BV248" s="425"/>
      <c r="BW248" s="425"/>
      <c r="BX248" s="425"/>
      <c r="BY248" s="425"/>
      <c r="BZ248" s="425"/>
      <c r="CA248" s="425"/>
      <c r="CB248" s="425"/>
      <c r="CC248" s="425"/>
      <c r="CD248" s="425"/>
      <c r="CE248" s="425"/>
      <c r="CF248" s="425"/>
      <c r="CG248" s="425"/>
      <c r="CH248" s="328"/>
      <c r="CI248" s="328"/>
      <c r="CJ248" s="328"/>
      <c r="CK248" s="328"/>
      <c r="CL248" s="328"/>
      <c r="CM248" s="328"/>
      <c r="CN248" s="328"/>
      <c r="CO248" s="328"/>
      <c r="CP248" s="328"/>
    </row>
    <row r="249" spans="1:94" s="330" customFormat="1" ht="13.5" hidden="1" customHeight="1" x14ac:dyDescent="0.2">
      <c r="A249" s="1098"/>
      <c r="B249" s="1126"/>
      <c r="C249" s="1126"/>
      <c r="D249" s="1126"/>
      <c r="E249" s="1126"/>
      <c r="F249" s="1126"/>
      <c r="G249" s="1103"/>
      <c r="H249" s="1103"/>
      <c r="I249" s="1103"/>
      <c r="J249" s="1068"/>
      <c r="K249" s="1068"/>
      <c r="L249" s="1068"/>
      <c r="M249" s="1068"/>
      <c r="N249" s="18"/>
      <c r="O249" s="328"/>
      <c r="P249" s="425"/>
      <c r="Q249" s="425"/>
      <c r="R249" s="425"/>
      <c r="S249" s="425"/>
      <c r="T249" s="425"/>
      <c r="U249" s="425"/>
      <c r="V249" s="425"/>
      <c r="W249" s="425"/>
      <c r="X249" s="425"/>
      <c r="Y249" s="425"/>
      <c r="Z249" s="425"/>
      <c r="AA249" s="425"/>
      <c r="AB249" s="425"/>
      <c r="AC249" s="425"/>
      <c r="AD249" s="425"/>
      <c r="AE249" s="425"/>
      <c r="AF249" s="425"/>
      <c r="AG249" s="425"/>
      <c r="AH249" s="425"/>
      <c r="AI249" s="425"/>
      <c r="AJ249" s="425"/>
      <c r="AK249" s="425"/>
      <c r="AL249" s="425"/>
      <c r="AM249" s="425"/>
      <c r="AN249" s="425"/>
      <c r="AO249" s="425"/>
      <c r="AP249" s="425"/>
      <c r="AQ249" s="425"/>
      <c r="AR249" s="425"/>
      <c r="AS249" s="425"/>
      <c r="AT249" s="425"/>
      <c r="AU249" s="425"/>
      <c r="AV249" s="425"/>
      <c r="AW249" s="425"/>
      <c r="AX249" s="425"/>
      <c r="AY249" s="425"/>
      <c r="AZ249" s="425"/>
      <c r="BA249" s="425"/>
      <c r="BB249" s="425"/>
      <c r="BC249" s="425"/>
      <c r="BD249" s="425"/>
      <c r="BE249" s="425"/>
      <c r="BF249" s="425"/>
      <c r="BG249" s="425"/>
      <c r="BH249" s="425"/>
      <c r="BI249" s="425"/>
      <c r="BJ249" s="425"/>
      <c r="BK249" s="425"/>
      <c r="BL249" s="1072"/>
      <c r="BM249" s="425"/>
      <c r="BN249" s="425"/>
      <c r="BO249" s="425"/>
      <c r="BP249" s="425"/>
      <c r="BQ249" s="425"/>
      <c r="BR249" s="425"/>
      <c r="BS249" s="425"/>
      <c r="BT249" s="425"/>
      <c r="BU249" s="425"/>
      <c r="BV249" s="425"/>
      <c r="BW249" s="425"/>
      <c r="BX249" s="425"/>
      <c r="BY249" s="425"/>
      <c r="BZ249" s="425"/>
      <c r="CA249" s="425"/>
      <c r="CB249" s="425"/>
      <c r="CC249" s="425"/>
      <c r="CD249" s="425"/>
      <c r="CE249" s="425"/>
      <c r="CF249" s="425"/>
      <c r="CG249" s="425"/>
      <c r="CH249" s="328"/>
      <c r="CI249" s="328"/>
      <c r="CJ249" s="328"/>
      <c r="CK249" s="328"/>
      <c r="CL249" s="328"/>
      <c r="CM249" s="328"/>
      <c r="CN249" s="328"/>
      <c r="CO249" s="328"/>
      <c r="CP249" s="328"/>
    </row>
    <row r="250" spans="1:94" s="330" customFormat="1" ht="14.25" hidden="1" customHeight="1" x14ac:dyDescent="0.2">
      <c r="A250" s="1126"/>
      <c r="B250" s="1126"/>
      <c r="C250" s="1126"/>
      <c r="D250" s="1126"/>
      <c r="E250" s="1126"/>
      <c r="F250" s="1126"/>
      <c r="G250" s="1103"/>
      <c r="H250" s="1103"/>
      <c r="I250" s="1103"/>
      <c r="J250" s="1068"/>
      <c r="K250" s="1068"/>
      <c r="L250" s="1128"/>
      <c r="M250" s="1128"/>
      <c r="N250" s="18"/>
      <c r="O250" s="328"/>
      <c r="P250" s="425"/>
      <c r="Q250" s="425"/>
      <c r="R250" s="425"/>
      <c r="S250" s="425"/>
      <c r="T250" s="425"/>
      <c r="U250" s="425"/>
      <c r="V250" s="425"/>
      <c r="W250" s="425"/>
      <c r="X250" s="425"/>
      <c r="Y250" s="425"/>
      <c r="Z250" s="425"/>
      <c r="AA250" s="425"/>
      <c r="AB250" s="425"/>
      <c r="AC250" s="425"/>
      <c r="AD250" s="425"/>
      <c r="AE250" s="425"/>
      <c r="AF250" s="425"/>
      <c r="AG250" s="425"/>
      <c r="AH250" s="425"/>
      <c r="AI250" s="425"/>
      <c r="AJ250" s="425"/>
      <c r="AK250" s="425"/>
      <c r="AL250" s="425"/>
      <c r="AM250" s="425"/>
      <c r="AN250" s="425"/>
      <c r="AO250" s="425"/>
      <c r="AP250" s="425"/>
      <c r="AQ250" s="425"/>
      <c r="AR250" s="425"/>
      <c r="AS250" s="425"/>
      <c r="AT250" s="425"/>
      <c r="AU250" s="425"/>
      <c r="AV250" s="425"/>
      <c r="AW250" s="425"/>
      <c r="AX250" s="425"/>
      <c r="AY250" s="425"/>
      <c r="AZ250" s="425"/>
      <c r="BA250" s="425"/>
      <c r="BB250" s="425"/>
      <c r="BC250" s="425"/>
      <c r="BD250" s="425"/>
      <c r="BE250" s="425"/>
      <c r="BF250" s="425"/>
      <c r="BG250" s="425"/>
      <c r="BH250" s="425"/>
      <c r="BI250" s="425"/>
      <c r="BJ250" s="425"/>
      <c r="BK250" s="425"/>
      <c r="BL250" s="1072"/>
      <c r="BM250" s="425"/>
      <c r="BN250" s="425"/>
      <c r="BO250" s="425"/>
      <c r="BP250" s="425"/>
      <c r="BQ250" s="425"/>
      <c r="BR250" s="425"/>
      <c r="BS250" s="425"/>
      <c r="BT250" s="425"/>
      <c r="BU250" s="425"/>
      <c r="BV250" s="425"/>
      <c r="BW250" s="425"/>
      <c r="BX250" s="425"/>
      <c r="BY250" s="425"/>
      <c r="BZ250" s="425"/>
      <c r="CA250" s="425"/>
      <c r="CB250" s="425"/>
      <c r="CC250" s="425"/>
      <c r="CD250" s="425"/>
      <c r="CE250" s="425"/>
      <c r="CF250" s="425"/>
      <c r="CG250" s="425"/>
      <c r="CH250" s="328"/>
      <c r="CI250" s="328"/>
      <c r="CJ250" s="328"/>
      <c r="CK250" s="328"/>
      <c r="CL250" s="328"/>
      <c r="CM250" s="328"/>
      <c r="CN250" s="328"/>
      <c r="CO250" s="328"/>
      <c r="CP250" s="328"/>
    </row>
    <row r="251" spans="1:94" s="330" customFormat="1" ht="15.75" hidden="1" customHeight="1" x14ac:dyDescent="0.2">
      <c r="A251" s="21"/>
      <c r="B251" s="21"/>
      <c r="C251" s="21"/>
      <c r="D251" s="21"/>
      <c r="E251" s="21"/>
      <c r="F251" s="21"/>
      <c r="G251" s="21"/>
      <c r="H251" s="21"/>
      <c r="I251" s="21"/>
      <c r="J251" s="21"/>
      <c r="K251" s="21"/>
      <c r="L251" s="21"/>
      <c r="M251" s="22"/>
      <c r="N251" s="18"/>
      <c r="O251" s="328"/>
      <c r="P251" s="425"/>
      <c r="Q251" s="425"/>
      <c r="R251" s="425"/>
      <c r="S251" s="425"/>
      <c r="T251" s="425"/>
      <c r="U251" s="425"/>
      <c r="V251" s="425"/>
      <c r="W251" s="425"/>
      <c r="X251" s="425"/>
      <c r="Y251" s="425"/>
      <c r="Z251" s="425"/>
      <c r="AA251" s="425"/>
      <c r="AB251" s="425"/>
      <c r="AC251" s="425"/>
      <c r="AD251" s="425"/>
      <c r="AE251" s="425"/>
      <c r="AF251" s="425"/>
      <c r="AG251" s="425"/>
      <c r="AH251" s="425"/>
      <c r="AI251" s="425"/>
      <c r="AJ251" s="425"/>
      <c r="AK251" s="425"/>
      <c r="AL251" s="425"/>
      <c r="AM251" s="425"/>
      <c r="AN251" s="425"/>
      <c r="AO251" s="425"/>
      <c r="AP251" s="425"/>
      <c r="AQ251" s="425"/>
      <c r="AR251" s="425"/>
      <c r="AS251" s="425"/>
      <c r="AT251" s="425"/>
      <c r="AU251" s="425"/>
      <c r="AV251" s="425"/>
      <c r="AW251" s="425"/>
      <c r="AX251" s="425"/>
      <c r="AY251" s="425"/>
      <c r="AZ251" s="425"/>
      <c r="BA251" s="425"/>
      <c r="BB251" s="425"/>
      <c r="BC251" s="425"/>
      <c r="BD251" s="425"/>
      <c r="BE251" s="425"/>
      <c r="BF251" s="425"/>
      <c r="BG251" s="425"/>
      <c r="BH251" s="425"/>
      <c r="BI251" s="425"/>
      <c r="BJ251" s="425"/>
      <c r="BK251" s="425"/>
      <c r="BL251" s="1072"/>
      <c r="BM251" s="425"/>
      <c r="BN251" s="425"/>
      <c r="BO251" s="425"/>
      <c r="BP251" s="425"/>
      <c r="BQ251" s="425"/>
      <c r="BR251" s="425"/>
      <c r="BS251" s="425"/>
      <c r="BT251" s="425"/>
      <c r="BU251" s="425"/>
      <c r="BV251" s="425"/>
      <c r="BW251" s="425"/>
      <c r="BX251" s="425"/>
      <c r="BY251" s="425"/>
      <c r="BZ251" s="425"/>
      <c r="CA251" s="425"/>
      <c r="CB251" s="425"/>
      <c r="CC251" s="425"/>
      <c r="CD251" s="425"/>
      <c r="CE251" s="425"/>
      <c r="CF251" s="425"/>
      <c r="CG251" s="425"/>
      <c r="CH251" s="328"/>
      <c r="CI251" s="328"/>
      <c r="CJ251" s="328"/>
      <c r="CK251" s="328"/>
      <c r="CL251" s="328"/>
      <c r="CM251" s="328"/>
      <c r="CN251" s="328"/>
      <c r="CO251" s="328"/>
      <c r="CP251" s="328"/>
    </row>
    <row r="252" spans="1:94" s="330" customFormat="1" ht="6.75" customHeight="1" thickBot="1" x14ac:dyDescent="0.25">
      <c r="A252" s="22"/>
      <c r="B252" s="22"/>
      <c r="C252" s="22"/>
      <c r="D252" s="22"/>
      <c r="E252" s="22"/>
      <c r="F252" s="22"/>
      <c r="G252" s="22"/>
      <c r="H252" s="22"/>
      <c r="I252" s="22"/>
      <c r="J252" s="22"/>
      <c r="K252" s="22"/>
      <c r="L252" s="22"/>
      <c r="M252" s="22"/>
      <c r="N252" s="18"/>
      <c r="O252" s="328"/>
      <c r="P252" s="425"/>
      <c r="Q252" s="425"/>
      <c r="R252" s="425"/>
      <c r="S252" s="425"/>
      <c r="T252" s="425"/>
      <c r="U252" s="425"/>
      <c r="V252" s="425"/>
      <c r="W252" s="425"/>
      <c r="X252" s="425"/>
      <c r="Y252" s="425"/>
      <c r="Z252" s="425"/>
      <c r="AA252" s="425"/>
      <c r="AB252" s="425"/>
      <c r="AC252" s="425"/>
      <c r="AD252" s="425"/>
      <c r="AE252" s="425"/>
      <c r="AF252" s="425"/>
      <c r="AG252" s="425"/>
      <c r="AH252" s="425"/>
      <c r="AI252" s="425"/>
      <c r="AJ252" s="425"/>
      <c r="AK252" s="425"/>
      <c r="AL252" s="425"/>
      <c r="AM252" s="425"/>
      <c r="AN252" s="425"/>
      <c r="AO252" s="425"/>
      <c r="AP252" s="425"/>
      <c r="AQ252" s="425"/>
      <c r="AR252" s="425"/>
      <c r="AS252" s="425"/>
      <c r="AT252" s="425"/>
      <c r="AU252" s="425"/>
      <c r="AV252" s="425"/>
      <c r="AW252" s="425"/>
      <c r="AX252" s="425"/>
      <c r="AY252" s="425"/>
      <c r="AZ252" s="425"/>
      <c r="BA252" s="425"/>
      <c r="BB252" s="425"/>
      <c r="BC252" s="425"/>
      <c r="BD252" s="425"/>
      <c r="BE252" s="425"/>
      <c r="BF252" s="425"/>
      <c r="BG252" s="425"/>
      <c r="BH252" s="425"/>
      <c r="BI252" s="425"/>
      <c r="BJ252" s="425"/>
      <c r="BK252" s="425"/>
      <c r="BL252" s="1072"/>
      <c r="BM252" s="425"/>
      <c r="BN252" s="425"/>
      <c r="BO252" s="425"/>
      <c r="BP252" s="425"/>
      <c r="BQ252" s="425"/>
      <c r="BR252" s="425"/>
      <c r="BS252" s="425"/>
      <c r="BT252" s="425"/>
      <c r="BU252" s="425"/>
      <c r="BV252" s="425"/>
      <c r="BW252" s="425"/>
      <c r="BX252" s="425"/>
      <c r="BY252" s="425"/>
      <c r="BZ252" s="425"/>
      <c r="CA252" s="425"/>
      <c r="CB252" s="425"/>
      <c r="CC252" s="425"/>
      <c r="CD252" s="425"/>
      <c r="CE252" s="425"/>
      <c r="CF252" s="425"/>
      <c r="CG252" s="425"/>
      <c r="CH252" s="328"/>
      <c r="CI252" s="328"/>
      <c r="CJ252" s="328"/>
      <c r="CK252" s="328"/>
      <c r="CL252" s="328"/>
      <c r="CM252" s="328"/>
      <c r="CN252" s="328"/>
      <c r="CO252" s="328"/>
      <c r="CP252" s="328"/>
    </row>
    <row r="253" spans="1:94" s="330" customFormat="1" ht="15.75" customHeight="1" thickBot="1" x14ac:dyDescent="0.25">
      <c r="A253" s="2547" t="s">
        <v>878</v>
      </c>
      <c r="B253" s="2548"/>
      <c r="C253" s="2548"/>
      <c r="D253" s="2548"/>
      <c r="E253" s="2548"/>
      <c r="F253" s="2548"/>
      <c r="G253" s="2548"/>
      <c r="H253" s="2548"/>
      <c r="I253" s="2548"/>
      <c r="J253" s="2548"/>
      <c r="K253" s="2548"/>
      <c r="L253" s="2548"/>
      <c r="M253" s="2549"/>
      <c r="N253" s="18"/>
      <c r="O253" s="328"/>
      <c r="P253" s="425"/>
      <c r="Q253" s="425"/>
      <c r="R253" s="425"/>
      <c r="S253" s="425"/>
      <c r="T253" s="425"/>
      <c r="U253" s="425"/>
      <c r="V253" s="425"/>
      <c r="W253" s="425"/>
      <c r="X253" s="425"/>
      <c r="Y253" s="425"/>
      <c r="Z253" s="425"/>
      <c r="AA253" s="425"/>
      <c r="AB253" s="425"/>
      <c r="AC253" s="425"/>
      <c r="AD253" s="425"/>
      <c r="AE253" s="425"/>
      <c r="AF253" s="425"/>
      <c r="AG253" s="425"/>
      <c r="AH253" s="425"/>
      <c r="AI253" s="425"/>
      <c r="AJ253" s="425"/>
      <c r="AK253" s="425"/>
      <c r="AL253" s="425"/>
      <c r="AM253" s="425"/>
      <c r="AN253" s="425"/>
      <c r="AO253" s="425"/>
      <c r="AP253" s="425"/>
      <c r="AQ253" s="425"/>
      <c r="AR253" s="425"/>
      <c r="AS253" s="425"/>
      <c r="AT253" s="425"/>
      <c r="AU253" s="425"/>
      <c r="AV253" s="425"/>
      <c r="AW253" s="425"/>
      <c r="AX253" s="425"/>
      <c r="AY253" s="425"/>
      <c r="AZ253" s="425"/>
      <c r="BA253" s="425"/>
      <c r="BB253" s="425"/>
      <c r="BC253" s="425"/>
      <c r="BD253" s="425"/>
      <c r="BE253" s="425"/>
      <c r="BF253" s="425"/>
      <c r="BG253" s="425"/>
      <c r="BH253" s="425"/>
      <c r="BI253" s="425"/>
      <c r="BJ253" s="425"/>
      <c r="BK253" s="425"/>
      <c r="BL253" s="1072"/>
      <c r="BM253" s="425"/>
      <c r="BN253" s="425"/>
      <c r="BO253" s="425"/>
      <c r="BP253" s="425"/>
      <c r="BQ253" s="425"/>
      <c r="BR253" s="425"/>
      <c r="BS253" s="425"/>
      <c r="BT253" s="425"/>
      <c r="BU253" s="425"/>
      <c r="BV253" s="425"/>
      <c r="BW253" s="425"/>
      <c r="BX253" s="425"/>
      <c r="BY253" s="425"/>
      <c r="BZ253" s="425"/>
      <c r="CA253" s="425"/>
      <c r="CB253" s="425"/>
      <c r="CC253" s="425"/>
      <c r="CD253" s="425"/>
      <c r="CE253" s="425"/>
      <c r="CF253" s="425"/>
      <c r="CG253" s="425"/>
      <c r="CH253" s="328"/>
      <c r="CI253" s="328"/>
      <c r="CJ253" s="328"/>
      <c r="CK253" s="328"/>
      <c r="CL253" s="328"/>
      <c r="CM253" s="328"/>
      <c r="CN253" s="328"/>
      <c r="CO253" s="328"/>
      <c r="CP253" s="328"/>
    </row>
    <row r="254" spans="1:94" s="326" customFormat="1" ht="6.75" customHeight="1" thickBot="1" x14ac:dyDescent="0.25">
      <c r="A254" s="1"/>
      <c r="B254" s="21"/>
      <c r="C254" s="21"/>
      <c r="D254" s="21"/>
      <c r="E254" s="22"/>
      <c r="F254" s="22"/>
      <c r="G254" s="22"/>
      <c r="H254" s="22"/>
      <c r="I254" s="22"/>
      <c r="J254" s="22"/>
      <c r="K254" s="22"/>
      <c r="L254" s="23"/>
      <c r="M254" s="23"/>
      <c r="N254" s="23"/>
      <c r="O254" s="335"/>
      <c r="P254" s="494"/>
      <c r="Q254" s="494"/>
      <c r="R254" s="494"/>
      <c r="S254" s="494"/>
      <c r="T254" s="494"/>
      <c r="U254" s="494"/>
      <c r="V254" s="494"/>
      <c r="W254" s="494"/>
      <c r="X254" s="494"/>
      <c r="Y254" s="494"/>
      <c r="Z254" s="494"/>
      <c r="AA254" s="494"/>
      <c r="AB254" s="494"/>
      <c r="AC254" s="494"/>
      <c r="AD254" s="494"/>
      <c r="AE254" s="494"/>
      <c r="AF254" s="494"/>
      <c r="AG254" s="494"/>
      <c r="AH254" s="494"/>
      <c r="AI254" s="494"/>
      <c r="AJ254" s="494"/>
      <c r="AK254" s="494"/>
      <c r="AL254" s="494"/>
      <c r="AM254" s="494"/>
      <c r="AN254" s="494"/>
      <c r="AO254" s="494"/>
      <c r="AP254" s="494"/>
      <c r="AQ254" s="494"/>
      <c r="AR254" s="494"/>
      <c r="AS254" s="494"/>
      <c r="AT254" s="494"/>
      <c r="AU254" s="494"/>
      <c r="AV254" s="494"/>
      <c r="AW254" s="494"/>
      <c r="AX254" s="494"/>
      <c r="AY254" s="494"/>
      <c r="AZ254" s="494"/>
      <c r="BA254" s="494"/>
      <c r="BB254" s="494"/>
      <c r="BC254" s="494"/>
      <c r="BD254" s="494"/>
      <c r="BE254" s="494"/>
      <c r="BF254" s="494"/>
      <c r="BG254" s="494"/>
      <c r="BH254" s="494"/>
      <c r="BI254" s="494"/>
      <c r="BJ254" s="494"/>
      <c r="BK254" s="494"/>
      <c r="BL254" s="494"/>
      <c r="BM254" s="494"/>
      <c r="BN254" s="494"/>
      <c r="BO254" s="494"/>
      <c r="BP254" s="494"/>
      <c r="BQ254" s="494"/>
      <c r="BR254" s="494"/>
      <c r="BS254" s="494"/>
      <c r="BT254" s="494"/>
      <c r="BU254" s="494"/>
      <c r="BV254" s="494"/>
      <c r="BW254" s="494"/>
      <c r="BX254" s="494"/>
      <c r="BY254" s="494"/>
      <c r="BZ254" s="494"/>
      <c r="CA254" s="494"/>
      <c r="CB254" s="494"/>
      <c r="CC254" s="494"/>
      <c r="CD254" s="494"/>
      <c r="CE254" s="335"/>
      <c r="CF254" s="335"/>
      <c r="CG254" s="335"/>
      <c r="CH254" s="335"/>
      <c r="CI254" s="335"/>
      <c r="CJ254" s="335"/>
      <c r="CK254" s="335"/>
      <c r="CL254" s="335"/>
    </row>
    <row r="255" spans="1:94" s="330" customFormat="1" ht="15.75" customHeight="1" x14ac:dyDescent="0.2">
      <c r="A255" s="339" t="s">
        <v>846</v>
      </c>
      <c r="B255" s="737"/>
      <c r="C255" s="2617" t="s">
        <v>721</v>
      </c>
      <c r="D255" s="2963" t="s">
        <v>289</v>
      </c>
      <c r="E255" s="2964"/>
      <c r="F255" s="2963" t="s">
        <v>28</v>
      </c>
      <c r="G255" s="2964"/>
      <c r="H255" s="2503" t="s">
        <v>346</v>
      </c>
      <c r="I255" s="2503"/>
      <c r="J255" s="2506" t="s">
        <v>290</v>
      </c>
      <c r="K255" s="2503"/>
      <c r="L255" s="2503"/>
      <c r="M255" s="2507"/>
      <c r="N255" s="18"/>
      <c r="O255" s="328"/>
      <c r="P255" s="425"/>
      <c r="Q255" s="2527" t="s">
        <v>721</v>
      </c>
      <c r="R255" s="2527"/>
      <c r="S255" s="425"/>
      <c r="T255" s="425" t="s">
        <v>801</v>
      </c>
      <c r="U255" s="425"/>
      <c r="V255" s="425"/>
      <c r="W255" s="425"/>
      <c r="X255" s="425"/>
      <c r="Y255" s="425"/>
      <c r="Z255" s="425"/>
      <c r="AA255" s="425"/>
      <c r="AB255" s="425"/>
      <c r="AC255" s="425"/>
      <c r="AD255" s="425"/>
      <c r="AE255" s="425"/>
      <c r="AF255" s="425"/>
      <c r="AG255" s="425"/>
      <c r="AH255" s="425"/>
      <c r="AI255" s="425"/>
      <c r="AJ255" s="425"/>
      <c r="AK255" s="425"/>
      <c r="AL255" s="425"/>
      <c r="AM255" s="425"/>
      <c r="AN255" s="425"/>
      <c r="AO255" s="425"/>
      <c r="AP255" s="425"/>
      <c r="AQ255" s="425"/>
      <c r="AR255" s="425"/>
      <c r="AS255" s="425"/>
      <c r="AT255" s="425"/>
      <c r="AU255" s="425"/>
      <c r="AV255" s="425"/>
      <c r="AW255" s="425"/>
      <c r="AX255" s="425"/>
      <c r="AY255" s="425"/>
      <c r="AZ255" s="425"/>
      <c r="BA255" s="425"/>
      <c r="BB255" s="425"/>
      <c r="BC255" s="425"/>
      <c r="BD255" s="425"/>
      <c r="BE255" s="425"/>
      <c r="BF255" s="425"/>
      <c r="BG255" s="425"/>
      <c r="BH255" s="425"/>
      <c r="BI255" s="425"/>
      <c r="BJ255" s="425"/>
      <c r="BK255" s="425"/>
      <c r="BL255" s="1072"/>
      <c r="BM255" s="425"/>
      <c r="BN255" s="425"/>
      <c r="BO255" s="425"/>
      <c r="BP255" s="425"/>
      <c r="BQ255" s="425"/>
      <c r="BR255" s="425"/>
      <c r="BS255" s="425"/>
      <c r="BT255" s="425"/>
      <c r="BU255" s="425"/>
      <c r="BV255" s="425"/>
      <c r="BW255" s="425"/>
      <c r="BX255" s="425"/>
      <c r="BY255" s="425"/>
      <c r="BZ255" s="425"/>
      <c r="CA255" s="425"/>
      <c r="CB255" s="425"/>
      <c r="CC255" s="425"/>
      <c r="CD255" s="425"/>
      <c r="CE255" s="328"/>
      <c r="CF255" s="328"/>
      <c r="CG255" s="328"/>
      <c r="CH255" s="328"/>
      <c r="CI255" s="328"/>
      <c r="CJ255" s="328"/>
      <c r="CK255" s="328"/>
      <c r="CL255" s="328"/>
    </row>
    <row r="256" spans="1:94" s="330" customFormat="1" ht="16.5" customHeight="1" thickBot="1" x14ac:dyDescent="0.25">
      <c r="A256" s="739" t="s">
        <v>796</v>
      </c>
      <c r="B256" s="738"/>
      <c r="C256" s="2618"/>
      <c r="D256" s="2631" t="s">
        <v>323</v>
      </c>
      <c r="E256" s="2646"/>
      <c r="F256" s="2631" t="s">
        <v>1025</v>
      </c>
      <c r="G256" s="2646"/>
      <c r="H256" s="2632" t="s">
        <v>1025</v>
      </c>
      <c r="I256" s="2632"/>
      <c r="J256" s="2892" t="s">
        <v>279</v>
      </c>
      <c r="K256" s="2893"/>
      <c r="L256" s="2530" t="s">
        <v>280</v>
      </c>
      <c r="M256" s="2531"/>
      <c r="N256" s="18"/>
      <c r="O256" s="328"/>
      <c r="P256" s="425"/>
      <c r="Q256" s="425"/>
      <c r="R256" s="425" t="s">
        <v>800</v>
      </c>
      <c r="S256" s="425" t="s">
        <v>1</v>
      </c>
      <c r="T256" s="425" t="s">
        <v>1</v>
      </c>
      <c r="U256" s="425"/>
      <c r="V256" s="425"/>
      <c r="W256" s="425"/>
      <c r="X256" s="425"/>
      <c r="Y256" s="425"/>
      <c r="Z256" s="425"/>
      <c r="AA256" s="425"/>
      <c r="AB256" s="425"/>
      <c r="AC256" s="425"/>
      <c r="AD256" s="425"/>
      <c r="AE256" s="425"/>
      <c r="AF256" s="425"/>
      <c r="AG256" s="425"/>
      <c r="AH256" s="425"/>
      <c r="AI256" s="425"/>
      <c r="AJ256" s="425"/>
      <c r="AK256" s="425"/>
      <c r="AL256" s="425"/>
      <c r="AM256" s="425"/>
      <c r="AN256" s="425"/>
      <c r="AO256" s="425"/>
      <c r="AP256" s="425"/>
      <c r="AQ256" s="425"/>
      <c r="AR256" s="425"/>
      <c r="AS256" s="425"/>
      <c r="AT256" s="425"/>
      <c r="AU256" s="425"/>
      <c r="AV256" s="425"/>
      <c r="AW256" s="425"/>
      <c r="AX256" s="425"/>
      <c r="AY256" s="425"/>
      <c r="AZ256" s="425"/>
      <c r="BA256" s="425"/>
      <c r="BB256" s="425"/>
      <c r="BC256" s="425"/>
      <c r="BD256" s="425"/>
      <c r="BE256" s="425"/>
      <c r="BF256" s="425"/>
      <c r="BG256" s="425"/>
      <c r="BH256" s="425"/>
      <c r="BI256" s="425"/>
      <c r="BJ256" s="425"/>
      <c r="BK256" s="425"/>
      <c r="BL256" s="1072"/>
      <c r="BM256" s="425"/>
      <c r="BN256" s="425"/>
      <c r="BO256" s="425"/>
      <c r="BP256" s="425"/>
      <c r="BQ256" s="425"/>
      <c r="BR256" s="425"/>
      <c r="BS256" s="425"/>
      <c r="BT256" s="425"/>
      <c r="BU256" s="425"/>
      <c r="BV256" s="425"/>
      <c r="BW256" s="425"/>
      <c r="BX256" s="425"/>
      <c r="BY256" s="425"/>
      <c r="BZ256" s="425"/>
      <c r="CA256" s="425"/>
      <c r="CB256" s="425"/>
      <c r="CC256" s="425"/>
      <c r="CD256" s="425"/>
      <c r="CE256" s="328"/>
      <c r="CF256" s="328"/>
      <c r="CG256" s="328"/>
      <c r="CH256" s="328"/>
      <c r="CI256" s="328"/>
      <c r="CJ256" s="328"/>
      <c r="CK256" s="328"/>
      <c r="CL256" s="328"/>
    </row>
    <row r="257" spans="1:90" s="330" customFormat="1" ht="18" customHeight="1" x14ac:dyDescent="0.2">
      <c r="A257" s="2633" t="s">
        <v>29</v>
      </c>
      <c r="B257" s="2634"/>
      <c r="C257" s="731"/>
      <c r="D257" s="2961" t="s">
        <v>279</v>
      </c>
      <c r="E257" s="2962"/>
      <c r="F257" s="2965"/>
      <c r="G257" s="2513"/>
      <c r="H257" s="2513"/>
      <c r="I257" s="2514"/>
      <c r="J257" s="2534" t="str">
        <f t="shared" ref="J257:J263" si="190">IF(P257=TRUE,F257/2*F257/2*3.1415926*H257," ")</f>
        <v xml:space="preserve"> </v>
      </c>
      <c r="K257" s="2535"/>
      <c r="L257" s="2506"/>
      <c r="M257" s="2507"/>
      <c r="N257" s="18"/>
      <c r="O257" s="328"/>
      <c r="P257" s="425" t="b">
        <f t="shared" ref="P257:P263" si="191">AND(F257&gt;0.1,H257&gt;0.1)</f>
        <v>0</v>
      </c>
      <c r="Q257" s="425" t="b">
        <v>0</v>
      </c>
      <c r="R257" s="475">
        <f>SUM(J257:M257)</f>
        <v>0</v>
      </c>
      <c r="S257" s="425">
        <f>IF(Q257=TRUE,R257,0)</f>
        <v>0</v>
      </c>
      <c r="T257" s="425" t="s">
        <v>12</v>
      </c>
      <c r="U257" s="425"/>
      <c r="V257" s="425"/>
      <c r="W257" s="425"/>
      <c r="X257" s="425"/>
      <c r="Y257" s="425"/>
      <c r="Z257" s="425"/>
      <c r="AA257" s="425"/>
      <c r="AB257" s="425"/>
      <c r="AC257" s="425"/>
      <c r="AD257" s="425"/>
      <c r="AE257" s="425"/>
      <c r="AF257" s="425"/>
      <c r="AG257" s="425"/>
      <c r="AH257" s="425"/>
      <c r="AI257" s="425"/>
      <c r="AJ257" s="425"/>
      <c r="AK257" s="425"/>
      <c r="AL257" s="425"/>
      <c r="AM257" s="425"/>
      <c r="AN257" s="425"/>
      <c r="AO257" s="425"/>
      <c r="AP257" s="425"/>
      <c r="AQ257" s="425"/>
      <c r="AR257" s="425"/>
      <c r="AS257" s="425"/>
      <c r="AT257" s="425"/>
      <c r="AU257" s="425"/>
      <c r="AV257" s="425"/>
      <c r="AW257" s="425"/>
      <c r="AX257" s="425"/>
      <c r="AY257" s="425"/>
      <c r="AZ257" s="425"/>
      <c r="BA257" s="425"/>
      <c r="BB257" s="425"/>
      <c r="BC257" s="425"/>
      <c r="BD257" s="425"/>
      <c r="BE257" s="425"/>
      <c r="BF257" s="425"/>
      <c r="BG257" s="425"/>
      <c r="BH257" s="425"/>
      <c r="BI257" s="425"/>
      <c r="BJ257" s="425"/>
      <c r="BK257" s="425"/>
      <c r="BL257" s="1072"/>
      <c r="BM257" s="425"/>
      <c r="BN257" s="425"/>
      <c r="BO257" s="425"/>
      <c r="BP257" s="425"/>
      <c r="BQ257" s="425"/>
      <c r="BR257" s="425"/>
      <c r="BS257" s="425"/>
      <c r="BT257" s="425"/>
      <c r="BU257" s="425"/>
      <c r="BV257" s="425"/>
      <c r="BW257" s="425"/>
      <c r="BX257" s="425"/>
      <c r="BY257" s="425"/>
      <c r="BZ257" s="425"/>
      <c r="CA257" s="425"/>
      <c r="CB257" s="425"/>
      <c r="CC257" s="425"/>
      <c r="CD257" s="425"/>
      <c r="CE257" s="328"/>
      <c r="CF257" s="328"/>
      <c r="CG257" s="328"/>
      <c r="CH257" s="328"/>
      <c r="CI257" s="328"/>
      <c r="CJ257" s="328"/>
      <c r="CK257" s="328"/>
      <c r="CL257" s="328"/>
    </row>
    <row r="258" spans="1:90" s="330" customFormat="1" ht="18" customHeight="1" x14ac:dyDescent="0.2">
      <c r="A258" s="2625" t="s">
        <v>30</v>
      </c>
      <c r="B258" s="2626"/>
      <c r="C258" s="732"/>
      <c r="D258" s="2627" t="s">
        <v>279</v>
      </c>
      <c r="E258" s="2628"/>
      <c r="F258" s="2615"/>
      <c r="G258" s="2616"/>
      <c r="H258" s="2616"/>
      <c r="I258" s="2624"/>
      <c r="J258" s="2528" t="str">
        <f t="shared" si="190"/>
        <v xml:space="preserve"> </v>
      </c>
      <c r="K258" s="2529"/>
      <c r="L258" s="2530"/>
      <c r="M258" s="2531"/>
      <c r="N258" s="18"/>
      <c r="O258" s="328"/>
      <c r="P258" s="425" t="b">
        <f t="shared" si="191"/>
        <v>0</v>
      </c>
      <c r="Q258" s="425" t="b">
        <v>0</v>
      </c>
      <c r="R258" s="475">
        <f t="shared" ref="R258:R269" si="192">SUM(J258:M258)</f>
        <v>0</v>
      </c>
      <c r="S258" s="425">
        <f t="shared" ref="S258:S269" si="193">IF(Q258=TRUE,R258,0)</f>
        <v>0</v>
      </c>
      <c r="T258" s="425" t="s">
        <v>802</v>
      </c>
      <c r="U258" s="425"/>
      <c r="V258" s="425"/>
      <c r="W258" s="425"/>
      <c r="X258" s="425"/>
      <c r="Y258" s="425"/>
      <c r="Z258" s="425"/>
      <c r="AA258" s="425"/>
      <c r="AB258" s="425"/>
      <c r="AC258" s="425"/>
      <c r="AD258" s="425"/>
      <c r="AE258" s="425"/>
      <c r="AF258" s="425"/>
      <c r="AG258" s="425"/>
      <c r="AH258" s="425"/>
      <c r="AI258" s="425"/>
      <c r="AJ258" s="425"/>
      <c r="AK258" s="425"/>
      <c r="AL258" s="425"/>
      <c r="AM258" s="425"/>
      <c r="AN258" s="425"/>
      <c r="AO258" s="425"/>
      <c r="AP258" s="425"/>
      <c r="AQ258" s="425"/>
      <c r="AR258" s="425"/>
      <c r="AS258" s="425"/>
      <c r="AT258" s="425"/>
      <c r="AU258" s="425"/>
      <c r="AV258" s="425"/>
      <c r="AW258" s="425"/>
      <c r="AX258" s="425"/>
      <c r="AY258" s="425"/>
      <c r="AZ258" s="425"/>
      <c r="BA258" s="425"/>
      <c r="BB258" s="425"/>
      <c r="BC258" s="425"/>
      <c r="BD258" s="425"/>
      <c r="BE258" s="425"/>
      <c r="BF258" s="425"/>
      <c r="BG258" s="425"/>
      <c r="BH258" s="425"/>
      <c r="BI258" s="425"/>
      <c r="BJ258" s="425"/>
      <c r="BK258" s="425"/>
      <c r="BL258" s="1072"/>
      <c r="BM258" s="425"/>
      <c r="BN258" s="425"/>
      <c r="BO258" s="425"/>
      <c r="BP258" s="425"/>
      <c r="BQ258" s="425"/>
      <c r="BR258" s="425"/>
      <c r="BS258" s="425"/>
      <c r="BT258" s="425"/>
      <c r="BU258" s="425"/>
      <c r="BV258" s="425"/>
      <c r="BW258" s="425"/>
      <c r="BX258" s="425"/>
      <c r="BY258" s="425"/>
      <c r="BZ258" s="425"/>
      <c r="CA258" s="425"/>
      <c r="CB258" s="425"/>
      <c r="CC258" s="425"/>
      <c r="CD258" s="425"/>
      <c r="CE258" s="328"/>
      <c r="CF258" s="328"/>
      <c r="CG258" s="328"/>
      <c r="CH258" s="328"/>
      <c r="CI258" s="328"/>
      <c r="CJ258" s="328"/>
      <c r="CK258" s="328"/>
      <c r="CL258" s="328"/>
    </row>
    <row r="259" spans="1:90" s="330" customFormat="1" ht="18" customHeight="1" x14ac:dyDescent="0.2">
      <c r="A259" s="2625" t="s">
        <v>31</v>
      </c>
      <c r="B259" s="2626"/>
      <c r="C259" s="732"/>
      <c r="D259" s="2627" t="s">
        <v>279</v>
      </c>
      <c r="E259" s="2628"/>
      <c r="F259" s="2615"/>
      <c r="G259" s="2616"/>
      <c r="H259" s="2616"/>
      <c r="I259" s="2624"/>
      <c r="J259" s="2528" t="str">
        <f t="shared" si="190"/>
        <v xml:space="preserve"> </v>
      </c>
      <c r="K259" s="2529"/>
      <c r="L259" s="2530"/>
      <c r="M259" s="2531"/>
      <c r="N259" s="18"/>
      <c r="O259" s="328"/>
      <c r="P259" s="425" t="b">
        <f t="shared" si="191"/>
        <v>0</v>
      </c>
      <c r="Q259" s="425" t="b">
        <v>0</v>
      </c>
      <c r="R259" s="475">
        <f t="shared" si="192"/>
        <v>0</v>
      </c>
      <c r="S259" s="425">
        <f t="shared" si="193"/>
        <v>0</v>
      </c>
      <c r="T259" s="425" t="s">
        <v>725</v>
      </c>
      <c r="U259" s="425"/>
      <c r="V259" s="425"/>
      <c r="W259" s="425"/>
      <c r="X259" s="425"/>
      <c r="Y259" s="425"/>
      <c r="Z259" s="425"/>
      <c r="AA259" s="425"/>
      <c r="AB259" s="425"/>
      <c r="AC259" s="425"/>
      <c r="AD259" s="425"/>
      <c r="AE259" s="425"/>
      <c r="AF259" s="425"/>
      <c r="AG259" s="425"/>
      <c r="AH259" s="425"/>
      <c r="AI259" s="425"/>
      <c r="AJ259" s="425"/>
      <c r="AK259" s="425"/>
      <c r="AL259" s="425"/>
      <c r="AM259" s="425"/>
      <c r="AN259" s="425"/>
      <c r="AO259" s="425"/>
      <c r="AP259" s="425"/>
      <c r="AQ259" s="425"/>
      <c r="AR259" s="425"/>
      <c r="AS259" s="425"/>
      <c r="AT259" s="425"/>
      <c r="AU259" s="425"/>
      <c r="AV259" s="425"/>
      <c r="AW259" s="425"/>
      <c r="AX259" s="425"/>
      <c r="AY259" s="425"/>
      <c r="AZ259" s="425"/>
      <c r="BA259" s="425"/>
      <c r="BB259" s="425"/>
      <c r="BC259" s="425"/>
      <c r="BD259" s="425"/>
      <c r="BE259" s="425"/>
      <c r="BF259" s="425"/>
      <c r="BG259" s="425"/>
      <c r="BH259" s="425"/>
      <c r="BI259" s="425"/>
      <c r="BJ259" s="425"/>
      <c r="BK259" s="425"/>
      <c r="BL259" s="1072"/>
      <c r="BM259" s="425"/>
      <c r="BN259" s="425"/>
      <c r="BO259" s="425"/>
      <c r="BP259" s="425"/>
      <c r="BQ259" s="425"/>
      <c r="BR259" s="425"/>
      <c r="BS259" s="425"/>
      <c r="BT259" s="425"/>
      <c r="BU259" s="425"/>
      <c r="BV259" s="425"/>
      <c r="BW259" s="425"/>
      <c r="BX259" s="425"/>
      <c r="BY259" s="425"/>
      <c r="BZ259" s="425"/>
      <c r="CA259" s="425"/>
      <c r="CB259" s="425"/>
      <c r="CC259" s="425"/>
      <c r="CD259" s="425"/>
      <c r="CE259" s="328"/>
      <c r="CF259" s="328"/>
      <c r="CG259" s="328"/>
      <c r="CH259" s="328"/>
      <c r="CI259" s="328"/>
      <c r="CJ259" s="328"/>
      <c r="CK259" s="328"/>
      <c r="CL259" s="328"/>
    </row>
    <row r="260" spans="1:90" s="330" customFormat="1" ht="18" customHeight="1" x14ac:dyDescent="0.2">
      <c r="A260" s="2625" t="s">
        <v>682</v>
      </c>
      <c r="B260" s="2626"/>
      <c r="C260" s="732"/>
      <c r="D260" s="2627" t="s">
        <v>279</v>
      </c>
      <c r="E260" s="2628"/>
      <c r="F260" s="2615"/>
      <c r="G260" s="2616"/>
      <c r="H260" s="2616"/>
      <c r="I260" s="2624"/>
      <c r="J260" s="2528" t="str">
        <f t="shared" si="190"/>
        <v xml:space="preserve"> </v>
      </c>
      <c r="K260" s="2529"/>
      <c r="L260" s="2530"/>
      <c r="M260" s="2531"/>
      <c r="N260" s="18"/>
      <c r="O260" s="328"/>
      <c r="P260" s="425" t="b">
        <f t="shared" si="191"/>
        <v>0</v>
      </c>
      <c r="Q260" s="425" t="b">
        <v>0</v>
      </c>
      <c r="R260" s="475">
        <f t="shared" si="192"/>
        <v>0</v>
      </c>
      <c r="S260" s="425">
        <f t="shared" si="193"/>
        <v>0</v>
      </c>
      <c r="T260" s="425" t="s">
        <v>724</v>
      </c>
      <c r="U260" s="425"/>
      <c r="V260" s="425"/>
      <c r="W260" s="425"/>
      <c r="X260" s="425"/>
      <c r="Y260" s="425"/>
      <c r="Z260" s="425"/>
      <c r="AA260" s="425"/>
      <c r="AB260" s="425"/>
      <c r="AC260" s="425"/>
      <c r="AD260" s="425"/>
      <c r="AE260" s="425"/>
      <c r="AF260" s="425"/>
      <c r="AG260" s="425"/>
      <c r="AH260" s="425"/>
      <c r="AI260" s="425"/>
      <c r="AJ260" s="425"/>
      <c r="AK260" s="425"/>
      <c r="AL260" s="425"/>
      <c r="AM260" s="425"/>
      <c r="AN260" s="425"/>
      <c r="AO260" s="425"/>
      <c r="AP260" s="425"/>
      <c r="AQ260" s="425"/>
      <c r="AR260" s="425"/>
      <c r="AS260" s="425"/>
      <c r="AT260" s="425"/>
      <c r="AU260" s="425"/>
      <c r="AV260" s="425"/>
      <c r="AW260" s="425"/>
      <c r="AX260" s="425"/>
      <c r="AY260" s="425"/>
      <c r="AZ260" s="425"/>
      <c r="BA260" s="425"/>
      <c r="BB260" s="425"/>
      <c r="BC260" s="425"/>
      <c r="BD260" s="425"/>
      <c r="BE260" s="425"/>
      <c r="BF260" s="425"/>
      <c r="BG260" s="425"/>
      <c r="BH260" s="425"/>
      <c r="BI260" s="425"/>
      <c r="BJ260" s="425"/>
      <c r="BK260" s="425"/>
      <c r="BL260" s="1072"/>
      <c r="BM260" s="425"/>
      <c r="BN260" s="425"/>
      <c r="BO260" s="425"/>
      <c r="BP260" s="425"/>
      <c r="BQ260" s="425"/>
      <c r="BR260" s="425"/>
      <c r="BS260" s="425"/>
      <c r="BT260" s="425"/>
      <c r="BU260" s="425"/>
      <c r="BV260" s="425"/>
      <c r="BW260" s="425"/>
      <c r="BX260" s="425"/>
      <c r="BY260" s="425"/>
      <c r="BZ260" s="425"/>
      <c r="CA260" s="425"/>
      <c r="CB260" s="425"/>
      <c r="CC260" s="425"/>
      <c r="CD260" s="425"/>
      <c r="CE260" s="328"/>
      <c r="CF260" s="328"/>
      <c r="CG260" s="328"/>
      <c r="CH260" s="328"/>
      <c r="CI260" s="328"/>
      <c r="CJ260" s="328"/>
      <c r="CK260" s="328"/>
      <c r="CL260" s="328"/>
    </row>
    <row r="261" spans="1:90" s="330" customFormat="1" ht="18" customHeight="1" x14ac:dyDescent="0.2">
      <c r="A261" s="2625" t="s">
        <v>683</v>
      </c>
      <c r="B261" s="2626"/>
      <c r="C261" s="732"/>
      <c r="D261" s="2627" t="s">
        <v>279</v>
      </c>
      <c r="E261" s="2628"/>
      <c r="F261" s="2615"/>
      <c r="G261" s="2616"/>
      <c r="H261" s="2616"/>
      <c r="I261" s="2624"/>
      <c r="J261" s="2528" t="str">
        <f>IF(P261=TRUE,F261/2*F261/2*3.1415926*H261," ")</f>
        <v xml:space="preserve"> </v>
      </c>
      <c r="K261" s="2529"/>
      <c r="L261" s="2530"/>
      <c r="M261" s="2531"/>
      <c r="N261" s="18"/>
      <c r="O261" s="328"/>
      <c r="P261" s="425" t="b">
        <f>AND(F261&gt;0.1,H261&gt;0.1)</f>
        <v>0</v>
      </c>
      <c r="Q261" s="425" t="b">
        <v>0</v>
      </c>
      <c r="R261" s="475">
        <f t="shared" si="192"/>
        <v>0</v>
      </c>
      <c r="S261" s="425">
        <f t="shared" si="193"/>
        <v>0</v>
      </c>
      <c r="T261" s="425" t="e">
        <f>+(BJ156+DU88)/(ED88+E156+E157)</f>
        <v>#DIV/0!</v>
      </c>
      <c r="U261" s="425"/>
      <c r="V261" s="425"/>
      <c r="W261" s="425"/>
      <c r="X261" s="425"/>
      <c r="Y261" s="425"/>
      <c r="Z261" s="425"/>
      <c r="AA261" s="425"/>
      <c r="AB261" s="425"/>
      <c r="AC261" s="425"/>
      <c r="AD261" s="425"/>
      <c r="AE261" s="425"/>
      <c r="AF261" s="425"/>
      <c r="AG261" s="425"/>
      <c r="AH261" s="425"/>
      <c r="AI261" s="425"/>
      <c r="AJ261" s="425"/>
      <c r="AK261" s="425"/>
      <c r="AL261" s="425"/>
      <c r="AM261" s="425"/>
      <c r="AN261" s="425"/>
      <c r="AO261" s="425"/>
      <c r="AP261" s="425"/>
      <c r="AQ261" s="425"/>
      <c r="AR261" s="425"/>
      <c r="AS261" s="425"/>
      <c r="AT261" s="425"/>
      <c r="AU261" s="425"/>
      <c r="AV261" s="425"/>
      <c r="AW261" s="425"/>
      <c r="AX261" s="425"/>
      <c r="AY261" s="425"/>
      <c r="AZ261" s="425"/>
      <c r="BA261" s="425"/>
      <c r="BB261" s="425"/>
      <c r="BC261" s="425"/>
      <c r="BD261" s="425"/>
      <c r="BE261" s="425"/>
      <c r="BF261" s="425"/>
      <c r="BG261" s="425"/>
      <c r="BH261" s="425"/>
      <c r="BI261" s="425"/>
      <c r="BJ261" s="425"/>
      <c r="BK261" s="425"/>
      <c r="BL261" s="1072"/>
      <c r="BM261" s="425"/>
      <c r="BN261" s="425"/>
      <c r="BO261" s="425"/>
      <c r="BP261" s="425"/>
      <c r="BQ261" s="425"/>
      <c r="BR261" s="425"/>
      <c r="BS261" s="425"/>
      <c r="BT261" s="425"/>
      <c r="BU261" s="425"/>
      <c r="BV261" s="425"/>
      <c r="BW261" s="425"/>
      <c r="BX261" s="425"/>
      <c r="BY261" s="425"/>
      <c r="BZ261" s="425"/>
      <c r="CA261" s="425"/>
      <c r="CB261" s="425"/>
      <c r="CC261" s="425"/>
      <c r="CD261" s="425"/>
      <c r="CE261" s="328"/>
      <c r="CF261" s="328"/>
      <c r="CG261" s="328"/>
      <c r="CH261" s="328"/>
      <c r="CI261" s="328"/>
      <c r="CJ261" s="328"/>
      <c r="CK261" s="328"/>
      <c r="CL261" s="328"/>
    </row>
    <row r="262" spans="1:90" s="330" customFormat="1" ht="18" customHeight="1" x14ac:dyDescent="0.2">
      <c r="A262" s="2625" t="s">
        <v>684</v>
      </c>
      <c r="B262" s="2626"/>
      <c r="C262" s="732"/>
      <c r="D262" s="2627" t="s">
        <v>279</v>
      </c>
      <c r="E262" s="2628"/>
      <c r="F262" s="2615"/>
      <c r="G262" s="2616"/>
      <c r="H262" s="2616"/>
      <c r="I262" s="2624"/>
      <c r="J262" s="2528" t="str">
        <f t="shared" si="190"/>
        <v xml:space="preserve"> </v>
      </c>
      <c r="K262" s="2529"/>
      <c r="L262" s="2530"/>
      <c r="M262" s="2531"/>
      <c r="N262" s="18"/>
      <c r="O262" s="328"/>
      <c r="P262" s="425" t="b">
        <f t="shared" si="191"/>
        <v>0</v>
      </c>
      <c r="Q262" s="425" t="b">
        <v>0</v>
      </c>
      <c r="R262" s="475">
        <f t="shared" si="192"/>
        <v>0</v>
      </c>
      <c r="S262" s="425">
        <f t="shared" si="193"/>
        <v>0</v>
      </c>
      <c r="T262" s="425"/>
      <c r="U262" s="425"/>
      <c r="V262" s="425"/>
      <c r="W262" s="425"/>
      <c r="X262" s="425"/>
      <c r="Y262" s="425"/>
      <c r="Z262" s="425"/>
      <c r="AA262" s="425"/>
      <c r="AB262" s="425"/>
      <c r="AC262" s="425"/>
      <c r="AD262" s="425"/>
      <c r="AE262" s="425"/>
      <c r="AF262" s="425"/>
      <c r="AG262" s="425"/>
      <c r="AH262" s="425"/>
      <c r="AI262" s="425"/>
      <c r="AJ262" s="425"/>
      <c r="AK262" s="425"/>
      <c r="AL262" s="425"/>
      <c r="AM262" s="425"/>
      <c r="AN262" s="425"/>
      <c r="AO262" s="425"/>
      <c r="AP262" s="425"/>
      <c r="AQ262" s="425"/>
      <c r="AR262" s="425"/>
      <c r="AS262" s="425"/>
      <c r="AT262" s="425"/>
      <c r="AU262" s="425"/>
      <c r="AV262" s="425"/>
      <c r="AW262" s="425"/>
      <c r="AX262" s="425"/>
      <c r="AY262" s="425"/>
      <c r="AZ262" s="425"/>
      <c r="BA262" s="425"/>
      <c r="BB262" s="425"/>
      <c r="BC262" s="425"/>
      <c r="BD262" s="425"/>
      <c r="BE262" s="425"/>
      <c r="BF262" s="425"/>
      <c r="BG262" s="425"/>
      <c r="BH262" s="425"/>
      <c r="BI262" s="425"/>
      <c r="BJ262" s="425"/>
      <c r="BK262" s="425"/>
      <c r="BL262" s="1072"/>
      <c r="BM262" s="425"/>
      <c r="BN262" s="425"/>
      <c r="BO262" s="425"/>
      <c r="BP262" s="425"/>
      <c r="BQ262" s="425"/>
      <c r="BR262" s="425"/>
      <c r="BS262" s="425"/>
      <c r="BT262" s="425"/>
      <c r="BU262" s="425"/>
      <c r="BV262" s="425"/>
      <c r="BW262" s="425"/>
      <c r="BX262" s="425"/>
      <c r="BY262" s="425"/>
      <c r="BZ262" s="425"/>
      <c r="CA262" s="425"/>
      <c r="CB262" s="425"/>
      <c r="CC262" s="425"/>
      <c r="CD262" s="425"/>
      <c r="CE262" s="328"/>
      <c r="CF262" s="328"/>
      <c r="CG262" s="328"/>
      <c r="CH262" s="328"/>
      <c r="CI262" s="328"/>
      <c r="CJ262" s="328"/>
      <c r="CK262" s="328"/>
      <c r="CL262" s="328"/>
    </row>
    <row r="263" spans="1:90" s="330" customFormat="1" ht="18" customHeight="1" thickBot="1" x14ac:dyDescent="0.25">
      <c r="A263" s="2974" t="s">
        <v>795</v>
      </c>
      <c r="B263" s="2975"/>
      <c r="C263" s="733"/>
      <c r="D263" s="2622" t="s">
        <v>279</v>
      </c>
      <c r="E263" s="2623"/>
      <c r="F263" s="2976"/>
      <c r="G263" s="2508"/>
      <c r="H263" s="2508"/>
      <c r="I263" s="2509"/>
      <c r="J263" s="2536" t="str">
        <f t="shared" si="190"/>
        <v xml:space="preserve"> </v>
      </c>
      <c r="K263" s="2537"/>
      <c r="L263" s="2641"/>
      <c r="M263" s="2642"/>
      <c r="N263" s="18"/>
      <c r="O263" s="328"/>
      <c r="P263" s="425" t="b">
        <f t="shared" si="191"/>
        <v>0</v>
      </c>
      <c r="Q263" s="425" t="b">
        <v>0</v>
      </c>
      <c r="R263" s="475">
        <f t="shared" si="192"/>
        <v>0</v>
      </c>
      <c r="S263" s="425">
        <f t="shared" si="193"/>
        <v>0</v>
      </c>
      <c r="T263" s="425"/>
      <c r="U263" s="425"/>
      <c r="V263" s="425"/>
      <c r="W263" s="425"/>
      <c r="X263" s="425"/>
      <c r="Y263" s="425"/>
      <c r="Z263" s="425"/>
      <c r="AA263" s="425"/>
      <c r="AB263" s="425"/>
      <c r="AC263" s="425"/>
      <c r="AD263" s="425"/>
      <c r="AE263" s="425"/>
      <c r="AF263" s="425"/>
      <c r="AG263" s="425"/>
      <c r="AH263" s="425"/>
      <c r="AI263" s="425"/>
      <c r="AJ263" s="425"/>
      <c r="AK263" s="425"/>
      <c r="AL263" s="425"/>
      <c r="AM263" s="425"/>
      <c r="AN263" s="425"/>
      <c r="AO263" s="425"/>
      <c r="AP263" s="425"/>
      <c r="AQ263" s="425"/>
      <c r="AR263" s="425"/>
      <c r="AS263" s="425"/>
      <c r="AT263" s="425"/>
      <c r="AU263" s="425"/>
      <c r="AV263" s="425"/>
      <c r="AW263" s="425"/>
      <c r="AX263" s="425"/>
      <c r="AY263" s="425"/>
      <c r="AZ263" s="425"/>
      <c r="BA263" s="425"/>
      <c r="BB263" s="425"/>
      <c r="BC263" s="425"/>
      <c r="BD263" s="425"/>
      <c r="BE263" s="425"/>
      <c r="BF263" s="425"/>
      <c r="BG263" s="425"/>
      <c r="BH263" s="425"/>
      <c r="BI263" s="425"/>
      <c r="BJ263" s="425"/>
      <c r="BK263" s="425"/>
      <c r="BL263" s="1072"/>
      <c r="BM263" s="425"/>
      <c r="BN263" s="425"/>
      <c r="BO263" s="425"/>
      <c r="BP263" s="425"/>
      <c r="BQ263" s="425"/>
      <c r="BR263" s="425"/>
      <c r="BS263" s="425"/>
      <c r="BT263" s="425"/>
      <c r="BU263" s="425"/>
      <c r="BV263" s="425"/>
      <c r="BW263" s="425"/>
      <c r="BX263" s="425"/>
      <c r="BY263" s="425"/>
      <c r="BZ263" s="425"/>
      <c r="CA263" s="425"/>
      <c r="CB263" s="425"/>
      <c r="CC263" s="425"/>
      <c r="CD263" s="425"/>
      <c r="CE263" s="328"/>
      <c r="CF263" s="328"/>
      <c r="CG263" s="328"/>
      <c r="CH263" s="328"/>
      <c r="CI263" s="328"/>
      <c r="CJ263" s="328"/>
      <c r="CK263" s="328"/>
      <c r="CL263" s="328"/>
    </row>
    <row r="264" spans="1:90" s="330" customFormat="1" ht="16.5" customHeight="1" x14ac:dyDescent="0.2">
      <c r="A264" s="831" t="s">
        <v>844</v>
      </c>
      <c r="B264" s="740"/>
      <c r="C264" s="2617" t="s">
        <v>721</v>
      </c>
      <c r="D264" s="2631" t="s">
        <v>289</v>
      </c>
      <c r="E264" s="2646"/>
      <c r="F264" s="701" t="s">
        <v>32</v>
      </c>
      <c r="G264" s="701" t="s">
        <v>33</v>
      </c>
      <c r="H264" s="2631" t="s">
        <v>346</v>
      </c>
      <c r="I264" s="2632"/>
      <c r="J264" s="2902"/>
      <c r="K264" s="2903"/>
      <c r="L264" s="2637" t="str">
        <f>IF(Y270&gt;0,"!!Fehler!!"," ")</f>
        <v xml:space="preserve"> </v>
      </c>
      <c r="M264" s="2638"/>
      <c r="N264" s="18"/>
      <c r="O264" s="328"/>
      <c r="P264" s="425"/>
      <c r="Q264" s="425"/>
      <c r="R264" s="475">
        <f t="shared" si="192"/>
        <v>0</v>
      </c>
      <c r="S264" s="425">
        <f t="shared" si="193"/>
        <v>0</v>
      </c>
      <c r="T264" s="425"/>
      <c r="U264" s="425"/>
      <c r="V264" s="425"/>
      <c r="W264" s="425"/>
      <c r="X264" s="425"/>
      <c r="Y264" s="425" t="s">
        <v>805</v>
      </c>
      <c r="Z264" s="425"/>
      <c r="AA264" s="425"/>
      <c r="AB264" s="425"/>
      <c r="AC264" s="425"/>
      <c r="AD264" s="425"/>
      <c r="AE264" s="425"/>
      <c r="AF264" s="425"/>
      <c r="AG264" s="425"/>
      <c r="AH264" s="425"/>
      <c r="AI264" s="425"/>
      <c r="AJ264" s="425"/>
      <c r="AK264" s="425"/>
      <c r="AL264" s="425"/>
      <c r="AM264" s="425"/>
      <c r="AN264" s="425"/>
      <c r="AO264" s="425"/>
      <c r="AP264" s="425"/>
      <c r="AQ264" s="425"/>
      <c r="AR264" s="425"/>
      <c r="AS264" s="425"/>
      <c r="AT264" s="425"/>
      <c r="AU264" s="425"/>
      <c r="AV264" s="425"/>
      <c r="AW264" s="425"/>
      <c r="AX264" s="425"/>
      <c r="AY264" s="425"/>
      <c r="AZ264" s="425"/>
      <c r="BA264" s="425"/>
      <c r="BB264" s="425"/>
      <c r="BC264" s="425"/>
      <c r="BD264" s="425"/>
      <c r="BE264" s="425"/>
      <c r="BF264" s="425"/>
      <c r="BG264" s="425"/>
      <c r="BH264" s="425"/>
      <c r="BI264" s="425"/>
      <c r="BJ264" s="425"/>
      <c r="BK264" s="425"/>
      <c r="BL264" s="1072"/>
      <c r="BM264" s="425"/>
      <c r="BN264" s="425"/>
      <c r="BO264" s="425"/>
      <c r="BP264" s="425"/>
      <c r="BQ264" s="425"/>
      <c r="BR264" s="425"/>
      <c r="BS264" s="425"/>
      <c r="BT264" s="425"/>
      <c r="BU264" s="425"/>
      <c r="BV264" s="425"/>
      <c r="BW264" s="425"/>
      <c r="BX264" s="425"/>
      <c r="BY264" s="425"/>
      <c r="BZ264" s="425"/>
      <c r="CA264" s="425"/>
      <c r="CB264" s="425"/>
      <c r="CC264" s="425"/>
      <c r="CD264" s="425"/>
      <c r="CE264" s="328"/>
      <c r="CF264" s="328"/>
      <c r="CG264" s="328"/>
      <c r="CH264" s="328"/>
      <c r="CI264" s="328"/>
      <c r="CJ264" s="328"/>
      <c r="CK264" s="328"/>
      <c r="CL264" s="328"/>
    </row>
    <row r="265" spans="1:90" s="330" customFormat="1" ht="16.5" customHeight="1" thickBot="1" x14ac:dyDescent="0.25">
      <c r="A265" s="831" t="s">
        <v>845</v>
      </c>
      <c r="B265" s="740"/>
      <c r="C265" s="2618"/>
      <c r="D265" s="2631" t="s">
        <v>323</v>
      </c>
      <c r="E265" s="2646"/>
      <c r="F265" s="701" t="s">
        <v>1025</v>
      </c>
      <c r="G265" s="701" t="s">
        <v>1025</v>
      </c>
      <c r="H265" s="2629" t="s">
        <v>1025</v>
      </c>
      <c r="I265" s="2630"/>
      <c r="J265" s="2647"/>
      <c r="K265" s="2648"/>
      <c r="L265" s="2613" t="str">
        <f>IF(Y270&gt;0,"Ferm. fest"," ")</f>
        <v xml:space="preserve"> </v>
      </c>
      <c r="M265" s="2614"/>
      <c r="N265" s="18"/>
      <c r="O265" s="328"/>
      <c r="P265" s="425"/>
      <c r="Q265" s="425"/>
      <c r="R265" s="475">
        <f t="shared" si="192"/>
        <v>0</v>
      </c>
      <c r="S265" s="425">
        <f t="shared" si="193"/>
        <v>0</v>
      </c>
      <c r="T265" s="425"/>
      <c r="U265" s="425" t="s">
        <v>23</v>
      </c>
      <c r="V265" s="425"/>
      <c r="W265" s="425"/>
      <c r="X265" s="425"/>
      <c r="Y265" s="425" t="s">
        <v>721</v>
      </c>
      <c r="Z265" s="425"/>
      <c r="AA265" s="425"/>
      <c r="AB265" s="425"/>
      <c r="AC265" s="425"/>
      <c r="AD265" s="425"/>
      <c r="AE265" s="425"/>
      <c r="AF265" s="425"/>
      <c r="AG265" s="425"/>
      <c r="AH265" s="425"/>
      <c r="AI265" s="425"/>
      <c r="AJ265" s="425"/>
      <c r="AK265" s="425"/>
      <c r="AL265" s="425"/>
      <c r="AM265" s="425"/>
      <c r="AN265" s="425"/>
      <c r="AO265" s="425"/>
      <c r="AP265" s="425"/>
      <c r="AQ265" s="425"/>
      <c r="AR265" s="425"/>
      <c r="AS265" s="425"/>
      <c r="AT265" s="425"/>
      <c r="AU265" s="425"/>
      <c r="AV265" s="425"/>
      <c r="AW265" s="425"/>
      <c r="AX265" s="425"/>
      <c r="AY265" s="425"/>
      <c r="AZ265" s="425"/>
      <c r="BA265" s="425"/>
      <c r="BB265" s="425"/>
      <c r="BC265" s="425"/>
      <c r="BD265" s="425"/>
      <c r="BE265" s="425"/>
      <c r="BF265" s="425"/>
      <c r="BG265" s="425"/>
      <c r="BH265" s="425"/>
      <c r="BI265" s="425"/>
      <c r="BJ265" s="425"/>
      <c r="BK265" s="425"/>
      <c r="BL265" s="1072"/>
      <c r="BM265" s="425"/>
      <c r="BN265" s="425"/>
      <c r="BO265" s="425"/>
      <c r="BP265" s="425"/>
      <c r="BQ265" s="425"/>
      <c r="BR265" s="425"/>
      <c r="BS265" s="425"/>
      <c r="BT265" s="425"/>
      <c r="BU265" s="425"/>
      <c r="BV265" s="425"/>
      <c r="BW265" s="425"/>
      <c r="BX265" s="425"/>
      <c r="BY265" s="425"/>
      <c r="BZ265" s="425"/>
      <c r="CA265" s="425"/>
      <c r="CB265" s="425"/>
      <c r="CC265" s="425"/>
      <c r="CD265" s="425"/>
      <c r="CE265" s="328"/>
      <c r="CF265" s="328"/>
      <c r="CG265" s="328"/>
      <c r="CH265" s="328"/>
      <c r="CI265" s="328"/>
      <c r="CJ265" s="328"/>
      <c r="CK265" s="328"/>
      <c r="CL265" s="328"/>
    </row>
    <row r="266" spans="1:90" s="330" customFormat="1" ht="18" customHeight="1" x14ac:dyDescent="0.2">
      <c r="A266" s="2633" t="s">
        <v>679</v>
      </c>
      <c r="B266" s="2634"/>
      <c r="C266" s="731"/>
      <c r="D266" s="2957"/>
      <c r="E266" s="2958"/>
      <c r="F266" s="347"/>
      <c r="G266" s="344"/>
      <c r="H266" s="2513"/>
      <c r="I266" s="2514"/>
      <c r="J266" s="2534" t="str">
        <f>IF(P266=TRUE,IF(X266=2,F266*G266*H266," ")," ")</f>
        <v xml:space="preserve"> </v>
      </c>
      <c r="K266" s="2535"/>
      <c r="L266" s="2534" t="str">
        <f>IF(P266=TRUE,IF(X266=3,F266*G266*H266," ")," ")</f>
        <v xml:space="preserve"> </v>
      </c>
      <c r="M266" s="2535"/>
      <c r="N266" s="18"/>
      <c r="O266" s="328"/>
      <c r="P266" s="425" t="b">
        <f>AND(F266&gt;0.1,G266&gt;0.1,H266&gt;0.1)</f>
        <v>0</v>
      </c>
      <c r="Q266" s="425" t="b">
        <v>0</v>
      </c>
      <c r="R266" s="475">
        <f t="shared" si="192"/>
        <v>0</v>
      </c>
      <c r="S266" s="425">
        <f t="shared" si="193"/>
        <v>0</v>
      </c>
      <c r="T266" s="425" t="s">
        <v>803</v>
      </c>
      <c r="U266" s="425" t="s">
        <v>279</v>
      </c>
      <c r="V266" s="425"/>
      <c r="W266" s="425"/>
      <c r="X266" s="425">
        <v>1</v>
      </c>
      <c r="Y266" s="425">
        <f>IF(X266=3,IF(Q266=TRUE,1,0),0)</f>
        <v>0</v>
      </c>
      <c r="Z266" s="425"/>
      <c r="AA266" s="425"/>
      <c r="AB266" s="425"/>
      <c r="AC266" s="425"/>
      <c r="AD266" s="425"/>
      <c r="AE266" s="425"/>
      <c r="AF266" s="425"/>
      <c r="AG266" s="425"/>
      <c r="AH266" s="425"/>
      <c r="AI266" s="425"/>
      <c r="AJ266" s="425"/>
      <c r="AK266" s="425"/>
      <c r="AL266" s="425"/>
      <c r="AM266" s="425"/>
      <c r="AN266" s="425"/>
      <c r="AO266" s="425"/>
      <c r="AP266" s="425"/>
      <c r="AQ266" s="425"/>
      <c r="AR266" s="425"/>
      <c r="AS266" s="425"/>
      <c r="AT266" s="425"/>
      <c r="AU266" s="425"/>
      <c r="AV266" s="425"/>
      <c r="AW266" s="425"/>
      <c r="AX266" s="425"/>
      <c r="AY266" s="425"/>
      <c r="AZ266" s="425"/>
      <c r="BA266" s="425"/>
      <c r="BB266" s="425"/>
      <c r="BC266" s="425"/>
      <c r="BD266" s="425"/>
      <c r="BE266" s="425"/>
      <c r="BF266" s="425"/>
      <c r="BG266" s="425"/>
      <c r="BH266" s="425"/>
      <c r="BI266" s="425"/>
      <c r="BJ266" s="425"/>
      <c r="BK266" s="425"/>
      <c r="BL266" s="1072"/>
      <c r="BM266" s="425"/>
      <c r="BN266" s="425"/>
      <c r="BO266" s="425"/>
      <c r="BP266" s="425"/>
      <c r="BQ266" s="425"/>
      <c r="BR266" s="425"/>
      <c r="BS266" s="425"/>
      <c r="BT266" s="425"/>
      <c r="BU266" s="425"/>
      <c r="BV266" s="425"/>
      <c r="BW266" s="425"/>
      <c r="BX266" s="425"/>
      <c r="BY266" s="425"/>
      <c r="BZ266" s="425"/>
      <c r="CA266" s="425"/>
      <c r="CB266" s="425"/>
      <c r="CC266" s="425"/>
      <c r="CD266" s="425"/>
      <c r="CE266" s="328"/>
      <c r="CF266" s="328"/>
      <c r="CG266" s="328"/>
      <c r="CH266" s="328"/>
      <c r="CI266" s="328"/>
      <c r="CJ266" s="328"/>
      <c r="CK266" s="328"/>
      <c r="CL266" s="328"/>
    </row>
    <row r="267" spans="1:90" s="330" customFormat="1" ht="18" customHeight="1" x14ac:dyDescent="0.2">
      <c r="A267" s="2625" t="s">
        <v>680</v>
      </c>
      <c r="B267" s="2626"/>
      <c r="C267" s="732"/>
      <c r="D267" s="2955"/>
      <c r="E267" s="2956"/>
      <c r="F267" s="348"/>
      <c r="G267" s="345"/>
      <c r="H267" s="2616"/>
      <c r="I267" s="2624"/>
      <c r="J267" s="2528" t="str">
        <f>IF(P267=TRUE,IF(X267=2,F267*G267*H267," ")," ")</f>
        <v xml:space="preserve"> </v>
      </c>
      <c r="K267" s="2529"/>
      <c r="L267" s="2528" t="str">
        <f>IF(P267=TRUE,IF(X267=3,F267*G267*H267," ")," ")</f>
        <v xml:space="preserve"> </v>
      </c>
      <c r="M267" s="2529"/>
      <c r="N267" s="18"/>
      <c r="O267" s="328"/>
      <c r="P267" s="425" t="b">
        <f>AND(F267&gt;0.1,G267&gt;0.1,H267&gt;0.1)</f>
        <v>0</v>
      </c>
      <c r="Q267" s="425" t="b">
        <v>0</v>
      </c>
      <c r="R267" s="475">
        <f t="shared" si="192"/>
        <v>0</v>
      </c>
      <c r="S267" s="425">
        <f t="shared" si="193"/>
        <v>0</v>
      </c>
      <c r="T267" s="425" t="e">
        <f>+(ED88+E156+E157+F39)/365*T261</f>
        <v>#DIV/0!</v>
      </c>
      <c r="U267" s="425" t="s">
        <v>280</v>
      </c>
      <c r="V267" s="425"/>
      <c r="W267" s="425"/>
      <c r="X267" s="425">
        <v>1</v>
      </c>
      <c r="Y267" s="425">
        <f>IF(X267=3,IF(Q267=TRUE,1,0),0)</f>
        <v>0</v>
      </c>
      <c r="Z267" s="425"/>
      <c r="AA267" s="425"/>
      <c r="AB267" s="425"/>
      <c r="AC267" s="425"/>
      <c r="AD267" s="425"/>
      <c r="AE267" s="425"/>
      <c r="AF267" s="425"/>
      <c r="AG267" s="425"/>
      <c r="AH267" s="425"/>
      <c r="AI267" s="425"/>
      <c r="AJ267" s="425"/>
      <c r="AK267" s="425"/>
      <c r="AL267" s="425"/>
      <c r="AM267" s="425"/>
      <c r="AN267" s="425"/>
      <c r="AO267" s="425"/>
      <c r="AP267" s="425"/>
      <c r="AQ267" s="425"/>
      <c r="AR267" s="425"/>
      <c r="AS267" s="425"/>
      <c r="AT267" s="425"/>
      <c r="AU267" s="425"/>
      <c r="AV267" s="425"/>
      <c r="AW267" s="425"/>
      <c r="AX267" s="425"/>
      <c r="AY267" s="425"/>
      <c r="AZ267" s="425"/>
      <c r="BA267" s="425"/>
      <c r="BB267" s="425"/>
      <c r="BC267" s="425"/>
      <c r="BD267" s="425"/>
      <c r="BE267" s="425"/>
      <c r="BF267" s="425"/>
      <c r="BG267" s="425"/>
      <c r="BH267" s="425"/>
      <c r="BI267" s="425"/>
      <c r="BJ267" s="425"/>
      <c r="BK267" s="425"/>
      <c r="BL267" s="1072"/>
      <c r="BM267" s="425"/>
      <c r="BN267" s="425"/>
      <c r="BO267" s="425"/>
      <c r="BP267" s="425"/>
      <c r="BQ267" s="425"/>
      <c r="BR267" s="425"/>
      <c r="BS267" s="425"/>
      <c r="BT267" s="425"/>
      <c r="BU267" s="425"/>
      <c r="BV267" s="425"/>
      <c r="BW267" s="425"/>
      <c r="BX267" s="425"/>
      <c r="BY267" s="425"/>
      <c r="BZ267" s="425"/>
      <c r="CA267" s="425"/>
      <c r="CB267" s="425"/>
      <c r="CC267" s="425"/>
      <c r="CD267" s="425"/>
      <c r="CE267" s="328"/>
      <c r="CF267" s="328"/>
      <c r="CG267" s="328"/>
      <c r="CH267" s="328"/>
      <c r="CI267" s="328"/>
      <c r="CJ267" s="328"/>
      <c r="CK267" s="328"/>
      <c r="CL267" s="328"/>
    </row>
    <row r="268" spans="1:90" s="330" customFormat="1" ht="18" customHeight="1" x14ac:dyDescent="0.2">
      <c r="A268" s="2625" t="s">
        <v>681</v>
      </c>
      <c r="B268" s="2626"/>
      <c r="C268" s="732"/>
      <c r="D268" s="2955"/>
      <c r="E268" s="2956"/>
      <c r="F268" s="348"/>
      <c r="G268" s="345"/>
      <c r="H268" s="2616"/>
      <c r="I268" s="2624"/>
      <c r="J268" s="2528" t="str">
        <f>IF(P268=TRUE,IF(X268=2,F268*G268*H268," ")," ")</f>
        <v xml:space="preserve"> </v>
      </c>
      <c r="K268" s="2529"/>
      <c r="L268" s="2528" t="str">
        <f>IF(P268=TRUE,IF(X268=3,F268*G268*H268," ")," ")</f>
        <v xml:space="preserve"> </v>
      </c>
      <c r="M268" s="2529"/>
      <c r="N268" s="18"/>
      <c r="O268" s="328"/>
      <c r="P268" s="425" t="b">
        <f>AND(F268&gt;0.1,G268&gt;0.1,H268&gt;0.1)</f>
        <v>0</v>
      </c>
      <c r="Q268" s="425" t="b">
        <v>0</v>
      </c>
      <c r="R268" s="475">
        <f t="shared" si="192"/>
        <v>0</v>
      </c>
      <c r="S268" s="425">
        <f t="shared" si="193"/>
        <v>0</v>
      </c>
      <c r="T268" s="330" t="s">
        <v>322</v>
      </c>
      <c r="U268" s="425"/>
      <c r="V268" s="425"/>
      <c r="W268" s="425"/>
      <c r="X268" s="425">
        <v>1</v>
      </c>
      <c r="Y268" s="425">
        <f>IF(X268=3,IF(Q268=TRUE,1,0),0)</f>
        <v>0</v>
      </c>
      <c r="Z268" s="425"/>
      <c r="AA268" s="425"/>
      <c r="AB268" s="425"/>
      <c r="AC268" s="425"/>
      <c r="AD268" s="425"/>
      <c r="AE268" s="425"/>
      <c r="AF268" s="425"/>
      <c r="AG268" s="425"/>
      <c r="AH268" s="425"/>
      <c r="AI268" s="425"/>
      <c r="AJ268" s="425"/>
      <c r="AK268" s="425"/>
      <c r="AL268" s="425"/>
      <c r="AM268" s="425"/>
      <c r="AN268" s="425"/>
      <c r="AO268" s="425"/>
      <c r="AP268" s="425"/>
      <c r="AQ268" s="425"/>
      <c r="AR268" s="425"/>
      <c r="AS268" s="425"/>
      <c r="AT268" s="425"/>
      <c r="AU268" s="425"/>
      <c r="AV268" s="425"/>
      <c r="AW268" s="425"/>
      <c r="AX268" s="425"/>
      <c r="AY268" s="425"/>
      <c r="AZ268" s="425"/>
      <c r="BA268" s="425"/>
      <c r="BB268" s="425"/>
      <c r="BC268" s="425"/>
      <c r="BD268" s="425"/>
      <c r="BE268" s="425"/>
      <c r="BF268" s="425"/>
      <c r="BG268" s="425"/>
      <c r="BH268" s="425"/>
      <c r="BI268" s="425"/>
      <c r="BJ268" s="425"/>
      <c r="BK268" s="425"/>
      <c r="BL268" s="1072"/>
      <c r="BM268" s="425"/>
      <c r="BN268" s="425"/>
      <c r="BO268" s="425"/>
      <c r="BP268" s="425"/>
      <c r="BQ268" s="425"/>
      <c r="BR268" s="425"/>
      <c r="BS268" s="425"/>
      <c r="BT268" s="425"/>
      <c r="BU268" s="425"/>
      <c r="BV268" s="425"/>
      <c r="BW268" s="425"/>
      <c r="BX268" s="425"/>
      <c r="BY268" s="425"/>
      <c r="BZ268" s="425"/>
      <c r="CA268" s="425"/>
      <c r="CB268" s="425"/>
      <c r="CC268" s="425"/>
      <c r="CD268" s="425"/>
      <c r="CE268" s="328"/>
      <c r="CF268" s="328"/>
      <c r="CG268" s="328"/>
      <c r="CH268" s="328"/>
      <c r="CI268" s="328"/>
      <c r="CJ268" s="328"/>
      <c r="CK268" s="328"/>
      <c r="CL268" s="328"/>
    </row>
    <row r="269" spans="1:90" s="330" customFormat="1" ht="18" customHeight="1" thickBot="1" x14ac:dyDescent="0.25">
      <c r="A269" s="2974" t="s">
        <v>292</v>
      </c>
      <c r="B269" s="2975"/>
      <c r="C269" s="733"/>
      <c r="D269" s="2924"/>
      <c r="E269" s="2925"/>
      <c r="F269" s="349"/>
      <c r="G269" s="346"/>
      <c r="H269" s="2508"/>
      <c r="I269" s="2509"/>
      <c r="J269" s="2536" t="str">
        <f>IF(P269=TRUE,IF(X269=2,F269*G269*H269," ")," ")</f>
        <v xml:space="preserve"> </v>
      </c>
      <c r="K269" s="2537"/>
      <c r="L269" s="2536" t="str">
        <f>IF(P269=TRUE,IF(X269=3,F269*G269*H269," ")," ")</f>
        <v xml:space="preserve"> </v>
      </c>
      <c r="M269" s="2537"/>
      <c r="N269" s="18"/>
      <c r="O269" s="328"/>
      <c r="P269" s="425" t="b">
        <f>AND(F269&gt;0.1,G269&gt;0.1,H269&gt;0.1)</f>
        <v>0</v>
      </c>
      <c r="Q269" s="425" t="b">
        <v>0</v>
      </c>
      <c r="R269" s="475">
        <f t="shared" si="192"/>
        <v>0</v>
      </c>
      <c r="S269" s="425">
        <f t="shared" si="193"/>
        <v>0</v>
      </c>
      <c r="T269" s="425" t="e">
        <f>+R171/365*T261</f>
        <v>#DIV/0!</v>
      </c>
      <c r="U269" s="425"/>
      <c r="V269" s="425"/>
      <c r="W269" s="425"/>
      <c r="X269" s="425">
        <v>1</v>
      </c>
      <c r="Y269" s="425">
        <f>IF(X269=3,IF(Q269=TRUE,1,0),0)</f>
        <v>0</v>
      </c>
      <c r="Z269" s="425"/>
      <c r="AA269" s="425"/>
      <c r="AB269" s="425"/>
      <c r="AC269" s="425"/>
      <c r="AD269" s="425"/>
      <c r="AE269" s="425"/>
      <c r="AF269" s="425"/>
      <c r="AG269" s="425"/>
      <c r="AH269" s="425"/>
      <c r="AI269" s="425"/>
      <c r="AJ269" s="425"/>
      <c r="AK269" s="425"/>
      <c r="AL269" s="425"/>
      <c r="AM269" s="425"/>
      <c r="AN269" s="425"/>
      <c r="AO269" s="425"/>
      <c r="AP269" s="425"/>
      <c r="AQ269" s="425"/>
      <c r="AR269" s="425"/>
      <c r="AS269" s="425"/>
      <c r="AT269" s="425"/>
      <c r="AU269" s="425"/>
      <c r="AV269" s="425"/>
      <c r="AW269" s="425"/>
      <c r="AX269" s="425"/>
      <c r="AY269" s="425"/>
      <c r="AZ269" s="425"/>
      <c r="BA269" s="425"/>
      <c r="BB269" s="425"/>
      <c r="BC269" s="425"/>
      <c r="BD269" s="425"/>
      <c r="BE269" s="425"/>
      <c r="BF269" s="425"/>
      <c r="BG269" s="425"/>
      <c r="BH269" s="425"/>
      <c r="BI269" s="425"/>
      <c r="BJ269" s="425"/>
      <c r="BK269" s="425"/>
      <c r="BL269" s="1072"/>
      <c r="BM269" s="425"/>
      <c r="BN269" s="425"/>
      <c r="BO269" s="425"/>
      <c r="BP269" s="425"/>
      <c r="BQ269" s="425"/>
      <c r="BR269" s="425"/>
      <c r="BS269" s="425"/>
      <c r="BT269" s="425"/>
      <c r="BU269" s="425"/>
      <c r="BV269" s="425"/>
      <c r="BW269" s="425"/>
      <c r="BX269" s="425"/>
      <c r="BY269" s="425"/>
      <c r="BZ269" s="425"/>
      <c r="CA269" s="425"/>
      <c r="CB269" s="425"/>
      <c r="CC269" s="425"/>
      <c r="CD269" s="425"/>
      <c r="CE269" s="328"/>
      <c r="CF269" s="328"/>
      <c r="CG269" s="328"/>
      <c r="CH269" s="328"/>
      <c r="CI269" s="328"/>
      <c r="CJ269" s="328"/>
      <c r="CK269" s="328"/>
      <c r="CL269" s="328"/>
    </row>
    <row r="270" spans="1:90" s="330" customFormat="1" ht="21" customHeight="1" thickBot="1" x14ac:dyDescent="0.25">
      <c r="A270" s="2573" t="s">
        <v>847</v>
      </c>
      <c r="B270" s="2574"/>
      <c r="C270" s="2574"/>
      <c r="D270" s="2574"/>
      <c r="E270" s="2574"/>
      <c r="F270" s="2574"/>
      <c r="G270" s="2574"/>
      <c r="H270" s="2574"/>
      <c r="I270" s="2575"/>
      <c r="J270" s="2639"/>
      <c r="K270" s="2640"/>
      <c r="L270" s="2639"/>
      <c r="M270" s="2640"/>
      <c r="N270" s="18"/>
      <c r="O270" s="328"/>
      <c r="P270" s="425"/>
      <c r="Q270" s="425"/>
      <c r="R270" s="425" t="s">
        <v>542</v>
      </c>
      <c r="S270" s="425">
        <f>SUM(S257:S269)</f>
        <v>0</v>
      </c>
      <c r="T270" s="330">
        <f>IF(ED88+E156+E157=0,0,T269+T267)</f>
        <v>0</v>
      </c>
      <c r="U270" s="425"/>
      <c r="V270" s="425"/>
      <c r="W270" s="425"/>
      <c r="X270" s="425"/>
      <c r="Y270" s="425">
        <f>SUM(Y266:Y269)</f>
        <v>0</v>
      </c>
      <c r="Z270" s="425"/>
      <c r="AA270" s="425"/>
      <c r="AB270" s="425"/>
      <c r="AC270" s="425"/>
      <c r="AD270" s="425"/>
      <c r="AE270" s="425"/>
      <c r="AF270" s="425"/>
      <c r="AG270" s="425"/>
      <c r="AH270" s="425"/>
      <c r="AI270" s="425"/>
      <c r="AJ270" s="425"/>
      <c r="AK270" s="425"/>
      <c r="AL270" s="425"/>
      <c r="AM270" s="425"/>
      <c r="AN270" s="425"/>
      <c r="AO270" s="425"/>
      <c r="AP270" s="425"/>
      <c r="AQ270" s="425"/>
      <c r="AR270" s="425"/>
      <c r="AS270" s="425"/>
      <c r="AT270" s="425"/>
      <c r="AU270" s="425"/>
      <c r="AV270" s="425"/>
      <c r="AW270" s="425"/>
      <c r="AX270" s="425"/>
      <c r="AY270" s="425"/>
      <c r="AZ270" s="425"/>
      <c r="BA270" s="425"/>
      <c r="BB270" s="425"/>
      <c r="BC270" s="425"/>
      <c r="BD270" s="425"/>
      <c r="BE270" s="425"/>
      <c r="BF270" s="425"/>
      <c r="BG270" s="425"/>
      <c r="BH270" s="425"/>
      <c r="BI270" s="425"/>
      <c r="BJ270" s="425"/>
      <c r="BK270" s="425"/>
      <c r="BL270" s="1072"/>
      <c r="BM270" s="425"/>
      <c r="BN270" s="425"/>
      <c r="BO270" s="425"/>
      <c r="BP270" s="425"/>
      <c r="BQ270" s="425"/>
      <c r="BR270" s="425"/>
      <c r="BS270" s="425"/>
      <c r="BT270" s="425"/>
      <c r="BU270" s="425"/>
      <c r="BV270" s="425"/>
      <c r="BW270" s="425"/>
      <c r="BX270" s="425"/>
      <c r="BY270" s="425"/>
      <c r="BZ270" s="425"/>
      <c r="CA270" s="425"/>
      <c r="CB270" s="425"/>
      <c r="CC270" s="425"/>
      <c r="CD270" s="425"/>
      <c r="CE270" s="328"/>
      <c r="CF270" s="328"/>
      <c r="CG270" s="328"/>
      <c r="CH270" s="328"/>
      <c r="CI270" s="328"/>
      <c r="CJ270" s="328"/>
      <c r="CK270" s="328"/>
      <c r="CL270" s="328"/>
    </row>
    <row r="271" spans="1:90" s="330" customFormat="1" ht="18" customHeight="1" x14ac:dyDescent="0.2">
      <c r="A271" s="734" t="s">
        <v>679</v>
      </c>
      <c r="B271" s="2921"/>
      <c r="C271" s="2922"/>
      <c r="D271" s="2922"/>
      <c r="E271" s="2922"/>
      <c r="F271" s="2922"/>
      <c r="G271" s="2922"/>
      <c r="H271" s="2922"/>
      <c r="I271" s="2923"/>
      <c r="J271" s="2525"/>
      <c r="K271" s="2526"/>
      <c r="L271" s="2525"/>
      <c r="M271" s="2526"/>
      <c r="N271" s="18"/>
      <c r="O271" s="328"/>
      <c r="P271" s="425"/>
      <c r="R271" s="425" t="s">
        <v>804</v>
      </c>
      <c r="S271" s="425">
        <f>MAX(S270:T270)</f>
        <v>0</v>
      </c>
      <c r="T271" s="425"/>
      <c r="U271" s="425"/>
      <c r="V271" s="425"/>
      <c r="W271" s="425"/>
      <c r="X271" s="425"/>
      <c r="Y271" s="425"/>
      <c r="Z271" s="425"/>
      <c r="AA271" s="425"/>
      <c r="AB271" s="425"/>
      <c r="AC271" s="425"/>
      <c r="AD271" s="425"/>
      <c r="AE271" s="425"/>
      <c r="AF271" s="425"/>
      <c r="AG271" s="425"/>
      <c r="AH271" s="425"/>
      <c r="AI271" s="425"/>
      <c r="AJ271" s="425"/>
      <c r="AK271" s="425"/>
      <c r="AL271" s="425"/>
      <c r="AM271" s="425"/>
      <c r="AN271" s="425"/>
      <c r="AO271" s="425"/>
      <c r="AP271" s="425"/>
      <c r="AQ271" s="425"/>
      <c r="AR271" s="425"/>
      <c r="AS271" s="425"/>
      <c r="AT271" s="425"/>
      <c r="AU271" s="425"/>
      <c r="AV271" s="425"/>
      <c r="AW271" s="425"/>
      <c r="AX271" s="425"/>
      <c r="AY271" s="425"/>
      <c r="AZ271" s="425"/>
      <c r="BA271" s="425"/>
      <c r="BB271" s="425"/>
      <c r="BC271" s="425"/>
      <c r="BD271" s="425"/>
      <c r="BE271" s="425"/>
      <c r="BF271" s="425"/>
      <c r="BG271" s="425"/>
      <c r="BH271" s="425"/>
      <c r="BI271" s="425"/>
      <c r="BJ271" s="425"/>
      <c r="BK271" s="425"/>
      <c r="BL271" s="1072"/>
      <c r="BM271" s="425"/>
      <c r="BN271" s="425"/>
      <c r="BO271" s="425"/>
      <c r="BP271" s="425"/>
      <c r="BQ271" s="425"/>
      <c r="BR271" s="425"/>
      <c r="BS271" s="425"/>
      <c r="BT271" s="425"/>
      <c r="BU271" s="425"/>
      <c r="BV271" s="425"/>
      <c r="BW271" s="425"/>
      <c r="BX271" s="425"/>
      <c r="BY271" s="425"/>
      <c r="BZ271" s="425"/>
      <c r="CA271" s="425"/>
      <c r="CB271" s="425"/>
      <c r="CC271" s="425"/>
      <c r="CD271" s="425"/>
      <c r="CE271" s="328"/>
      <c r="CF271" s="328"/>
      <c r="CG271" s="328"/>
      <c r="CH271" s="328"/>
      <c r="CI271" s="328"/>
      <c r="CJ271" s="328"/>
      <c r="CK271" s="328"/>
      <c r="CL271" s="328"/>
    </row>
    <row r="272" spans="1:90" s="330" customFormat="1" ht="18" customHeight="1" x14ac:dyDescent="0.2">
      <c r="A272" s="735" t="s">
        <v>680</v>
      </c>
      <c r="B272" s="2643"/>
      <c r="C272" s="2644"/>
      <c r="D272" s="2644"/>
      <c r="E272" s="2644"/>
      <c r="F272" s="2644"/>
      <c r="G272" s="2644"/>
      <c r="H272" s="2644"/>
      <c r="I272" s="2645"/>
      <c r="J272" s="2486"/>
      <c r="K272" s="2487"/>
      <c r="L272" s="2486"/>
      <c r="M272" s="2487"/>
      <c r="N272" s="18"/>
      <c r="O272" s="328"/>
      <c r="P272" s="425"/>
      <c r="Q272" s="425"/>
      <c r="R272" s="425"/>
      <c r="S272" s="425"/>
      <c r="T272" s="425"/>
      <c r="U272" s="425"/>
      <c r="V272" s="425"/>
      <c r="W272" s="425"/>
      <c r="X272" s="425"/>
      <c r="Y272" s="425"/>
      <c r="Z272" s="425"/>
      <c r="AA272" s="425"/>
      <c r="AB272" s="425"/>
      <c r="AC272" s="425"/>
      <c r="AD272" s="425"/>
      <c r="AE272" s="425"/>
      <c r="AF272" s="425"/>
      <c r="AG272" s="425"/>
      <c r="AH272" s="425"/>
      <c r="AI272" s="425"/>
      <c r="AJ272" s="425"/>
      <c r="AK272" s="425"/>
      <c r="AL272" s="425"/>
      <c r="AM272" s="425"/>
      <c r="AN272" s="425"/>
      <c r="AO272" s="425"/>
      <c r="AP272" s="425"/>
      <c r="AQ272" s="425"/>
      <c r="AR272" s="425"/>
      <c r="AS272" s="425"/>
      <c r="AT272" s="425"/>
      <c r="AU272" s="425"/>
      <c r="AV272" s="425"/>
      <c r="AW272" s="425"/>
      <c r="AX272" s="425"/>
      <c r="AY272" s="425"/>
      <c r="AZ272" s="425"/>
      <c r="BA272" s="425"/>
      <c r="BB272" s="425"/>
      <c r="BC272" s="425"/>
      <c r="BD272" s="425"/>
      <c r="BE272" s="425"/>
      <c r="BF272" s="425"/>
      <c r="BG272" s="425"/>
      <c r="BH272" s="425"/>
      <c r="BI272" s="425"/>
      <c r="BJ272" s="425"/>
      <c r="BK272" s="425"/>
      <c r="BL272" s="1072"/>
      <c r="BM272" s="425"/>
      <c r="BN272" s="425"/>
      <c r="BO272" s="425"/>
      <c r="BP272" s="425"/>
      <c r="BQ272" s="425"/>
      <c r="BR272" s="425"/>
      <c r="BS272" s="425"/>
      <c r="BT272" s="425"/>
      <c r="BU272" s="425"/>
      <c r="BV272" s="425"/>
      <c r="BW272" s="425"/>
      <c r="BX272" s="425"/>
      <c r="BY272" s="425"/>
      <c r="BZ272" s="425"/>
      <c r="CA272" s="425"/>
      <c r="CB272" s="425"/>
      <c r="CC272" s="425"/>
      <c r="CD272" s="425"/>
      <c r="CE272" s="328"/>
      <c r="CF272" s="328"/>
      <c r="CG272" s="328"/>
      <c r="CH272" s="328"/>
      <c r="CI272" s="328"/>
      <c r="CJ272" s="328"/>
      <c r="CK272" s="328"/>
      <c r="CL272" s="328"/>
    </row>
    <row r="273" spans="1:90" s="330" customFormat="1" ht="18" customHeight="1" x14ac:dyDescent="0.2">
      <c r="A273" s="735" t="s">
        <v>681</v>
      </c>
      <c r="B273" s="2643"/>
      <c r="C273" s="2644"/>
      <c r="D273" s="2644"/>
      <c r="E273" s="2644"/>
      <c r="F273" s="2644"/>
      <c r="G273" s="2644"/>
      <c r="H273" s="2644"/>
      <c r="I273" s="2645"/>
      <c r="J273" s="2486"/>
      <c r="K273" s="2487"/>
      <c r="L273" s="2486"/>
      <c r="M273" s="2487"/>
      <c r="N273" s="18"/>
      <c r="O273" s="328"/>
      <c r="P273" s="425"/>
      <c r="Q273" s="425"/>
      <c r="R273" s="425"/>
      <c r="S273" s="425"/>
      <c r="T273" s="425"/>
      <c r="U273" s="425"/>
      <c r="V273" s="425"/>
      <c r="W273" s="425"/>
      <c r="X273" s="425"/>
      <c r="Y273" s="425"/>
      <c r="Z273" s="425"/>
      <c r="AA273" s="425"/>
      <c r="AB273" s="425"/>
      <c r="AC273" s="425"/>
      <c r="AD273" s="425"/>
      <c r="AE273" s="425"/>
      <c r="AF273" s="425"/>
      <c r="AG273" s="425"/>
      <c r="AH273" s="425"/>
      <c r="AI273" s="425"/>
      <c r="AJ273" s="425"/>
      <c r="AK273" s="425"/>
      <c r="AL273" s="425"/>
      <c r="AM273" s="425"/>
      <c r="AN273" s="425"/>
      <c r="AO273" s="425"/>
      <c r="AP273" s="425"/>
      <c r="AQ273" s="425"/>
      <c r="AR273" s="425"/>
      <c r="AS273" s="425"/>
      <c r="AT273" s="425"/>
      <c r="AU273" s="425"/>
      <c r="AV273" s="425"/>
      <c r="AW273" s="425"/>
      <c r="AX273" s="425"/>
      <c r="AY273" s="425"/>
      <c r="AZ273" s="425"/>
      <c r="BA273" s="425"/>
      <c r="BB273" s="425"/>
      <c r="BC273" s="425"/>
      <c r="BD273" s="425"/>
      <c r="BE273" s="425"/>
      <c r="BF273" s="425"/>
      <c r="BG273" s="425"/>
      <c r="BH273" s="425"/>
      <c r="BI273" s="425"/>
      <c r="BJ273" s="425"/>
      <c r="BK273" s="425"/>
      <c r="BL273" s="1072"/>
      <c r="BM273" s="425"/>
      <c r="BN273" s="425"/>
      <c r="BO273" s="425"/>
      <c r="BP273" s="425"/>
      <c r="BQ273" s="425"/>
      <c r="BR273" s="425"/>
      <c r="BS273" s="425"/>
      <c r="BT273" s="425"/>
      <c r="BU273" s="425"/>
      <c r="BV273" s="425"/>
      <c r="BW273" s="425"/>
      <c r="BX273" s="425"/>
      <c r="BY273" s="425"/>
      <c r="BZ273" s="425"/>
      <c r="CA273" s="425"/>
      <c r="CB273" s="425"/>
      <c r="CC273" s="425"/>
      <c r="CD273" s="425"/>
      <c r="CE273" s="328"/>
      <c r="CF273" s="328"/>
      <c r="CG273" s="328"/>
      <c r="CH273" s="328"/>
      <c r="CI273" s="328"/>
      <c r="CJ273" s="328"/>
      <c r="CK273" s="328"/>
      <c r="CL273" s="328"/>
    </row>
    <row r="274" spans="1:90" s="330" customFormat="1" ht="18" customHeight="1" thickBot="1" x14ac:dyDescent="0.25">
      <c r="A274" s="736" t="s">
        <v>292</v>
      </c>
      <c r="B274" s="2510"/>
      <c r="C274" s="2511"/>
      <c r="D274" s="2511"/>
      <c r="E274" s="2511"/>
      <c r="F274" s="2511"/>
      <c r="G274" s="2511"/>
      <c r="H274" s="2511"/>
      <c r="I274" s="2512"/>
      <c r="J274" s="2488"/>
      <c r="K274" s="2489"/>
      <c r="L274" s="2488"/>
      <c r="M274" s="2489"/>
      <c r="N274" s="18"/>
      <c r="O274" s="328"/>
      <c r="P274" s="425"/>
      <c r="Q274" s="425"/>
      <c r="R274" s="425"/>
      <c r="S274" s="425"/>
      <c r="T274" s="425"/>
      <c r="U274" s="425"/>
      <c r="V274" s="425"/>
      <c r="W274" s="425"/>
      <c r="X274" s="425"/>
      <c r="Y274" s="425"/>
      <c r="Z274" s="425"/>
      <c r="AA274" s="425"/>
      <c r="AB274" s="425"/>
      <c r="AC274" s="425"/>
      <c r="AD274" s="425"/>
      <c r="AE274" s="425"/>
      <c r="AF274" s="425"/>
      <c r="AG274" s="425"/>
      <c r="AH274" s="425"/>
      <c r="AI274" s="425"/>
      <c r="AJ274" s="425"/>
      <c r="AK274" s="425"/>
      <c r="AL274" s="425"/>
      <c r="AM274" s="425"/>
      <c r="AN274" s="425"/>
      <c r="AO274" s="425"/>
      <c r="AP274" s="425"/>
      <c r="AQ274" s="425"/>
      <c r="AR274" s="425"/>
      <c r="AS274" s="425"/>
      <c r="AT274" s="425"/>
      <c r="AU274" s="425"/>
      <c r="AV274" s="425"/>
      <c r="AW274" s="425"/>
      <c r="AX274" s="425"/>
      <c r="AY274" s="425"/>
      <c r="AZ274" s="425"/>
      <c r="BA274" s="425"/>
      <c r="BB274" s="425"/>
      <c r="BC274" s="425"/>
      <c r="BD274" s="425"/>
      <c r="BE274" s="425"/>
      <c r="BF274" s="425"/>
      <c r="BG274" s="425"/>
      <c r="BH274" s="425"/>
      <c r="BI274" s="425"/>
      <c r="BJ274" s="425"/>
      <c r="BK274" s="425"/>
      <c r="BL274" s="1072"/>
      <c r="BM274" s="425"/>
      <c r="BN274" s="425"/>
      <c r="BO274" s="425"/>
      <c r="BP274" s="425"/>
      <c r="BQ274" s="425"/>
      <c r="BR274" s="425"/>
      <c r="BS274" s="425"/>
      <c r="BT274" s="425"/>
      <c r="BU274" s="425"/>
      <c r="BV274" s="425"/>
      <c r="BW274" s="425"/>
      <c r="BX274" s="425"/>
      <c r="BY274" s="425"/>
      <c r="BZ274" s="425"/>
      <c r="CA274" s="425"/>
      <c r="CB274" s="425"/>
      <c r="CC274" s="425"/>
      <c r="CD274" s="425"/>
      <c r="CE274" s="328"/>
      <c r="CF274" s="328"/>
      <c r="CG274" s="328"/>
      <c r="CH274" s="328"/>
      <c r="CI274" s="328"/>
      <c r="CJ274" s="328"/>
      <c r="CK274" s="328"/>
      <c r="CL274" s="328"/>
    </row>
    <row r="275" spans="1:90" s="326" customFormat="1" ht="20.25" customHeight="1" x14ac:dyDescent="0.2">
      <c r="A275" s="339" t="s">
        <v>293</v>
      </c>
      <c r="B275" s="936"/>
      <c r="C275" s="936"/>
      <c r="D275" s="936"/>
      <c r="E275" s="937" t="str">
        <f>IF(AA282&gt;1,"Verpacht mit Vorzeichen minus"," ")</f>
        <v xml:space="preserve"> </v>
      </c>
      <c r="F275" s="938"/>
      <c r="G275" s="938"/>
      <c r="H275" s="938"/>
      <c r="I275" s="938"/>
      <c r="J275" s="2506"/>
      <c r="K275" s="2507"/>
      <c r="L275" s="2506"/>
      <c r="M275" s="2507"/>
      <c r="N275" s="23"/>
      <c r="O275" s="335"/>
      <c r="P275" s="494"/>
      <c r="Q275" s="494"/>
      <c r="R275" s="494"/>
      <c r="S275" s="494"/>
      <c r="T275" s="494"/>
      <c r="U275" s="494"/>
      <c r="V275" s="494"/>
      <c r="W275" s="494"/>
      <c r="X275" s="494"/>
      <c r="Y275" s="494"/>
      <c r="Z275" s="494"/>
      <c r="AA275" s="494"/>
      <c r="AB275" s="494"/>
      <c r="AC275" s="494"/>
      <c r="AD275" s="494"/>
      <c r="AE275" s="494"/>
      <c r="AF275" s="494"/>
      <c r="AG275" s="494"/>
      <c r="AH275" s="494"/>
      <c r="AI275" s="494"/>
      <c r="AJ275" s="494"/>
      <c r="AK275" s="494"/>
      <c r="AL275" s="494"/>
      <c r="AM275" s="494"/>
      <c r="AN275" s="494"/>
      <c r="AO275" s="494"/>
      <c r="AP275" s="494"/>
      <c r="AQ275" s="494"/>
      <c r="AR275" s="494"/>
      <c r="AS275" s="494"/>
      <c r="AT275" s="494"/>
      <c r="AU275" s="494"/>
      <c r="AV275" s="494"/>
      <c r="AW275" s="494"/>
      <c r="AX275" s="494"/>
      <c r="AY275" s="494"/>
      <c r="AZ275" s="494"/>
      <c r="BA275" s="494"/>
      <c r="BB275" s="494"/>
      <c r="BC275" s="494"/>
      <c r="BD275" s="494"/>
      <c r="BE275" s="494"/>
      <c r="BF275" s="494"/>
      <c r="BG275" s="494"/>
      <c r="BH275" s="494"/>
      <c r="BI275" s="494"/>
      <c r="BJ275" s="494"/>
      <c r="BK275" s="494"/>
      <c r="BL275" s="494"/>
      <c r="BM275" s="494"/>
      <c r="BN275" s="494"/>
      <c r="BO275" s="494"/>
      <c r="BP275" s="494"/>
      <c r="BQ275" s="494"/>
      <c r="BR275" s="494"/>
      <c r="BS275" s="494"/>
      <c r="BT275" s="494"/>
      <c r="BU275" s="494"/>
      <c r="BV275" s="494"/>
      <c r="BW275" s="494"/>
      <c r="BX275" s="494"/>
      <c r="BY275" s="494"/>
      <c r="BZ275" s="494"/>
      <c r="CA275" s="494"/>
      <c r="CB275" s="494"/>
      <c r="CC275" s="494"/>
      <c r="CD275" s="494"/>
      <c r="CE275" s="335"/>
      <c r="CF275" s="335"/>
      <c r="CG275" s="335"/>
      <c r="CH275" s="335"/>
      <c r="CI275" s="335"/>
      <c r="CJ275" s="335"/>
      <c r="CK275" s="335"/>
      <c r="CL275" s="335"/>
    </row>
    <row r="276" spans="1:90" s="330" customFormat="1" ht="19.5" customHeight="1" thickBot="1" x14ac:dyDescent="0.25">
      <c r="A276" s="939" t="s">
        <v>291</v>
      </c>
      <c r="B276" s="939" t="s">
        <v>848</v>
      </c>
      <c r="C276" s="940"/>
      <c r="D276" s="940"/>
      <c r="E276" s="833"/>
      <c r="F276" s="833"/>
      <c r="G276" s="833"/>
      <c r="H276" s="833"/>
      <c r="I276" s="833"/>
      <c r="J276" s="2641"/>
      <c r="K276" s="2642"/>
      <c r="L276" s="2641"/>
      <c r="M276" s="2642"/>
      <c r="N276" s="19"/>
      <c r="O276" s="329"/>
      <c r="P276" s="475"/>
      <c r="Q276" s="475"/>
      <c r="R276" s="475"/>
      <c r="S276" s="475"/>
      <c r="T276" s="475"/>
      <c r="U276" s="475"/>
      <c r="V276" s="475"/>
      <c r="W276" s="475"/>
      <c r="X276" s="475">
        <v>1</v>
      </c>
      <c r="Y276" s="475"/>
      <c r="Z276" s="475"/>
      <c r="AA276" s="475"/>
      <c r="AB276" s="475"/>
      <c r="AC276" s="475"/>
      <c r="AD276" s="475"/>
      <c r="AE276" s="475"/>
      <c r="AF276" s="475"/>
      <c r="AG276" s="475"/>
      <c r="AH276" s="475"/>
      <c r="AI276" s="475"/>
      <c r="AJ276" s="475"/>
      <c r="AK276" s="475"/>
      <c r="AL276" s="475"/>
      <c r="AM276" s="475"/>
      <c r="AN276" s="475"/>
      <c r="AO276" s="475"/>
      <c r="AP276" s="475"/>
      <c r="AQ276" s="475"/>
      <c r="AR276" s="475"/>
      <c r="AS276" s="475"/>
      <c r="AT276" s="475"/>
      <c r="AU276" s="475"/>
      <c r="AV276" s="475"/>
      <c r="AW276" s="475"/>
      <c r="AX276" s="475"/>
      <c r="AY276" s="425"/>
      <c r="AZ276" s="425"/>
      <c r="BA276" s="425"/>
      <c r="BB276" s="425"/>
      <c r="BC276" s="425"/>
      <c r="BD276" s="425"/>
      <c r="BE276" s="425"/>
      <c r="BF276" s="425"/>
      <c r="BG276" s="425"/>
      <c r="BH276" s="425"/>
      <c r="BI276" s="425"/>
      <c r="BJ276" s="425"/>
      <c r="BK276" s="425"/>
      <c r="BL276" s="1072"/>
      <c r="BM276" s="425"/>
      <c r="BN276" s="425"/>
      <c r="BO276" s="425"/>
      <c r="BP276" s="425"/>
      <c r="BQ276" s="425"/>
      <c r="BR276" s="425"/>
      <c r="BS276" s="425"/>
      <c r="BT276" s="425"/>
      <c r="BU276" s="425"/>
      <c r="BV276" s="425"/>
      <c r="BW276" s="425"/>
      <c r="BX276" s="425"/>
      <c r="BY276" s="425"/>
      <c r="BZ276" s="425"/>
      <c r="CA276" s="425"/>
      <c r="CB276" s="425"/>
      <c r="CC276" s="425"/>
      <c r="CD276" s="425"/>
      <c r="CE276" s="328"/>
      <c r="CF276" s="328"/>
      <c r="CG276" s="328"/>
      <c r="CH276" s="328"/>
      <c r="CI276" s="328"/>
      <c r="CJ276" s="328"/>
      <c r="CK276" s="328"/>
      <c r="CL276" s="328"/>
    </row>
    <row r="277" spans="1:90" s="330" customFormat="1" ht="18" customHeight="1" x14ac:dyDescent="0.2">
      <c r="A277" s="271"/>
      <c r="B277" s="2490"/>
      <c r="C277" s="2491"/>
      <c r="D277" s="2491"/>
      <c r="E277" s="2491"/>
      <c r="F277" s="2491"/>
      <c r="G277" s="2491"/>
      <c r="H277" s="2491"/>
      <c r="I277" s="2492"/>
      <c r="J277" s="2525"/>
      <c r="K277" s="2526"/>
      <c r="L277" s="2635"/>
      <c r="M277" s="2636"/>
      <c r="N277" s="19"/>
      <c r="O277" s="329"/>
      <c r="P277" s="475"/>
      <c r="Q277" s="475"/>
      <c r="R277" s="475"/>
      <c r="S277" s="475"/>
      <c r="T277" s="475"/>
      <c r="U277" s="425" t="s">
        <v>23</v>
      </c>
      <c r="V277" s="475"/>
      <c r="W277" s="475"/>
      <c r="X277" s="475">
        <v>3</v>
      </c>
      <c r="Y277" s="475"/>
      <c r="Z277" s="475"/>
      <c r="AA277" s="475">
        <f>IF(X277=3,IF(J277&gt;0,99,IF(L277&gt;0,99,0)),0)</f>
        <v>0</v>
      </c>
      <c r="AB277" s="475">
        <f>IF(X277=1,IF(J277&gt;0,99,IF(L277&gt;0,99,0)),0)</f>
        <v>0</v>
      </c>
      <c r="AC277" s="475">
        <f>IF(X277=1,IF(J277&lt;0,99,IF(L277&lt;0,99,0)),0)</f>
        <v>0</v>
      </c>
      <c r="AD277" s="475"/>
      <c r="AE277" s="475"/>
      <c r="AF277" s="475"/>
      <c r="AG277" s="475"/>
      <c r="AH277" s="475"/>
      <c r="AI277" s="475"/>
      <c r="AJ277" s="475"/>
      <c r="AK277" s="475"/>
      <c r="AL277" s="475"/>
      <c r="AM277" s="475"/>
      <c r="AN277" s="475"/>
      <c r="AO277" s="475"/>
      <c r="AP277" s="475"/>
      <c r="AQ277" s="475"/>
      <c r="AR277" s="475"/>
      <c r="AS277" s="475"/>
      <c r="AT277" s="475"/>
      <c r="AU277" s="475"/>
      <c r="AV277" s="475"/>
      <c r="AW277" s="475"/>
      <c r="AX277" s="475"/>
      <c r="AY277" s="425"/>
      <c r="AZ277" s="425"/>
      <c r="BA277" s="425"/>
      <c r="BB277" s="425"/>
      <c r="BC277" s="425"/>
      <c r="BD277" s="425"/>
      <c r="BE277" s="425"/>
      <c r="BF277" s="425"/>
      <c r="BG277" s="425"/>
      <c r="BH277" s="425"/>
      <c r="BI277" s="425"/>
      <c r="BJ277" s="425"/>
      <c r="BK277" s="425"/>
      <c r="BL277" s="1072"/>
      <c r="BM277" s="425"/>
      <c r="BN277" s="425"/>
      <c r="BO277" s="425"/>
      <c r="BP277" s="425"/>
      <c r="BQ277" s="425"/>
      <c r="BR277" s="425"/>
      <c r="BS277" s="425"/>
      <c r="BT277" s="425"/>
      <c r="BU277" s="425"/>
      <c r="BV277" s="425"/>
      <c r="BW277" s="425"/>
      <c r="BX277" s="425"/>
      <c r="BY277" s="425"/>
      <c r="BZ277" s="425"/>
      <c r="CA277" s="425"/>
      <c r="CB277" s="425"/>
      <c r="CC277" s="425"/>
      <c r="CD277" s="425"/>
      <c r="CE277" s="328"/>
      <c r="CF277" s="328"/>
      <c r="CG277" s="328"/>
      <c r="CH277" s="328"/>
      <c r="CI277" s="328"/>
      <c r="CJ277" s="328"/>
      <c r="CK277" s="328"/>
      <c r="CL277" s="328"/>
    </row>
    <row r="278" spans="1:90" s="330" customFormat="1" ht="18" customHeight="1" x14ac:dyDescent="0.2">
      <c r="A278" s="272"/>
      <c r="B278" s="2619"/>
      <c r="C278" s="2620"/>
      <c r="D278" s="2620"/>
      <c r="E278" s="2620"/>
      <c r="F278" s="2620"/>
      <c r="G278" s="2620"/>
      <c r="H278" s="2620"/>
      <c r="I278" s="2621"/>
      <c r="J278" s="2486"/>
      <c r="K278" s="2487"/>
      <c r="L278" s="2486"/>
      <c r="M278" s="2487"/>
      <c r="N278" s="19"/>
      <c r="O278" s="329"/>
      <c r="P278" s="475"/>
      <c r="Q278" s="475"/>
      <c r="R278" s="475"/>
      <c r="S278" s="475"/>
      <c r="T278" s="475"/>
      <c r="U278" s="425" t="s">
        <v>304</v>
      </c>
      <c r="V278" s="475"/>
      <c r="W278" s="475"/>
      <c r="X278" s="475">
        <v>3</v>
      </c>
      <c r="Y278" s="475"/>
      <c r="Z278" s="475"/>
      <c r="AA278" s="475">
        <f>IF(X278=3,IF(J278&gt;0,99,IF(L278&gt;0,99,0)),0)</f>
        <v>0</v>
      </c>
      <c r="AB278" s="475">
        <f>IF(X278=1,IF(J278&gt;0,99,IF(L278&gt;0,99,0)),0)</f>
        <v>0</v>
      </c>
      <c r="AC278" s="475">
        <f>IF(X278=1,IF(J278&lt;0,99,IF(L278&lt;0,99,0)),0)</f>
        <v>0</v>
      </c>
      <c r="AD278" s="475"/>
      <c r="AE278" s="475"/>
      <c r="AF278" s="475"/>
      <c r="AG278" s="475"/>
      <c r="AH278" s="475"/>
      <c r="AI278" s="475"/>
      <c r="AJ278" s="475"/>
      <c r="AK278" s="475"/>
      <c r="AL278" s="475"/>
      <c r="AM278" s="475"/>
      <c r="AN278" s="475"/>
      <c r="AO278" s="475"/>
      <c r="AP278" s="475"/>
      <c r="AQ278" s="475"/>
      <c r="AR278" s="475"/>
      <c r="AS278" s="475"/>
      <c r="AT278" s="475"/>
      <c r="AU278" s="475"/>
      <c r="AV278" s="475"/>
      <c r="AW278" s="475"/>
      <c r="AX278" s="475"/>
      <c r="AY278" s="425"/>
      <c r="AZ278" s="425"/>
      <c r="BA278" s="425"/>
      <c r="BB278" s="425"/>
      <c r="BC278" s="425"/>
      <c r="BD278" s="425"/>
      <c r="BE278" s="425"/>
      <c r="BF278" s="425"/>
      <c r="BG278" s="425"/>
      <c r="BH278" s="425"/>
      <c r="BI278" s="425"/>
      <c r="BJ278" s="425"/>
      <c r="BK278" s="425"/>
      <c r="BL278" s="1072"/>
      <c r="BM278" s="425"/>
      <c r="BN278" s="425"/>
      <c r="BO278" s="425"/>
      <c r="BP278" s="425"/>
      <c r="BQ278" s="425"/>
      <c r="BR278" s="425"/>
      <c r="BS278" s="425"/>
      <c r="BT278" s="425"/>
      <c r="BU278" s="425"/>
      <c r="BV278" s="425"/>
      <c r="BW278" s="425"/>
      <c r="BX278" s="425"/>
      <c r="BY278" s="425"/>
      <c r="BZ278" s="425"/>
      <c r="CA278" s="425"/>
      <c r="CB278" s="425"/>
      <c r="CC278" s="425"/>
      <c r="CD278" s="425"/>
      <c r="CE278" s="328"/>
      <c r="CF278" s="328"/>
      <c r="CG278" s="328"/>
      <c r="CH278" s="328"/>
      <c r="CI278" s="328"/>
      <c r="CJ278" s="328"/>
      <c r="CK278" s="328"/>
      <c r="CL278" s="328"/>
    </row>
    <row r="279" spans="1:90" s="330" customFormat="1" ht="18" customHeight="1" x14ac:dyDescent="0.2">
      <c r="A279" s="272"/>
      <c r="B279" s="2619"/>
      <c r="C279" s="2620"/>
      <c r="D279" s="2620"/>
      <c r="E279" s="2620"/>
      <c r="F279" s="2620"/>
      <c r="G279" s="2620"/>
      <c r="H279" s="2620"/>
      <c r="I279" s="2621"/>
      <c r="J279" s="2486"/>
      <c r="K279" s="2487"/>
      <c r="L279" s="2486"/>
      <c r="M279" s="2487"/>
      <c r="N279" s="19"/>
      <c r="O279" s="329"/>
      <c r="P279" s="475"/>
      <c r="Q279" s="475"/>
      <c r="R279" s="475"/>
      <c r="S279" s="475"/>
      <c r="T279" s="475"/>
      <c r="U279" s="425" t="s">
        <v>305</v>
      </c>
      <c r="V279" s="475"/>
      <c r="W279" s="475"/>
      <c r="X279" s="475">
        <v>3</v>
      </c>
      <c r="Y279" s="475"/>
      <c r="Z279" s="475"/>
      <c r="AA279" s="475">
        <f>IF(X279=3,IF(J279&gt;0,99,IF(L279&gt;0,99,0)),0)</f>
        <v>0</v>
      </c>
      <c r="AB279" s="475">
        <f>IF(X279=1,IF(J279&gt;0,99,IF(L279&gt;0,99,0)),0)</f>
        <v>0</v>
      </c>
      <c r="AC279" s="475">
        <f>IF(X279=1,IF(J279&lt;0,99,IF(L279&lt;0,99,0)),0)</f>
        <v>0</v>
      </c>
      <c r="AD279" s="475"/>
      <c r="AE279" s="475"/>
      <c r="AF279" s="475"/>
      <c r="AG279" s="475"/>
      <c r="AH279" s="475"/>
      <c r="AI279" s="475"/>
      <c r="AJ279" s="475"/>
      <c r="AK279" s="475"/>
      <c r="AL279" s="475"/>
      <c r="AM279" s="475"/>
      <c r="AN279" s="475"/>
      <c r="AO279" s="475"/>
      <c r="AP279" s="475"/>
      <c r="AQ279" s="475"/>
      <c r="AR279" s="475"/>
      <c r="AS279" s="475"/>
      <c r="AT279" s="475"/>
      <c r="AU279" s="475"/>
      <c r="AV279" s="475"/>
      <c r="AW279" s="475"/>
      <c r="AX279" s="475"/>
      <c r="AY279" s="425"/>
      <c r="AZ279" s="425"/>
      <c r="BA279" s="425"/>
      <c r="BB279" s="425"/>
      <c r="BC279" s="425"/>
      <c r="BD279" s="425"/>
      <c r="BE279" s="425"/>
      <c r="BF279" s="425"/>
      <c r="BG279" s="425"/>
      <c r="BH279" s="425"/>
      <c r="BI279" s="425"/>
      <c r="BJ279" s="425"/>
      <c r="BK279" s="425"/>
      <c r="BL279" s="1072"/>
      <c r="BM279" s="425"/>
      <c r="BN279" s="425"/>
      <c r="BO279" s="425"/>
      <c r="BP279" s="425"/>
      <c r="BQ279" s="425"/>
      <c r="BR279" s="425"/>
      <c r="BS279" s="425"/>
      <c r="BT279" s="425"/>
      <c r="BU279" s="425"/>
      <c r="BV279" s="425"/>
      <c r="BW279" s="425"/>
      <c r="BX279" s="425"/>
      <c r="BY279" s="425"/>
      <c r="BZ279" s="425"/>
      <c r="CA279" s="425"/>
      <c r="CB279" s="425"/>
      <c r="CC279" s="425"/>
      <c r="CD279" s="425"/>
      <c r="CE279" s="328"/>
      <c r="CF279" s="328"/>
      <c r="CG279" s="328"/>
      <c r="CH279" s="328"/>
      <c r="CI279" s="328"/>
      <c r="CJ279" s="328"/>
      <c r="CK279" s="328"/>
      <c r="CL279" s="328"/>
    </row>
    <row r="280" spans="1:90" s="330" customFormat="1" ht="18" customHeight="1" x14ac:dyDescent="0.2">
      <c r="A280" s="272"/>
      <c r="B280" s="2619"/>
      <c r="C280" s="2620"/>
      <c r="D280" s="2620"/>
      <c r="E280" s="2620"/>
      <c r="F280" s="2620"/>
      <c r="G280" s="2620"/>
      <c r="H280" s="2620"/>
      <c r="I280" s="2621"/>
      <c r="J280" s="2486"/>
      <c r="K280" s="2487"/>
      <c r="L280" s="2486"/>
      <c r="M280" s="2487"/>
      <c r="N280" s="19"/>
      <c r="O280" s="329"/>
      <c r="P280" s="475"/>
      <c r="Q280" s="475"/>
      <c r="R280" s="475"/>
      <c r="S280" s="475"/>
      <c r="T280" s="475"/>
      <c r="U280" s="425"/>
      <c r="V280" s="475"/>
      <c r="W280" s="475"/>
      <c r="X280" s="475">
        <v>3</v>
      </c>
      <c r="Y280" s="475"/>
      <c r="Z280" s="475"/>
      <c r="AA280" s="475">
        <f>IF(X280=3,IF(J280&gt;0,99,IF(L280&gt;0,99,0)),0)</f>
        <v>0</v>
      </c>
      <c r="AB280" s="475">
        <f>IF(X280=1,IF(J280&gt;0,99,IF(L280&gt;0,99,0)),0)</f>
        <v>0</v>
      </c>
      <c r="AC280" s="475">
        <f>IF(X280=1,IF(J280&lt;0,99,IF(L280&lt;0,99,0)),0)</f>
        <v>0</v>
      </c>
      <c r="AD280" s="475"/>
      <c r="AE280" s="475"/>
      <c r="AF280" s="475"/>
      <c r="AG280" s="475"/>
      <c r="AH280" s="475"/>
      <c r="AI280" s="475"/>
      <c r="AJ280" s="475"/>
      <c r="AK280" s="475"/>
      <c r="AL280" s="475"/>
      <c r="AM280" s="475"/>
      <c r="AN280" s="475"/>
      <c r="AO280" s="475"/>
      <c r="AP280" s="475"/>
      <c r="AQ280" s="475"/>
      <c r="AR280" s="475"/>
      <c r="AS280" s="475"/>
      <c r="AT280" s="475"/>
      <c r="AU280" s="475"/>
      <c r="AV280" s="475"/>
      <c r="AW280" s="475"/>
      <c r="AX280" s="475"/>
      <c r="AY280" s="425"/>
      <c r="AZ280" s="425"/>
      <c r="BA280" s="425"/>
      <c r="BB280" s="425"/>
      <c r="BC280" s="425"/>
      <c r="BD280" s="425"/>
      <c r="BE280" s="425"/>
      <c r="BF280" s="425"/>
      <c r="BG280" s="425"/>
      <c r="BH280" s="425"/>
      <c r="BI280" s="425"/>
      <c r="BJ280" s="425"/>
      <c r="BK280" s="425"/>
      <c r="BL280" s="1072"/>
      <c r="BM280" s="425"/>
      <c r="BN280" s="425"/>
      <c r="BO280" s="425"/>
      <c r="BP280" s="425"/>
      <c r="BQ280" s="425"/>
      <c r="BR280" s="425"/>
      <c r="BS280" s="425"/>
      <c r="BT280" s="425"/>
      <c r="BU280" s="425"/>
      <c r="BV280" s="425"/>
      <c r="BW280" s="425"/>
      <c r="BX280" s="425"/>
      <c r="BY280" s="425"/>
      <c r="BZ280" s="425"/>
      <c r="CA280" s="425"/>
      <c r="CB280" s="425"/>
      <c r="CC280" s="425"/>
      <c r="CD280" s="425"/>
      <c r="CE280" s="328"/>
      <c r="CF280" s="328"/>
      <c r="CG280" s="328"/>
      <c r="CH280" s="328"/>
      <c r="CI280" s="328"/>
      <c r="CJ280" s="328"/>
      <c r="CK280" s="328"/>
      <c r="CL280" s="328"/>
    </row>
    <row r="281" spans="1:90" s="330" customFormat="1" ht="18" customHeight="1" thickBot="1" x14ac:dyDescent="0.25">
      <c r="A281" s="272"/>
      <c r="B281" s="2952"/>
      <c r="C281" s="2953"/>
      <c r="D281" s="2953"/>
      <c r="E281" s="2953"/>
      <c r="F281" s="2953"/>
      <c r="G281" s="2953"/>
      <c r="H281" s="2953"/>
      <c r="I281" s="2954"/>
      <c r="J281" s="2488"/>
      <c r="K281" s="2489"/>
      <c r="L281" s="2488"/>
      <c r="M281" s="2489"/>
      <c r="N281" s="19"/>
      <c r="O281" s="329"/>
      <c r="P281" s="475"/>
      <c r="Q281" s="475"/>
      <c r="R281" s="475"/>
      <c r="S281" s="475"/>
      <c r="T281" s="475"/>
      <c r="U281" s="475"/>
      <c r="V281" s="475"/>
      <c r="W281" s="475"/>
      <c r="X281" s="475">
        <v>3</v>
      </c>
      <c r="Y281" s="475"/>
      <c r="Z281" s="475"/>
      <c r="AA281" s="475">
        <f>IF(X281=3,IF(J281&gt;0,99,IF(L281&gt;0,99,0)),0)</f>
        <v>0</v>
      </c>
      <c r="AB281" s="475">
        <f>IF(X281=1,IF(J281&gt;0,99,IF(L281&gt;0,99,0)),0)</f>
        <v>0</v>
      </c>
      <c r="AC281" s="475">
        <f>IF(X281=1,IF(J281&lt;0,99,IF(L281&lt;0,99,0)),0)</f>
        <v>0</v>
      </c>
      <c r="AD281" s="475"/>
      <c r="AE281" s="475"/>
      <c r="AF281" s="475"/>
      <c r="AG281" s="475"/>
      <c r="AH281" s="475"/>
      <c r="AI281" s="475"/>
      <c r="AJ281" s="475"/>
      <c r="AK281" s="475"/>
      <c r="AL281" s="475"/>
      <c r="AM281" s="475"/>
      <c r="AN281" s="475"/>
      <c r="AO281" s="475"/>
      <c r="AP281" s="475"/>
      <c r="AQ281" s="475"/>
      <c r="AR281" s="475"/>
      <c r="AS281" s="475"/>
      <c r="AT281" s="475"/>
      <c r="AU281" s="475"/>
      <c r="AV281" s="475"/>
      <c r="AW281" s="475"/>
      <c r="AX281" s="475"/>
      <c r="AY281" s="425"/>
      <c r="AZ281" s="425"/>
      <c r="BA281" s="425"/>
      <c r="BB281" s="425"/>
      <c r="BC281" s="425"/>
      <c r="BD281" s="425"/>
      <c r="BE281" s="425"/>
      <c r="BF281" s="425"/>
      <c r="BG281" s="425"/>
      <c r="BH281" s="425"/>
      <c r="BI281" s="425"/>
      <c r="BJ281" s="425"/>
      <c r="BK281" s="425"/>
      <c r="BL281" s="1072"/>
      <c r="BM281" s="425"/>
      <c r="BN281" s="425"/>
      <c r="BO281" s="425"/>
      <c r="BP281" s="425"/>
      <c r="BQ281" s="425"/>
      <c r="BR281" s="425"/>
      <c r="BS281" s="425"/>
      <c r="BT281" s="425"/>
      <c r="BU281" s="425"/>
      <c r="BV281" s="425"/>
      <c r="BW281" s="425"/>
      <c r="BX281" s="425"/>
      <c r="BY281" s="425"/>
      <c r="BZ281" s="425"/>
      <c r="CA281" s="425"/>
      <c r="CB281" s="425"/>
      <c r="CC281" s="425"/>
      <c r="CD281" s="425"/>
      <c r="CE281" s="328"/>
      <c r="CF281" s="328"/>
      <c r="CG281" s="328"/>
      <c r="CH281" s="328"/>
      <c r="CI281" s="328"/>
      <c r="CJ281" s="328"/>
      <c r="CK281" s="328"/>
      <c r="CL281" s="328"/>
    </row>
    <row r="282" spans="1:90" s="332" customFormat="1" ht="27.75" customHeight="1" thickBot="1" x14ac:dyDescent="0.25">
      <c r="A282" s="341" t="s">
        <v>1015</v>
      </c>
      <c r="B282" s="342"/>
      <c r="C282" s="342"/>
      <c r="D282" s="342"/>
      <c r="E282" s="343"/>
      <c r="F282" s="343"/>
      <c r="G282" s="343"/>
      <c r="H282" s="343"/>
      <c r="I282" s="343"/>
      <c r="J282" s="2504" t="str">
        <f>IF(P282=0," ",IF(AD282&gt;1,"Fehler",P282))</f>
        <v xml:space="preserve"> </v>
      </c>
      <c r="K282" s="2505"/>
      <c r="L282" s="2504" t="str">
        <f>IF(Q282=0," ",IF(AD282&gt;0,"Fehler",Q282))</f>
        <v xml:space="preserve"> </v>
      </c>
      <c r="M282" s="2505"/>
      <c r="N282" s="282"/>
      <c r="O282" s="476"/>
      <c r="P282" s="478">
        <f>+P283+P284</f>
        <v>0</v>
      </c>
      <c r="Q282" s="478">
        <f>+Q283+Q284</f>
        <v>0</v>
      </c>
      <c r="R282" s="477"/>
      <c r="S282" s="477"/>
      <c r="T282" s="477"/>
      <c r="U282" s="477"/>
      <c r="V282" s="477"/>
      <c r="W282" s="477"/>
      <c r="X282" s="477"/>
      <c r="Y282" s="477"/>
      <c r="Z282" s="477"/>
      <c r="AA282" s="477">
        <f>SUM(AA277:AA281)</f>
        <v>0</v>
      </c>
      <c r="AB282" s="477">
        <f>SUM(AB277:AB281)</f>
        <v>0</v>
      </c>
      <c r="AC282" s="477">
        <f>SUM(AC277:AC281)</f>
        <v>0</v>
      </c>
      <c r="AD282" s="477">
        <f>+AA282+AB282+AC282</f>
        <v>0</v>
      </c>
      <c r="AE282" s="477"/>
      <c r="AF282" s="477"/>
      <c r="AG282" s="477"/>
      <c r="AH282" s="477"/>
      <c r="AI282" s="477"/>
      <c r="AJ282" s="477"/>
      <c r="AK282" s="477"/>
      <c r="AL282" s="477"/>
      <c r="AM282" s="477"/>
      <c r="AN282" s="477"/>
      <c r="AO282" s="477"/>
      <c r="AP282" s="477"/>
      <c r="AQ282" s="477"/>
      <c r="AR282" s="477"/>
      <c r="AS282" s="477"/>
      <c r="AT282" s="477"/>
      <c r="AU282" s="477"/>
      <c r="AV282" s="477"/>
      <c r="AW282" s="477"/>
      <c r="AX282" s="477"/>
      <c r="AY282" s="479"/>
      <c r="AZ282" s="479"/>
      <c r="BA282" s="479"/>
      <c r="BB282" s="479"/>
      <c r="BC282" s="479"/>
      <c r="BD282" s="479"/>
      <c r="BE282" s="479"/>
      <c r="BF282" s="479"/>
      <c r="BG282" s="479"/>
      <c r="BH282" s="479"/>
      <c r="BI282" s="479"/>
      <c r="BJ282" s="479"/>
      <c r="BK282" s="479"/>
      <c r="BL282" s="479"/>
      <c r="BM282" s="479"/>
      <c r="BN282" s="479"/>
      <c r="BO282" s="479"/>
      <c r="BP282" s="479"/>
      <c r="BQ282" s="479"/>
      <c r="BR282" s="479"/>
      <c r="BS282" s="479"/>
      <c r="BT282" s="479"/>
      <c r="BU282" s="479"/>
      <c r="BV282" s="479"/>
      <c r="BW282" s="479"/>
      <c r="BX282" s="479"/>
      <c r="BY282" s="479"/>
      <c r="BZ282" s="479"/>
      <c r="CA282" s="479"/>
      <c r="CB282" s="479"/>
      <c r="CC282" s="479"/>
      <c r="CD282" s="479"/>
      <c r="CE282" s="331"/>
      <c r="CF282" s="331"/>
      <c r="CG282" s="331"/>
      <c r="CH282" s="331"/>
      <c r="CI282" s="331"/>
      <c r="CJ282" s="331"/>
      <c r="CK282" s="331"/>
      <c r="CL282" s="331"/>
    </row>
    <row r="283" spans="1:90" s="334" customFormat="1" ht="10.5" customHeight="1" thickBot="1" x14ac:dyDescent="0.25">
      <c r="A283" s="394" t="s">
        <v>1019</v>
      </c>
      <c r="B283" s="395"/>
      <c r="C283" s="395"/>
      <c r="D283" s="395"/>
      <c r="E283" s="396"/>
      <c r="F283" s="396"/>
      <c r="G283" s="396"/>
      <c r="H283" s="396"/>
      <c r="I283" s="396"/>
      <c r="J283" s="2919" t="str">
        <f>IF(P283=0," ",P283)</f>
        <v xml:space="preserve"> </v>
      </c>
      <c r="K283" s="2920"/>
      <c r="L283" s="2919" t="str">
        <f>IF(Q283=0," ",Q283)</f>
        <v xml:space="preserve"> </v>
      </c>
      <c r="M283" s="2920"/>
      <c r="N283" s="269"/>
      <c r="O283" s="481"/>
      <c r="P283" s="495">
        <f>SUM(J257:J274)</f>
        <v>0</v>
      </c>
      <c r="Q283" s="496">
        <f>SUM(L257:L274)</f>
        <v>0</v>
      </c>
      <c r="R283" s="482"/>
      <c r="S283" s="482"/>
      <c r="T283" s="482"/>
      <c r="U283" s="482"/>
      <c r="V283" s="482"/>
      <c r="W283" s="482"/>
      <c r="X283" s="482"/>
      <c r="Y283" s="482"/>
      <c r="Z283" s="482"/>
      <c r="AA283" s="482"/>
      <c r="AB283" s="482"/>
      <c r="AC283" s="482"/>
      <c r="AD283" s="482"/>
      <c r="AE283" s="482"/>
      <c r="AF283" s="482"/>
      <c r="AG283" s="482"/>
      <c r="AH283" s="482"/>
      <c r="AI283" s="482"/>
      <c r="AJ283" s="482"/>
      <c r="AK283" s="482"/>
      <c r="AL283" s="482"/>
      <c r="AM283" s="482"/>
      <c r="AN283" s="482"/>
      <c r="AO283" s="482"/>
      <c r="AP283" s="482"/>
      <c r="AQ283" s="482"/>
      <c r="AR283" s="482"/>
      <c r="AS283" s="482"/>
      <c r="AT283" s="482"/>
      <c r="AU283" s="482"/>
      <c r="AV283" s="482"/>
      <c r="AW283" s="482"/>
      <c r="AX283" s="482"/>
      <c r="AY283" s="483"/>
      <c r="AZ283" s="483"/>
      <c r="BA283" s="483"/>
      <c r="BB283" s="483"/>
      <c r="BC283" s="483"/>
      <c r="BD283" s="483"/>
      <c r="BE283" s="483"/>
      <c r="BF283" s="483"/>
      <c r="BG283" s="483"/>
      <c r="BH283" s="483"/>
      <c r="BI283" s="483"/>
      <c r="BJ283" s="483"/>
      <c r="BK283" s="483"/>
      <c r="BL283" s="483"/>
      <c r="BM283" s="483"/>
      <c r="BN283" s="483"/>
      <c r="BO283" s="483"/>
      <c r="BP283" s="483"/>
      <c r="BQ283" s="483"/>
      <c r="BR283" s="483"/>
      <c r="BS283" s="483"/>
      <c r="BT283" s="483"/>
      <c r="BU283" s="483"/>
      <c r="BV283" s="483"/>
      <c r="BW283" s="483"/>
      <c r="BX283" s="483"/>
      <c r="BY283" s="483"/>
      <c r="BZ283" s="483"/>
      <c r="CA283" s="483"/>
      <c r="CB283" s="483"/>
      <c r="CC283" s="483"/>
      <c r="CD283" s="483"/>
      <c r="CE283" s="333"/>
      <c r="CF283" s="333"/>
      <c r="CG283" s="333"/>
      <c r="CH283" s="333"/>
      <c r="CI283" s="333"/>
      <c r="CJ283" s="333"/>
      <c r="CK283" s="333"/>
      <c r="CL283" s="333"/>
    </row>
    <row r="284" spans="1:90" s="334" customFormat="1" ht="10.5" customHeight="1" thickBot="1" x14ac:dyDescent="0.25">
      <c r="A284" s="397" t="s">
        <v>302</v>
      </c>
      <c r="B284" s="395"/>
      <c r="C284" s="395"/>
      <c r="D284" s="395"/>
      <c r="E284" s="396"/>
      <c r="F284" s="396"/>
      <c r="G284" s="396"/>
      <c r="H284" s="396"/>
      <c r="I284" s="396"/>
      <c r="J284" s="2919" t="str">
        <f>IF(P284=0," ",P284)</f>
        <v xml:space="preserve"> </v>
      </c>
      <c r="K284" s="2920"/>
      <c r="L284" s="2919" t="str">
        <f>IF(Q284=0," ",Q284)</f>
        <v xml:space="preserve"> </v>
      </c>
      <c r="M284" s="2920"/>
      <c r="N284" s="269"/>
      <c r="O284" s="481"/>
      <c r="P284" s="497">
        <f>SUM(J277:J281)</f>
        <v>0</v>
      </c>
      <c r="Q284" s="497">
        <f>SUM(L277:L281)</f>
        <v>0</v>
      </c>
      <c r="R284" s="482"/>
      <c r="S284" s="482"/>
      <c r="T284" s="482"/>
      <c r="U284" s="498"/>
      <c r="V284" s="482"/>
      <c r="W284" s="482"/>
      <c r="X284" s="482"/>
      <c r="Y284" s="482"/>
      <c r="Z284" s="482"/>
      <c r="AA284" s="482"/>
      <c r="AB284" s="482"/>
      <c r="AC284" s="499"/>
      <c r="AD284" s="499"/>
      <c r="AE284" s="499"/>
      <c r="AF284" s="499"/>
      <c r="AG284" s="499"/>
      <c r="AH284" s="499"/>
      <c r="AI284" s="499"/>
      <c r="AJ284" s="499"/>
      <c r="AK284" s="482"/>
      <c r="AL284" s="482"/>
      <c r="AM284" s="482"/>
      <c r="AN284" s="482"/>
      <c r="AO284" s="482"/>
      <c r="AP284" s="482"/>
      <c r="AQ284" s="482"/>
      <c r="AR284" s="482"/>
      <c r="AS284" s="498" t="s">
        <v>296</v>
      </c>
      <c r="AT284" s="482"/>
      <c r="AU284" s="482"/>
      <c r="AV284" s="482"/>
      <c r="AW284" s="482"/>
      <c r="AX284" s="482"/>
      <c r="AY284" s="483"/>
      <c r="AZ284" s="483"/>
      <c r="BA284" s="483"/>
      <c r="BB284" s="483"/>
      <c r="BC284" s="483"/>
      <c r="BD284" s="483"/>
      <c r="BE284" s="483"/>
      <c r="BF284" s="483"/>
      <c r="BG284" s="483"/>
      <c r="BH284" s="483"/>
      <c r="BI284" s="483"/>
      <c r="BJ284" s="483"/>
      <c r="BK284" s="483"/>
      <c r="BL284" s="483"/>
      <c r="BM284" s="483"/>
      <c r="BN284" s="483"/>
      <c r="BO284" s="483"/>
      <c r="BP284" s="483"/>
      <c r="BQ284" s="483"/>
      <c r="BR284" s="483"/>
      <c r="BS284" s="483"/>
      <c r="BT284" s="483"/>
      <c r="BU284" s="483"/>
      <c r="BV284" s="483"/>
      <c r="BW284" s="483"/>
      <c r="BX284" s="483"/>
      <c r="BY284" s="483"/>
      <c r="BZ284" s="483"/>
      <c r="CA284" s="483"/>
      <c r="CB284" s="483"/>
      <c r="CC284" s="483"/>
      <c r="CD284" s="483"/>
      <c r="CE284" s="333"/>
      <c r="CF284" s="333"/>
      <c r="CG284" s="333"/>
      <c r="CH284" s="333"/>
      <c r="CI284" s="333"/>
      <c r="CJ284" s="333"/>
      <c r="CK284" s="333"/>
      <c r="CL284" s="333"/>
    </row>
    <row r="285" spans="1:90" s="330" customFormat="1" ht="7.5" customHeight="1" x14ac:dyDescent="0.2">
      <c r="A285" s="682"/>
      <c r="B285" s="682"/>
      <c r="C285" s="682"/>
      <c r="D285" s="682"/>
      <c r="E285" s="682"/>
      <c r="F285" s="682"/>
      <c r="G285" s="682"/>
      <c r="H285" s="682"/>
      <c r="I285" s="682"/>
      <c r="J285" s="682"/>
      <c r="K285" s="682"/>
      <c r="L285" s="682"/>
      <c r="M285" s="682"/>
      <c r="N285" s="682"/>
      <c r="P285" s="500"/>
      <c r="Q285" s="500"/>
      <c r="R285" s="475"/>
      <c r="S285" s="475"/>
      <c r="T285" s="475"/>
      <c r="U285" s="475"/>
      <c r="V285" s="475"/>
      <c r="W285" s="475"/>
      <c r="X285" s="475"/>
      <c r="Y285" s="475"/>
      <c r="Z285" s="475"/>
      <c r="AA285" s="475"/>
      <c r="AB285" s="475"/>
      <c r="AC285" s="475"/>
      <c r="AD285" s="475"/>
      <c r="AE285" s="475"/>
      <c r="AF285" s="475"/>
      <c r="AG285" s="475"/>
      <c r="AH285" s="475"/>
      <c r="AI285" s="475"/>
      <c r="AJ285" s="475"/>
      <c r="AK285" s="475"/>
      <c r="AL285" s="475"/>
      <c r="AM285" s="475"/>
      <c r="AN285" s="475"/>
      <c r="AO285" s="475"/>
      <c r="AP285" s="475"/>
      <c r="AQ285" s="475"/>
      <c r="AR285" s="475"/>
      <c r="AS285" s="475"/>
      <c r="AT285" s="475"/>
      <c r="AU285" s="475"/>
      <c r="AV285" s="475"/>
      <c r="AW285" s="475"/>
      <c r="AX285" s="475"/>
      <c r="AY285" s="425"/>
      <c r="AZ285" s="425"/>
      <c r="BA285" s="425"/>
      <c r="BB285" s="425"/>
      <c r="BC285" s="425"/>
      <c r="BD285" s="425"/>
      <c r="BE285" s="425"/>
      <c r="BF285" s="425"/>
      <c r="BG285" s="425"/>
      <c r="BH285" s="425"/>
      <c r="BI285" s="425"/>
      <c r="BJ285" s="425"/>
      <c r="BK285" s="425"/>
      <c r="BL285" s="1072"/>
      <c r="BM285" s="425"/>
      <c r="BN285" s="425"/>
      <c r="BO285" s="425"/>
      <c r="BP285" s="425"/>
      <c r="BQ285" s="425"/>
      <c r="BR285" s="425"/>
      <c r="BS285" s="425"/>
      <c r="BT285" s="425"/>
      <c r="BU285" s="425"/>
      <c r="BV285" s="425"/>
      <c r="BW285" s="425"/>
      <c r="BX285" s="425"/>
      <c r="BY285" s="425"/>
      <c r="BZ285" s="425"/>
      <c r="CA285" s="425"/>
      <c r="CB285" s="425"/>
      <c r="CC285" s="425"/>
      <c r="CD285" s="425"/>
      <c r="CE285" s="328"/>
      <c r="CF285" s="328"/>
      <c r="CG285" s="328"/>
      <c r="CH285" s="328"/>
      <c r="CI285" s="328"/>
      <c r="CJ285" s="328"/>
      <c r="CK285" s="328"/>
      <c r="CL285" s="328"/>
    </row>
    <row r="286" spans="1:90" s="330" customFormat="1" ht="4.5" customHeight="1" x14ac:dyDescent="0.2">
      <c r="A286" s="20"/>
      <c r="B286" s="2"/>
      <c r="C286" s="2"/>
      <c r="D286" s="2"/>
      <c r="E286" s="3"/>
      <c r="F286" s="3"/>
      <c r="G286" s="3"/>
      <c r="H286" s="3"/>
      <c r="I286" s="3"/>
      <c r="J286" s="18"/>
      <c r="K286" s="18"/>
      <c r="L286" s="8"/>
      <c r="M286" s="8"/>
      <c r="N286" s="18"/>
      <c r="O286" s="328"/>
      <c r="P286" s="425"/>
      <c r="Q286" s="425"/>
      <c r="R286" s="425"/>
      <c r="S286" s="425"/>
      <c r="T286" s="425"/>
      <c r="U286" s="425"/>
      <c r="V286" s="425"/>
      <c r="W286" s="425"/>
      <c r="X286" s="425"/>
      <c r="Y286" s="425"/>
      <c r="Z286" s="425"/>
      <c r="AA286" s="425"/>
      <c r="AB286" s="425"/>
      <c r="AC286" s="425"/>
      <c r="AD286" s="425"/>
      <c r="AE286" s="425"/>
      <c r="AF286" s="425"/>
      <c r="AG286" s="425"/>
      <c r="AH286" s="425"/>
      <c r="AI286" s="425"/>
      <c r="AJ286" s="425"/>
      <c r="AK286" s="425"/>
      <c r="AL286" s="425"/>
      <c r="AM286" s="425"/>
      <c r="AN286" s="425"/>
      <c r="AO286" s="425"/>
      <c r="AP286" s="425"/>
      <c r="AQ286" s="425"/>
      <c r="AR286" s="425"/>
      <c r="AS286" s="425"/>
      <c r="AT286" s="425"/>
      <c r="AU286" s="425"/>
      <c r="AV286" s="425"/>
      <c r="AW286" s="425"/>
      <c r="AX286" s="425"/>
      <c r="AY286" s="425"/>
      <c r="AZ286" s="425"/>
      <c r="BA286" s="425"/>
      <c r="BB286" s="425"/>
      <c r="BC286" s="425"/>
      <c r="BD286" s="425"/>
      <c r="BE286" s="425"/>
      <c r="BF286" s="425"/>
      <c r="BG286" s="425"/>
      <c r="BH286" s="425"/>
      <c r="BI286" s="425"/>
      <c r="BJ286" s="425"/>
      <c r="BK286" s="425"/>
      <c r="BL286" s="1072"/>
      <c r="BM286" s="425"/>
      <c r="BN286" s="425"/>
      <c r="BO286" s="425"/>
      <c r="BP286" s="425"/>
      <c r="BQ286" s="425"/>
      <c r="BR286" s="425"/>
      <c r="BS286" s="425"/>
      <c r="BT286" s="425"/>
      <c r="BU286" s="425"/>
      <c r="BV286" s="425"/>
      <c r="BW286" s="425"/>
      <c r="BX286" s="425"/>
      <c r="BY286" s="425"/>
      <c r="BZ286" s="425"/>
      <c r="CA286" s="425"/>
      <c r="CB286" s="425"/>
      <c r="CC286" s="425"/>
      <c r="CD286" s="425"/>
      <c r="CE286" s="328"/>
      <c r="CF286" s="328"/>
      <c r="CG286" s="328"/>
      <c r="CH286" s="328"/>
      <c r="CI286" s="328"/>
      <c r="CJ286" s="328"/>
      <c r="CK286" s="328"/>
      <c r="CL286" s="328"/>
    </row>
    <row r="287" spans="1:90" s="330" customFormat="1" ht="9.75" customHeight="1" thickBot="1" x14ac:dyDescent="0.25">
      <c r="A287" s="20"/>
      <c r="B287" s="2"/>
      <c r="C287" s="2"/>
      <c r="D287" s="2"/>
      <c r="E287" s="3"/>
      <c r="F287" s="3"/>
      <c r="G287" s="3"/>
      <c r="H287" s="3"/>
      <c r="I287" s="3"/>
      <c r="J287" s="18"/>
      <c r="K287" s="18"/>
      <c r="L287" s="8"/>
      <c r="M287" s="8"/>
      <c r="N287" s="18"/>
      <c r="O287" s="328"/>
      <c r="P287" s="425"/>
      <c r="Q287" s="425"/>
      <c r="R287" s="425"/>
      <c r="S287" s="424" t="s">
        <v>771</v>
      </c>
      <c r="T287" s="425"/>
      <c r="V287" s="425"/>
      <c r="W287" s="425" t="s">
        <v>756</v>
      </c>
      <c r="X287" s="425" t="s">
        <v>757</v>
      </c>
      <c r="Y287" s="425"/>
      <c r="AA287" s="424" t="s">
        <v>772</v>
      </c>
      <c r="AE287" s="425"/>
      <c r="AF287" s="425"/>
      <c r="AG287" s="425"/>
      <c r="AH287" s="425"/>
      <c r="AI287" s="425"/>
      <c r="AJ287" s="425"/>
      <c r="AK287" s="425"/>
      <c r="AL287" s="425"/>
      <c r="AM287" s="425"/>
      <c r="AN287" s="425"/>
      <c r="AO287" s="425"/>
      <c r="AP287" s="425"/>
      <c r="AQ287" s="425"/>
      <c r="AR287" s="425"/>
      <c r="AS287" s="425"/>
      <c r="AT287" s="425"/>
      <c r="AU287" s="425"/>
      <c r="AV287" s="425"/>
      <c r="AW287" s="425"/>
      <c r="AX287" s="425"/>
      <c r="AY287" s="425"/>
      <c r="AZ287" s="425"/>
      <c r="BA287" s="425"/>
      <c r="BB287" s="425"/>
      <c r="BC287" s="425"/>
      <c r="BD287" s="425"/>
      <c r="BE287" s="425"/>
      <c r="BF287" s="425"/>
      <c r="BG287" s="425"/>
      <c r="BH287" s="328"/>
      <c r="BI287" s="328"/>
      <c r="BJ287" s="328"/>
      <c r="BK287" s="328"/>
      <c r="BL287" s="1097"/>
      <c r="BM287" s="328"/>
      <c r="BN287" s="328"/>
      <c r="BO287" s="328"/>
      <c r="BP287" s="328"/>
    </row>
    <row r="288" spans="1:90" s="330" customFormat="1" ht="26.25" customHeight="1" thickTop="1" thickBot="1" x14ac:dyDescent="0.25">
      <c r="A288" s="942" t="s">
        <v>913</v>
      </c>
      <c r="B288" s="943"/>
      <c r="C288" s="943"/>
      <c r="D288" s="943"/>
      <c r="E288" s="943"/>
      <c r="F288" s="943"/>
      <c r="G288" s="943"/>
      <c r="H288" s="943"/>
      <c r="I288" s="944"/>
      <c r="J288" s="2932" t="s">
        <v>279</v>
      </c>
      <c r="K288" s="2933"/>
      <c r="L288" s="2497" t="s">
        <v>280</v>
      </c>
      <c r="M288" s="2498"/>
      <c r="N288" s="18"/>
      <c r="O288" s="328"/>
      <c r="P288" s="501" t="str">
        <f>IF(J290=0,"0",ROUND(P289,1))</f>
        <v>0</v>
      </c>
      <c r="Q288" s="501">
        <f>ROUND(Q289,1)</f>
        <v>0</v>
      </c>
      <c r="R288" s="425"/>
      <c r="S288" s="2527" t="s">
        <v>1028</v>
      </c>
      <c r="T288" s="2527"/>
      <c r="V288" s="505">
        <f>+G6-H8+Z9-H11</f>
        <v>9.9999999999999995E-7</v>
      </c>
      <c r="W288" s="425">
        <f>+V288</f>
        <v>9.9999999999999995E-7</v>
      </c>
      <c r="X288" s="425">
        <f>+V288</f>
        <v>9.9999999999999995E-7</v>
      </c>
      <c r="Y288" s="425"/>
      <c r="AA288" s="505" t="s">
        <v>260</v>
      </c>
      <c r="AB288" s="425"/>
      <c r="AE288" s="425" t="s">
        <v>768</v>
      </c>
      <c r="AF288" s="425"/>
      <c r="AG288" s="425" t="s">
        <v>770</v>
      </c>
      <c r="AH288" s="425" t="s">
        <v>780</v>
      </c>
      <c r="AI288" s="425"/>
      <c r="AJ288" s="425" t="s">
        <v>260</v>
      </c>
      <c r="AK288" s="425"/>
      <c r="AL288" s="425"/>
      <c r="AM288" s="425"/>
      <c r="AN288" s="425"/>
      <c r="AO288" s="425"/>
      <c r="AP288" s="425"/>
      <c r="AQ288" s="425"/>
      <c r="AR288" s="425"/>
      <c r="AS288" s="425"/>
      <c r="AT288" s="425"/>
      <c r="AU288" s="425"/>
      <c r="AV288" s="425"/>
      <c r="AW288" s="425"/>
      <c r="AX288" s="425"/>
      <c r="AY288" s="425"/>
      <c r="AZ288" s="425"/>
      <c r="BA288" s="425"/>
      <c r="BB288" s="425"/>
      <c r="BC288" s="425"/>
      <c r="BD288" s="425"/>
      <c r="BE288" s="425"/>
      <c r="BF288" s="425"/>
      <c r="BG288" s="425"/>
      <c r="BH288" s="328"/>
      <c r="BI288" s="328"/>
      <c r="BJ288" s="328"/>
      <c r="BK288" s="328"/>
      <c r="BL288" s="1097"/>
      <c r="BM288" s="328"/>
      <c r="BN288" s="328"/>
      <c r="BO288" s="328"/>
      <c r="BP288" s="328"/>
    </row>
    <row r="289" spans="1:94" s="330" customFormat="1" ht="18" customHeight="1" thickBot="1" x14ac:dyDescent="0.25">
      <c r="A289" s="945" t="s">
        <v>476</v>
      </c>
      <c r="B289" s="2"/>
      <c r="C289" s="2"/>
      <c r="D289" s="2"/>
      <c r="E289" s="2"/>
      <c r="F289" s="2"/>
      <c r="G289" s="2"/>
      <c r="H289" s="2"/>
      <c r="I289" s="3"/>
      <c r="J289" s="2495" t="str">
        <f>CONCATENATE(P288," Mo.")</f>
        <v>0 Mo.</v>
      </c>
      <c r="K289" s="2496"/>
      <c r="L289" s="2495" t="str">
        <f>CONCATENATE(Q288," Mo.")</f>
        <v>0 Mo.</v>
      </c>
      <c r="M289" s="2960"/>
      <c r="N289" s="18"/>
      <c r="O289" s="328"/>
      <c r="P289" s="503">
        <f>+AI298</f>
        <v>0</v>
      </c>
      <c r="Q289" s="504">
        <f>+CJ239</f>
        <v>0</v>
      </c>
      <c r="R289" s="425"/>
      <c r="S289" s="330" t="s">
        <v>762</v>
      </c>
      <c r="V289" s="330">
        <f>+G12</f>
        <v>0</v>
      </c>
      <c r="Y289" s="425"/>
      <c r="AB289" s="425"/>
      <c r="AE289" s="425" t="s">
        <v>472</v>
      </c>
      <c r="AF289" s="425" t="s">
        <v>471</v>
      </c>
      <c r="AG289" s="425"/>
      <c r="AH289" s="425"/>
      <c r="AI289" s="425"/>
      <c r="AJ289" s="425" t="str">
        <f>+AE289</f>
        <v>Winter</v>
      </c>
      <c r="AK289" s="425" t="str">
        <f>+AF289</f>
        <v>Sommer</v>
      </c>
      <c r="AL289" s="425"/>
      <c r="AM289" s="425"/>
      <c r="AN289" s="425"/>
      <c r="AO289" s="425"/>
      <c r="AP289" s="425"/>
      <c r="AQ289" s="425"/>
      <c r="AR289" s="425"/>
      <c r="AS289" s="425"/>
      <c r="AT289" s="425"/>
      <c r="AU289" s="425"/>
      <c r="AV289" s="425"/>
      <c r="AW289" s="425"/>
      <c r="AX289" s="425"/>
      <c r="AY289" s="425"/>
      <c r="AZ289" s="425"/>
      <c r="BA289" s="425"/>
      <c r="BB289" s="425"/>
      <c r="BC289" s="425"/>
      <c r="BD289" s="425"/>
      <c r="BE289" s="425"/>
      <c r="BF289" s="425"/>
      <c r="BG289" s="425"/>
      <c r="BH289" s="328"/>
      <c r="BI289" s="328"/>
      <c r="BJ289" s="328"/>
      <c r="BK289" s="328"/>
      <c r="BL289" s="1097"/>
      <c r="BM289" s="328"/>
      <c r="BN289" s="328"/>
      <c r="BO289" s="328"/>
      <c r="BP289" s="328"/>
    </row>
    <row r="290" spans="1:94" s="330" customFormat="1" ht="18" customHeight="1" thickBot="1" x14ac:dyDescent="0.25">
      <c r="A290" s="946" t="s">
        <v>303</v>
      </c>
      <c r="B290" s="844"/>
      <c r="C290" s="844"/>
      <c r="D290" s="844"/>
      <c r="E290" s="844"/>
      <c r="F290" s="844"/>
      <c r="G290" s="844"/>
      <c r="H290" s="844"/>
      <c r="I290" s="845"/>
      <c r="J290" s="2592">
        <f>IF(F229&lt;-0.1,"Fehler",IF(F41+F42=0,0,P290))</f>
        <v>0</v>
      </c>
      <c r="K290" s="2593"/>
      <c r="L290" s="2582">
        <f>IF(K229&lt;-0.1,"Fehler",IF(Q290=0,0,Q290))</f>
        <v>0</v>
      </c>
      <c r="M290" s="2583"/>
      <c r="N290" s="18"/>
      <c r="O290" s="328"/>
      <c r="P290" s="533">
        <f>+AG300</f>
        <v>0</v>
      </c>
      <c r="Q290" s="473">
        <f>(R88+T229)/12*Q289</f>
        <v>0</v>
      </c>
      <c r="R290" s="425"/>
      <c r="S290" s="2527" t="s">
        <v>755</v>
      </c>
      <c r="T290" s="2527"/>
      <c r="V290" s="500">
        <f>+Z9-H10-H11</f>
        <v>9.9999999999999995E-7</v>
      </c>
      <c r="W290" s="425">
        <f>+V290</f>
        <v>9.9999999999999995E-7</v>
      </c>
      <c r="X290" s="425">
        <f>IF(W290&lt;V292/255,W290,V292/255)</f>
        <v>0</v>
      </c>
      <c r="Y290" s="425"/>
      <c r="AA290" s="684" t="s">
        <v>769</v>
      </c>
      <c r="AE290" s="480">
        <f>+S90</f>
        <v>0</v>
      </c>
      <c r="AF290" s="480">
        <f>+T90</f>
        <v>0</v>
      </c>
      <c r="AG290" s="425">
        <f>+AE290*6+AF290*6</f>
        <v>0</v>
      </c>
      <c r="AH290" s="425"/>
      <c r="AI290" s="425"/>
      <c r="AJ290" s="425">
        <f>+AE290</f>
        <v>0</v>
      </c>
      <c r="AK290" s="425">
        <f>+AF290</f>
        <v>0</v>
      </c>
      <c r="AL290" s="425">
        <f>+AG290</f>
        <v>0</v>
      </c>
      <c r="AM290" s="425"/>
      <c r="AN290" s="425"/>
      <c r="AO290" s="425"/>
      <c r="AP290" s="425"/>
      <c r="AQ290" s="425"/>
      <c r="AR290" s="425"/>
      <c r="AS290" s="425"/>
      <c r="AT290" s="425"/>
      <c r="AU290" s="425"/>
      <c r="AV290" s="425"/>
      <c r="AW290" s="425"/>
      <c r="AX290" s="425"/>
      <c r="AY290" s="425"/>
      <c r="AZ290" s="425"/>
      <c r="BA290" s="425"/>
      <c r="BB290" s="425"/>
      <c r="BC290" s="425"/>
      <c r="BD290" s="425"/>
      <c r="BE290" s="425"/>
      <c r="BF290" s="425"/>
      <c r="BG290" s="425"/>
      <c r="BH290" s="425"/>
      <c r="BI290" s="425"/>
      <c r="BJ290" s="328"/>
      <c r="BK290" s="328"/>
      <c r="BL290" s="1097"/>
      <c r="BM290" s="328"/>
      <c r="BN290" s="328"/>
      <c r="BO290" s="328"/>
      <c r="BP290" s="328"/>
      <c r="BQ290" s="328"/>
      <c r="BR290" s="328"/>
    </row>
    <row r="291" spans="1:94" s="330" customFormat="1" ht="18" customHeight="1" x14ac:dyDescent="0.2">
      <c r="A291" s="947" t="s">
        <v>1017</v>
      </c>
      <c r="B291" s="742"/>
      <c r="C291" s="742"/>
      <c r="D291" s="742"/>
      <c r="E291" s="742"/>
      <c r="F291" s="742"/>
      <c r="G291" s="742"/>
      <c r="H291" s="742"/>
      <c r="I291" s="742"/>
      <c r="J291" s="2532">
        <f>+P291</f>
        <v>0</v>
      </c>
      <c r="K291" s="2533"/>
      <c r="L291" s="941"/>
      <c r="M291" s="948"/>
      <c r="N291" s="18"/>
      <c r="O291" s="328"/>
      <c r="P291" s="475">
        <f>IF(J282=" ",0,J282)</f>
        <v>0</v>
      </c>
      <c r="Q291" s="475">
        <f>IF(L282=" ",0,L282)</f>
        <v>0</v>
      </c>
      <c r="R291" s="425"/>
      <c r="S291" s="678" t="s">
        <v>295</v>
      </c>
      <c r="T291" s="678"/>
      <c r="V291" s="695">
        <f>IF(V288=0,100,BQ88/V288)</f>
        <v>0</v>
      </c>
      <c r="Y291" s="425"/>
      <c r="AA291" s="505" t="s">
        <v>667</v>
      </c>
      <c r="AB291" s="505"/>
      <c r="AE291" s="506">
        <f>IF(AG291=" ",0,AG291/12)</f>
        <v>0</v>
      </c>
      <c r="AF291" s="480">
        <f>AE291</f>
        <v>0</v>
      </c>
      <c r="AG291" s="475">
        <f>IF(F41=" ",0,F41)</f>
        <v>0</v>
      </c>
      <c r="AH291" s="425"/>
      <c r="AI291" s="425"/>
      <c r="AJ291" s="506">
        <f>IF(AL291=" ",0,AL291/12)</f>
        <v>0</v>
      </c>
      <c r="AK291" s="480">
        <f>AJ291</f>
        <v>0</v>
      </c>
      <c r="AL291" s="425">
        <f>IF(C238=" ",0,C238)</f>
        <v>0</v>
      </c>
      <c r="AM291" s="425"/>
      <c r="AN291" s="425"/>
      <c r="AO291" s="425"/>
      <c r="AP291" s="500"/>
      <c r="AQ291" s="500"/>
      <c r="AR291" s="500"/>
      <c r="AS291" s="480"/>
      <c r="AT291" s="506"/>
      <c r="AU291" s="506"/>
      <c r="AV291" s="500"/>
      <c r="AW291" s="506"/>
      <c r="AX291" s="506"/>
      <c r="AY291" s="506"/>
      <c r="AZ291" s="425"/>
      <c r="BA291" s="425"/>
      <c r="BB291" s="425"/>
      <c r="BC291" s="425"/>
      <c r="BD291" s="425"/>
      <c r="BE291" s="425"/>
      <c r="BF291" s="425"/>
      <c r="BG291" s="425"/>
      <c r="BH291" s="425"/>
      <c r="BI291" s="425"/>
      <c r="BJ291" s="425"/>
      <c r="BK291" s="425"/>
      <c r="BL291" s="1072"/>
      <c r="BM291" s="425"/>
      <c r="BN291" s="425"/>
      <c r="BO291" s="425"/>
      <c r="BP291" s="425"/>
      <c r="BQ291" s="425"/>
      <c r="BR291" s="425"/>
      <c r="BS291" s="425"/>
      <c r="BT291" s="425"/>
      <c r="BU291" s="425"/>
      <c r="BV291" s="425"/>
      <c r="BW291" s="425"/>
      <c r="BX291" s="425"/>
      <c r="BY291" s="425"/>
      <c r="BZ291" s="425"/>
      <c r="CA291" s="425"/>
      <c r="CB291" s="425"/>
      <c r="CC291" s="425"/>
      <c r="CD291" s="425"/>
      <c r="CE291" s="425"/>
      <c r="CF291" s="425"/>
      <c r="CG291" s="425"/>
      <c r="CH291" s="425"/>
      <c r="CI291" s="328"/>
      <c r="CJ291" s="328"/>
      <c r="CK291" s="328"/>
      <c r="CL291" s="328"/>
      <c r="CM291" s="328"/>
      <c r="CN291" s="328"/>
      <c r="CO291" s="328"/>
      <c r="CP291" s="328"/>
    </row>
    <row r="292" spans="1:94" s="330" customFormat="1" ht="18" customHeight="1" thickBot="1" x14ac:dyDescent="0.25">
      <c r="A292" s="2949" t="s">
        <v>1018</v>
      </c>
      <c r="B292" s="2950"/>
      <c r="C292" s="2950"/>
      <c r="D292" s="2950"/>
      <c r="E292" s="2950"/>
      <c r="F292" s="2950"/>
      <c r="G292" s="2950"/>
      <c r="H292" s="2950"/>
      <c r="I292" s="2951"/>
      <c r="J292" s="2532">
        <f>+P292</f>
        <v>0</v>
      </c>
      <c r="K292" s="2959"/>
      <c r="L292" s="941"/>
      <c r="M292" s="948"/>
      <c r="N292" s="18"/>
      <c r="O292" s="328"/>
      <c r="P292" s="475">
        <f>+S271</f>
        <v>0</v>
      </c>
      <c r="Q292" s="475"/>
      <c r="R292" s="425"/>
      <c r="S292" s="424" t="s">
        <v>761</v>
      </c>
      <c r="T292" s="425"/>
      <c r="V292" s="425">
        <f>+(AC88+AG88)/2</f>
        <v>0</v>
      </c>
      <c r="W292" s="425"/>
      <c r="X292" s="425"/>
      <c r="Y292" s="425" t="s">
        <v>779</v>
      </c>
      <c r="AA292" s="330" t="s">
        <v>773</v>
      </c>
      <c r="AB292" s="505"/>
      <c r="AE292" s="506">
        <f>+W88/12-AE290</f>
        <v>0</v>
      </c>
      <c r="AF292" s="425">
        <f>+U88/12-AF290</f>
        <v>0</v>
      </c>
      <c r="AG292" s="425">
        <f>+AE292*6+AF292*6</f>
        <v>0</v>
      </c>
      <c r="AH292" s="425"/>
      <c r="AI292" s="425"/>
      <c r="AJ292" s="425">
        <f>+AE292</f>
        <v>0</v>
      </c>
      <c r="AK292" s="425">
        <f>+AF292</f>
        <v>0</v>
      </c>
      <c r="AL292" s="425">
        <f>+AG292</f>
        <v>0</v>
      </c>
      <c r="AM292" s="425"/>
      <c r="AN292" s="425"/>
      <c r="AO292" s="425"/>
      <c r="AP292" s="500"/>
      <c r="AQ292" s="500"/>
      <c r="AR292" s="500"/>
      <c r="AS292" s="480"/>
      <c r="AT292" s="506"/>
      <c r="AU292" s="506"/>
      <c r="AV292" s="500"/>
      <c r="AW292" s="506"/>
      <c r="AX292" s="506"/>
      <c r="AY292" s="506"/>
      <c r="AZ292" s="425"/>
      <c r="BA292" s="425"/>
      <c r="BB292" s="425"/>
      <c r="BC292" s="425"/>
      <c r="BD292" s="425"/>
      <c r="BE292" s="425"/>
      <c r="BF292" s="425"/>
      <c r="BG292" s="425"/>
      <c r="BH292" s="425"/>
      <c r="BI292" s="425"/>
      <c r="BJ292" s="425"/>
      <c r="BK292" s="425"/>
      <c r="BL292" s="1072"/>
      <c r="BM292" s="425"/>
      <c r="BN292" s="425"/>
      <c r="BO292" s="425"/>
      <c r="BP292" s="425"/>
      <c r="BQ292" s="425"/>
      <c r="BR292" s="425"/>
      <c r="BS292" s="425"/>
      <c r="BT292" s="425"/>
      <c r="BU292" s="425"/>
      <c r="BV292" s="425"/>
      <c r="BW292" s="425"/>
      <c r="BX292" s="425"/>
      <c r="BY292" s="425"/>
      <c r="BZ292" s="425"/>
      <c r="CA292" s="425"/>
      <c r="CB292" s="425"/>
      <c r="CC292" s="425"/>
      <c r="CD292" s="425"/>
      <c r="CE292" s="425"/>
      <c r="CF292" s="425"/>
      <c r="CG292" s="425"/>
      <c r="CH292" s="425"/>
      <c r="CI292" s="328"/>
      <c r="CJ292" s="328"/>
      <c r="CK292" s="328"/>
      <c r="CL292" s="328"/>
      <c r="CM292" s="328"/>
      <c r="CN292" s="328"/>
      <c r="CO292" s="328"/>
      <c r="CP292" s="328"/>
    </row>
    <row r="293" spans="1:94" s="330" customFormat="1" ht="18" customHeight="1" thickBot="1" x14ac:dyDescent="0.25">
      <c r="A293" s="2942" t="s">
        <v>1021</v>
      </c>
      <c r="B293" s="2943"/>
      <c r="C293" s="2943"/>
      <c r="D293" s="2943"/>
      <c r="E293" s="2943"/>
      <c r="F293" s="2943"/>
      <c r="G293" s="2943"/>
      <c r="H293" s="2943"/>
      <c r="I293" s="2943"/>
      <c r="J293" s="2592">
        <f>+P293</f>
        <v>0</v>
      </c>
      <c r="K293" s="2593"/>
      <c r="L293" s="2592">
        <f>+Q291</f>
        <v>0</v>
      </c>
      <c r="M293" s="2583"/>
      <c r="N293" s="18"/>
      <c r="O293" s="328"/>
      <c r="P293" s="475">
        <f>+P291-P292</f>
        <v>0</v>
      </c>
      <c r="Q293" s="475"/>
      <c r="R293" s="425"/>
      <c r="S293" s="424" t="s">
        <v>758</v>
      </c>
      <c r="T293" s="425"/>
      <c r="V293" s="425"/>
      <c r="W293" s="425">
        <f>+(V288+V289)*170</f>
        <v>1.6999999999999999E-4</v>
      </c>
      <c r="X293" s="425">
        <f>+X290*255+(X288+V289-X290)*170</f>
        <v>1.6999999999999999E-4</v>
      </c>
      <c r="Y293" s="425">
        <f>IF(W13=0,W293,X293)</f>
        <v>1.6999999999999999E-4</v>
      </c>
      <c r="Z293" s="505" t="s">
        <v>782</v>
      </c>
      <c r="AA293" s="424" t="s">
        <v>542</v>
      </c>
      <c r="AB293" s="425"/>
      <c r="AD293" s="425"/>
      <c r="AE293" s="480">
        <f>+AE291+AE290</f>
        <v>0</v>
      </c>
      <c r="AF293" s="480">
        <f>+AF291+AF290</f>
        <v>0</v>
      </c>
      <c r="AG293" s="480">
        <f>+AG291+AG290</f>
        <v>0</v>
      </c>
      <c r="AH293" s="425"/>
      <c r="AI293" s="425"/>
      <c r="AJ293" s="480">
        <f>+AJ291+AJ290</f>
        <v>0</v>
      </c>
      <c r="AK293" s="480">
        <f>+AK291+AK290</f>
        <v>0</v>
      </c>
      <c r="AL293" s="480">
        <f>+AL291+AL290</f>
        <v>0</v>
      </c>
      <c r="AM293" s="425"/>
      <c r="AN293" s="425"/>
      <c r="AO293" s="425"/>
      <c r="AP293" s="500"/>
      <c r="AQ293" s="500"/>
      <c r="AR293" s="500"/>
      <c r="AS293" s="425"/>
      <c r="AT293" s="505"/>
      <c r="AU293" s="505"/>
      <c r="AV293" s="500"/>
      <c r="AW293" s="506"/>
      <c r="AX293" s="505"/>
      <c r="AY293" s="505"/>
      <c r="AZ293" s="425"/>
      <c r="BA293" s="425"/>
      <c r="BB293" s="425"/>
      <c r="BC293" s="425"/>
      <c r="BD293" s="425"/>
      <c r="BE293" s="425"/>
      <c r="BF293" s="425"/>
      <c r="BG293" s="425"/>
      <c r="BH293" s="425"/>
      <c r="BI293" s="425"/>
      <c r="BJ293" s="425"/>
      <c r="BK293" s="425"/>
      <c r="BL293" s="1072"/>
      <c r="BM293" s="425"/>
      <c r="BN293" s="425"/>
      <c r="BO293" s="425"/>
      <c r="BP293" s="425"/>
      <c r="BQ293" s="425"/>
      <c r="BR293" s="425"/>
      <c r="BS293" s="425"/>
      <c r="BT293" s="425"/>
      <c r="BU293" s="425"/>
      <c r="BV293" s="425"/>
      <c r="BW293" s="425"/>
      <c r="BX293" s="425"/>
      <c r="BY293" s="425"/>
      <c r="BZ293" s="425"/>
      <c r="CA293" s="425"/>
      <c r="CB293" s="425"/>
      <c r="CC293" s="425"/>
      <c r="CD293" s="425"/>
      <c r="CE293" s="425"/>
      <c r="CF293" s="425"/>
      <c r="CG293" s="425"/>
      <c r="CH293" s="425"/>
      <c r="CI293" s="328"/>
      <c r="CJ293" s="328"/>
      <c r="CK293" s="328"/>
      <c r="CL293" s="328"/>
      <c r="CM293" s="328"/>
      <c r="CN293" s="328"/>
      <c r="CO293" s="328"/>
      <c r="CP293" s="328"/>
    </row>
    <row r="294" spans="1:94" s="330" customFormat="1" ht="18" customHeight="1" thickBot="1" x14ac:dyDescent="0.25">
      <c r="A294" s="949" t="s">
        <v>294</v>
      </c>
      <c r="B294" s="950"/>
      <c r="C294" s="950"/>
      <c r="D294" s="950"/>
      <c r="E294" s="951"/>
      <c r="F294" s="951"/>
      <c r="G294" s="951"/>
      <c r="H294" s="951"/>
      <c r="I294" s="952"/>
      <c r="J294" s="2904" t="str">
        <f>IF(J293="Fehler","Fehler",IF(J290="Fehler","Fehler",IF(J290&gt;0.1,IF(P290&lt;=P293,"ja","nein")," ")))</f>
        <v xml:space="preserve"> </v>
      </c>
      <c r="K294" s="2905"/>
      <c r="L294" s="2904" t="str">
        <f>IF(L293="Fehler","Fehler",IF(L290="Fehler","Fehler",IF(Q290&gt;0.1,IF(Q290&lt;=Q291,"ja","nein")," ")))</f>
        <v xml:space="preserve"> </v>
      </c>
      <c r="M294" s="2906"/>
      <c r="N294" s="18"/>
      <c r="O294" s="328"/>
      <c r="P294" s="484" t="e">
        <f>((P168+P165)/(F41+F42)*100)</f>
        <v>#DIV/0!</v>
      </c>
      <c r="Q294" s="425"/>
      <c r="R294" s="425"/>
      <c r="S294" s="685" t="s">
        <v>760</v>
      </c>
      <c r="T294" s="686"/>
      <c r="U294" s="687"/>
      <c r="V294" s="688"/>
      <c r="W294" s="688">
        <f>+V292-W293</f>
        <v>-1.6999999999999999E-4</v>
      </c>
      <c r="X294" s="688">
        <f>+V292-X293</f>
        <v>-1.6999999999999999E-4</v>
      </c>
      <c r="Y294" s="425" t="e">
        <f>+(G41+J96)*1000/(F41+F96)</f>
        <v>#DIV/0!</v>
      </c>
      <c r="Z294" s="425" t="s">
        <v>780</v>
      </c>
      <c r="AA294" s="679" t="s">
        <v>777</v>
      </c>
      <c r="AB294" s="678"/>
      <c r="AD294" s="425"/>
      <c r="AE294" s="425">
        <f>IF(V291&gt;=3,0,(AG292+AG290))</f>
        <v>0</v>
      </c>
      <c r="AF294" s="425"/>
      <c r="AG294" s="425"/>
      <c r="AH294" s="425"/>
      <c r="AI294" s="425"/>
      <c r="AJ294" s="425"/>
      <c r="AK294" s="425"/>
      <c r="AL294" s="425"/>
      <c r="AM294" s="425"/>
      <c r="AN294" s="425"/>
      <c r="AO294" s="425"/>
      <c r="AP294" s="425"/>
      <c r="AQ294" s="425"/>
      <c r="AR294" s="425"/>
      <c r="AS294" s="425"/>
      <c r="AT294" s="425"/>
      <c r="AU294" s="425"/>
      <c r="AV294" s="425"/>
      <c r="AW294" s="425"/>
      <c r="AX294" s="425"/>
      <c r="AY294" s="425"/>
      <c r="AZ294" s="425"/>
      <c r="BA294" s="425"/>
      <c r="BB294" s="425"/>
      <c r="BC294" s="425"/>
      <c r="BD294" s="425"/>
      <c r="BE294" s="425"/>
      <c r="BF294" s="425"/>
      <c r="BG294" s="425"/>
      <c r="BH294" s="425"/>
      <c r="BI294" s="425"/>
      <c r="BJ294" s="425"/>
      <c r="BK294" s="425"/>
      <c r="BL294" s="1072"/>
      <c r="BM294" s="425"/>
      <c r="BN294" s="425"/>
      <c r="BO294" s="425"/>
      <c r="BP294" s="425"/>
      <c r="BQ294" s="425"/>
      <c r="BR294" s="425"/>
      <c r="BS294" s="425"/>
      <c r="BT294" s="425"/>
      <c r="BU294" s="425"/>
      <c r="BV294" s="425"/>
      <c r="BW294" s="425"/>
      <c r="BX294" s="425"/>
      <c r="BY294" s="425"/>
      <c r="BZ294" s="425"/>
      <c r="CA294" s="425"/>
      <c r="CB294" s="425"/>
      <c r="CC294" s="425"/>
      <c r="CD294" s="425"/>
      <c r="CE294" s="425"/>
      <c r="CF294" s="425"/>
      <c r="CG294" s="425"/>
      <c r="CH294" s="425"/>
      <c r="CI294" s="328"/>
      <c r="CJ294" s="328"/>
      <c r="CK294" s="328"/>
      <c r="CL294" s="328"/>
      <c r="CM294" s="328"/>
      <c r="CN294" s="328"/>
      <c r="CO294" s="328"/>
      <c r="CP294" s="328"/>
    </row>
    <row r="295" spans="1:94" s="334" customFormat="1" ht="10.5" customHeight="1" thickTop="1" x14ac:dyDescent="0.2">
      <c r="A295" s="334" t="s">
        <v>1027</v>
      </c>
      <c r="B295" s="1048">
        <f>+G6-H8+G9-H11</f>
        <v>0</v>
      </c>
      <c r="C295" s="409"/>
      <c r="D295" s="2"/>
      <c r="E295" s="2"/>
      <c r="F295" s="1047" t="s">
        <v>309</v>
      </c>
      <c r="G295" s="409" t="str">
        <f>IF(K299=0,"Betrieb ohne Fläche",V291)</f>
        <v>Betrieb ohne Fläche</v>
      </c>
      <c r="H295" s="2"/>
      <c r="I295" s="3"/>
      <c r="J295" s="19"/>
      <c r="K295" s="19"/>
      <c r="L295" s="19"/>
      <c r="M295" s="19"/>
      <c r="N295" s="403"/>
      <c r="O295" s="336"/>
      <c r="P295" s="507"/>
      <c r="Q295" s="507"/>
      <c r="R295" s="507"/>
      <c r="S295" s="689" t="s">
        <v>759</v>
      </c>
      <c r="T295" s="688"/>
      <c r="U295" s="690"/>
      <c r="V295" s="688"/>
      <c r="W295" s="688" t="e">
        <f>+(W293*6+W294*9)/V292</f>
        <v>#DIV/0!</v>
      </c>
      <c r="X295" s="688" t="e">
        <f>+(X293*6+X294*9)/V292</f>
        <v>#DIV/0!</v>
      </c>
      <c r="Y295" s="507" t="e">
        <f>IF(Y294=0,0,Y293/Y294)</f>
        <v>#DIV/0!</v>
      </c>
      <c r="Z295" s="507" t="s">
        <v>1</v>
      </c>
      <c r="AA295" s="424" t="s">
        <v>778</v>
      </c>
      <c r="AB295" s="425"/>
      <c r="AD295" s="425"/>
      <c r="AE295" s="425" t="e">
        <f>+IF(Y295&gt;AE294,Y295,AE294)</f>
        <v>#DIV/0!</v>
      </c>
      <c r="AF295" s="425"/>
      <c r="AG295" s="507"/>
      <c r="AH295" s="507"/>
      <c r="AI295" s="507"/>
      <c r="AJ295" s="507"/>
      <c r="AK295" s="507"/>
      <c r="AL295" s="507"/>
      <c r="AM295" s="507"/>
      <c r="AN295" s="507"/>
      <c r="AO295" s="507"/>
      <c r="AP295" s="507"/>
      <c r="AQ295" s="507"/>
      <c r="AR295" s="507"/>
      <c r="AS295" s="507"/>
      <c r="AT295" s="507"/>
      <c r="AU295" s="507"/>
      <c r="AV295" s="507"/>
      <c r="AW295" s="507"/>
      <c r="AX295" s="507"/>
      <c r="AY295" s="507"/>
      <c r="AZ295" s="507"/>
      <c r="BA295" s="507"/>
      <c r="BB295" s="507"/>
      <c r="BC295" s="507"/>
      <c r="BD295" s="507"/>
      <c r="BE295" s="507"/>
      <c r="BF295" s="507"/>
      <c r="BG295" s="507"/>
      <c r="BH295" s="507"/>
      <c r="BI295" s="507"/>
      <c r="BJ295" s="507"/>
      <c r="BK295" s="507"/>
      <c r="BL295" s="507"/>
      <c r="BM295" s="507"/>
      <c r="BN295" s="507"/>
      <c r="BO295" s="507"/>
      <c r="BP295" s="507"/>
      <c r="BQ295" s="507"/>
      <c r="BR295" s="507"/>
      <c r="BS295" s="507"/>
      <c r="BT295" s="507"/>
      <c r="BU295" s="507"/>
      <c r="BV295" s="507"/>
      <c r="BW295" s="507"/>
      <c r="BX295" s="507"/>
      <c r="BY295" s="508"/>
      <c r="BZ295" s="508"/>
      <c r="CA295" s="508"/>
      <c r="CB295" s="508"/>
      <c r="CC295" s="507"/>
      <c r="CD295" s="507"/>
      <c r="CE295" s="507"/>
      <c r="CF295" s="507"/>
      <c r="CG295" s="507"/>
      <c r="CH295" s="507"/>
      <c r="CI295" s="336"/>
      <c r="CJ295" s="336"/>
      <c r="CK295" s="336"/>
      <c r="CL295" s="336"/>
      <c r="CM295" s="336"/>
      <c r="CN295" s="336"/>
      <c r="CO295" s="336"/>
      <c r="CP295" s="336"/>
    </row>
    <row r="296" spans="1:94" s="334" customFormat="1" ht="5.25" customHeight="1" x14ac:dyDescent="0.2">
      <c r="A296" s="402"/>
      <c r="B296" s="682"/>
      <c r="C296" s="682"/>
      <c r="D296" s="2"/>
      <c r="E296" s="2"/>
      <c r="F296" s="2"/>
      <c r="G296" s="2"/>
      <c r="H296" s="2"/>
      <c r="I296" s="3"/>
      <c r="J296" s="3"/>
      <c r="K296" s="3"/>
      <c r="L296" s="18"/>
      <c r="M296" s="18"/>
      <c r="N296" s="403"/>
      <c r="O296" s="336"/>
      <c r="P296" s="507"/>
      <c r="Q296" s="507"/>
      <c r="R296" s="507"/>
      <c r="S296" s="689" t="s">
        <v>763</v>
      </c>
      <c r="T296" s="691"/>
      <c r="U296" s="690"/>
      <c r="V296" s="691"/>
      <c r="W296" s="691">
        <f>IF((V288+G12)=0,9,IF(V291&gt;3,W295,6))</f>
        <v>6</v>
      </c>
      <c r="X296" s="691">
        <f>IF((V288+G12)=0,9,IF(V291&gt;3,X295,6))</f>
        <v>6</v>
      </c>
      <c r="Y296" s="507"/>
      <c r="Z296" s="507"/>
      <c r="AA296" s="424"/>
      <c r="AB296" s="507"/>
      <c r="AD296" s="507"/>
      <c r="AE296" s="507"/>
      <c r="AF296" s="507"/>
      <c r="AG296" s="507"/>
      <c r="AH296" s="507"/>
      <c r="AI296" s="507"/>
      <c r="AJ296" s="507"/>
      <c r="AK296" s="507"/>
      <c r="AL296" s="507"/>
      <c r="AM296" s="507"/>
      <c r="AN296" s="507"/>
      <c r="AO296" s="507"/>
      <c r="AP296" s="507"/>
      <c r="AQ296" s="507"/>
      <c r="AR296" s="507"/>
      <c r="AS296" s="507"/>
      <c r="AT296" s="507"/>
      <c r="AU296" s="507"/>
      <c r="AV296" s="507"/>
      <c r="AW296" s="507"/>
      <c r="AX296" s="507"/>
      <c r="AY296" s="507"/>
      <c r="AZ296" s="507"/>
      <c r="BA296" s="507"/>
      <c r="BB296" s="507"/>
      <c r="BC296" s="507"/>
      <c r="BD296" s="507"/>
      <c r="BE296" s="507"/>
      <c r="BF296" s="507"/>
      <c r="BG296" s="507"/>
      <c r="BH296" s="507"/>
      <c r="BI296" s="507"/>
      <c r="BJ296" s="507"/>
      <c r="BK296" s="507"/>
      <c r="BL296" s="507"/>
      <c r="BM296" s="507"/>
      <c r="BN296" s="507"/>
      <c r="BO296" s="507"/>
      <c r="BP296" s="507"/>
      <c r="BQ296" s="507"/>
      <c r="BR296" s="507"/>
      <c r="BS296" s="507"/>
      <c r="BT296" s="507"/>
      <c r="BU296" s="508"/>
      <c r="BV296" s="508"/>
      <c r="BW296" s="508"/>
      <c r="BX296" s="508"/>
      <c r="BY296" s="507"/>
      <c r="BZ296" s="507"/>
      <c r="CA296" s="507"/>
      <c r="CB296" s="507"/>
      <c r="CC296" s="507"/>
      <c r="CD296" s="507"/>
      <c r="CE296" s="336"/>
      <c r="CF296" s="336"/>
      <c r="CG296" s="336"/>
      <c r="CH296" s="336"/>
      <c r="CI296" s="336"/>
      <c r="CJ296" s="336"/>
      <c r="CK296" s="336"/>
      <c r="CL296" s="336"/>
    </row>
    <row r="297" spans="1:94" s="334" customFormat="1" ht="11.25" customHeight="1" x14ac:dyDescent="0.2">
      <c r="A297" s="26" t="s">
        <v>345</v>
      </c>
      <c r="B297" s="14"/>
      <c r="C297" s="14"/>
      <c r="D297" s="14"/>
      <c r="E297" s="14"/>
      <c r="F297" s="14"/>
      <c r="G297" s="14"/>
      <c r="H297" s="14"/>
      <c r="I297" s="14"/>
      <c r="J297" s="14"/>
      <c r="K297" s="14"/>
      <c r="L297" s="4"/>
      <c r="M297" s="4"/>
      <c r="N297" s="403"/>
      <c r="O297" s="336"/>
      <c r="P297" s="507"/>
      <c r="Q297" s="507"/>
      <c r="R297" s="507"/>
      <c r="S297" s="507"/>
      <c r="T297" s="507"/>
      <c r="U297" s="507"/>
      <c r="V297" s="507"/>
      <c r="W297" s="507"/>
      <c r="X297" s="507"/>
      <c r="Y297" s="507"/>
      <c r="Z297" s="507"/>
      <c r="AA297" s="507" t="s">
        <v>774</v>
      </c>
      <c r="AB297" s="507"/>
      <c r="AC297" s="507"/>
      <c r="AD297" s="507"/>
      <c r="AE297" s="507" t="e">
        <f>IF(AG293&lt;AE295,AG293,AE295)</f>
        <v>#DIV/0!</v>
      </c>
      <c r="AF297" s="507"/>
      <c r="AG297" s="507"/>
      <c r="AH297" s="507"/>
      <c r="AI297" s="507" t="s">
        <v>753</v>
      </c>
      <c r="AJ297" s="507"/>
      <c r="AK297" s="507"/>
      <c r="AL297" s="507"/>
      <c r="AM297" s="507"/>
      <c r="AN297" s="507"/>
      <c r="AO297" s="507"/>
      <c r="AP297" s="507"/>
      <c r="AQ297" s="507"/>
      <c r="AR297" s="507"/>
      <c r="AS297" s="507"/>
      <c r="AT297" s="507"/>
      <c r="AU297" s="507"/>
      <c r="AV297" s="507"/>
      <c r="AW297" s="507"/>
      <c r="AX297" s="507"/>
      <c r="AY297" s="507"/>
      <c r="AZ297" s="507"/>
      <c r="BA297" s="507"/>
      <c r="BB297" s="507"/>
      <c r="BC297" s="507"/>
      <c r="BD297" s="507"/>
      <c r="BE297" s="507"/>
      <c r="BF297" s="507"/>
      <c r="BG297" s="507"/>
      <c r="BH297" s="507"/>
      <c r="BI297" s="507"/>
      <c r="BJ297" s="507"/>
      <c r="BK297" s="507"/>
      <c r="BL297" s="507"/>
      <c r="BM297" s="507"/>
      <c r="BN297" s="507"/>
      <c r="BO297" s="507"/>
      <c r="BP297" s="507"/>
      <c r="BQ297" s="507"/>
      <c r="BR297" s="507"/>
      <c r="BS297" s="507"/>
      <c r="BT297" s="507"/>
      <c r="BU297" s="508"/>
      <c r="BV297" s="508"/>
      <c r="BW297" s="508"/>
      <c r="BX297" s="508"/>
      <c r="BY297" s="507"/>
      <c r="BZ297" s="507"/>
      <c r="CA297" s="507"/>
      <c r="CB297" s="507"/>
      <c r="CC297" s="507"/>
      <c r="CD297" s="507"/>
      <c r="CE297" s="336"/>
      <c r="CF297" s="336"/>
      <c r="CG297" s="336"/>
      <c r="CH297" s="336"/>
      <c r="CI297" s="336"/>
      <c r="CJ297" s="336"/>
      <c r="CK297" s="336"/>
      <c r="CL297" s="336"/>
    </row>
    <row r="298" spans="1:94" s="334" customFormat="1" ht="34.5" customHeight="1" x14ac:dyDescent="0.2">
      <c r="A298" s="2931" t="s">
        <v>1020</v>
      </c>
      <c r="B298" s="2931"/>
      <c r="C298" s="2931"/>
      <c r="D298" s="2931"/>
      <c r="E298" s="2931"/>
      <c r="F298" s="2931"/>
      <c r="G298" s="2931"/>
      <c r="H298" s="2931"/>
      <c r="I298" s="2931"/>
      <c r="J298" s="2931"/>
      <c r="K298" s="2931"/>
      <c r="L298" s="2931"/>
      <c r="M298" s="2931"/>
      <c r="N298" s="403"/>
      <c r="O298" s="336"/>
      <c r="P298" s="507"/>
      <c r="Q298" s="507"/>
      <c r="R298" s="507"/>
      <c r="S298" s="507"/>
      <c r="T298" s="507"/>
      <c r="U298" s="507"/>
      <c r="V298" s="507"/>
      <c r="W298" s="507"/>
      <c r="X298" s="507"/>
      <c r="Y298" s="507"/>
      <c r="Z298" s="507"/>
      <c r="AA298" s="507" t="s">
        <v>775</v>
      </c>
      <c r="AB298" s="507"/>
      <c r="AC298" s="507"/>
      <c r="AD298" s="507"/>
      <c r="AE298" s="507"/>
      <c r="AF298" s="507"/>
      <c r="AG298" s="692" t="e">
        <f>+AG293-AE297</f>
        <v>#DIV/0!</v>
      </c>
      <c r="AH298" s="507"/>
      <c r="AI298" s="507">
        <f>IF(AG293=0,0,(AE297*6+AG298*9)/AG293)</f>
        <v>0</v>
      </c>
      <c r="AJ298" s="507"/>
      <c r="AK298" s="507"/>
      <c r="AL298" s="507"/>
      <c r="AM298" s="507"/>
      <c r="AN298" s="507"/>
      <c r="AO298" s="507"/>
      <c r="AP298" s="507"/>
      <c r="AQ298" s="507"/>
      <c r="AR298" s="507"/>
      <c r="AS298" s="507"/>
      <c r="AT298" s="507"/>
      <c r="AU298" s="507"/>
      <c r="AV298" s="507"/>
      <c r="AW298" s="507"/>
      <c r="AX298" s="507"/>
      <c r="AY298" s="507"/>
      <c r="AZ298" s="507"/>
      <c r="BA298" s="507"/>
      <c r="BB298" s="507"/>
      <c r="BC298" s="507"/>
      <c r="BD298" s="507"/>
      <c r="BE298" s="507"/>
      <c r="BF298" s="507"/>
      <c r="BG298" s="507"/>
      <c r="BH298" s="507"/>
      <c r="BI298" s="507"/>
      <c r="BJ298" s="507"/>
      <c r="BK298" s="507"/>
      <c r="BL298" s="507"/>
      <c r="BM298" s="507"/>
      <c r="BN298" s="507"/>
      <c r="BO298" s="507"/>
      <c r="BP298" s="507"/>
      <c r="BQ298" s="507"/>
      <c r="BR298" s="507"/>
      <c r="BS298" s="507"/>
      <c r="BT298" s="507"/>
      <c r="BU298" s="508"/>
      <c r="BV298" s="508"/>
      <c r="BW298" s="508"/>
      <c r="BX298" s="508"/>
      <c r="BY298" s="507"/>
      <c r="BZ298" s="507"/>
      <c r="CA298" s="507"/>
      <c r="CB298" s="507"/>
      <c r="CC298" s="507"/>
      <c r="CD298" s="507"/>
      <c r="CE298" s="336"/>
      <c r="CF298" s="336"/>
      <c r="CG298" s="336"/>
      <c r="CH298" s="336"/>
      <c r="CI298" s="336"/>
      <c r="CJ298" s="336"/>
      <c r="CK298" s="336"/>
      <c r="CL298" s="336"/>
    </row>
    <row r="299" spans="1:94" ht="10.5" customHeight="1" x14ac:dyDescent="0.2">
      <c r="A299" s="334" t="s">
        <v>1029</v>
      </c>
      <c r="B299" s="334"/>
      <c r="C299" s="334"/>
      <c r="D299" s="334"/>
      <c r="E299" s="334"/>
      <c r="F299" s="334"/>
      <c r="I299" s="334"/>
      <c r="K299" s="2944">
        <f>+G6-H7-H8+G9-H10-H11</f>
        <v>0</v>
      </c>
      <c r="L299" s="2944"/>
      <c r="M299" s="334" t="s">
        <v>354</v>
      </c>
      <c r="N299" s="14"/>
      <c r="O299" s="337"/>
      <c r="P299" s="440"/>
      <c r="Q299" s="440"/>
      <c r="R299" s="440"/>
      <c r="S299" s="440"/>
      <c r="T299" s="440"/>
      <c r="U299" s="440"/>
      <c r="V299" s="440"/>
      <c r="W299" s="440"/>
      <c r="X299" s="440"/>
      <c r="Y299" s="440"/>
      <c r="Z299" s="440"/>
      <c r="AA299" s="440"/>
      <c r="AB299" s="440"/>
      <c r="AC299" s="440"/>
      <c r="AD299" s="440"/>
      <c r="AE299" s="440"/>
      <c r="AF299" s="440"/>
      <c r="AG299" s="440"/>
      <c r="AH299" s="440"/>
      <c r="AI299" s="440"/>
      <c r="AJ299" s="440"/>
      <c r="AK299" s="440"/>
      <c r="AL299" s="440"/>
      <c r="AM299" s="440"/>
      <c r="AN299" s="440"/>
      <c r="AO299" s="440"/>
      <c r="AP299" s="440"/>
      <c r="AQ299" s="440"/>
      <c r="AR299" s="440"/>
      <c r="AS299" s="440"/>
      <c r="AT299" s="440"/>
      <c r="AU299" s="440"/>
      <c r="AV299" s="440"/>
      <c r="AW299" s="440"/>
      <c r="AX299" s="440"/>
      <c r="AY299" s="440"/>
      <c r="AZ299" s="440"/>
      <c r="BA299" s="440"/>
      <c r="BB299" s="440"/>
      <c r="BC299" s="440"/>
      <c r="BD299" s="440"/>
      <c r="BE299" s="440"/>
      <c r="BF299" s="440"/>
      <c r="BG299" s="440"/>
      <c r="BH299" s="440"/>
      <c r="BI299" s="440"/>
      <c r="BJ299" s="440"/>
      <c r="BK299" s="440"/>
      <c r="BL299" s="440"/>
      <c r="BM299" s="440"/>
      <c r="BN299" s="440"/>
      <c r="BO299" s="440"/>
      <c r="BP299" s="440"/>
      <c r="BQ299" s="440"/>
      <c r="BR299" s="440"/>
      <c r="BS299" s="440"/>
      <c r="BT299" s="440"/>
      <c r="BU299" s="417"/>
      <c r="BV299" s="417"/>
      <c r="BW299" s="417"/>
      <c r="BX299" s="417"/>
      <c r="BY299" s="440"/>
      <c r="BZ299" s="440"/>
      <c r="CA299" s="440"/>
      <c r="CB299" s="440"/>
      <c r="CC299" s="440"/>
      <c r="CD299" s="440"/>
      <c r="CE299" s="337"/>
      <c r="CF299" s="337"/>
      <c r="CG299" s="337"/>
      <c r="CH299" s="337"/>
      <c r="CI299" s="337"/>
      <c r="CJ299" s="337"/>
      <c r="CK299" s="337"/>
      <c r="CL299" s="337"/>
    </row>
    <row r="300" spans="1:94" ht="10.5" customHeight="1" x14ac:dyDescent="0.2">
      <c r="A300" s="268" t="s">
        <v>1030</v>
      </c>
      <c r="B300" s="14"/>
      <c r="C300" s="14"/>
      <c r="D300" s="14"/>
      <c r="E300" s="14"/>
      <c r="F300" s="14"/>
      <c r="I300" s="14"/>
      <c r="K300" s="2930">
        <f>G12</f>
        <v>0</v>
      </c>
      <c r="L300" s="2930"/>
      <c r="M300" s="403" t="s">
        <v>354</v>
      </c>
      <c r="N300" s="14"/>
      <c r="O300" s="337"/>
      <c r="P300" s="440"/>
      <c r="Q300" s="440"/>
      <c r="R300" s="440"/>
      <c r="S300" s="440"/>
      <c r="T300" s="440"/>
      <c r="U300" s="440"/>
      <c r="V300" s="440"/>
      <c r="W300" s="440"/>
      <c r="X300" s="440"/>
      <c r="Y300" s="440"/>
      <c r="Z300" s="440"/>
      <c r="AA300" s="440" t="s">
        <v>776</v>
      </c>
      <c r="AB300" s="440">
        <f>+AI298</f>
        <v>0</v>
      </c>
      <c r="AC300" s="440" t="s">
        <v>753</v>
      </c>
      <c r="AD300" s="440"/>
      <c r="AE300" s="440">
        <f>+AJ293*6</f>
        <v>0</v>
      </c>
      <c r="AF300" s="440">
        <f>+AK293*(AB300-6)</f>
        <v>0</v>
      </c>
      <c r="AG300" s="440">
        <f>+AF300+AE300</f>
        <v>0</v>
      </c>
      <c r="AH300" s="440"/>
      <c r="AI300" s="440"/>
      <c r="AJ300" s="440"/>
      <c r="AK300" s="440"/>
      <c r="AL300" s="440"/>
      <c r="AM300" s="440"/>
      <c r="AN300" s="440"/>
      <c r="AO300" s="440"/>
      <c r="AP300" s="440"/>
      <c r="AQ300" s="440"/>
      <c r="AR300" s="440"/>
      <c r="AS300" s="440"/>
      <c r="AT300" s="440"/>
      <c r="AU300" s="440"/>
      <c r="AV300" s="440"/>
      <c r="AW300" s="440"/>
      <c r="AX300" s="440"/>
      <c r="AY300" s="440"/>
      <c r="AZ300" s="440"/>
      <c r="BA300" s="440"/>
      <c r="BB300" s="440"/>
      <c r="BC300" s="440"/>
      <c r="BD300" s="440"/>
      <c r="BE300" s="440"/>
      <c r="BF300" s="440"/>
      <c r="BG300" s="440"/>
      <c r="BH300" s="440"/>
      <c r="BI300" s="440"/>
      <c r="BJ300" s="440"/>
      <c r="BK300" s="440"/>
      <c r="BL300" s="440"/>
      <c r="BM300" s="440"/>
      <c r="BN300" s="440"/>
      <c r="BO300" s="440"/>
      <c r="BP300" s="440"/>
      <c r="BQ300" s="440"/>
      <c r="BR300" s="440"/>
      <c r="BS300" s="440"/>
      <c r="BT300" s="440"/>
      <c r="BU300" s="417"/>
      <c r="BV300" s="417"/>
      <c r="BW300" s="417"/>
      <c r="BX300" s="417"/>
      <c r="BY300" s="440"/>
      <c r="BZ300" s="440"/>
      <c r="CA300" s="440"/>
      <c r="CB300" s="440"/>
      <c r="CC300" s="440"/>
      <c r="CD300" s="440"/>
      <c r="CE300" s="337"/>
      <c r="CF300" s="337"/>
      <c r="CG300" s="337"/>
      <c r="CH300" s="337"/>
      <c r="CI300" s="337"/>
      <c r="CJ300" s="337"/>
      <c r="CK300" s="337"/>
      <c r="CL300" s="337"/>
    </row>
    <row r="301" spans="1:94" ht="8.25" customHeight="1" x14ac:dyDescent="0.2">
      <c r="A301" s="24"/>
      <c r="B301" s="2"/>
      <c r="C301" s="2"/>
      <c r="D301" s="266"/>
      <c r="E301" s="265"/>
      <c r="F301" s="3"/>
      <c r="G301" s="3"/>
      <c r="H301" s="3"/>
      <c r="I301" s="3"/>
      <c r="J301" s="25"/>
      <c r="K301" s="25"/>
      <c r="L301" s="18"/>
      <c r="M301" s="18"/>
      <c r="N301" s="4"/>
    </row>
    <row r="302" spans="1:94" ht="5.25" customHeight="1" x14ac:dyDescent="0.2">
      <c r="A302" s="4"/>
      <c r="B302" s="4"/>
      <c r="C302" s="4"/>
      <c r="D302" s="4"/>
      <c r="E302" s="4"/>
      <c r="F302" s="4"/>
      <c r="G302" s="4"/>
      <c r="H302" s="4"/>
      <c r="I302" s="4"/>
      <c r="J302" s="4"/>
      <c r="K302" s="4"/>
      <c r="L302" s="4"/>
      <c r="M302" s="4"/>
      <c r="N302" s="4"/>
    </row>
    <row r="303" spans="1:94" ht="3" customHeight="1" thickBot="1" x14ac:dyDescent="0.25">
      <c r="A303" s="4"/>
      <c r="B303" s="4"/>
      <c r="C303" s="4"/>
      <c r="D303" s="4"/>
      <c r="E303" s="4"/>
      <c r="F303" s="4"/>
      <c r="G303" s="4"/>
      <c r="H303" s="4"/>
      <c r="I303" s="4"/>
      <c r="J303" s="4"/>
      <c r="K303" s="4"/>
      <c r="L303" s="4"/>
      <c r="M303" s="4"/>
      <c r="N303" s="4"/>
    </row>
    <row r="304" spans="1:94" ht="15.75" thickBot="1" x14ac:dyDescent="0.25">
      <c r="A304" s="2547" t="s">
        <v>1035</v>
      </c>
      <c r="B304" s="2548"/>
      <c r="C304" s="2548"/>
      <c r="D304" s="2548"/>
      <c r="E304" s="2548"/>
      <c r="F304" s="2548"/>
      <c r="G304" s="2548"/>
      <c r="H304" s="2548"/>
      <c r="I304" s="2548"/>
      <c r="J304" s="2548"/>
      <c r="K304" s="2548"/>
      <c r="L304" s="2548"/>
      <c r="M304" s="2549"/>
      <c r="N304" s="578"/>
      <c r="O304" s="578"/>
      <c r="P304" s="578"/>
      <c r="Q304" s="578"/>
      <c r="R304" s="645" t="s">
        <v>741</v>
      </c>
      <c r="S304" s="578"/>
      <c r="T304" s="578"/>
      <c r="X304" s="441"/>
      <c r="Y304" s="645" t="s">
        <v>742</v>
      </c>
      <c r="Z304" s="578"/>
      <c r="AA304" s="578"/>
      <c r="AN304" s="1248" t="s">
        <v>1156</v>
      </c>
    </row>
    <row r="305" spans="1:43" ht="11.25" customHeight="1" thickBot="1" x14ac:dyDescent="0.3">
      <c r="A305" s="548"/>
      <c r="B305" s="370"/>
      <c r="C305" s="370"/>
      <c r="D305" s="370"/>
      <c r="E305" s="370"/>
      <c r="F305" s="555"/>
      <c r="G305" s="578"/>
      <c r="H305" s="578"/>
      <c r="I305" s="578"/>
      <c r="J305" s="578"/>
      <c r="K305" s="578"/>
      <c r="L305" s="578"/>
      <c r="M305" s="578"/>
      <c r="N305" s="578"/>
      <c r="O305" s="578"/>
      <c r="P305" s="578"/>
      <c r="Q305" s="578"/>
      <c r="R305" s="578"/>
      <c r="S305" s="578"/>
      <c r="T305" s="578"/>
      <c r="X305" s="441"/>
      <c r="Y305" s="578"/>
      <c r="Z305" s="578"/>
      <c r="AA305" s="578"/>
      <c r="AE305" s="2480" t="s">
        <v>13</v>
      </c>
      <c r="AF305" s="2480"/>
      <c r="AG305" s="2480" t="s">
        <v>895</v>
      </c>
      <c r="AH305" s="2480"/>
      <c r="AI305" s="2778" t="s">
        <v>13</v>
      </c>
      <c r="AJ305" s="2789"/>
      <c r="AK305" s="2789" t="s">
        <v>895</v>
      </c>
      <c r="AL305" s="2789"/>
    </row>
    <row r="306" spans="1:43" ht="18" x14ac:dyDescent="0.35">
      <c r="A306" s="953" t="s">
        <v>864</v>
      </c>
      <c r="B306" s="872"/>
      <c r="C306" s="872"/>
      <c r="D306" s="2947" t="s">
        <v>898</v>
      </c>
      <c r="E306" s="956" t="s">
        <v>688</v>
      </c>
      <c r="F306" s="869" t="s">
        <v>320</v>
      </c>
      <c r="G306" s="869" t="s">
        <v>321</v>
      </c>
      <c r="H306" s="2499" t="s">
        <v>686</v>
      </c>
      <c r="I306" s="2500"/>
      <c r="J306" s="870" t="s">
        <v>4</v>
      </c>
      <c r="K306" s="2499" t="s">
        <v>856</v>
      </c>
      <c r="L306" s="2500"/>
      <c r="M306" s="871" t="s">
        <v>863</v>
      </c>
      <c r="N306" s="4"/>
      <c r="O306" s="641"/>
      <c r="R306" s="552" t="s">
        <v>215</v>
      </c>
      <c r="S306" s="552" t="s">
        <v>322</v>
      </c>
      <c r="T306" s="552" t="s">
        <v>4</v>
      </c>
      <c r="U306" s="552" t="s">
        <v>490</v>
      </c>
      <c r="V306" s="551" t="s">
        <v>491</v>
      </c>
      <c r="W306" s="1248" t="s">
        <v>748</v>
      </c>
      <c r="X306" s="1249" t="s">
        <v>1155</v>
      </c>
      <c r="Y306" s="552" t="s">
        <v>215</v>
      </c>
      <c r="Z306" s="552" t="s">
        <v>322</v>
      </c>
      <c r="AA306" s="552" t="s">
        <v>4</v>
      </c>
      <c r="AB306" s="552" t="s">
        <v>490</v>
      </c>
      <c r="AC306" s="551" t="s">
        <v>491</v>
      </c>
      <c r="AD306" s="538" t="s">
        <v>896</v>
      </c>
      <c r="AE306" s="538" t="s">
        <v>4</v>
      </c>
      <c r="AF306" s="538" t="s">
        <v>899</v>
      </c>
      <c r="AG306" s="538" t="s">
        <v>4</v>
      </c>
      <c r="AH306" s="538" t="s">
        <v>899</v>
      </c>
      <c r="AI306" s="989" t="s">
        <v>5</v>
      </c>
      <c r="AJ306" s="990" t="s">
        <v>912</v>
      </c>
      <c r="AK306" s="989" t="s">
        <v>5</v>
      </c>
      <c r="AL306" s="990" t="s">
        <v>912</v>
      </c>
      <c r="AN306" s="1248" t="s">
        <v>1157</v>
      </c>
      <c r="AP306" s="1248" t="s">
        <v>1158</v>
      </c>
    </row>
    <row r="307" spans="1:43" ht="15.75" thickBot="1" x14ac:dyDescent="0.3">
      <c r="A307" s="954" t="s">
        <v>687</v>
      </c>
      <c r="B307" s="875"/>
      <c r="C307" s="875"/>
      <c r="D307" s="2948"/>
      <c r="E307" s="955"/>
      <c r="F307" s="867" t="s">
        <v>493</v>
      </c>
      <c r="G307" s="1116" t="s">
        <v>36</v>
      </c>
      <c r="H307" s="2945" t="s">
        <v>685</v>
      </c>
      <c r="I307" s="2946"/>
      <c r="J307" s="2756" t="s">
        <v>278</v>
      </c>
      <c r="K307" s="2757"/>
      <c r="L307" s="2757"/>
      <c r="M307" s="2758"/>
      <c r="N307" s="4"/>
      <c r="O307" s="641"/>
      <c r="R307" s="565" t="s">
        <v>678</v>
      </c>
      <c r="S307" s="565"/>
      <c r="T307" s="565"/>
      <c r="U307" s="565"/>
      <c r="V307" s="581"/>
      <c r="W307" s="1248" t="s">
        <v>259</v>
      </c>
      <c r="X307" s="1249" t="s">
        <v>259</v>
      </c>
      <c r="Y307" s="565" t="s">
        <v>678</v>
      </c>
      <c r="Z307" s="565"/>
      <c r="AA307" s="565"/>
      <c r="AB307" s="565"/>
      <c r="AC307" s="581"/>
      <c r="AD307" s="538" t="s">
        <v>897</v>
      </c>
      <c r="AE307" s="538" t="s">
        <v>259</v>
      </c>
      <c r="AF307" s="538" t="s">
        <v>259</v>
      </c>
      <c r="AG307" s="538" t="s">
        <v>259</v>
      </c>
      <c r="AH307" s="538" t="s">
        <v>259</v>
      </c>
      <c r="AI307" s="989" t="s">
        <v>259</v>
      </c>
      <c r="AJ307" s="990" t="s">
        <v>259</v>
      </c>
      <c r="AK307" s="990" t="s">
        <v>259</v>
      </c>
      <c r="AL307" s="990" t="s">
        <v>259</v>
      </c>
      <c r="AN307" s="1248" t="s">
        <v>4</v>
      </c>
      <c r="AO307" s="1248"/>
      <c r="AP307" s="1248" t="s">
        <v>4</v>
      </c>
      <c r="AQ307" s="1248" t="s">
        <v>1046</v>
      </c>
    </row>
    <row r="308" spans="1:43" ht="15.75" customHeight="1" x14ac:dyDescent="0.2">
      <c r="A308" s="2883"/>
      <c r="B308" s="2884"/>
      <c r="C308" s="2885"/>
      <c r="D308" s="1007"/>
      <c r="E308" s="1008"/>
      <c r="F308" s="776"/>
      <c r="G308" s="776"/>
      <c r="H308" s="2676"/>
      <c r="I308" s="2677"/>
      <c r="J308" s="777"/>
      <c r="K308" s="2538"/>
      <c r="L308" s="2539"/>
      <c r="M308" s="778"/>
      <c r="N308" s="365"/>
      <c r="O308" s="641"/>
      <c r="P308" s="411" t="b">
        <v>0</v>
      </c>
      <c r="Q308" s="324">
        <f>IF(P308=TRUE,1,0)</f>
        <v>0</v>
      </c>
      <c r="R308" s="561">
        <f>+F308*G308/100*Q308</f>
        <v>0</v>
      </c>
      <c r="S308" s="561">
        <f>+F308*(100-G308)/100*Q308</f>
        <v>0</v>
      </c>
      <c r="T308" s="562">
        <f>+J308*$F308/1000*Q308</f>
        <v>0</v>
      </c>
      <c r="U308" s="562">
        <f>+K308*$F308/1000*Q308</f>
        <v>0</v>
      </c>
      <c r="V308" s="563">
        <f>+M308*$F308/1000*Q308</f>
        <v>0</v>
      </c>
      <c r="W308" s="411">
        <f>T308*$R$98</f>
        <v>0</v>
      </c>
      <c r="X308" s="441">
        <f>U308*$S$98</f>
        <v>0</v>
      </c>
      <c r="Y308" s="561">
        <f t="shared" ref="Y308:Y337" si="194">+(F308*G308/100)-R308</f>
        <v>0</v>
      </c>
      <c r="Z308" s="561">
        <f t="shared" ref="Z308:Z337" si="195">+(F308*(100-G308)/100)-S308</f>
        <v>0</v>
      </c>
      <c r="AA308" s="807">
        <f t="shared" ref="AA308:AA337" si="196">+(J308*$F308/1000)-T308</f>
        <v>0</v>
      </c>
      <c r="AB308" s="562">
        <f t="shared" ref="AB308:AB337" si="197">+(K308*$F308/1000)-U308</f>
        <v>0</v>
      </c>
      <c r="AC308" s="563">
        <f t="shared" ref="AC308:AC337" si="198">+(M308*$F308/1000)-V308</f>
        <v>0</v>
      </c>
      <c r="AD308" s="411">
        <v>1</v>
      </c>
      <c r="AE308" s="411">
        <f t="shared" ref="AE308:AE337" si="199">IF(Q308=0,IF(AD308=3,AA308*AF308,0),0)</f>
        <v>0</v>
      </c>
      <c r="AF308" s="411">
        <f>IF(J97=0,0,J98/J97)</f>
        <v>0</v>
      </c>
      <c r="AG308" s="411">
        <f t="shared" ref="AG308:AG337" si="200">IF(Q308=0,IF(AD308=1,AA308*AH308,0),0)</f>
        <v>0</v>
      </c>
      <c r="AH308" s="411">
        <f>IF(J93=0,0,J94/G41)</f>
        <v>0</v>
      </c>
      <c r="AI308" s="439">
        <f>IF(Q308=0,IF(AD308=3,AB308*AJ308,0),0)</f>
        <v>0</v>
      </c>
      <c r="AJ308" s="440">
        <f>IF(K97=0,0,K98/K97)</f>
        <v>0</v>
      </c>
      <c r="AK308" s="440">
        <f>IF(Q308=0,IF(AD308=1,AB308*AL308,0),0)</f>
        <v>0</v>
      </c>
      <c r="AL308" s="440">
        <f>IF(N93=0,0,N94/K41)</f>
        <v>0</v>
      </c>
      <c r="AN308" s="411">
        <f>IF(Q308=0,IF(AD308=3,AA308*(1-AF308),IF(AD308=2,AA308,0)),0)</f>
        <v>0</v>
      </c>
      <c r="AP308" s="411">
        <f>IF(Q308=1,IF(AD308=3,T308*(1-AF308),IF(AD308=2,T308,0)),0)</f>
        <v>0</v>
      </c>
      <c r="AQ308" s="411">
        <f>IF(Q308=1,IF(AD308=3,U308*(1-AJ308),IF(AD308=2,U308,0)),0)</f>
        <v>0</v>
      </c>
    </row>
    <row r="309" spans="1:43" ht="15.75" customHeight="1" x14ac:dyDescent="0.2">
      <c r="A309" s="2501"/>
      <c r="B309" s="2502"/>
      <c r="C309" s="2502"/>
      <c r="D309" s="1009"/>
      <c r="E309" s="1010"/>
      <c r="F309" s="762"/>
      <c r="G309" s="762"/>
      <c r="H309" s="2481"/>
      <c r="I309" s="2482"/>
      <c r="J309" s="775"/>
      <c r="K309" s="2493"/>
      <c r="L309" s="2494"/>
      <c r="M309" s="779"/>
      <c r="N309" s="365"/>
      <c r="O309" s="641"/>
      <c r="P309" s="411" t="b">
        <v>0</v>
      </c>
      <c r="Q309" s="324">
        <f>IF(P309=TRUE,1,0)</f>
        <v>0</v>
      </c>
      <c r="R309" s="561">
        <f>+F309*G309/100*Q309</f>
        <v>0</v>
      </c>
      <c r="S309" s="561">
        <f>+F309*(100-G309)/100*Q309</f>
        <v>0</v>
      </c>
      <c r="T309" s="562">
        <f>+J309*$F309/1000*Q309</f>
        <v>0</v>
      </c>
      <c r="U309" s="562">
        <f>+K309*$F309/1000*Q309</f>
        <v>0</v>
      </c>
      <c r="V309" s="563">
        <f>+M309*$F309/1000*Q309</f>
        <v>0</v>
      </c>
      <c r="W309" s="411">
        <f t="shared" ref="W309:W337" si="201">T309*$R$98</f>
        <v>0</v>
      </c>
      <c r="X309" s="441">
        <f t="shared" ref="X309:X337" si="202">U309*$S$98</f>
        <v>0</v>
      </c>
      <c r="Y309" s="561">
        <f t="shared" si="194"/>
        <v>0</v>
      </c>
      <c r="Z309" s="561">
        <f t="shared" si="195"/>
        <v>0</v>
      </c>
      <c r="AA309" s="806">
        <f t="shared" si="196"/>
        <v>0</v>
      </c>
      <c r="AB309" s="562">
        <f t="shared" si="197"/>
        <v>0</v>
      </c>
      <c r="AC309" s="563">
        <f t="shared" si="198"/>
        <v>0</v>
      </c>
      <c r="AD309" s="411">
        <v>1</v>
      </c>
      <c r="AE309" s="411">
        <f t="shared" si="199"/>
        <v>0</v>
      </c>
      <c r="AF309" s="411">
        <f>+AF308</f>
        <v>0</v>
      </c>
      <c r="AG309" s="411">
        <f t="shared" si="200"/>
        <v>0</v>
      </c>
      <c r="AH309" s="411">
        <f>+AH308</f>
        <v>0</v>
      </c>
      <c r="AI309" s="439">
        <f t="shared" ref="AI309:AI337" si="203">IF(Q309=0,IF(AD309=3,AB309*AJ309,0),0)</f>
        <v>0</v>
      </c>
      <c r="AJ309" s="440">
        <f>+AJ308</f>
        <v>0</v>
      </c>
      <c r="AK309" s="440">
        <f t="shared" ref="AK309:AK337" si="204">IF(Q309=0,IF(AD309=1,AB309*AL309,0),0)</f>
        <v>0</v>
      </c>
      <c r="AL309" s="440">
        <f>+AL308</f>
        <v>0</v>
      </c>
      <c r="AN309" s="411">
        <f t="shared" ref="AN309:AN337" si="205">IF(Q309=0,IF(AD309=3,AA309*(1-AF309),IF(AD309=2,AA309,0)),0)</f>
        <v>0</v>
      </c>
      <c r="AP309" s="411">
        <f>IF(Q309=1,IF(AD309=3,T309*(1-AF309),IF(AD309=2,T309,0)),0)</f>
        <v>0</v>
      </c>
      <c r="AQ309" s="411">
        <f t="shared" ref="AQ309:AQ337" si="206">IF(Q309=1,IF(AD309=3,U309*(1-AJ309),IF(AD309=2,U309,0)),0)</f>
        <v>0</v>
      </c>
    </row>
    <row r="310" spans="1:43" ht="15.75" customHeight="1" x14ac:dyDescent="0.2">
      <c r="A310" s="2501"/>
      <c r="B310" s="2502"/>
      <c r="C310" s="2502"/>
      <c r="D310" s="1009"/>
      <c r="E310" s="1010"/>
      <c r="F310" s="762"/>
      <c r="G310" s="762"/>
      <c r="H310" s="2481"/>
      <c r="I310" s="2482"/>
      <c r="J310" s="775"/>
      <c r="K310" s="2493"/>
      <c r="L310" s="2494"/>
      <c r="M310" s="779"/>
      <c r="N310" s="365"/>
      <c r="O310" s="641"/>
      <c r="P310" s="411" t="b">
        <v>0</v>
      </c>
      <c r="Q310" s="324">
        <f>IF(P310=TRUE,1,0)</f>
        <v>0</v>
      </c>
      <c r="R310" s="561">
        <f>+F310*G310/100*Q310</f>
        <v>0</v>
      </c>
      <c r="S310" s="561">
        <f>+F310*(100-G310)/100*Q310</f>
        <v>0</v>
      </c>
      <c r="T310" s="562">
        <f>+J310*$F310/1000*Q310</f>
        <v>0</v>
      </c>
      <c r="U310" s="562">
        <f>+K310*$F310/1000*Q310</f>
        <v>0</v>
      </c>
      <c r="V310" s="563">
        <f>+M310*$F310/1000*Q310</f>
        <v>0</v>
      </c>
      <c r="W310" s="411">
        <f t="shared" si="201"/>
        <v>0</v>
      </c>
      <c r="X310" s="441">
        <f t="shared" si="202"/>
        <v>0</v>
      </c>
      <c r="Y310" s="561">
        <f t="shared" si="194"/>
        <v>0</v>
      </c>
      <c r="Z310" s="561">
        <f t="shared" si="195"/>
        <v>0</v>
      </c>
      <c r="AA310" s="562">
        <f t="shared" si="196"/>
        <v>0</v>
      </c>
      <c r="AB310" s="562">
        <f t="shared" si="197"/>
        <v>0</v>
      </c>
      <c r="AC310" s="563">
        <f t="shared" si="198"/>
        <v>0</v>
      </c>
      <c r="AD310" s="411">
        <v>1</v>
      </c>
      <c r="AE310" s="411">
        <f t="shared" si="199"/>
        <v>0</v>
      </c>
      <c r="AF310" s="411">
        <f t="shared" ref="AF310:AF337" si="207">+AF309</f>
        <v>0</v>
      </c>
      <c r="AG310" s="411">
        <f t="shared" si="200"/>
        <v>0</v>
      </c>
      <c r="AH310" s="411">
        <f t="shared" ref="AH310:AH337" si="208">+AH309</f>
        <v>0</v>
      </c>
      <c r="AI310" s="439">
        <f t="shared" si="203"/>
        <v>0</v>
      </c>
      <c r="AJ310" s="440">
        <f t="shared" ref="AJ310:AJ337" si="209">+AJ309</f>
        <v>0</v>
      </c>
      <c r="AK310" s="440">
        <f t="shared" si="204"/>
        <v>0</v>
      </c>
      <c r="AL310" s="440">
        <f t="shared" ref="AL310:AL337" si="210">+AL309</f>
        <v>0</v>
      </c>
      <c r="AN310" s="411">
        <f t="shared" si="205"/>
        <v>0</v>
      </c>
      <c r="AP310" s="411">
        <f t="shared" ref="AP310:AP337" si="211">IF(Q310=1,IF(AD310=3,T310*(1-AF310),IF(AD310=2,T310,0)),0)</f>
        <v>0</v>
      </c>
      <c r="AQ310" s="411">
        <f t="shared" si="206"/>
        <v>0</v>
      </c>
    </row>
    <row r="311" spans="1:43" ht="15.75" customHeight="1" x14ac:dyDescent="0.2">
      <c r="A311" s="2501"/>
      <c r="B311" s="2502"/>
      <c r="C311" s="2502"/>
      <c r="D311" s="1009"/>
      <c r="E311" s="1010"/>
      <c r="F311" s="762"/>
      <c r="G311" s="762"/>
      <c r="H311" s="2481"/>
      <c r="I311" s="2482"/>
      <c r="J311" s="775"/>
      <c r="K311" s="2493"/>
      <c r="L311" s="2494"/>
      <c r="M311" s="779"/>
      <c r="N311" s="365"/>
      <c r="O311" s="641"/>
      <c r="P311" s="411" t="b">
        <v>0</v>
      </c>
      <c r="Q311" s="324">
        <f t="shared" ref="Q311:Q337" si="212">IF(P311=TRUE,1,0)</f>
        <v>0</v>
      </c>
      <c r="R311" s="561">
        <f t="shared" ref="R311:R337" si="213">+F311*G311/100*Q311</f>
        <v>0</v>
      </c>
      <c r="S311" s="561">
        <f t="shared" ref="S311:S337" si="214">+F311*(100-G311)/100*Q311</f>
        <v>0</v>
      </c>
      <c r="T311" s="562">
        <f t="shared" ref="T311:T337" si="215">+J311*$F311/1000*Q311</f>
        <v>0</v>
      </c>
      <c r="U311" s="562">
        <f t="shared" ref="U311:U337" si="216">+K311*$F311/1000*Q311</f>
        <v>0</v>
      </c>
      <c r="V311" s="563">
        <f t="shared" ref="V311:V337" si="217">+M311*$F311/1000*Q311</f>
        <v>0</v>
      </c>
      <c r="W311" s="411">
        <f t="shared" si="201"/>
        <v>0</v>
      </c>
      <c r="X311" s="441">
        <f t="shared" si="202"/>
        <v>0</v>
      </c>
      <c r="Y311" s="561">
        <f t="shared" si="194"/>
        <v>0</v>
      </c>
      <c r="Z311" s="561">
        <f t="shared" si="195"/>
        <v>0</v>
      </c>
      <c r="AA311" s="562">
        <f t="shared" si="196"/>
        <v>0</v>
      </c>
      <c r="AB311" s="562">
        <f t="shared" si="197"/>
        <v>0</v>
      </c>
      <c r="AC311" s="563">
        <f t="shared" si="198"/>
        <v>0</v>
      </c>
      <c r="AD311" s="411">
        <v>1</v>
      </c>
      <c r="AE311" s="411">
        <f t="shared" si="199"/>
        <v>0</v>
      </c>
      <c r="AF311" s="411">
        <f t="shared" si="207"/>
        <v>0</v>
      </c>
      <c r="AG311" s="411">
        <f t="shared" si="200"/>
        <v>0</v>
      </c>
      <c r="AH311" s="411">
        <f t="shared" si="208"/>
        <v>0</v>
      </c>
      <c r="AI311" s="439">
        <f t="shared" si="203"/>
        <v>0</v>
      </c>
      <c r="AJ311" s="440">
        <f t="shared" si="209"/>
        <v>0</v>
      </c>
      <c r="AK311" s="440">
        <f t="shared" si="204"/>
        <v>0</v>
      </c>
      <c r="AL311" s="440">
        <f t="shared" si="210"/>
        <v>0</v>
      </c>
      <c r="AN311" s="411">
        <f t="shared" si="205"/>
        <v>0</v>
      </c>
      <c r="AP311" s="411">
        <f t="shared" si="211"/>
        <v>0</v>
      </c>
      <c r="AQ311" s="411">
        <f t="shared" si="206"/>
        <v>0</v>
      </c>
    </row>
    <row r="312" spans="1:43" ht="15.75" customHeight="1" x14ac:dyDescent="0.2">
      <c r="A312" s="2501"/>
      <c r="B312" s="2502"/>
      <c r="C312" s="2502"/>
      <c r="D312" s="1009"/>
      <c r="E312" s="1010"/>
      <c r="F312" s="762"/>
      <c r="G312" s="762"/>
      <c r="H312" s="2481"/>
      <c r="I312" s="2482"/>
      <c r="J312" s="808"/>
      <c r="K312" s="2493"/>
      <c r="L312" s="2494"/>
      <c r="M312" s="779"/>
      <c r="N312" s="365"/>
      <c r="O312" s="641"/>
      <c r="P312" s="411" t="b">
        <v>0</v>
      </c>
      <c r="Q312" s="324">
        <f t="shared" si="212"/>
        <v>0</v>
      </c>
      <c r="R312" s="561">
        <f t="shared" si="213"/>
        <v>0</v>
      </c>
      <c r="S312" s="561">
        <f t="shared" si="214"/>
        <v>0</v>
      </c>
      <c r="T312" s="562">
        <f t="shared" si="215"/>
        <v>0</v>
      </c>
      <c r="U312" s="562">
        <f t="shared" si="216"/>
        <v>0</v>
      </c>
      <c r="V312" s="563">
        <f t="shared" si="217"/>
        <v>0</v>
      </c>
      <c r="W312" s="411">
        <f t="shared" si="201"/>
        <v>0</v>
      </c>
      <c r="X312" s="441">
        <f t="shared" si="202"/>
        <v>0</v>
      </c>
      <c r="Y312" s="561">
        <f t="shared" si="194"/>
        <v>0</v>
      </c>
      <c r="Z312" s="561">
        <f t="shared" si="195"/>
        <v>0</v>
      </c>
      <c r="AA312" s="562">
        <f t="shared" si="196"/>
        <v>0</v>
      </c>
      <c r="AB312" s="562">
        <f t="shared" si="197"/>
        <v>0</v>
      </c>
      <c r="AC312" s="563">
        <f t="shared" si="198"/>
        <v>0</v>
      </c>
      <c r="AD312" s="411">
        <v>1</v>
      </c>
      <c r="AE312" s="411">
        <f t="shared" si="199"/>
        <v>0</v>
      </c>
      <c r="AF312" s="411">
        <f t="shared" si="207"/>
        <v>0</v>
      </c>
      <c r="AG312" s="411">
        <f t="shared" si="200"/>
        <v>0</v>
      </c>
      <c r="AH312" s="411">
        <f t="shared" si="208"/>
        <v>0</v>
      </c>
      <c r="AI312" s="439">
        <f t="shared" si="203"/>
        <v>0</v>
      </c>
      <c r="AJ312" s="440">
        <f t="shared" si="209"/>
        <v>0</v>
      </c>
      <c r="AK312" s="440">
        <f t="shared" si="204"/>
        <v>0</v>
      </c>
      <c r="AL312" s="440">
        <f t="shared" si="210"/>
        <v>0</v>
      </c>
      <c r="AN312" s="411">
        <f t="shared" si="205"/>
        <v>0</v>
      </c>
      <c r="AP312" s="411">
        <f t="shared" si="211"/>
        <v>0</v>
      </c>
      <c r="AQ312" s="411">
        <f t="shared" si="206"/>
        <v>0</v>
      </c>
    </row>
    <row r="313" spans="1:43" ht="15.75" customHeight="1" x14ac:dyDescent="0.2">
      <c r="A313" s="2501"/>
      <c r="B313" s="2502"/>
      <c r="C313" s="2502"/>
      <c r="D313" s="1009"/>
      <c r="E313" s="1010"/>
      <c r="F313" s="762"/>
      <c r="G313" s="762"/>
      <c r="H313" s="2481"/>
      <c r="I313" s="2482"/>
      <c r="J313" s="775"/>
      <c r="K313" s="2493"/>
      <c r="L313" s="2494"/>
      <c r="M313" s="779"/>
      <c r="N313" s="365"/>
      <c r="O313" s="641"/>
      <c r="P313" s="411" t="b">
        <v>0</v>
      </c>
      <c r="Q313" s="324">
        <f t="shared" si="212"/>
        <v>0</v>
      </c>
      <c r="R313" s="561">
        <f t="shared" si="213"/>
        <v>0</v>
      </c>
      <c r="S313" s="561">
        <f t="shared" si="214"/>
        <v>0</v>
      </c>
      <c r="T313" s="562">
        <f t="shared" si="215"/>
        <v>0</v>
      </c>
      <c r="U313" s="562">
        <f t="shared" si="216"/>
        <v>0</v>
      </c>
      <c r="V313" s="563">
        <f t="shared" si="217"/>
        <v>0</v>
      </c>
      <c r="W313" s="411">
        <f t="shared" si="201"/>
        <v>0</v>
      </c>
      <c r="X313" s="441">
        <f t="shared" si="202"/>
        <v>0</v>
      </c>
      <c r="Y313" s="561">
        <f t="shared" si="194"/>
        <v>0</v>
      </c>
      <c r="Z313" s="561">
        <f t="shared" si="195"/>
        <v>0</v>
      </c>
      <c r="AA313" s="562">
        <f t="shared" si="196"/>
        <v>0</v>
      </c>
      <c r="AB313" s="562">
        <f t="shared" si="197"/>
        <v>0</v>
      </c>
      <c r="AC313" s="563">
        <f t="shared" si="198"/>
        <v>0</v>
      </c>
      <c r="AD313" s="411">
        <v>1</v>
      </c>
      <c r="AE313" s="411">
        <f t="shared" si="199"/>
        <v>0</v>
      </c>
      <c r="AF313" s="411">
        <f t="shared" si="207"/>
        <v>0</v>
      </c>
      <c r="AG313" s="411">
        <f t="shared" si="200"/>
        <v>0</v>
      </c>
      <c r="AH313" s="411">
        <f t="shared" si="208"/>
        <v>0</v>
      </c>
      <c r="AI313" s="439">
        <f t="shared" si="203"/>
        <v>0</v>
      </c>
      <c r="AJ313" s="440">
        <f t="shared" si="209"/>
        <v>0</v>
      </c>
      <c r="AK313" s="440">
        <f t="shared" si="204"/>
        <v>0</v>
      </c>
      <c r="AL313" s="440">
        <f t="shared" si="210"/>
        <v>0</v>
      </c>
      <c r="AN313" s="411">
        <f t="shared" si="205"/>
        <v>0</v>
      </c>
      <c r="AP313" s="411">
        <f t="shared" si="211"/>
        <v>0</v>
      </c>
      <c r="AQ313" s="411">
        <f t="shared" si="206"/>
        <v>0</v>
      </c>
    </row>
    <row r="314" spans="1:43" ht="15.75" customHeight="1" x14ac:dyDescent="0.2">
      <c r="A314" s="2501"/>
      <c r="B314" s="2502"/>
      <c r="C314" s="2502"/>
      <c r="D314" s="1009"/>
      <c r="E314" s="1010"/>
      <c r="F314" s="762"/>
      <c r="G314" s="762"/>
      <c r="H314" s="2481"/>
      <c r="I314" s="2482"/>
      <c r="J314" s="775"/>
      <c r="K314" s="2493"/>
      <c r="L314" s="2494"/>
      <c r="M314" s="779"/>
      <c r="N314" s="365"/>
      <c r="O314" s="641"/>
      <c r="P314" s="411" t="b">
        <v>0</v>
      </c>
      <c r="Q314" s="324">
        <f t="shared" si="212"/>
        <v>0</v>
      </c>
      <c r="R314" s="561">
        <f t="shared" si="213"/>
        <v>0</v>
      </c>
      <c r="S314" s="561">
        <f t="shared" si="214"/>
        <v>0</v>
      </c>
      <c r="T314" s="562">
        <f t="shared" si="215"/>
        <v>0</v>
      </c>
      <c r="U314" s="562">
        <f t="shared" si="216"/>
        <v>0</v>
      </c>
      <c r="V314" s="563">
        <f t="shared" si="217"/>
        <v>0</v>
      </c>
      <c r="W314" s="411">
        <f t="shared" si="201"/>
        <v>0</v>
      </c>
      <c r="X314" s="441">
        <f t="shared" si="202"/>
        <v>0</v>
      </c>
      <c r="Y314" s="561">
        <f t="shared" si="194"/>
        <v>0</v>
      </c>
      <c r="Z314" s="561">
        <f t="shared" si="195"/>
        <v>0</v>
      </c>
      <c r="AA314" s="562">
        <f t="shared" si="196"/>
        <v>0</v>
      </c>
      <c r="AB314" s="562">
        <f t="shared" si="197"/>
        <v>0</v>
      </c>
      <c r="AC314" s="563">
        <f t="shared" si="198"/>
        <v>0</v>
      </c>
      <c r="AD314" s="411">
        <v>1</v>
      </c>
      <c r="AE314" s="411">
        <f t="shared" si="199"/>
        <v>0</v>
      </c>
      <c r="AF314" s="411">
        <f t="shared" si="207"/>
        <v>0</v>
      </c>
      <c r="AG314" s="411">
        <f t="shared" si="200"/>
        <v>0</v>
      </c>
      <c r="AH314" s="411">
        <f t="shared" si="208"/>
        <v>0</v>
      </c>
      <c r="AI314" s="439">
        <f t="shared" si="203"/>
        <v>0</v>
      </c>
      <c r="AJ314" s="440">
        <f t="shared" si="209"/>
        <v>0</v>
      </c>
      <c r="AK314" s="440">
        <f t="shared" si="204"/>
        <v>0</v>
      </c>
      <c r="AL314" s="440">
        <f t="shared" si="210"/>
        <v>0</v>
      </c>
      <c r="AN314" s="411">
        <f t="shared" si="205"/>
        <v>0</v>
      </c>
      <c r="AP314" s="411">
        <f t="shared" si="211"/>
        <v>0</v>
      </c>
      <c r="AQ314" s="411">
        <f t="shared" si="206"/>
        <v>0</v>
      </c>
    </row>
    <row r="315" spans="1:43" ht="15.75" customHeight="1" x14ac:dyDescent="0.2">
      <c r="A315" s="2501"/>
      <c r="B315" s="2502"/>
      <c r="C315" s="2502"/>
      <c r="D315" s="1009"/>
      <c r="E315" s="1010"/>
      <c r="F315" s="762"/>
      <c r="G315" s="762"/>
      <c r="H315" s="2481"/>
      <c r="I315" s="2482"/>
      <c r="J315" s="775"/>
      <c r="K315" s="2493"/>
      <c r="L315" s="2494"/>
      <c r="M315" s="779"/>
      <c r="N315" s="365"/>
      <c r="O315" s="641"/>
      <c r="P315" s="411" t="b">
        <v>0</v>
      </c>
      <c r="Q315" s="324">
        <f t="shared" si="212"/>
        <v>0</v>
      </c>
      <c r="R315" s="561">
        <f t="shared" si="213"/>
        <v>0</v>
      </c>
      <c r="S315" s="561">
        <f t="shared" si="214"/>
        <v>0</v>
      </c>
      <c r="T315" s="562">
        <f t="shared" si="215"/>
        <v>0</v>
      </c>
      <c r="U315" s="562">
        <f t="shared" si="216"/>
        <v>0</v>
      </c>
      <c r="V315" s="563">
        <f t="shared" si="217"/>
        <v>0</v>
      </c>
      <c r="W315" s="411">
        <f t="shared" si="201"/>
        <v>0</v>
      </c>
      <c r="X315" s="441">
        <f t="shared" si="202"/>
        <v>0</v>
      </c>
      <c r="Y315" s="561">
        <f t="shared" si="194"/>
        <v>0</v>
      </c>
      <c r="Z315" s="561">
        <f t="shared" si="195"/>
        <v>0</v>
      </c>
      <c r="AA315" s="562">
        <f t="shared" si="196"/>
        <v>0</v>
      </c>
      <c r="AB315" s="562">
        <f t="shared" si="197"/>
        <v>0</v>
      </c>
      <c r="AC315" s="563">
        <f t="shared" si="198"/>
        <v>0</v>
      </c>
      <c r="AD315" s="411">
        <v>1</v>
      </c>
      <c r="AE315" s="411">
        <f t="shared" si="199"/>
        <v>0</v>
      </c>
      <c r="AF315" s="411">
        <f t="shared" si="207"/>
        <v>0</v>
      </c>
      <c r="AG315" s="411">
        <f t="shared" si="200"/>
        <v>0</v>
      </c>
      <c r="AH315" s="411">
        <f t="shared" si="208"/>
        <v>0</v>
      </c>
      <c r="AI315" s="439">
        <f t="shared" si="203"/>
        <v>0</v>
      </c>
      <c r="AJ315" s="440">
        <f t="shared" si="209"/>
        <v>0</v>
      </c>
      <c r="AK315" s="440">
        <f t="shared" si="204"/>
        <v>0</v>
      </c>
      <c r="AL315" s="440">
        <f t="shared" si="210"/>
        <v>0</v>
      </c>
      <c r="AN315" s="411">
        <f t="shared" si="205"/>
        <v>0</v>
      </c>
      <c r="AP315" s="411">
        <f t="shared" si="211"/>
        <v>0</v>
      </c>
      <c r="AQ315" s="411">
        <f t="shared" si="206"/>
        <v>0</v>
      </c>
    </row>
    <row r="316" spans="1:43" ht="15.75" customHeight="1" x14ac:dyDescent="0.2">
      <c r="A316" s="2501"/>
      <c r="B316" s="2502"/>
      <c r="C316" s="2502"/>
      <c r="D316" s="1009"/>
      <c r="E316" s="1010"/>
      <c r="F316" s="762"/>
      <c r="G316" s="762"/>
      <c r="H316" s="2481"/>
      <c r="I316" s="2482"/>
      <c r="J316" s="775"/>
      <c r="K316" s="2493"/>
      <c r="L316" s="2494"/>
      <c r="M316" s="779"/>
      <c r="N316" s="365"/>
      <c r="O316" s="641"/>
      <c r="P316" s="411" t="b">
        <v>0</v>
      </c>
      <c r="Q316" s="324">
        <f t="shared" si="212"/>
        <v>0</v>
      </c>
      <c r="R316" s="561">
        <f t="shared" si="213"/>
        <v>0</v>
      </c>
      <c r="S316" s="561">
        <f t="shared" si="214"/>
        <v>0</v>
      </c>
      <c r="T316" s="562">
        <f t="shared" si="215"/>
        <v>0</v>
      </c>
      <c r="U316" s="562">
        <f t="shared" si="216"/>
        <v>0</v>
      </c>
      <c r="V316" s="563">
        <f t="shared" si="217"/>
        <v>0</v>
      </c>
      <c r="W316" s="411">
        <f t="shared" si="201"/>
        <v>0</v>
      </c>
      <c r="X316" s="441">
        <f t="shared" si="202"/>
        <v>0</v>
      </c>
      <c r="Y316" s="561">
        <f t="shared" si="194"/>
        <v>0</v>
      </c>
      <c r="Z316" s="561">
        <f t="shared" si="195"/>
        <v>0</v>
      </c>
      <c r="AA316" s="562">
        <f t="shared" si="196"/>
        <v>0</v>
      </c>
      <c r="AB316" s="562">
        <f t="shared" si="197"/>
        <v>0</v>
      </c>
      <c r="AC316" s="563">
        <f t="shared" si="198"/>
        <v>0</v>
      </c>
      <c r="AD316" s="411">
        <v>1</v>
      </c>
      <c r="AE316" s="411">
        <f t="shared" si="199"/>
        <v>0</v>
      </c>
      <c r="AF316" s="411">
        <f t="shared" si="207"/>
        <v>0</v>
      </c>
      <c r="AG316" s="411">
        <f t="shared" si="200"/>
        <v>0</v>
      </c>
      <c r="AH316" s="411">
        <f t="shared" si="208"/>
        <v>0</v>
      </c>
      <c r="AI316" s="439">
        <f t="shared" si="203"/>
        <v>0</v>
      </c>
      <c r="AJ316" s="440">
        <f t="shared" si="209"/>
        <v>0</v>
      </c>
      <c r="AK316" s="440">
        <f t="shared" si="204"/>
        <v>0</v>
      </c>
      <c r="AL316" s="440">
        <f t="shared" si="210"/>
        <v>0</v>
      </c>
      <c r="AN316" s="411">
        <f t="shared" si="205"/>
        <v>0</v>
      </c>
      <c r="AP316" s="411">
        <f t="shared" si="211"/>
        <v>0</v>
      </c>
      <c r="AQ316" s="411">
        <f t="shared" si="206"/>
        <v>0</v>
      </c>
    </row>
    <row r="317" spans="1:43" ht="15.75" customHeight="1" x14ac:dyDescent="0.2">
      <c r="A317" s="2501"/>
      <c r="B317" s="2502"/>
      <c r="C317" s="2502"/>
      <c r="D317" s="1009"/>
      <c r="E317" s="1010"/>
      <c r="F317" s="762"/>
      <c r="G317" s="762"/>
      <c r="H317" s="2481"/>
      <c r="I317" s="2482"/>
      <c r="J317" s="775"/>
      <c r="K317" s="2493"/>
      <c r="L317" s="2494"/>
      <c r="M317" s="779"/>
      <c r="N317" s="365"/>
      <c r="O317" s="641"/>
      <c r="P317" s="411" t="b">
        <v>0</v>
      </c>
      <c r="Q317" s="324">
        <f t="shared" si="212"/>
        <v>0</v>
      </c>
      <c r="R317" s="561">
        <f t="shared" si="213"/>
        <v>0</v>
      </c>
      <c r="S317" s="561">
        <f t="shared" si="214"/>
        <v>0</v>
      </c>
      <c r="T317" s="562">
        <f t="shared" si="215"/>
        <v>0</v>
      </c>
      <c r="U317" s="562">
        <f t="shared" si="216"/>
        <v>0</v>
      </c>
      <c r="V317" s="563">
        <f t="shared" si="217"/>
        <v>0</v>
      </c>
      <c r="W317" s="411">
        <f t="shared" si="201"/>
        <v>0</v>
      </c>
      <c r="X317" s="441">
        <f t="shared" si="202"/>
        <v>0</v>
      </c>
      <c r="Y317" s="561">
        <f t="shared" si="194"/>
        <v>0</v>
      </c>
      <c r="Z317" s="561">
        <f t="shared" si="195"/>
        <v>0</v>
      </c>
      <c r="AA317" s="562">
        <f t="shared" si="196"/>
        <v>0</v>
      </c>
      <c r="AB317" s="562">
        <f t="shared" si="197"/>
        <v>0</v>
      </c>
      <c r="AC317" s="563">
        <f t="shared" si="198"/>
        <v>0</v>
      </c>
      <c r="AD317" s="411">
        <v>1</v>
      </c>
      <c r="AE317" s="411">
        <f t="shared" si="199"/>
        <v>0</v>
      </c>
      <c r="AF317" s="411">
        <f t="shared" si="207"/>
        <v>0</v>
      </c>
      <c r="AG317" s="411">
        <f t="shared" si="200"/>
        <v>0</v>
      </c>
      <c r="AH317" s="411">
        <f t="shared" si="208"/>
        <v>0</v>
      </c>
      <c r="AI317" s="439">
        <f t="shared" si="203"/>
        <v>0</v>
      </c>
      <c r="AJ317" s="440">
        <f t="shared" si="209"/>
        <v>0</v>
      </c>
      <c r="AK317" s="440">
        <f t="shared" si="204"/>
        <v>0</v>
      </c>
      <c r="AL317" s="440">
        <f t="shared" si="210"/>
        <v>0</v>
      </c>
      <c r="AN317" s="411">
        <f t="shared" si="205"/>
        <v>0</v>
      </c>
      <c r="AP317" s="411">
        <f t="shared" si="211"/>
        <v>0</v>
      </c>
      <c r="AQ317" s="411">
        <f t="shared" si="206"/>
        <v>0</v>
      </c>
    </row>
    <row r="318" spans="1:43" ht="15.75" customHeight="1" x14ac:dyDescent="0.2">
      <c r="A318" s="2501"/>
      <c r="B318" s="2502"/>
      <c r="C318" s="2502"/>
      <c r="D318" s="1009"/>
      <c r="E318" s="1010"/>
      <c r="F318" s="762"/>
      <c r="G318" s="762"/>
      <c r="H318" s="2481"/>
      <c r="I318" s="2482"/>
      <c r="J318" s="775"/>
      <c r="K318" s="2493"/>
      <c r="L318" s="2494"/>
      <c r="M318" s="779"/>
      <c r="N318" s="365"/>
      <c r="O318" s="641"/>
      <c r="P318" s="411" t="b">
        <v>0</v>
      </c>
      <c r="Q318" s="324">
        <f t="shared" si="212"/>
        <v>0</v>
      </c>
      <c r="R318" s="561">
        <f t="shared" si="213"/>
        <v>0</v>
      </c>
      <c r="S318" s="561">
        <f t="shared" si="214"/>
        <v>0</v>
      </c>
      <c r="T318" s="562">
        <f t="shared" si="215"/>
        <v>0</v>
      </c>
      <c r="U318" s="562">
        <f t="shared" si="216"/>
        <v>0</v>
      </c>
      <c r="V318" s="563">
        <f t="shared" si="217"/>
        <v>0</v>
      </c>
      <c r="W318" s="411">
        <f t="shared" si="201"/>
        <v>0</v>
      </c>
      <c r="X318" s="441">
        <f t="shared" si="202"/>
        <v>0</v>
      </c>
      <c r="Y318" s="561">
        <f t="shared" si="194"/>
        <v>0</v>
      </c>
      <c r="Z318" s="561">
        <f t="shared" si="195"/>
        <v>0</v>
      </c>
      <c r="AA318" s="562">
        <f t="shared" si="196"/>
        <v>0</v>
      </c>
      <c r="AB318" s="562">
        <f t="shared" si="197"/>
        <v>0</v>
      </c>
      <c r="AC318" s="563">
        <f t="shared" si="198"/>
        <v>0</v>
      </c>
      <c r="AD318" s="411">
        <v>1</v>
      </c>
      <c r="AE318" s="411">
        <f t="shared" si="199"/>
        <v>0</v>
      </c>
      <c r="AF318" s="411">
        <f t="shared" si="207"/>
        <v>0</v>
      </c>
      <c r="AG318" s="411">
        <f t="shared" si="200"/>
        <v>0</v>
      </c>
      <c r="AH318" s="411">
        <f t="shared" si="208"/>
        <v>0</v>
      </c>
      <c r="AI318" s="439">
        <f t="shared" si="203"/>
        <v>0</v>
      </c>
      <c r="AJ318" s="440">
        <f t="shared" si="209"/>
        <v>0</v>
      </c>
      <c r="AK318" s="440">
        <f t="shared" si="204"/>
        <v>0</v>
      </c>
      <c r="AL318" s="440">
        <f t="shared" si="210"/>
        <v>0</v>
      </c>
      <c r="AN318" s="411">
        <f t="shared" si="205"/>
        <v>0</v>
      </c>
      <c r="AP318" s="411">
        <f t="shared" si="211"/>
        <v>0</v>
      </c>
      <c r="AQ318" s="411">
        <f t="shared" si="206"/>
        <v>0</v>
      </c>
    </row>
    <row r="319" spans="1:43" ht="15.75" customHeight="1" x14ac:dyDescent="0.2">
      <c r="A319" s="2501"/>
      <c r="B319" s="2502"/>
      <c r="C319" s="2502"/>
      <c r="D319" s="1009"/>
      <c r="E319" s="1010"/>
      <c r="F319" s="762"/>
      <c r="G319" s="762"/>
      <c r="H319" s="2481"/>
      <c r="I319" s="2482"/>
      <c r="J319" s="775"/>
      <c r="K319" s="2493"/>
      <c r="L319" s="2494"/>
      <c r="M319" s="779"/>
      <c r="N319" s="365"/>
      <c r="O319" s="641"/>
      <c r="P319" s="411" t="b">
        <v>0</v>
      </c>
      <c r="Q319" s="324">
        <f t="shared" si="212"/>
        <v>0</v>
      </c>
      <c r="R319" s="561">
        <f t="shared" si="213"/>
        <v>0</v>
      </c>
      <c r="S319" s="561">
        <f t="shared" si="214"/>
        <v>0</v>
      </c>
      <c r="T319" s="562">
        <f t="shared" si="215"/>
        <v>0</v>
      </c>
      <c r="U319" s="562">
        <f t="shared" si="216"/>
        <v>0</v>
      </c>
      <c r="V319" s="563">
        <f t="shared" si="217"/>
        <v>0</v>
      </c>
      <c r="W319" s="411">
        <f t="shared" si="201"/>
        <v>0</v>
      </c>
      <c r="X319" s="441">
        <f t="shared" si="202"/>
        <v>0</v>
      </c>
      <c r="Y319" s="561">
        <f t="shared" si="194"/>
        <v>0</v>
      </c>
      <c r="Z319" s="561">
        <f t="shared" si="195"/>
        <v>0</v>
      </c>
      <c r="AA319" s="562">
        <f t="shared" si="196"/>
        <v>0</v>
      </c>
      <c r="AB319" s="562">
        <f t="shared" si="197"/>
        <v>0</v>
      </c>
      <c r="AC319" s="563">
        <f t="shared" si="198"/>
        <v>0</v>
      </c>
      <c r="AD319" s="411">
        <v>1</v>
      </c>
      <c r="AE319" s="411">
        <f t="shared" si="199"/>
        <v>0</v>
      </c>
      <c r="AF319" s="411">
        <f t="shared" si="207"/>
        <v>0</v>
      </c>
      <c r="AG319" s="411">
        <f t="shared" si="200"/>
        <v>0</v>
      </c>
      <c r="AH319" s="411">
        <f t="shared" si="208"/>
        <v>0</v>
      </c>
      <c r="AI319" s="439">
        <f t="shared" si="203"/>
        <v>0</v>
      </c>
      <c r="AJ319" s="440">
        <f t="shared" si="209"/>
        <v>0</v>
      </c>
      <c r="AK319" s="440">
        <f t="shared" si="204"/>
        <v>0</v>
      </c>
      <c r="AL319" s="440">
        <f t="shared" si="210"/>
        <v>0</v>
      </c>
      <c r="AN319" s="411">
        <f t="shared" si="205"/>
        <v>0</v>
      </c>
      <c r="AP319" s="411">
        <f t="shared" si="211"/>
        <v>0</v>
      </c>
      <c r="AQ319" s="411">
        <f t="shared" si="206"/>
        <v>0</v>
      </c>
    </row>
    <row r="320" spans="1:43" ht="15.75" customHeight="1" x14ac:dyDescent="0.2">
      <c r="A320" s="2501"/>
      <c r="B320" s="2502"/>
      <c r="C320" s="2502"/>
      <c r="D320" s="1009"/>
      <c r="E320" s="1010"/>
      <c r="F320" s="762"/>
      <c r="G320" s="762"/>
      <c r="H320" s="2481"/>
      <c r="I320" s="2482"/>
      <c r="J320" s="775"/>
      <c r="K320" s="2493"/>
      <c r="L320" s="2494"/>
      <c r="M320" s="779"/>
      <c r="N320" s="365"/>
      <c r="O320" s="641"/>
      <c r="P320" s="411" t="b">
        <v>0</v>
      </c>
      <c r="Q320" s="324">
        <f t="shared" si="212"/>
        <v>0</v>
      </c>
      <c r="R320" s="561">
        <f t="shared" si="213"/>
        <v>0</v>
      </c>
      <c r="S320" s="561">
        <f t="shared" si="214"/>
        <v>0</v>
      </c>
      <c r="T320" s="562">
        <f t="shared" si="215"/>
        <v>0</v>
      </c>
      <c r="U320" s="562">
        <f t="shared" si="216"/>
        <v>0</v>
      </c>
      <c r="V320" s="563">
        <f t="shared" si="217"/>
        <v>0</v>
      </c>
      <c r="W320" s="411">
        <f t="shared" si="201"/>
        <v>0</v>
      </c>
      <c r="X320" s="441">
        <f t="shared" si="202"/>
        <v>0</v>
      </c>
      <c r="Y320" s="561">
        <f t="shared" si="194"/>
        <v>0</v>
      </c>
      <c r="Z320" s="561">
        <f t="shared" si="195"/>
        <v>0</v>
      </c>
      <c r="AA320" s="562">
        <f t="shared" si="196"/>
        <v>0</v>
      </c>
      <c r="AB320" s="562">
        <f t="shared" si="197"/>
        <v>0</v>
      </c>
      <c r="AC320" s="563">
        <f t="shared" si="198"/>
        <v>0</v>
      </c>
      <c r="AD320" s="411">
        <v>1</v>
      </c>
      <c r="AE320" s="411">
        <f t="shared" si="199"/>
        <v>0</v>
      </c>
      <c r="AF320" s="411">
        <f t="shared" si="207"/>
        <v>0</v>
      </c>
      <c r="AG320" s="411">
        <f t="shared" si="200"/>
        <v>0</v>
      </c>
      <c r="AH320" s="411">
        <f t="shared" si="208"/>
        <v>0</v>
      </c>
      <c r="AI320" s="439">
        <f t="shared" si="203"/>
        <v>0</v>
      </c>
      <c r="AJ320" s="440">
        <f t="shared" si="209"/>
        <v>0</v>
      </c>
      <c r="AK320" s="440">
        <f t="shared" si="204"/>
        <v>0</v>
      </c>
      <c r="AL320" s="440">
        <f t="shared" si="210"/>
        <v>0</v>
      </c>
      <c r="AN320" s="411">
        <f t="shared" si="205"/>
        <v>0</v>
      </c>
      <c r="AP320" s="411">
        <f t="shared" si="211"/>
        <v>0</v>
      </c>
      <c r="AQ320" s="411">
        <f t="shared" si="206"/>
        <v>0</v>
      </c>
    </row>
    <row r="321" spans="1:43" ht="15.75" customHeight="1" x14ac:dyDescent="0.2">
      <c r="A321" s="2501"/>
      <c r="B321" s="2502"/>
      <c r="C321" s="2502"/>
      <c r="D321" s="1009"/>
      <c r="E321" s="1010"/>
      <c r="F321" s="762"/>
      <c r="G321" s="762"/>
      <c r="H321" s="2481"/>
      <c r="I321" s="2482"/>
      <c r="J321" s="775"/>
      <c r="K321" s="2493"/>
      <c r="L321" s="2494"/>
      <c r="M321" s="779"/>
      <c r="N321" s="365"/>
      <c r="O321" s="641"/>
      <c r="P321" s="411" t="b">
        <v>0</v>
      </c>
      <c r="Q321" s="324">
        <f t="shared" si="212"/>
        <v>0</v>
      </c>
      <c r="R321" s="561">
        <f t="shared" si="213"/>
        <v>0</v>
      </c>
      <c r="S321" s="561">
        <f t="shared" si="214"/>
        <v>0</v>
      </c>
      <c r="T321" s="562">
        <f t="shared" si="215"/>
        <v>0</v>
      </c>
      <c r="U321" s="562">
        <f t="shared" si="216"/>
        <v>0</v>
      </c>
      <c r="V321" s="563">
        <f t="shared" si="217"/>
        <v>0</v>
      </c>
      <c r="W321" s="411">
        <f t="shared" si="201"/>
        <v>0</v>
      </c>
      <c r="X321" s="441">
        <f t="shared" si="202"/>
        <v>0</v>
      </c>
      <c r="Y321" s="561">
        <f t="shared" si="194"/>
        <v>0</v>
      </c>
      <c r="Z321" s="561">
        <f t="shared" si="195"/>
        <v>0</v>
      </c>
      <c r="AA321" s="562">
        <f t="shared" si="196"/>
        <v>0</v>
      </c>
      <c r="AB321" s="562">
        <f t="shared" si="197"/>
        <v>0</v>
      </c>
      <c r="AC321" s="563">
        <f t="shared" si="198"/>
        <v>0</v>
      </c>
      <c r="AD321" s="411">
        <v>1</v>
      </c>
      <c r="AE321" s="411">
        <f t="shared" si="199"/>
        <v>0</v>
      </c>
      <c r="AF321" s="411">
        <f t="shared" si="207"/>
        <v>0</v>
      </c>
      <c r="AG321" s="411">
        <f t="shared" si="200"/>
        <v>0</v>
      </c>
      <c r="AH321" s="411">
        <f t="shared" si="208"/>
        <v>0</v>
      </c>
      <c r="AI321" s="439">
        <f t="shared" si="203"/>
        <v>0</v>
      </c>
      <c r="AJ321" s="440">
        <f t="shared" si="209"/>
        <v>0</v>
      </c>
      <c r="AK321" s="440">
        <f t="shared" si="204"/>
        <v>0</v>
      </c>
      <c r="AL321" s="440">
        <f t="shared" si="210"/>
        <v>0</v>
      </c>
      <c r="AN321" s="411">
        <f t="shared" si="205"/>
        <v>0</v>
      </c>
      <c r="AP321" s="411">
        <f t="shared" si="211"/>
        <v>0</v>
      </c>
      <c r="AQ321" s="411">
        <f t="shared" si="206"/>
        <v>0</v>
      </c>
    </row>
    <row r="322" spans="1:43" ht="15.75" customHeight="1" x14ac:dyDescent="0.2">
      <c r="A322" s="2501"/>
      <c r="B322" s="2502"/>
      <c r="C322" s="2502"/>
      <c r="D322" s="1009"/>
      <c r="E322" s="1010"/>
      <c r="F322" s="762"/>
      <c r="G322" s="762"/>
      <c r="H322" s="2481"/>
      <c r="I322" s="2482"/>
      <c r="J322" s="775"/>
      <c r="K322" s="2493"/>
      <c r="L322" s="2494"/>
      <c r="M322" s="779"/>
      <c r="N322" s="365"/>
      <c r="O322" s="641"/>
      <c r="P322" s="411" t="b">
        <v>0</v>
      </c>
      <c r="Q322" s="324">
        <f t="shared" si="212"/>
        <v>0</v>
      </c>
      <c r="R322" s="561">
        <f t="shared" si="213"/>
        <v>0</v>
      </c>
      <c r="S322" s="561">
        <f t="shared" si="214"/>
        <v>0</v>
      </c>
      <c r="T322" s="562">
        <f t="shared" si="215"/>
        <v>0</v>
      </c>
      <c r="U322" s="562">
        <f t="shared" si="216"/>
        <v>0</v>
      </c>
      <c r="V322" s="563">
        <f t="shared" si="217"/>
        <v>0</v>
      </c>
      <c r="W322" s="411">
        <f t="shared" si="201"/>
        <v>0</v>
      </c>
      <c r="X322" s="441">
        <f t="shared" si="202"/>
        <v>0</v>
      </c>
      <c r="Y322" s="561">
        <f t="shared" si="194"/>
        <v>0</v>
      </c>
      <c r="Z322" s="561">
        <f t="shared" si="195"/>
        <v>0</v>
      </c>
      <c r="AA322" s="562">
        <f t="shared" si="196"/>
        <v>0</v>
      </c>
      <c r="AB322" s="562">
        <f t="shared" si="197"/>
        <v>0</v>
      </c>
      <c r="AC322" s="563">
        <f t="shared" si="198"/>
        <v>0</v>
      </c>
      <c r="AD322" s="411">
        <v>1</v>
      </c>
      <c r="AE322" s="411">
        <f t="shared" si="199"/>
        <v>0</v>
      </c>
      <c r="AF322" s="411">
        <f t="shared" si="207"/>
        <v>0</v>
      </c>
      <c r="AG322" s="411">
        <f t="shared" si="200"/>
        <v>0</v>
      </c>
      <c r="AH322" s="411">
        <f t="shared" si="208"/>
        <v>0</v>
      </c>
      <c r="AI322" s="439">
        <f t="shared" si="203"/>
        <v>0</v>
      </c>
      <c r="AJ322" s="440">
        <f t="shared" si="209"/>
        <v>0</v>
      </c>
      <c r="AK322" s="440">
        <f t="shared" si="204"/>
        <v>0</v>
      </c>
      <c r="AL322" s="440">
        <f t="shared" si="210"/>
        <v>0</v>
      </c>
      <c r="AN322" s="411">
        <f t="shared" si="205"/>
        <v>0</v>
      </c>
      <c r="AP322" s="411">
        <f t="shared" si="211"/>
        <v>0</v>
      </c>
      <c r="AQ322" s="411">
        <f t="shared" si="206"/>
        <v>0</v>
      </c>
    </row>
    <row r="323" spans="1:43" ht="15.75" customHeight="1" x14ac:dyDescent="0.2">
      <c r="A323" s="2501"/>
      <c r="B323" s="2502"/>
      <c r="C323" s="2502"/>
      <c r="D323" s="1009"/>
      <c r="E323" s="1010"/>
      <c r="F323" s="762"/>
      <c r="G323" s="762"/>
      <c r="H323" s="2481"/>
      <c r="I323" s="2482"/>
      <c r="J323" s="775"/>
      <c r="K323" s="2493"/>
      <c r="L323" s="2494"/>
      <c r="M323" s="779"/>
      <c r="N323" s="365"/>
      <c r="O323" s="641"/>
      <c r="P323" s="411" t="b">
        <v>0</v>
      </c>
      <c r="Q323" s="324">
        <f t="shared" si="212"/>
        <v>0</v>
      </c>
      <c r="R323" s="561">
        <f t="shared" si="213"/>
        <v>0</v>
      </c>
      <c r="S323" s="561">
        <f t="shared" si="214"/>
        <v>0</v>
      </c>
      <c r="T323" s="562">
        <f t="shared" si="215"/>
        <v>0</v>
      </c>
      <c r="U323" s="562">
        <f t="shared" si="216"/>
        <v>0</v>
      </c>
      <c r="V323" s="563">
        <f t="shared" si="217"/>
        <v>0</v>
      </c>
      <c r="W323" s="411">
        <f t="shared" si="201"/>
        <v>0</v>
      </c>
      <c r="X323" s="441">
        <f t="shared" si="202"/>
        <v>0</v>
      </c>
      <c r="Y323" s="561">
        <f t="shared" si="194"/>
        <v>0</v>
      </c>
      <c r="Z323" s="561">
        <f t="shared" si="195"/>
        <v>0</v>
      </c>
      <c r="AA323" s="562">
        <f t="shared" si="196"/>
        <v>0</v>
      </c>
      <c r="AB323" s="562">
        <f t="shared" si="197"/>
        <v>0</v>
      </c>
      <c r="AC323" s="563">
        <f t="shared" si="198"/>
        <v>0</v>
      </c>
      <c r="AD323" s="411">
        <v>1</v>
      </c>
      <c r="AE323" s="411">
        <f t="shared" si="199"/>
        <v>0</v>
      </c>
      <c r="AF323" s="411">
        <f t="shared" si="207"/>
        <v>0</v>
      </c>
      <c r="AG323" s="411">
        <f t="shared" si="200"/>
        <v>0</v>
      </c>
      <c r="AH323" s="411">
        <f t="shared" si="208"/>
        <v>0</v>
      </c>
      <c r="AI323" s="439">
        <f t="shared" si="203"/>
        <v>0</v>
      </c>
      <c r="AJ323" s="440">
        <f t="shared" si="209"/>
        <v>0</v>
      </c>
      <c r="AK323" s="440">
        <f t="shared" si="204"/>
        <v>0</v>
      </c>
      <c r="AL323" s="440">
        <f t="shared" si="210"/>
        <v>0</v>
      </c>
      <c r="AN323" s="411">
        <f t="shared" si="205"/>
        <v>0</v>
      </c>
      <c r="AP323" s="411">
        <f t="shared" si="211"/>
        <v>0</v>
      </c>
      <c r="AQ323" s="411">
        <f t="shared" si="206"/>
        <v>0</v>
      </c>
    </row>
    <row r="324" spans="1:43" ht="15.75" customHeight="1" x14ac:dyDescent="0.2">
      <c r="A324" s="2501"/>
      <c r="B324" s="2502"/>
      <c r="C324" s="2502"/>
      <c r="D324" s="1009"/>
      <c r="E324" s="1010"/>
      <c r="F324" s="762"/>
      <c r="G324" s="762"/>
      <c r="H324" s="2481"/>
      <c r="I324" s="2482"/>
      <c r="J324" s="775"/>
      <c r="K324" s="2493"/>
      <c r="L324" s="2494"/>
      <c r="M324" s="779"/>
      <c r="N324" s="365"/>
      <c r="O324" s="641"/>
      <c r="P324" s="411" t="b">
        <v>0</v>
      </c>
      <c r="Q324" s="324">
        <f t="shared" si="212"/>
        <v>0</v>
      </c>
      <c r="R324" s="561">
        <f t="shared" si="213"/>
        <v>0</v>
      </c>
      <c r="S324" s="561">
        <f t="shared" si="214"/>
        <v>0</v>
      </c>
      <c r="T324" s="562">
        <f t="shared" si="215"/>
        <v>0</v>
      </c>
      <c r="U324" s="562">
        <f t="shared" si="216"/>
        <v>0</v>
      </c>
      <c r="V324" s="563">
        <f t="shared" si="217"/>
        <v>0</v>
      </c>
      <c r="W324" s="411">
        <f t="shared" si="201"/>
        <v>0</v>
      </c>
      <c r="X324" s="441">
        <f t="shared" si="202"/>
        <v>0</v>
      </c>
      <c r="Y324" s="561">
        <f t="shared" si="194"/>
        <v>0</v>
      </c>
      <c r="Z324" s="561">
        <f t="shared" si="195"/>
        <v>0</v>
      </c>
      <c r="AA324" s="562">
        <f t="shared" si="196"/>
        <v>0</v>
      </c>
      <c r="AB324" s="562">
        <f t="shared" si="197"/>
        <v>0</v>
      </c>
      <c r="AC324" s="563">
        <f t="shared" si="198"/>
        <v>0</v>
      </c>
      <c r="AD324" s="411">
        <v>1</v>
      </c>
      <c r="AE324" s="411">
        <f t="shared" si="199"/>
        <v>0</v>
      </c>
      <c r="AF324" s="411">
        <f t="shared" si="207"/>
        <v>0</v>
      </c>
      <c r="AG324" s="411">
        <f t="shared" si="200"/>
        <v>0</v>
      </c>
      <c r="AH324" s="411">
        <f t="shared" si="208"/>
        <v>0</v>
      </c>
      <c r="AI324" s="439">
        <f t="shared" si="203"/>
        <v>0</v>
      </c>
      <c r="AJ324" s="440">
        <f t="shared" si="209"/>
        <v>0</v>
      </c>
      <c r="AK324" s="440">
        <f t="shared" si="204"/>
        <v>0</v>
      </c>
      <c r="AL324" s="440">
        <f t="shared" si="210"/>
        <v>0</v>
      </c>
      <c r="AN324" s="411">
        <f t="shared" si="205"/>
        <v>0</v>
      </c>
      <c r="AP324" s="411">
        <f t="shared" si="211"/>
        <v>0</v>
      </c>
      <c r="AQ324" s="411">
        <f t="shared" si="206"/>
        <v>0</v>
      </c>
    </row>
    <row r="325" spans="1:43" ht="15.75" customHeight="1" x14ac:dyDescent="0.2">
      <c r="A325" s="2501"/>
      <c r="B325" s="2502"/>
      <c r="C325" s="2502"/>
      <c r="D325" s="1009"/>
      <c r="E325" s="1010"/>
      <c r="F325" s="762"/>
      <c r="G325" s="762"/>
      <c r="H325" s="2481"/>
      <c r="I325" s="2482"/>
      <c r="J325" s="775"/>
      <c r="K325" s="2493"/>
      <c r="L325" s="2494"/>
      <c r="M325" s="779"/>
      <c r="N325" s="365"/>
      <c r="O325" s="641"/>
      <c r="P325" s="411" t="b">
        <v>0</v>
      </c>
      <c r="Q325" s="324">
        <f t="shared" si="212"/>
        <v>0</v>
      </c>
      <c r="R325" s="561">
        <f t="shared" si="213"/>
        <v>0</v>
      </c>
      <c r="S325" s="561">
        <f t="shared" si="214"/>
        <v>0</v>
      </c>
      <c r="T325" s="562">
        <f t="shared" si="215"/>
        <v>0</v>
      </c>
      <c r="U325" s="562">
        <f t="shared" si="216"/>
        <v>0</v>
      </c>
      <c r="V325" s="563">
        <f t="shared" si="217"/>
        <v>0</v>
      </c>
      <c r="W325" s="411">
        <f t="shared" si="201"/>
        <v>0</v>
      </c>
      <c r="X325" s="441">
        <f t="shared" si="202"/>
        <v>0</v>
      </c>
      <c r="Y325" s="561">
        <f t="shared" si="194"/>
        <v>0</v>
      </c>
      <c r="Z325" s="561">
        <f t="shared" si="195"/>
        <v>0</v>
      </c>
      <c r="AA325" s="562">
        <f t="shared" si="196"/>
        <v>0</v>
      </c>
      <c r="AB325" s="562">
        <f t="shared" si="197"/>
        <v>0</v>
      </c>
      <c r="AC325" s="563">
        <f t="shared" si="198"/>
        <v>0</v>
      </c>
      <c r="AD325" s="411">
        <v>1</v>
      </c>
      <c r="AE325" s="411">
        <f t="shared" si="199"/>
        <v>0</v>
      </c>
      <c r="AF325" s="411">
        <f t="shared" si="207"/>
        <v>0</v>
      </c>
      <c r="AG325" s="411">
        <f t="shared" si="200"/>
        <v>0</v>
      </c>
      <c r="AH325" s="411">
        <f t="shared" si="208"/>
        <v>0</v>
      </c>
      <c r="AI325" s="439">
        <f t="shared" si="203"/>
        <v>0</v>
      </c>
      <c r="AJ325" s="440">
        <f t="shared" si="209"/>
        <v>0</v>
      </c>
      <c r="AK325" s="440">
        <f t="shared" si="204"/>
        <v>0</v>
      </c>
      <c r="AL325" s="440">
        <f t="shared" si="210"/>
        <v>0</v>
      </c>
      <c r="AN325" s="411">
        <f t="shared" si="205"/>
        <v>0</v>
      </c>
      <c r="AP325" s="411">
        <f t="shared" si="211"/>
        <v>0</v>
      </c>
      <c r="AQ325" s="411">
        <f t="shared" si="206"/>
        <v>0</v>
      </c>
    </row>
    <row r="326" spans="1:43" ht="15.75" customHeight="1" x14ac:dyDescent="0.2">
      <c r="A326" s="2501"/>
      <c r="B326" s="2502"/>
      <c r="C326" s="2502"/>
      <c r="D326" s="1009"/>
      <c r="E326" s="1010"/>
      <c r="F326" s="762"/>
      <c r="G326" s="762"/>
      <c r="H326" s="2481"/>
      <c r="I326" s="2482"/>
      <c r="J326" s="775"/>
      <c r="K326" s="2493"/>
      <c r="L326" s="2494"/>
      <c r="M326" s="779"/>
      <c r="N326" s="365"/>
      <c r="O326" s="641"/>
      <c r="P326" s="411" t="b">
        <v>0</v>
      </c>
      <c r="Q326" s="324">
        <f t="shared" si="212"/>
        <v>0</v>
      </c>
      <c r="R326" s="561">
        <f t="shared" si="213"/>
        <v>0</v>
      </c>
      <c r="S326" s="561">
        <f t="shared" si="214"/>
        <v>0</v>
      </c>
      <c r="T326" s="562">
        <f t="shared" si="215"/>
        <v>0</v>
      </c>
      <c r="U326" s="562">
        <f t="shared" si="216"/>
        <v>0</v>
      </c>
      <c r="V326" s="563">
        <f t="shared" si="217"/>
        <v>0</v>
      </c>
      <c r="W326" s="411">
        <f t="shared" si="201"/>
        <v>0</v>
      </c>
      <c r="X326" s="441">
        <f t="shared" si="202"/>
        <v>0</v>
      </c>
      <c r="Y326" s="561">
        <f t="shared" si="194"/>
        <v>0</v>
      </c>
      <c r="Z326" s="561">
        <f t="shared" si="195"/>
        <v>0</v>
      </c>
      <c r="AA326" s="562">
        <f t="shared" si="196"/>
        <v>0</v>
      </c>
      <c r="AB326" s="562">
        <f t="shared" si="197"/>
        <v>0</v>
      </c>
      <c r="AC326" s="563">
        <f t="shared" si="198"/>
        <v>0</v>
      </c>
      <c r="AD326" s="411">
        <v>1</v>
      </c>
      <c r="AE326" s="411">
        <f t="shared" si="199"/>
        <v>0</v>
      </c>
      <c r="AF326" s="411">
        <f t="shared" si="207"/>
        <v>0</v>
      </c>
      <c r="AG326" s="411">
        <f t="shared" si="200"/>
        <v>0</v>
      </c>
      <c r="AH326" s="411">
        <f t="shared" si="208"/>
        <v>0</v>
      </c>
      <c r="AI326" s="439">
        <f t="shared" si="203"/>
        <v>0</v>
      </c>
      <c r="AJ326" s="440">
        <f t="shared" si="209"/>
        <v>0</v>
      </c>
      <c r="AK326" s="440">
        <f t="shared" si="204"/>
        <v>0</v>
      </c>
      <c r="AL326" s="440">
        <f t="shared" si="210"/>
        <v>0</v>
      </c>
      <c r="AN326" s="411">
        <f t="shared" si="205"/>
        <v>0</v>
      </c>
      <c r="AP326" s="411">
        <f t="shared" si="211"/>
        <v>0</v>
      </c>
      <c r="AQ326" s="411">
        <f t="shared" si="206"/>
        <v>0</v>
      </c>
    </row>
    <row r="327" spans="1:43" ht="15.75" customHeight="1" x14ac:dyDescent="0.2">
      <c r="A327" s="2501"/>
      <c r="B327" s="2502"/>
      <c r="C327" s="2502"/>
      <c r="D327" s="1009"/>
      <c r="E327" s="1010"/>
      <c r="F327" s="762"/>
      <c r="G327" s="762"/>
      <c r="H327" s="2481"/>
      <c r="I327" s="2482"/>
      <c r="J327" s="775"/>
      <c r="K327" s="2493"/>
      <c r="L327" s="2494"/>
      <c r="M327" s="779"/>
      <c r="N327" s="365"/>
      <c r="O327" s="641"/>
      <c r="P327" s="411" t="b">
        <v>0</v>
      </c>
      <c r="Q327" s="324">
        <f t="shared" si="212"/>
        <v>0</v>
      </c>
      <c r="R327" s="561">
        <f t="shared" si="213"/>
        <v>0</v>
      </c>
      <c r="S327" s="561">
        <f t="shared" si="214"/>
        <v>0</v>
      </c>
      <c r="T327" s="562">
        <f t="shared" si="215"/>
        <v>0</v>
      </c>
      <c r="U327" s="562">
        <f t="shared" si="216"/>
        <v>0</v>
      </c>
      <c r="V327" s="563">
        <f t="shared" si="217"/>
        <v>0</v>
      </c>
      <c r="W327" s="411">
        <f t="shared" si="201"/>
        <v>0</v>
      </c>
      <c r="X327" s="441">
        <f t="shared" si="202"/>
        <v>0</v>
      </c>
      <c r="Y327" s="561">
        <f t="shared" si="194"/>
        <v>0</v>
      </c>
      <c r="Z327" s="561">
        <f t="shared" si="195"/>
        <v>0</v>
      </c>
      <c r="AA327" s="562">
        <f t="shared" si="196"/>
        <v>0</v>
      </c>
      <c r="AB327" s="562">
        <f t="shared" si="197"/>
        <v>0</v>
      </c>
      <c r="AC327" s="563">
        <f t="shared" si="198"/>
        <v>0</v>
      </c>
      <c r="AD327" s="411">
        <v>1</v>
      </c>
      <c r="AE327" s="411">
        <f t="shared" si="199"/>
        <v>0</v>
      </c>
      <c r="AF327" s="411">
        <f t="shared" si="207"/>
        <v>0</v>
      </c>
      <c r="AG327" s="411">
        <f t="shared" si="200"/>
        <v>0</v>
      </c>
      <c r="AH327" s="411">
        <f t="shared" si="208"/>
        <v>0</v>
      </c>
      <c r="AI327" s="439">
        <f t="shared" si="203"/>
        <v>0</v>
      </c>
      <c r="AJ327" s="440">
        <f t="shared" si="209"/>
        <v>0</v>
      </c>
      <c r="AK327" s="440">
        <f t="shared" si="204"/>
        <v>0</v>
      </c>
      <c r="AL327" s="440">
        <f t="shared" si="210"/>
        <v>0</v>
      </c>
      <c r="AN327" s="411">
        <f t="shared" si="205"/>
        <v>0</v>
      </c>
      <c r="AP327" s="411">
        <f t="shared" si="211"/>
        <v>0</v>
      </c>
      <c r="AQ327" s="411">
        <f t="shared" si="206"/>
        <v>0</v>
      </c>
    </row>
    <row r="328" spans="1:43" ht="15.75" customHeight="1" x14ac:dyDescent="0.2">
      <c r="A328" s="2501"/>
      <c r="B328" s="2502"/>
      <c r="C328" s="2502"/>
      <c r="D328" s="1009"/>
      <c r="E328" s="1010"/>
      <c r="F328" s="762"/>
      <c r="G328" s="762"/>
      <c r="H328" s="2481"/>
      <c r="I328" s="2482"/>
      <c r="J328" s="775"/>
      <c r="K328" s="2493"/>
      <c r="L328" s="2494"/>
      <c r="M328" s="779"/>
      <c r="N328" s="365"/>
      <c r="O328" s="641"/>
      <c r="P328" s="411" t="b">
        <v>0</v>
      </c>
      <c r="Q328" s="324">
        <f t="shared" si="212"/>
        <v>0</v>
      </c>
      <c r="R328" s="561">
        <f t="shared" si="213"/>
        <v>0</v>
      </c>
      <c r="S328" s="561">
        <f t="shared" si="214"/>
        <v>0</v>
      </c>
      <c r="T328" s="562">
        <f t="shared" si="215"/>
        <v>0</v>
      </c>
      <c r="U328" s="562">
        <f t="shared" si="216"/>
        <v>0</v>
      </c>
      <c r="V328" s="563">
        <f t="shared" si="217"/>
        <v>0</v>
      </c>
      <c r="W328" s="411">
        <f t="shared" si="201"/>
        <v>0</v>
      </c>
      <c r="X328" s="441">
        <f t="shared" si="202"/>
        <v>0</v>
      </c>
      <c r="Y328" s="561">
        <f t="shared" si="194"/>
        <v>0</v>
      </c>
      <c r="Z328" s="561">
        <f t="shared" si="195"/>
        <v>0</v>
      </c>
      <c r="AA328" s="562">
        <f t="shared" si="196"/>
        <v>0</v>
      </c>
      <c r="AB328" s="562">
        <f t="shared" si="197"/>
        <v>0</v>
      </c>
      <c r="AC328" s="563">
        <f t="shared" si="198"/>
        <v>0</v>
      </c>
      <c r="AD328" s="411">
        <v>1</v>
      </c>
      <c r="AE328" s="411">
        <f t="shared" si="199"/>
        <v>0</v>
      </c>
      <c r="AF328" s="411">
        <f t="shared" si="207"/>
        <v>0</v>
      </c>
      <c r="AG328" s="411">
        <f t="shared" si="200"/>
        <v>0</v>
      </c>
      <c r="AH328" s="411">
        <f t="shared" si="208"/>
        <v>0</v>
      </c>
      <c r="AI328" s="439">
        <f t="shared" si="203"/>
        <v>0</v>
      </c>
      <c r="AJ328" s="440">
        <f t="shared" si="209"/>
        <v>0</v>
      </c>
      <c r="AK328" s="440">
        <f t="shared" si="204"/>
        <v>0</v>
      </c>
      <c r="AL328" s="440">
        <f t="shared" si="210"/>
        <v>0</v>
      </c>
      <c r="AN328" s="411">
        <f t="shared" si="205"/>
        <v>0</v>
      </c>
      <c r="AP328" s="411">
        <f t="shared" si="211"/>
        <v>0</v>
      </c>
      <c r="AQ328" s="411">
        <f t="shared" si="206"/>
        <v>0</v>
      </c>
    </row>
    <row r="329" spans="1:43" ht="15.75" customHeight="1" x14ac:dyDescent="0.2">
      <c r="A329" s="2501"/>
      <c r="B329" s="2502"/>
      <c r="C329" s="2502"/>
      <c r="D329" s="1009"/>
      <c r="E329" s="1010"/>
      <c r="F329" s="762"/>
      <c r="G329" s="762"/>
      <c r="H329" s="2481"/>
      <c r="I329" s="2482"/>
      <c r="J329" s="775"/>
      <c r="K329" s="2493"/>
      <c r="L329" s="2494"/>
      <c r="M329" s="779"/>
      <c r="N329" s="365"/>
      <c r="O329" s="641"/>
      <c r="P329" s="411" t="b">
        <v>0</v>
      </c>
      <c r="Q329" s="324">
        <f t="shared" si="212"/>
        <v>0</v>
      </c>
      <c r="R329" s="561">
        <f t="shared" si="213"/>
        <v>0</v>
      </c>
      <c r="S329" s="561">
        <f t="shared" si="214"/>
        <v>0</v>
      </c>
      <c r="T329" s="562">
        <f t="shared" si="215"/>
        <v>0</v>
      </c>
      <c r="U329" s="562">
        <f t="shared" si="216"/>
        <v>0</v>
      </c>
      <c r="V329" s="563">
        <f t="shared" si="217"/>
        <v>0</v>
      </c>
      <c r="W329" s="411">
        <f t="shared" si="201"/>
        <v>0</v>
      </c>
      <c r="X329" s="441">
        <f t="shared" si="202"/>
        <v>0</v>
      </c>
      <c r="Y329" s="561">
        <f t="shared" si="194"/>
        <v>0</v>
      </c>
      <c r="Z329" s="561">
        <f t="shared" si="195"/>
        <v>0</v>
      </c>
      <c r="AA329" s="562">
        <f t="shared" si="196"/>
        <v>0</v>
      </c>
      <c r="AB329" s="562">
        <f t="shared" si="197"/>
        <v>0</v>
      </c>
      <c r="AC329" s="563">
        <f t="shared" si="198"/>
        <v>0</v>
      </c>
      <c r="AD329" s="411">
        <v>1</v>
      </c>
      <c r="AE329" s="411">
        <f t="shared" si="199"/>
        <v>0</v>
      </c>
      <c r="AF329" s="411">
        <f t="shared" si="207"/>
        <v>0</v>
      </c>
      <c r="AG329" s="411">
        <f t="shared" si="200"/>
        <v>0</v>
      </c>
      <c r="AH329" s="411">
        <f t="shared" si="208"/>
        <v>0</v>
      </c>
      <c r="AI329" s="439">
        <f t="shared" si="203"/>
        <v>0</v>
      </c>
      <c r="AJ329" s="440">
        <f t="shared" si="209"/>
        <v>0</v>
      </c>
      <c r="AK329" s="440">
        <f t="shared" si="204"/>
        <v>0</v>
      </c>
      <c r="AL329" s="440">
        <f t="shared" si="210"/>
        <v>0</v>
      </c>
      <c r="AN329" s="411">
        <f t="shared" si="205"/>
        <v>0</v>
      </c>
      <c r="AP329" s="411">
        <f t="shared" si="211"/>
        <v>0</v>
      </c>
      <c r="AQ329" s="411">
        <f t="shared" si="206"/>
        <v>0</v>
      </c>
    </row>
    <row r="330" spans="1:43" ht="15.75" customHeight="1" x14ac:dyDescent="0.2">
      <c r="A330" s="2501"/>
      <c r="B330" s="2502"/>
      <c r="C330" s="2502"/>
      <c r="D330" s="1009"/>
      <c r="E330" s="1010"/>
      <c r="F330" s="762"/>
      <c r="G330" s="762"/>
      <c r="H330" s="2481"/>
      <c r="I330" s="2482"/>
      <c r="J330" s="775"/>
      <c r="K330" s="2493"/>
      <c r="L330" s="2494"/>
      <c r="M330" s="779"/>
      <c r="N330" s="365"/>
      <c r="O330" s="641"/>
      <c r="P330" s="411" t="b">
        <v>0</v>
      </c>
      <c r="Q330" s="324">
        <f t="shared" si="212"/>
        <v>0</v>
      </c>
      <c r="R330" s="561">
        <f t="shared" si="213"/>
        <v>0</v>
      </c>
      <c r="S330" s="561">
        <f t="shared" si="214"/>
        <v>0</v>
      </c>
      <c r="T330" s="562">
        <f t="shared" si="215"/>
        <v>0</v>
      </c>
      <c r="U330" s="562">
        <f t="shared" si="216"/>
        <v>0</v>
      </c>
      <c r="V330" s="563">
        <f t="shared" si="217"/>
        <v>0</v>
      </c>
      <c r="W330" s="411">
        <f t="shared" si="201"/>
        <v>0</v>
      </c>
      <c r="X330" s="441">
        <f t="shared" si="202"/>
        <v>0</v>
      </c>
      <c r="Y330" s="561">
        <f t="shared" si="194"/>
        <v>0</v>
      </c>
      <c r="Z330" s="561">
        <f t="shared" si="195"/>
        <v>0</v>
      </c>
      <c r="AA330" s="562">
        <f t="shared" si="196"/>
        <v>0</v>
      </c>
      <c r="AB330" s="562">
        <f t="shared" si="197"/>
        <v>0</v>
      </c>
      <c r="AC330" s="563">
        <f t="shared" si="198"/>
        <v>0</v>
      </c>
      <c r="AD330" s="411">
        <v>1</v>
      </c>
      <c r="AE330" s="411">
        <f t="shared" si="199"/>
        <v>0</v>
      </c>
      <c r="AF330" s="411">
        <f t="shared" si="207"/>
        <v>0</v>
      </c>
      <c r="AG330" s="411">
        <f t="shared" si="200"/>
        <v>0</v>
      </c>
      <c r="AH330" s="411">
        <f t="shared" si="208"/>
        <v>0</v>
      </c>
      <c r="AI330" s="439">
        <f t="shared" si="203"/>
        <v>0</v>
      </c>
      <c r="AJ330" s="440">
        <f t="shared" si="209"/>
        <v>0</v>
      </c>
      <c r="AK330" s="440">
        <f t="shared" si="204"/>
        <v>0</v>
      </c>
      <c r="AL330" s="440">
        <f t="shared" si="210"/>
        <v>0</v>
      </c>
      <c r="AN330" s="411">
        <f t="shared" si="205"/>
        <v>0</v>
      </c>
      <c r="AP330" s="411">
        <f t="shared" si="211"/>
        <v>0</v>
      </c>
      <c r="AQ330" s="411">
        <f t="shared" si="206"/>
        <v>0</v>
      </c>
    </row>
    <row r="331" spans="1:43" ht="15.75" customHeight="1" x14ac:dyDescent="0.2">
      <c r="A331" s="2501"/>
      <c r="B331" s="2502"/>
      <c r="C331" s="2502"/>
      <c r="D331" s="1009"/>
      <c r="E331" s="1010"/>
      <c r="F331" s="762"/>
      <c r="G331" s="762"/>
      <c r="H331" s="2481"/>
      <c r="I331" s="2482"/>
      <c r="J331" s="775"/>
      <c r="K331" s="2493"/>
      <c r="L331" s="2494"/>
      <c r="M331" s="779"/>
      <c r="N331" s="365"/>
      <c r="O331" s="641"/>
      <c r="P331" s="411" t="b">
        <v>0</v>
      </c>
      <c r="Q331" s="324">
        <f t="shared" si="212"/>
        <v>0</v>
      </c>
      <c r="R331" s="561">
        <f t="shared" si="213"/>
        <v>0</v>
      </c>
      <c r="S331" s="561">
        <f t="shared" si="214"/>
        <v>0</v>
      </c>
      <c r="T331" s="562">
        <f t="shared" si="215"/>
        <v>0</v>
      </c>
      <c r="U331" s="562">
        <f t="shared" si="216"/>
        <v>0</v>
      </c>
      <c r="V331" s="563">
        <f t="shared" si="217"/>
        <v>0</v>
      </c>
      <c r="W331" s="411">
        <f t="shared" si="201"/>
        <v>0</v>
      </c>
      <c r="X331" s="441">
        <f t="shared" si="202"/>
        <v>0</v>
      </c>
      <c r="Y331" s="561">
        <f t="shared" si="194"/>
        <v>0</v>
      </c>
      <c r="Z331" s="561">
        <f t="shared" si="195"/>
        <v>0</v>
      </c>
      <c r="AA331" s="562">
        <f t="shared" si="196"/>
        <v>0</v>
      </c>
      <c r="AB331" s="562">
        <f t="shared" si="197"/>
        <v>0</v>
      </c>
      <c r="AC331" s="563">
        <f t="shared" si="198"/>
        <v>0</v>
      </c>
      <c r="AD331" s="411">
        <v>1</v>
      </c>
      <c r="AE331" s="411">
        <f t="shared" si="199"/>
        <v>0</v>
      </c>
      <c r="AF331" s="411">
        <f t="shared" si="207"/>
        <v>0</v>
      </c>
      <c r="AG331" s="411">
        <f t="shared" si="200"/>
        <v>0</v>
      </c>
      <c r="AH331" s="411">
        <f t="shared" si="208"/>
        <v>0</v>
      </c>
      <c r="AI331" s="439">
        <f t="shared" si="203"/>
        <v>0</v>
      </c>
      <c r="AJ331" s="440">
        <f t="shared" si="209"/>
        <v>0</v>
      </c>
      <c r="AK331" s="440">
        <f t="shared" si="204"/>
        <v>0</v>
      </c>
      <c r="AL331" s="440">
        <f t="shared" si="210"/>
        <v>0</v>
      </c>
      <c r="AN331" s="411">
        <f t="shared" si="205"/>
        <v>0</v>
      </c>
      <c r="AP331" s="411">
        <f t="shared" si="211"/>
        <v>0</v>
      </c>
      <c r="AQ331" s="411">
        <f t="shared" si="206"/>
        <v>0</v>
      </c>
    </row>
    <row r="332" spans="1:43" ht="15.75" customHeight="1" x14ac:dyDescent="0.2">
      <c r="A332" s="2501"/>
      <c r="B332" s="2502"/>
      <c r="C332" s="2502"/>
      <c r="D332" s="1009"/>
      <c r="E332" s="1010"/>
      <c r="F332" s="762"/>
      <c r="G332" s="762"/>
      <c r="H332" s="2481"/>
      <c r="I332" s="2482"/>
      <c r="J332" s="775"/>
      <c r="K332" s="2493"/>
      <c r="L332" s="2494"/>
      <c r="M332" s="779"/>
      <c r="N332" s="365"/>
      <c r="O332" s="641"/>
      <c r="P332" s="411" t="b">
        <v>0</v>
      </c>
      <c r="Q332" s="324">
        <f t="shared" si="212"/>
        <v>0</v>
      </c>
      <c r="R332" s="561">
        <f t="shared" si="213"/>
        <v>0</v>
      </c>
      <c r="S332" s="561">
        <f t="shared" si="214"/>
        <v>0</v>
      </c>
      <c r="T332" s="562">
        <f t="shared" si="215"/>
        <v>0</v>
      </c>
      <c r="U332" s="562">
        <f t="shared" si="216"/>
        <v>0</v>
      </c>
      <c r="V332" s="563">
        <f t="shared" si="217"/>
        <v>0</v>
      </c>
      <c r="W332" s="411">
        <f t="shared" si="201"/>
        <v>0</v>
      </c>
      <c r="X332" s="441">
        <f t="shared" si="202"/>
        <v>0</v>
      </c>
      <c r="Y332" s="561">
        <f t="shared" si="194"/>
        <v>0</v>
      </c>
      <c r="Z332" s="561">
        <f t="shared" si="195"/>
        <v>0</v>
      </c>
      <c r="AA332" s="562">
        <f t="shared" si="196"/>
        <v>0</v>
      </c>
      <c r="AB332" s="562">
        <f t="shared" si="197"/>
        <v>0</v>
      </c>
      <c r="AC332" s="563">
        <f t="shared" si="198"/>
        <v>0</v>
      </c>
      <c r="AD332" s="411">
        <v>1</v>
      </c>
      <c r="AE332" s="411">
        <f t="shared" si="199"/>
        <v>0</v>
      </c>
      <c r="AF332" s="411">
        <f t="shared" si="207"/>
        <v>0</v>
      </c>
      <c r="AG332" s="411">
        <f t="shared" si="200"/>
        <v>0</v>
      </c>
      <c r="AH332" s="411">
        <f t="shared" si="208"/>
        <v>0</v>
      </c>
      <c r="AI332" s="439">
        <f t="shared" si="203"/>
        <v>0</v>
      </c>
      <c r="AJ332" s="440">
        <f t="shared" si="209"/>
        <v>0</v>
      </c>
      <c r="AK332" s="440">
        <f t="shared" si="204"/>
        <v>0</v>
      </c>
      <c r="AL332" s="440">
        <f t="shared" si="210"/>
        <v>0</v>
      </c>
      <c r="AN332" s="411">
        <f t="shared" si="205"/>
        <v>0</v>
      </c>
      <c r="AP332" s="411">
        <f t="shared" si="211"/>
        <v>0</v>
      </c>
      <c r="AQ332" s="411">
        <f t="shared" si="206"/>
        <v>0</v>
      </c>
    </row>
    <row r="333" spans="1:43" ht="15.75" customHeight="1" x14ac:dyDescent="0.2">
      <c r="A333" s="2501"/>
      <c r="B333" s="2502"/>
      <c r="C333" s="2502"/>
      <c r="D333" s="1009"/>
      <c r="E333" s="1010"/>
      <c r="F333" s="762"/>
      <c r="G333" s="762"/>
      <c r="H333" s="2481"/>
      <c r="I333" s="2482"/>
      <c r="J333" s="775"/>
      <c r="K333" s="2493"/>
      <c r="L333" s="2494"/>
      <c r="M333" s="779"/>
      <c r="N333" s="365"/>
      <c r="O333" s="641"/>
      <c r="P333" s="411" t="b">
        <v>0</v>
      </c>
      <c r="Q333" s="324">
        <f t="shared" si="212"/>
        <v>0</v>
      </c>
      <c r="R333" s="561">
        <f t="shared" si="213"/>
        <v>0</v>
      </c>
      <c r="S333" s="561">
        <f t="shared" si="214"/>
        <v>0</v>
      </c>
      <c r="T333" s="562">
        <f t="shared" si="215"/>
        <v>0</v>
      </c>
      <c r="U333" s="562">
        <f t="shared" si="216"/>
        <v>0</v>
      </c>
      <c r="V333" s="563">
        <f t="shared" si="217"/>
        <v>0</v>
      </c>
      <c r="W333" s="411">
        <f t="shared" si="201"/>
        <v>0</v>
      </c>
      <c r="X333" s="441">
        <f t="shared" si="202"/>
        <v>0</v>
      </c>
      <c r="Y333" s="561">
        <f t="shared" si="194"/>
        <v>0</v>
      </c>
      <c r="Z333" s="561">
        <f t="shared" si="195"/>
        <v>0</v>
      </c>
      <c r="AA333" s="562">
        <f t="shared" si="196"/>
        <v>0</v>
      </c>
      <c r="AB333" s="562">
        <f t="shared" si="197"/>
        <v>0</v>
      </c>
      <c r="AC333" s="563">
        <f t="shared" si="198"/>
        <v>0</v>
      </c>
      <c r="AD333" s="411">
        <v>1</v>
      </c>
      <c r="AE333" s="411">
        <f t="shared" si="199"/>
        <v>0</v>
      </c>
      <c r="AF333" s="411">
        <f t="shared" si="207"/>
        <v>0</v>
      </c>
      <c r="AG333" s="411">
        <f t="shared" si="200"/>
        <v>0</v>
      </c>
      <c r="AH333" s="411">
        <f t="shared" si="208"/>
        <v>0</v>
      </c>
      <c r="AI333" s="439">
        <f t="shared" si="203"/>
        <v>0</v>
      </c>
      <c r="AJ333" s="440">
        <f t="shared" si="209"/>
        <v>0</v>
      </c>
      <c r="AK333" s="440">
        <f t="shared" si="204"/>
        <v>0</v>
      </c>
      <c r="AL333" s="440">
        <f t="shared" si="210"/>
        <v>0</v>
      </c>
      <c r="AN333" s="411">
        <f t="shared" si="205"/>
        <v>0</v>
      </c>
      <c r="AP333" s="411">
        <f t="shared" si="211"/>
        <v>0</v>
      </c>
      <c r="AQ333" s="411">
        <f t="shared" si="206"/>
        <v>0</v>
      </c>
    </row>
    <row r="334" spans="1:43" ht="15.75" customHeight="1" x14ac:dyDescent="0.2">
      <c r="A334" s="2501"/>
      <c r="B334" s="2502"/>
      <c r="C334" s="2502"/>
      <c r="D334" s="1009"/>
      <c r="E334" s="1010"/>
      <c r="F334" s="762"/>
      <c r="G334" s="762"/>
      <c r="H334" s="2481"/>
      <c r="I334" s="2482"/>
      <c r="J334" s="775"/>
      <c r="K334" s="2493"/>
      <c r="L334" s="2494"/>
      <c r="M334" s="779"/>
      <c r="N334" s="365"/>
      <c r="O334" s="641"/>
      <c r="P334" s="411" t="b">
        <v>0</v>
      </c>
      <c r="Q334" s="324">
        <f t="shared" si="212"/>
        <v>0</v>
      </c>
      <c r="R334" s="561">
        <f t="shared" si="213"/>
        <v>0</v>
      </c>
      <c r="S334" s="561">
        <f t="shared" si="214"/>
        <v>0</v>
      </c>
      <c r="T334" s="562">
        <f t="shared" si="215"/>
        <v>0</v>
      </c>
      <c r="U334" s="562">
        <f t="shared" si="216"/>
        <v>0</v>
      </c>
      <c r="V334" s="563">
        <f t="shared" si="217"/>
        <v>0</v>
      </c>
      <c r="W334" s="411">
        <f t="shared" si="201"/>
        <v>0</v>
      </c>
      <c r="X334" s="441">
        <f t="shared" si="202"/>
        <v>0</v>
      </c>
      <c r="Y334" s="561">
        <f t="shared" si="194"/>
        <v>0</v>
      </c>
      <c r="Z334" s="561">
        <f t="shared" si="195"/>
        <v>0</v>
      </c>
      <c r="AA334" s="562">
        <f t="shared" si="196"/>
        <v>0</v>
      </c>
      <c r="AB334" s="562">
        <f t="shared" si="197"/>
        <v>0</v>
      </c>
      <c r="AC334" s="563">
        <f t="shared" si="198"/>
        <v>0</v>
      </c>
      <c r="AD334" s="411">
        <v>1</v>
      </c>
      <c r="AE334" s="411">
        <f t="shared" si="199"/>
        <v>0</v>
      </c>
      <c r="AF334" s="411">
        <f t="shared" si="207"/>
        <v>0</v>
      </c>
      <c r="AG334" s="411">
        <f t="shared" si="200"/>
        <v>0</v>
      </c>
      <c r="AH334" s="411">
        <f t="shared" si="208"/>
        <v>0</v>
      </c>
      <c r="AI334" s="439">
        <f t="shared" si="203"/>
        <v>0</v>
      </c>
      <c r="AJ334" s="440">
        <f t="shared" si="209"/>
        <v>0</v>
      </c>
      <c r="AK334" s="440">
        <f t="shared" si="204"/>
        <v>0</v>
      </c>
      <c r="AL334" s="440">
        <f t="shared" si="210"/>
        <v>0</v>
      </c>
      <c r="AN334" s="411">
        <f t="shared" si="205"/>
        <v>0</v>
      </c>
      <c r="AP334" s="411">
        <f t="shared" si="211"/>
        <v>0</v>
      </c>
      <c r="AQ334" s="411">
        <f t="shared" si="206"/>
        <v>0</v>
      </c>
    </row>
    <row r="335" spans="1:43" ht="15.75" customHeight="1" x14ac:dyDescent="0.2">
      <c r="A335" s="2501"/>
      <c r="B335" s="2502"/>
      <c r="C335" s="2502"/>
      <c r="D335" s="1009"/>
      <c r="E335" s="1010"/>
      <c r="F335" s="762"/>
      <c r="G335" s="762"/>
      <c r="H335" s="2481"/>
      <c r="I335" s="2482"/>
      <c r="J335" s="775"/>
      <c r="K335" s="2493"/>
      <c r="L335" s="2494"/>
      <c r="M335" s="779"/>
      <c r="N335" s="365"/>
      <c r="O335" s="641"/>
      <c r="P335" s="411" t="b">
        <v>0</v>
      </c>
      <c r="Q335" s="324">
        <f t="shared" si="212"/>
        <v>0</v>
      </c>
      <c r="R335" s="561">
        <f t="shared" si="213"/>
        <v>0</v>
      </c>
      <c r="S335" s="561">
        <f t="shared" si="214"/>
        <v>0</v>
      </c>
      <c r="T335" s="562">
        <f t="shared" si="215"/>
        <v>0</v>
      </c>
      <c r="U335" s="562">
        <f t="shared" si="216"/>
        <v>0</v>
      </c>
      <c r="V335" s="563">
        <f t="shared" si="217"/>
        <v>0</v>
      </c>
      <c r="W335" s="411">
        <f t="shared" si="201"/>
        <v>0</v>
      </c>
      <c r="X335" s="441">
        <f t="shared" si="202"/>
        <v>0</v>
      </c>
      <c r="Y335" s="561">
        <f t="shared" si="194"/>
        <v>0</v>
      </c>
      <c r="Z335" s="561">
        <f t="shared" si="195"/>
        <v>0</v>
      </c>
      <c r="AA335" s="562">
        <f t="shared" si="196"/>
        <v>0</v>
      </c>
      <c r="AB335" s="562">
        <f t="shared" si="197"/>
        <v>0</v>
      </c>
      <c r="AC335" s="563">
        <f t="shared" si="198"/>
        <v>0</v>
      </c>
      <c r="AD335" s="411">
        <v>1</v>
      </c>
      <c r="AE335" s="411">
        <f t="shared" si="199"/>
        <v>0</v>
      </c>
      <c r="AF335" s="411">
        <f t="shared" si="207"/>
        <v>0</v>
      </c>
      <c r="AG335" s="411">
        <f t="shared" si="200"/>
        <v>0</v>
      </c>
      <c r="AH335" s="411">
        <f t="shared" si="208"/>
        <v>0</v>
      </c>
      <c r="AI335" s="439">
        <f t="shared" si="203"/>
        <v>0</v>
      </c>
      <c r="AJ335" s="440">
        <f t="shared" si="209"/>
        <v>0</v>
      </c>
      <c r="AK335" s="440">
        <f t="shared" si="204"/>
        <v>0</v>
      </c>
      <c r="AL335" s="440">
        <f t="shared" si="210"/>
        <v>0</v>
      </c>
      <c r="AN335" s="411">
        <f t="shared" si="205"/>
        <v>0</v>
      </c>
      <c r="AP335" s="411">
        <f t="shared" si="211"/>
        <v>0</v>
      </c>
      <c r="AQ335" s="411">
        <f t="shared" si="206"/>
        <v>0</v>
      </c>
    </row>
    <row r="336" spans="1:43" ht="15.75" customHeight="1" x14ac:dyDescent="0.2">
      <c r="A336" s="2501"/>
      <c r="B336" s="2502"/>
      <c r="C336" s="2502"/>
      <c r="D336" s="1009"/>
      <c r="E336" s="1010"/>
      <c r="F336" s="762"/>
      <c r="G336" s="762"/>
      <c r="H336" s="2481"/>
      <c r="I336" s="2482"/>
      <c r="J336" s="775"/>
      <c r="K336" s="2493"/>
      <c r="L336" s="2494"/>
      <c r="M336" s="779"/>
      <c r="N336" s="365"/>
      <c r="O336" s="641"/>
      <c r="P336" s="411" t="b">
        <v>0</v>
      </c>
      <c r="Q336" s="324">
        <f t="shared" si="212"/>
        <v>0</v>
      </c>
      <c r="R336" s="561">
        <f t="shared" si="213"/>
        <v>0</v>
      </c>
      <c r="S336" s="561">
        <f t="shared" si="214"/>
        <v>0</v>
      </c>
      <c r="T336" s="562">
        <f t="shared" si="215"/>
        <v>0</v>
      </c>
      <c r="U336" s="562">
        <f t="shared" si="216"/>
        <v>0</v>
      </c>
      <c r="V336" s="563">
        <f t="shared" si="217"/>
        <v>0</v>
      </c>
      <c r="W336" s="411">
        <f t="shared" si="201"/>
        <v>0</v>
      </c>
      <c r="X336" s="441">
        <f t="shared" si="202"/>
        <v>0</v>
      </c>
      <c r="Y336" s="561">
        <f t="shared" si="194"/>
        <v>0</v>
      </c>
      <c r="Z336" s="561">
        <f t="shared" si="195"/>
        <v>0</v>
      </c>
      <c r="AA336" s="562">
        <f t="shared" si="196"/>
        <v>0</v>
      </c>
      <c r="AB336" s="562">
        <f t="shared" si="197"/>
        <v>0</v>
      </c>
      <c r="AC336" s="563">
        <f t="shared" si="198"/>
        <v>0</v>
      </c>
      <c r="AD336" s="411">
        <v>1</v>
      </c>
      <c r="AE336" s="411">
        <f t="shared" si="199"/>
        <v>0</v>
      </c>
      <c r="AF336" s="411">
        <f t="shared" si="207"/>
        <v>0</v>
      </c>
      <c r="AG336" s="411">
        <f t="shared" si="200"/>
        <v>0</v>
      </c>
      <c r="AH336" s="411">
        <f t="shared" si="208"/>
        <v>0</v>
      </c>
      <c r="AI336" s="439">
        <f t="shared" si="203"/>
        <v>0</v>
      </c>
      <c r="AJ336" s="440">
        <f t="shared" si="209"/>
        <v>0</v>
      </c>
      <c r="AK336" s="440">
        <f t="shared" si="204"/>
        <v>0</v>
      </c>
      <c r="AL336" s="440">
        <f t="shared" si="210"/>
        <v>0</v>
      </c>
      <c r="AN336" s="411">
        <f t="shared" si="205"/>
        <v>0</v>
      </c>
      <c r="AP336" s="411">
        <f t="shared" si="211"/>
        <v>0</v>
      </c>
      <c r="AQ336" s="411">
        <f t="shared" si="206"/>
        <v>0</v>
      </c>
    </row>
    <row r="337" spans="1:82" ht="15.75" customHeight="1" thickBot="1" x14ac:dyDescent="0.25">
      <c r="A337" s="2653"/>
      <c r="B337" s="2882"/>
      <c r="C337" s="2882"/>
      <c r="D337" s="978"/>
      <c r="E337" s="1011"/>
      <c r="F337" s="1006"/>
      <c r="G337" s="1006"/>
      <c r="H337" s="2598"/>
      <c r="I337" s="2599"/>
      <c r="J337" s="780"/>
      <c r="K337" s="2578"/>
      <c r="L337" s="2579"/>
      <c r="M337" s="781"/>
      <c r="N337" s="365"/>
      <c r="O337" s="641"/>
      <c r="P337" s="411" t="b">
        <v>0</v>
      </c>
      <c r="Q337" s="324">
        <f t="shared" si="212"/>
        <v>0</v>
      </c>
      <c r="R337" s="561">
        <f t="shared" si="213"/>
        <v>0</v>
      </c>
      <c r="S337" s="561">
        <f t="shared" si="214"/>
        <v>0</v>
      </c>
      <c r="T337" s="562">
        <f t="shared" si="215"/>
        <v>0</v>
      </c>
      <c r="U337" s="562">
        <f t="shared" si="216"/>
        <v>0</v>
      </c>
      <c r="V337" s="563">
        <f t="shared" si="217"/>
        <v>0</v>
      </c>
      <c r="W337" s="411">
        <f t="shared" si="201"/>
        <v>0</v>
      </c>
      <c r="X337" s="441">
        <f t="shared" si="202"/>
        <v>0</v>
      </c>
      <c r="Y337" s="561">
        <f t="shared" si="194"/>
        <v>0</v>
      </c>
      <c r="Z337" s="561">
        <f t="shared" si="195"/>
        <v>0</v>
      </c>
      <c r="AA337" s="562">
        <f t="shared" si="196"/>
        <v>0</v>
      </c>
      <c r="AB337" s="562">
        <f t="shared" si="197"/>
        <v>0</v>
      </c>
      <c r="AC337" s="563">
        <f t="shared" si="198"/>
        <v>0</v>
      </c>
      <c r="AD337" s="411">
        <v>1</v>
      </c>
      <c r="AE337" s="411">
        <f t="shared" si="199"/>
        <v>0</v>
      </c>
      <c r="AF337" s="411">
        <f t="shared" si="207"/>
        <v>0</v>
      </c>
      <c r="AG337" s="411">
        <f t="shared" si="200"/>
        <v>0</v>
      </c>
      <c r="AH337" s="411">
        <f t="shared" si="208"/>
        <v>0</v>
      </c>
      <c r="AI337" s="439">
        <f t="shared" si="203"/>
        <v>0</v>
      </c>
      <c r="AJ337" s="440">
        <f t="shared" si="209"/>
        <v>0</v>
      </c>
      <c r="AK337" s="440">
        <f t="shared" si="204"/>
        <v>0</v>
      </c>
      <c r="AL337" s="440">
        <f t="shared" si="210"/>
        <v>0</v>
      </c>
      <c r="AN337" s="411">
        <f t="shared" si="205"/>
        <v>0</v>
      </c>
      <c r="AP337" s="411">
        <f t="shared" si="211"/>
        <v>0</v>
      </c>
      <c r="AQ337" s="411">
        <f t="shared" si="206"/>
        <v>0</v>
      </c>
    </row>
    <row r="338" spans="1:82" ht="15.75" customHeight="1" thickBot="1" x14ac:dyDescent="0.25">
      <c r="A338" s="2872" t="s">
        <v>542</v>
      </c>
      <c r="B338" s="2873"/>
      <c r="C338" s="2873"/>
      <c r="D338" s="2873"/>
      <c r="E338" s="957"/>
      <c r="F338" s="2318">
        <f>SUM(F308:F337)</f>
        <v>0</v>
      </c>
      <c r="G338" s="4"/>
      <c r="H338" s="2966">
        <f>SUMIF(AD308:AD337,1,F308:F337)</f>
        <v>0</v>
      </c>
      <c r="I338" s="2966"/>
      <c r="J338" s="2362" cm="1">
        <f t="array" ref="J338">SUMPRODUCT($F$308:$F$337,J308:J337,($AD$308:$AD$337=1)*1)</f>
        <v>0</v>
      </c>
      <c r="K338" s="2966" cm="1">
        <f t="array" ref="K338">SUMPRODUCT($F$308:$F$337,K308:K337,($AD$308:$AD$337=1)*1)</f>
        <v>0</v>
      </c>
      <c r="L338" s="2966"/>
      <c r="M338" s="2362" cm="1">
        <f t="array" ref="M338">SUMPRODUCT($F$308:$F$337,M308:M337,($AD$308:$AD$337=1)*1)</f>
        <v>0</v>
      </c>
      <c r="N338" s="4"/>
      <c r="X338" s="441"/>
      <c r="AI338" s="439"/>
      <c r="AJ338" s="440"/>
      <c r="AK338" s="440"/>
      <c r="AL338" s="440"/>
    </row>
    <row r="339" spans="1:82" ht="13.5" thickBot="1" x14ac:dyDescent="0.25">
      <c r="A339" s="4"/>
      <c r="B339" s="4"/>
      <c r="C339" s="4"/>
      <c r="D339" s="4"/>
      <c r="E339" s="4"/>
      <c r="F339" s="4"/>
      <c r="G339" s="4"/>
      <c r="H339" s="4"/>
      <c r="I339" s="4"/>
      <c r="J339" s="4"/>
      <c r="K339" s="4"/>
      <c r="L339" s="4"/>
      <c r="M339" s="4"/>
      <c r="N339" s="4"/>
      <c r="P339" s="538" t="s">
        <v>542</v>
      </c>
      <c r="R339" s="675">
        <f t="shared" ref="R339:AC339" si="218">SUM(R308:R338)</f>
        <v>0</v>
      </c>
      <c r="S339" s="675">
        <f t="shared" si="218"/>
        <v>0</v>
      </c>
      <c r="T339" s="675">
        <f t="shared" si="218"/>
        <v>0</v>
      </c>
      <c r="U339" s="675">
        <f t="shared" si="218"/>
        <v>0</v>
      </c>
      <c r="V339" s="675">
        <f t="shared" si="218"/>
        <v>0</v>
      </c>
      <c r="W339" s="675">
        <f t="shared" si="218"/>
        <v>0</v>
      </c>
      <c r="X339" s="1250">
        <f t="shared" si="218"/>
        <v>0</v>
      </c>
      <c r="Y339" s="675">
        <f t="shared" si="218"/>
        <v>0</v>
      </c>
      <c r="Z339" s="805">
        <f t="shared" si="218"/>
        <v>0</v>
      </c>
      <c r="AA339" s="675">
        <f t="shared" si="218"/>
        <v>0</v>
      </c>
      <c r="AB339" s="675">
        <f t="shared" si="218"/>
        <v>0</v>
      </c>
      <c r="AC339" s="675">
        <f t="shared" si="218"/>
        <v>0</v>
      </c>
      <c r="AE339" s="977">
        <f>SUM(AE308:AE338)</f>
        <v>0</v>
      </c>
      <c r="AG339" s="977">
        <f>SUM(AG308:AG338)</f>
        <v>0</v>
      </c>
      <c r="AI339" s="991">
        <f>SUM(AI308:AI338)</f>
        <v>0</v>
      </c>
      <c r="AJ339" s="440"/>
      <c r="AK339" s="992">
        <f>SUM(AK308:AK338)</f>
        <v>0</v>
      </c>
      <c r="AL339" s="440"/>
      <c r="AN339" s="992">
        <f>SUM(AN308:AN338)</f>
        <v>0</v>
      </c>
      <c r="AP339" s="992">
        <f>SUM(AP308:AP338)</f>
        <v>0</v>
      </c>
      <c r="AQ339" s="992">
        <f>SUM(AQ308:AQ338)</f>
        <v>0</v>
      </c>
    </row>
    <row r="340" spans="1:82" ht="20.25" thickTop="1" thickBot="1" x14ac:dyDescent="0.25">
      <c r="A340" s="942" t="s">
        <v>854</v>
      </c>
      <c r="B340" s="960"/>
      <c r="C340" s="960"/>
      <c r="D340" s="960"/>
      <c r="E340" s="960"/>
      <c r="F340" s="960"/>
      <c r="G340" s="960"/>
      <c r="H340" s="960"/>
      <c r="I340" s="961"/>
      <c r="J340" s="2580" t="s">
        <v>4</v>
      </c>
      <c r="K340" s="2584"/>
      <c r="L340" s="2580" t="s">
        <v>849</v>
      </c>
      <c r="M340" s="2581"/>
      <c r="N340" s="4"/>
      <c r="Q340" s="1248"/>
      <c r="U340" s="1248"/>
    </row>
    <row r="341" spans="1:82" ht="13.5" thickBot="1" x14ac:dyDescent="0.25">
      <c r="A341" s="946" t="s">
        <v>507</v>
      </c>
      <c r="B341" s="844"/>
      <c r="C341" s="844"/>
      <c r="D341" s="844"/>
      <c r="E341" s="844"/>
      <c r="F341" s="844"/>
      <c r="G341" s="844"/>
      <c r="H341" s="844"/>
      <c r="I341" s="845"/>
      <c r="J341" s="2592">
        <f>+J57</f>
        <v>0</v>
      </c>
      <c r="K341" s="2593"/>
      <c r="L341" s="2582">
        <f>+L57</f>
        <v>0</v>
      </c>
      <c r="M341" s="2583"/>
      <c r="N341" s="4"/>
      <c r="Q341" s="1248"/>
      <c r="R341" s="1248"/>
      <c r="U341" s="1248"/>
      <c r="V341" s="1248"/>
    </row>
    <row r="342" spans="1:82" x14ac:dyDescent="0.2">
      <c r="A342" s="945" t="s">
        <v>829</v>
      </c>
      <c r="B342" s="20"/>
      <c r="C342" s="20"/>
      <c r="D342" s="20"/>
      <c r="E342" s="20"/>
      <c r="F342" s="20"/>
      <c r="G342" s="20"/>
      <c r="H342" s="20"/>
      <c r="I342" s="265"/>
      <c r="J342" s="2594">
        <f>+R46*1000</f>
        <v>0</v>
      </c>
      <c r="K342" s="2595"/>
      <c r="L342" s="2523">
        <f>+S46*1000</f>
        <v>0</v>
      </c>
      <c r="M342" s="2524"/>
      <c r="N342" s="4"/>
      <c r="P342" s="1248"/>
      <c r="Q342" s="1248"/>
      <c r="R342" s="1248"/>
      <c r="T342" s="1248"/>
    </row>
    <row r="343" spans="1:82" ht="13.5" thickBot="1" x14ac:dyDescent="0.25">
      <c r="A343" s="945" t="s">
        <v>830</v>
      </c>
      <c r="B343" s="20"/>
      <c r="C343" s="20"/>
      <c r="D343" s="20"/>
      <c r="E343" s="20"/>
      <c r="F343" s="20"/>
      <c r="G343" s="20"/>
      <c r="H343" s="20"/>
      <c r="I343" s="265"/>
      <c r="J343" s="2594">
        <f>IF(J341&lt;J342,0,J341-J342)</f>
        <v>0</v>
      </c>
      <c r="K343" s="2595"/>
      <c r="L343" s="2523">
        <f>IF(L341&lt;L342,0,L341-L342)</f>
        <v>0</v>
      </c>
      <c r="M343" s="2524"/>
      <c r="N343" s="4"/>
      <c r="P343" s="1248"/>
      <c r="T343" s="1248"/>
    </row>
    <row r="344" spans="1:82" ht="18" customHeight="1" thickBot="1" x14ac:dyDescent="0.25">
      <c r="A344" s="949" t="s">
        <v>8448</v>
      </c>
      <c r="B344" s="950"/>
      <c r="C344" s="950"/>
      <c r="D344" s="950"/>
      <c r="E344" s="951"/>
      <c r="F344" s="951"/>
      <c r="G344" s="951"/>
      <c r="H344" s="951"/>
      <c r="I344" s="951"/>
      <c r="J344" s="2926" t="str">
        <f>+J58</f>
        <v>ja</v>
      </c>
      <c r="K344" s="2927"/>
      <c r="L344" s="2928" t="str">
        <f>+L58</f>
        <v>ja</v>
      </c>
      <c r="M344" s="2929"/>
      <c r="N344" s="4"/>
      <c r="T344" s="1248"/>
    </row>
    <row r="345" spans="1:82" ht="12" customHeight="1" thickTop="1" thickBot="1" x14ac:dyDescent="0.25">
      <c r="A345" s="320"/>
      <c r="B345" s="320"/>
      <c r="C345" s="320"/>
      <c r="D345" s="320"/>
      <c r="E345" s="281"/>
      <c r="F345" s="281"/>
      <c r="G345" s="281"/>
      <c r="H345" s="281"/>
      <c r="I345" s="281"/>
      <c r="J345" s="476"/>
      <c r="K345" s="476"/>
      <c r="L345" s="476"/>
      <c r="M345" s="476"/>
      <c r="N345" s="4"/>
      <c r="P345" s="1251"/>
      <c r="T345" s="1248"/>
    </row>
    <row r="346" spans="1:82" ht="15.75" thickBot="1" x14ac:dyDescent="0.25">
      <c r="A346" s="2547" t="s">
        <v>850</v>
      </c>
      <c r="B346" s="2548"/>
      <c r="C346" s="2548"/>
      <c r="D346" s="2548"/>
      <c r="E346" s="2548"/>
      <c r="F346" s="2548"/>
      <c r="G346" s="2548"/>
      <c r="H346" s="2548"/>
      <c r="I346" s="2548"/>
      <c r="J346" s="2548"/>
      <c r="K346" s="2548"/>
      <c r="L346" s="2548"/>
      <c r="M346" s="1057"/>
      <c r="N346" s="4"/>
      <c r="P346" s="1248"/>
      <c r="T346" s="1248"/>
    </row>
    <row r="347" spans="1:82" ht="6.75" customHeight="1" thickBot="1" x14ac:dyDescent="0.25">
      <c r="A347" s="320"/>
      <c r="B347" s="320"/>
      <c r="C347" s="320"/>
      <c r="D347" s="320"/>
      <c r="E347" s="281"/>
      <c r="F347" s="281"/>
      <c r="G347" s="281"/>
      <c r="H347" s="281"/>
      <c r="I347" s="281"/>
      <c r="J347" s="476"/>
      <c r="K347" s="476"/>
      <c r="L347" s="476"/>
      <c r="M347" s="476"/>
      <c r="N347" s="4"/>
    </row>
    <row r="348" spans="1:82" x14ac:dyDescent="0.2">
      <c r="A348" s="2609" t="s">
        <v>1016</v>
      </c>
      <c r="B348" s="2610"/>
      <c r="C348" s="2610"/>
      <c r="D348" s="2610"/>
      <c r="E348" s="2610"/>
      <c r="F348" s="2610"/>
      <c r="G348" s="2610"/>
      <c r="H348" s="2610"/>
      <c r="I348" s="2610"/>
      <c r="J348" s="2596" t="s">
        <v>807</v>
      </c>
      <c r="K348" s="2597"/>
      <c r="L348" s="2911" t="s">
        <v>479</v>
      </c>
      <c r="M348" s="2912"/>
      <c r="N348" s="4"/>
    </row>
    <row r="349" spans="1:82" x14ac:dyDescent="0.2">
      <c r="A349" s="2611"/>
      <c r="B349" s="2612"/>
      <c r="C349" s="2612"/>
      <c r="D349" s="2612"/>
      <c r="E349" s="2612"/>
      <c r="F349" s="2612"/>
      <c r="G349" s="2612"/>
      <c r="H349" s="2612"/>
      <c r="I349" s="2612"/>
      <c r="J349" s="2917" t="s">
        <v>808</v>
      </c>
      <c r="K349" s="2918"/>
      <c r="L349" s="2913" t="s">
        <v>808</v>
      </c>
      <c r="M349" s="2914"/>
      <c r="N349" s="4"/>
    </row>
    <row r="350" spans="1:82" ht="15.75" customHeight="1" x14ac:dyDescent="0.2">
      <c r="A350" s="2907" t="s">
        <v>811</v>
      </c>
      <c r="B350" s="2908"/>
      <c r="C350" s="2908"/>
      <c r="D350" s="2908"/>
      <c r="E350" s="2908"/>
      <c r="F350" s="2908"/>
      <c r="G350" s="2908"/>
      <c r="H350" s="2908"/>
      <c r="I350" s="2908"/>
      <c r="J350" s="2605" t="str">
        <f>+IF(K354=0,"",P8)</f>
        <v/>
      </c>
      <c r="K350" s="2606"/>
      <c r="L350" s="2915">
        <f>P7</f>
        <v>0</v>
      </c>
      <c r="M350" s="2916"/>
      <c r="N350" s="4"/>
    </row>
    <row r="351" spans="1:82" s="523" customFormat="1" ht="13.5" customHeight="1" x14ac:dyDescent="0.2">
      <c r="A351" s="2909" t="s">
        <v>809</v>
      </c>
      <c r="B351" s="2910"/>
      <c r="C351" s="2910"/>
      <c r="D351" s="2910"/>
      <c r="E351" s="2910"/>
      <c r="F351" s="2910"/>
      <c r="G351" s="2910"/>
      <c r="H351" s="2910"/>
      <c r="I351" s="2910"/>
      <c r="J351" s="2607">
        <v>170</v>
      </c>
      <c r="K351" s="2608"/>
      <c r="L351" s="2590">
        <f>+J351*P6</f>
        <v>1.6999999999999999E-4</v>
      </c>
      <c r="M351" s="2591"/>
      <c r="N351" s="350"/>
      <c r="P351" s="538"/>
      <c r="Q351" s="538"/>
      <c r="R351" s="538"/>
      <c r="S351" s="538"/>
      <c r="T351" s="538"/>
      <c r="U351" s="538"/>
      <c r="V351" s="538"/>
      <c r="W351" s="538"/>
      <c r="X351" s="538"/>
      <c r="Y351" s="538"/>
      <c r="Z351" s="538"/>
      <c r="AA351" s="538"/>
      <c r="AB351" s="538"/>
      <c r="AC351" s="538"/>
      <c r="AD351" s="538"/>
      <c r="AE351" s="538"/>
      <c r="AF351" s="538"/>
      <c r="AG351" s="538"/>
      <c r="AH351" s="538"/>
      <c r="AI351" s="538"/>
      <c r="AJ351" s="538"/>
      <c r="AK351" s="538"/>
      <c r="AL351" s="538"/>
      <c r="AM351" s="538"/>
      <c r="AN351" s="538"/>
      <c r="AO351" s="538"/>
      <c r="AP351" s="538"/>
      <c r="AQ351" s="538"/>
      <c r="AR351" s="538"/>
      <c r="AS351" s="538"/>
      <c r="AT351" s="538"/>
      <c r="AU351" s="538"/>
      <c r="AV351" s="538"/>
      <c r="AW351" s="538"/>
      <c r="AX351" s="538"/>
      <c r="AY351" s="538"/>
      <c r="AZ351" s="538"/>
      <c r="BA351" s="538"/>
      <c r="BB351" s="538"/>
      <c r="BC351" s="538"/>
      <c r="BD351" s="538"/>
      <c r="BE351" s="538"/>
      <c r="BF351" s="538"/>
      <c r="BG351" s="538"/>
      <c r="BH351" s="538"/>
      <c r="BI351" s="538"/>
      <c r="BJ351" s="538"/>
      <c r="BK351" s="538"/>
      <c r="BL351" s="538"/>
      <c r="BM351" s="538"/>
      <c r="BN351" s="538"/>
      <c r="BO351" s="538"/>
      <c r="BP351" s="538"/>
      <c r="BQ351" s="538"/>
      <c r="BR351" s="538"/>
      <c r="BS351" s="538"/>
      <c r="BT351" s="538"/>
      <c r="BU351" s="810"/>
      <c r="BV351" s="810"/>
      <c r="BW351" s="810"/>
      <c r="BX351" s="810"/>
      <c r="BY351" s="538"/>
      <c r="BZ351" s="538"/>
      <c r="CA351" s="538"/>
      <c r="CB351" s="538"/>
      <c r="CC351" s="538"/>
      <c r="CD351" s="538"/>
    </row>
    <row r="352" spans="1:82" s="523" customFormat="1" ht="13.5" customHeight="1" x14ac:dyDescent="0.2">
      <c r="A352" s="958" t="s">
        <v>831</v>
      </c>
      <c r="B352" s="959"/>
      <c r="C352" s="959"/>
      <c r="D352" s="959"/>
      <c r="E352" s="959"/>
      <c r="F352" s="959"/>
      <c r="G352" s="959"/>
      <c r="H352" s="959"/>
      <c r="I352" s="959"/>
      <c r="J352" s="2586" t="str">
        <f>IF(K354=0,"",IF(J351&gt;J350,0,J350-J351))</f>
        <v/>
      </c>
      <c r="K352" s="2587"/>
      <c r="L352" s="2588">
        <f>IF(L351&gt;L350,0,L350-L351)</f>
        <v>0</v>
      </c>
      <c r="M352" s="2589"/>
      <c r="N352" s="350"/>
      <c r="P352" s="538"/>
      <c r="Q352" s="538"/>
      <c r="R352" s="538"/>
      <c r="S352" s="538"/>
      <c r="T352" s="538"/>
      <c r="U352" s="538"/>
      <c r="V352" s="538"/>
      <c r="W352" s="538"/>
      <c r="X352" s="538"/>
      <c r="Y352" s="538"/>
      <c r="Z352" s="538"/>
      <c r="AA352" s="538"/>
      <c r="AB352" s="538"/>
      <c r="AC352" s="538"/>
      <c r="AD352" s="538"/>
      <c r="AE352" s="538"/>
      <c r="AF352" s="538"/>
      <c r="AG352" s="538"/>
      <c r="AH352" s="538"/>
      <c r="AI352" s="538"/>
      <c r="AJ352" s="538"/>
      <c r="AK352" s="538"/>
      <c r="AL352" s="538"/>
      <c r="AM352" s="538"/>
      <c r="AN352" s="538"/>
      <c r="AO352" s="538"/>
      <c r="AP352" s="538"/>
      <c r="AQ352" s="538"/>
      <c r="AR352" s="538"/>
      <c r="AS352" s="538"/>
      <c r="AT352" s="538"/>
      <c r="AU352" s="538"/>
      <c r="AV352" s="538"/>
      <c r="AW352" s="538"/>
      <c r="AX352" s="538"/>
      <c r="AY352" s="538"/>
      <c r="AZ352" s="538"/>
      <c r="BA352" s="538"/>
      <c r="BB352" s="538"/>
      <c r="BC352" s="538"/>
      <c r="BD352" s="538"/>
      <c r="BE352" s="538"/>
      <c r="BF352" s="538"/>
      <c r="BG352" s="538"/>
      <c r="BH352" s="538"/>
      <c r="BI352" s="538"/>
      <c r="BJ352" s="538"/>
      <c r="BK352" s="538"/>
      <c r="BL352" s="538"/>
      <c r="BM352" s="538"/>
      <c r="BN352" s="538"/>
      <c r="BO352" s="538"/>
      <c r="BP352" s="538"/>
      <c r="BQ352" s="538"/>
      <c r="BR352" s="538"/>
      <c r="BS352" s="538"/>
      <c r="BT352" s="538"/>
      <c r="BU352" s="810"/>
      <c r="BV352" s="810"/>
      <c r="BW352" s="810"/>
      <c r="BX352" s="810"/>
      <c r="BY352" s="538"/>
      <c r="BZ352" s="538"/>
      <c r="CA352" s="538"/>
      <c r="CB352" s="538"/>
      <c r="CC352" s="538"/>
      <c r="CD352" s="538"/>
    </row>
    <row r="353" spans="1:17" ht="18.75" thickBot="1" x14ac:dyDescent="0.3">
      <c r="A353" s="2600" t="s">
        <v>851</v>
      </c>
      <c r="B353" s="2601"/>
      <c r="C353" s="2601"/>
      <c r="D353" s="2601"/>
      <c r="E353" s="2601"/>
      <c r="F353" s="2601"/>
      <c r="G353" s="2601"/>
      <c r="H353" s="2601"/>
      <c r="I353" s="2601"/>
      <c r="J353" s="2602" t="str">
        <f>IF(L350&gt;L351,"nein","ja")</f>
        <v>ja</v>
      </c>
      <c r="K353" s="2603"/>
      <c r="L353" s="2603"/>
      <c r="M353" s="2604"/>
      <c r="N353" s="4"/>
    </row>
    <row r="354" spans="1:17" ht="10.5" customHeight="1" x14ac:dyDescent="0.2">
      <c r="A354" s="798" t="s">
        <v>1031</v>
      </c>
      <c r="B354" s="765"/>
      <c r="C354" s="765"/>
      <c r="D354" s="765"/>
      <c r="E354" s="765"/>
      <c r="F354" s="765"/>
      <c r="I354" s="281"/>
      <c r="J354" s="476"/>
      <c r="K354" s="2585">
        <f>+G5-H7-H8-H10-H11</f>
        <v>0</v>
      </c>
      <c r="L354" s="2585"/>
      <c r="M354" s="798" t="s">
        <v>810</v>
      </c>
      <c r="N354" s="4"/>
      <c r="P354" s="832">
        <f>IF(J352&lt;1,0,L352)</f>
        <v>0</v>
      </c>
      <c r="Q354" s="411" t="s">
        <v>906</v>
      </c>
    </row>
    <row r="355" spans="1:17" ht="10.5" customHeight="1" x14ac:dyDescent="0.2">
      <c r="A355" s="983" t="str">
        <f>IF(P356=0," ",P356)</f>
        <v xml:space="preserve"> </v>
      </c>
      <c r="P355" s="411">
        <f>IF(J342&gt;J341,J342-J341,0)</f>
        <v>0</v>
      </c>
      <c r="Q355" s="411" t="s">
        <v>907</v>
      </c>
    </row>
    <row r="356" spans="1:17" x14ac:dyDescent="0.2">
      <c r="A356" s="6" t="str">
        <f>IF(AND(P355&gt;0,L352&gt;0,L352&lt;=P355),"Hinweis: Überschreitung der 170 kg N/ha Grenze kann unter Einhaltung der Toleranzen der WDüngV vermieden werden.", IF(AND(P355&gt;0,L352&gt;0,L352&gt;P355),"Hinweis: Überschreitung der 170 kg N/ha Grenze kann unter Einhaltung der Toleranzen der WDüngV verringert werden.",IF(AND(L350&lt;L351,J343&gt;0,K354&gt;0.1),"Hinweis: Eine zusätzliche Ausbringung von Stickstoff auf den eigenen Flächen ist möglich.","")))</f>
        <v/>
      </c>
      <c r="P356" s="411">
        <f>IF(P355&gt;P354," ",P354-P355)</f>
        <v>0</v>
      </c>
      <c r="Q356" s="411" t="s">
        <v>908</v>
      </c>
    </row>
  </sheetData>
  <sheetProtection algorithmName="SHA-512" hashValue="IjlR1Z157OX4Z9LJ2QDDP0y27nYN0l66/rTT5RZ7mCChs7t3ZcOqly54j+tHq39cdCNACS4j/sZ6E8Vw/GjNlQ==" saltValue="0FO+g7zpFev8xg3qRdcCjw==" spinCount="100000" sheet="1" objects="1" scenarios="1"/>
  <dataConsolidate/>
  <customSheetViews>
    <customSheetView guid="{DDA6E6AA-9473-49A0-A3A2-76E4959B79AF}" printArea="1" hiddenColumns="1">
      <selection activeCell="CB7" sqref="CB7"/>
      <pageMargins left="0.39370078740157483" right="0.39370078740157483" top="0.39370078740157483" bottom="0.39370078740157483" header="0.31496062992125984" footer="0.31496062992125984"/>
      <pageSetup paperSize="9" orientation="portrait" r:id="rId1"/>
      <headerFooter alignWithMargins="0">
        <oddFooter>&amp;C&amp;P von &amp;N</oddFooter>
      </headerFooter>
    </customSheetView>
  </customSheetViews>
  <mergeCells count="637">
    <mergeCell ref="H338:I338"/>
    <mergeCell ref="K338:L338"/>
    <mergeCell ref="A253:M253"/>
    <mergeCell ref="J255:M255"/>
    <mergeCell ref="F110:F112"/>
    <mergeCell ref="F134:F136"/>
    <mergeCell ref="X229:Z229"/>
    <mergeCell ref="J262:K262"/>
    <mergeCell ref="H261:I261"/>
    <mergeCell ref="A269:B269"/>
    <mergeCell ref="D268:E268"/>
    <mergeCell ref="H268:I268"/>
    <mergeCell ref="F263:G263"/>
    <mergeCell ref="A263:B263"/>
    <mergeCell ref="C154:D154"/>
    <mergeCell ref="K138:L138"/>
    <mergeCell ref="K125:L125"/>
    <mergeCell ref="K129:L129"/>
    <mergeCell ref="K130:L130"/>
    <mergeCell ref="C138:D138"/>
    <mergeCell ref="C139:D139"/>
    <mergeCell ref="C140:D140"/>
    <mergeCell ref="C141:D141"/>
    <mergeCell ref="C142:D142"/>
    <mergeCell ref="C255:C256"/>
    <mergeCell ref="A257:B257"/>
    <mergeCell ref="A258:B258"/>
    <mergeCell ref="D257:E257"/>
    <mergeCell ref="D255:E255"/>
    <mergeCell ref="F259:G259"/>
    <mergeCell ref="H256:I256"/>
    <mergeCell ref="A259:B259"/>
    <mergeCell ref="D256:E256"/>
    <mergeCell ref="D259:E259"/>
    <mergeCell ref="H259:I259"/>
    <mergeCell ref="D258:E258"/>
    <mergeCell ref="F255:G255"/>
    <mergeCell ref="F256:G256"/>
    <mergeCell ref="F257:G257"/>
    <mergeCell ref="A292:I292"/>
    <mergeCell ref="B281:I281"/>
    <mergeCell ref="J280:K280"/>
    <mergeCell ref="L280:M280"/>
    <mergeCell ref="J282:K282"/>
    <mergeCell ref="S288:T288"/>
    <mergeCell ref="L261:M261"/>
    <mergeCell ref="L263:M263"/>
    <mergeCell ref="D260:E260"/>
    <mergeCell ref="A267:B267"/>
    <mergeCell ref="D262:E262"/>
    <mergeCell ref="D267:E267"/>
    <mergeCell ref="D266:E266"/>
    <mergeCell ref="L290:M290"/>
    <mergeCell ref="J292:K292"/>
    <mergeCell ref="J268:K268"/>
    <mergeCell ref="J278:K278"/>
    <mergeCell ref="L272:M272"/>
    <mergeCell ref="L289:M289"/>
    <mergeCell ref="J271:K271"/>
    <mergeCell ref="J279:K279"/>
    <mergeCell ref="L279:M279"/>
    <mergeCell ref="L262:M262"/>
    <mergeCell ref="H262:I262"/>
    <mergeCell ref="AK305:AL305"/>
    <mergeCell ref="S290:T290"/>
    <mergeCell ref="A316:C316"/>
    <mergeCell ref="AI305:AJ305"/>
    <mergeCell ref="H311:I311"/>
    <mergeCell ref="K312:L312"/>
    <mergeCell ref="H312:I312"/>
    <mergeCell ref="K309:L309"/>
    <mergeCell ref="J290:K290"/>
    <mergeCell ref="H308:I308"/>
    <mergeCell ref="A313:C313"/>
    <mergeCell ref="A293:I293"/>
    <mergeCell ref="A314:C314"/>
    <mergeCell ref="A309:C309"/>
    <mergeCell ref="A315:C315"/>
    <mergeCell ref="K313:L313"/>
    <mergeCell ref="K314:L314"/>
    <mergeCell ref="K299:L299"/>
    <mergeCell ref="H307:I307"/>
    <mergeCell ref="H306:I306"/>
    <mergeCell ref="H309:I309"/>
    <mergeCell ref="J307:M307"/>
    <mergeCell ref="D306:D307"/>
    <mergeCell ref="A310:C310"/>
    <mergeCell ref="EB62:EC62"/>
    <mergeCell ref="DM62:DR62"/>
    <mergeCell ref="DM67:DO67"/>
    <mergeCell ref="DP67:DR67"/>
    <mergeCell ref="Z65:AA65"/>
    <mergeCell ref="CI64:CJ64"/>
    <mergeCell ref="BW66:BY66"/>
    <mergeCell ref="BR65:BT65"/>
    <mergeCell ref="AV66:AX66"/>
    <mergeCell ref="CF66:CH66"/>
    <mergeCell ref="BZ66:CA66"/>
    <mergeCell ref="CS66:CT66"/>
    <mergeCell ref="DZ62:EA62"/>
    <mergeCell ref="CC66:CE66"/>
    <mergeCell ref="DI66:DJ66"/>
    <mergeCell ref="AS65:AX65"/>
    <mergeCell ref="AL65:AQ65"/>
    <mergeCell ref="AB65:AE65"/>
    <mergeCell ref="AF65:AI65"/>
    <mergeCell ref="DV62:DY62"/>
    <mergeCell ref="DI65:DJ65"/>
    <mergeCell ref="DX64:DY64"/>
    <mergeCell ref="AS66:AU66"/>
    <mergeCell ref="AL66:AN66"/>
    <mergeCell ref="A350:I350"/>
    <mergeCell ref="D265:E265"/>
    <mergeCell ref="A351:I351"/>
    <mergeCell ref="J276:K276"/>
    <mergeCell ref="L348:M348"/>
    <mergeCell ref="L349:M349"/>
    <mergeCell ref="L350:M350"/>
    <mergeCell ref="J349:K349"/>
    <mergeCell ref="H310:I310"/>
    <mergeCell ref="L284:M284"/>
    <mergeCell ref="J284:K284"/>
    <mergeCell ref="H315:I315"/>
    <mergeCell ref="B271:I271"/>
    <mergeCell ref="D269:E269"/>
    <mergeCell ref="J344:K344"/>
    <mergeCell ref="L344:M344"/>
    <mergeCell ref="K300:L300"/>
    <mergeCell ref="L268:M268"/>
    <mergeCell ref="L269:M269"/>
    <mergeCell ref="L273:M273"/>
    <mergeCell ref="A298:M298"/>
    <mergeCell ref="J288:K288"/>
    <mergeCell ref="L283:M283"/>
    <mergeCell ref="J283:K283"/>
    <mergeCell ref="K332:L332"/>
    <mergeCell ref="H329:I329"/>
    <mergeCell ref="J293:K293"/>
    <mergeCell ref="J294:K294"/>
    <mergeCell ref="H325:I325"/>
    <mergeCell ref="K325:L325"/>
    <mergeCell ref="H320:I320"/>
    <mergeCell ref="K320:L320"/>
    <mergeCell ref="A324:C324"/>
    <mergeCell ref="A325:C325"/>
    <mergeCell ref="H326:I326"/>
    <mergeCell ref="K326:L326"/>
    <mergeCell ref="H322:I322"/>
    <mergeCell ref="K323:L323"/>
    <mergeCell ref="K318:L318"/>
    <mergeCell ref="H319:I319"/>
    <mergeCell ref="L293:M293"/>
    <mergeCell ref="L294:M294"/>
    <mergeCell ref="H316:I316"/>
    <mergeCell ref="H318:I318"/>
    <mergeCell ref="A329:C329"/>
    <mergeCell ref="A332:C332"/>
    <mergeCell ref="A334:C334"/>
    <mergeCell ref="H332:I332"/>
    <mergeCell ref="H331:I331"/>
    <mergeCell ref="H335:I335"/>
    <mergeCell ref="A330:C330"/>
    <mergeCell ref="A331:C331"/>
    <mergeCell ref="A86:D86"/>
    <mergeCell ref="F90:G90"/>
    <mergeCell ref="A337:C337"/>
    <mergeCell ref="A308:C308"/>
    <mergeCell ref="H181:J181"/>
    <mergeCell ref="H175:J175"/>
    <mergeCell ref="J256:K256"/>
    <mergeCell ref="E245:F246"/>
    <mergeCell ref="E242:F242"/>
    <mergeCell ref="C242:D242"/>
    <mergeCell ref="E237:F237"/>
    <mergeCell ref="E238:F238"/>
    <mergeCell ref="E240:F240"/>
    <mergeCell ref="E241:F241"/>
    <mergeCell ref="C238:D238"/>
    <mergeCell ref="C240:D240"/>
    <mergeCell ref="C241:D241"/>
    <mergeCell ref="J264:K264"/>
    <mergeCell ref="A84:D84"/>
    <mergeCell ref="A338:D338"/>
    <mergeCell ref="H313:I313"/>
    <mergeCell ref="A318:C318"/>
    <mergeCell ref="A319:C319"/>
    <mergeCell ref="A336:C336"/>
    <mergeCell ref="H324:I324"/>
    <mergeCell ref="A328:C328"/>
    <mergeCell ref="H334:I334"/>
    <mergeCell ref="A335:C335"/>
    <mergeCell ref="A333:C333"/>
    <mergeCell ref="H314:I314"/>
    <mergeCell ref="H333:I333"/>
    <mergeCell ref="H327:I327"/>
    <mergeCell ref="A326:C326"/>
    <mergeCell ref="A327:C327"/>
    <mergeCell ref="A320:C320"/>
    <mergeCell ref="A322:C322"/>
    <mergeCell ref="A317:C317"/>
    <mergeCell ref="A321:C321"/>
    <mergeCell ref="A168:G168"/>
    <mergeCell ref="A167:G167"/>
    <mergeCell ref="A171:L171"/>
    <mergeCell ref="L169:M169"/>
    <mergeCell ref="K134:L134"/>
    <mergeCell ref="J135:M135"/>
    <mergeCell ref="G33:M33"/>
    <mergeCell ref="L35:M35"/>
    <mergeCell ref="J34:K34"/>
    <mergeCell ref="J35:K35"/>
    <mergeCell ref="L34:M34"/>
    <mergeCell ref="J38:K38"/>
    <mergeCell ref="L38:M38"/>
    <mergeCell ref="J39:K39"/>
    <mergeCell ref="K113:L113"/>
    <mergeCell ref="A54:I54"/>
    <mergeCell ref="F93:G93"/>
    <mergeCell ref="K73:L73"/>
    <mergeCell ref="H99:I99"/>
    <mergeCell ref="A75:D75"/>
    <mergeCell ref="A81:D81"/>
    <mergeCell ref="A78:D78"/>
    <mergeCell ref="A85:D85"/>
    <mergeCell ref="H90:I90"/>
    <mergeCell ref="A87:D87"/>
    <mergeCell ref="F91:I91"/>
    <mergeCell ref="A74:D74"/>
    <mergeCell ref="A77:D77"/>
    <mergeCell ref="A1:I1"/>
    <mergeCell ref="B7:E7"/>
    <mergeCell ref="H65:I65"/>
    <mergeCell ref="B9:E9"/>
    <mergeCell ref="A2:I2"/>
    <mergeCell ref="B6:E6"/>
    <mergeCell ref="B8:E8"/>
    <mergeCell ref="A3:I3"/>
    <mergeCell ref="L31:M31"/>
    <mergeCell ref="J31:K31"/>
    <mergeCell ref="F24:F27"/>
    <mergeCell ref="G31:I31"/>
    <mergeCell ref="L32:M32"/>
    <mergeCell ref="A35:E35"/>
    <mergeCell ref="H12:M12"/>
    <mergeCell ref="J64:L64"/>
    <mergeCell ref="F65:G65"/>
    <mergeCell ref="K65:L65"/>
    <mergeCell ref="J36:K36"/>
    <mergeCell ref="J37:K37"/>
    <mergeCell ref="L40:M40"/>
    <mergeCell ref="J41:K41"/>
    <mergeCell ref="L39:M39"/>
    <mergeCell ref="A50:I50"/>
    <mergeCell ref="A71:D71"/>
    <mergeCell ref="L53:M53"/>
    <mergeCell ref="J51:K51"/>
    <mergeCell ref="K66:L66"/>
    <mergeCell ref="L54:M54"/>
    <mergeCell ref="A69:D69"/>
    <mergeCell ref="K69:L69"/>
    <mergeCell ref="E64:I64"/>
    <mergeCell ref="A66:D67"/>
    <mergeCell ref="A64:D65"/>
    <mergeCell ref="DD62:DH62"/>
    <mergeCell ref="K118:L118"/>
    <mergeCell ref="BH66:BJ66"/>
    <mergeCell ref="AZ66:BB66"/>
    <mergeCell ref="AO66:AQ66"/>
    <mergeCell ref="AB64:AI64"/>
    <mergeCell ref="AS89:AX89"/>
    <mergeCell ref="J112:M112"/>
    <mergeCell ref="K92:L92"/>
    <mergeCell ref="J91:M91"/>
    <mergeCell ref="J111:M111"/>
    <mergeCell ref="BC66:BE66"/>
    <mergeCell ref="CX62:DC62"/>
    <mergeCell ref="DA64:DC64"/>
    <mergeCell ref="CX64:CZ64"/>
    <mergeCell ref="K114:L114"/>
    <mergeCell ref="K115:L115"/>
    <mergeCell ref="AL89:AQ89"/>
    <mergeCell ref="K79:L79"/>
    <mergeCell ref="K71:L71"/>
    <mergeCell ref="K117:L117"/>
    <mergeCell ref="K88:L88"/>
    <mergeCell ref="K84:L84"/>
    <mergeCell ref="K97:L97"/>
    <mergeCell ref="BI110:BJ110"/>
    <mergeCell ref="K90:L90"/>
    <mergeCell ref="L36:M36"/>
    <mergeCell ref="AZ65:BE65"/>
    <mergeCell ref="L44:M44"/>
    <mergeCell ref="J45:K45"/>
    <mergeCell ref="L46:M46"/>
    <mergeCell ref="J46:K46"/>
    <mergeCell ref="J57:K57"/>
    <mergeCell ref="J58:K58"/>
    <mergeCell ref="L56:M56"/>
    <mergeCell ref="L57:M57"/>
    <mergeCell ref="U64:X64"/>
    <mergeCell ref="U65:V65"/>
    <mergeCell ref="T36:T37"/>
    <mergeCell ref="R62:T62"/>
    <mergeCell ref="W65:Y65"/>
    <mergeCell ref="AL91:AQ91"/>
    <mergeCell ref="K76:L76"/>
    <mergeCell ref="K75:L75"/>
    <mergeCell ref="K80:L80"/>
    <mergeCell ref="L51:M51"/>
    <mergeCell ref="L52:M52"/>
    <mergeCell ref="J44:K44"/>
    <mergeCell ref="L37:M37"/>
    <mergeCell ref="L41:M41"/>
    <mergeCell ref="J40:K40"/>
    <mergeCell ref="K67:L67"/>
    <mergeCell ref="J136:M136"/>
    <mergeCell ref="K72:L72"/>
    <mergeCell ref="K98:L98"/>
    <mergeCell ref="K99:L99"/>
    <mergeCell ref="K94:L94"/>
    <mergeCell ref="K96:L96"/>
    <mergeCell ref="K120:L120"/>
    <mergeCell ref="K127:L127"/>
    <mergeCell ref="K85:L85"/>
    <mergeCell ref="K82:L82"/>
    <mergeCell ref="K78:L78"/>
    <mergeCell ref="K121:L121"/>
    <mergeCell ref="K77:L77"/>
    <mergeCell ref="J47:K47"/>
    <mergeCell ref="L47:M47"/>
    <mergeCell ref="K119:L119"/>
    <mergeCell ref="K128:L128"/>
    <mergeCell ref="K126:L126"/>
    <mergeCell ref="K86:L86"/>
    <mergeCell ref="K110:L110"/>
    <mergeCell ref="A40:E40"/>
    <mergeCell ref="A42:E42"/>
    <mergeCell ref="J42:K42"/>
    <mergeCell ref="L42:M42"/>
    <mergeCell ref="K70:L70"/>
    <mergeCell ref="A53:I53"/>
    <mergeCell ref="K68:L68"/>
    <mergeCell ref="L45:M45"/>
    <mergeCell ref="A56:I56"/>
    <mergeCell ref="J53:K53"/>
    <mergeCell ref="L58:M58"/>
    <mergeCell ref="J52:K52"/>
    <mergeCell ref="J54:K54"/>
    <mergeCell ref="J56:K56"/>
    <mergeCell ref="A70:D70"/>
    <mergeCell ref="A46:D47"/>
    <mergeCell ref="J50:K50"/>
    <mergeCell ref="L50:M50"/>
    <mergeCell ref="A68:D68"/>
    <mergeCell ref="A82:I82"/>
    <mergeCell ref="A80:D80"/>
    <mergeCell ref="K81:L81"/>
    <mergeCell ref="K74:L74"/>
    <mergeCell ref="K83:L83"/>
    <mergeCell ref="D230:E230"/>
    <mergeCell ref="D231:E231"/>
    <mergeCell ref="B204:C204"/>
    <mergeCell ref="A190:G190"/>
    <mergeCell ref="I206:L206"/>
    <mergeCell ref="F97:G97"/>
    <mergeCell ref="F96:G96"/>
    <mergeCell ref="K139:L139"/>
    <mergeCell ref="K142:L142"/>
    <mergeCell ref="A165:G165"/>
    <mergeCell ref="K148:L148"/>
    <mergeCell ref="L165:M165"/>
    <mergeCell ref="K151:L151"/>
    <mergeCell ref="K152:L152"/>
    <mergeCell ref="K145:L145"/>
    <mergeCell ref="J163:K163"/>
    <mergeCell ref="J164:K164"/>
    <mergeCell ref="K155:L155"/>
    <mergeCell ref="A164:G164"/>
    <mergeCell ref="L167:M167"/>
    <mergeCell ref="B203:C203"/>
    <mergeCell ref="C143:D143"/>
    <mergeCell ref="C144:D144"/>
    <mergeCell ref="L163:M163"/>
    <mergeCell ref="K149:L149"/>
    <mergeCell ref="K146:L146"/>
    <mergeCell ref="K147:L147"/>
    <mergeCell ref="K150:L150"/>
    <mergeCell ref="L164:M164"/>
    <mergeCell ref="K153:L153"/>
    <mergeCell ref="K154:L154"/>
    <mergeCell ref="A72:D72"/>
    <mergeCell ref="J166:K166"/>
    <mergeCell ref="J167:K167"/>
    <mergeCell ref="K144:L144"/>
    <mergeCell ref="A155:B155"/>
    <mergeCell ref="A76:D76"/>
    <mergeCell ref="A79:D79"/>
    <mergeCell ref="H95:I95"/>
    <mergeCell ref="A83:D83"/>
    <mergeCell ref="H93:I93"/>
    <mergeCell ref="F99:G99"/>
    <mergeCell ref="F92:G92"/>
    <mergeCell ref="H98:I98"/>
    <mergeCell ref="K87:L87"/>
    <mergeCell ref="A102:C102"/>
    <mergeCell ref="A103:C105"/>
    <mergeCell ref="C145:D145"/>
    <mergeCell ref="C134:D136"/>
    <mergeCell ref="C137:D137"/>
    <mergeCell ref="C153:D153"/>
    <mergeCell ref="C155:D155"/>
    <mergeCell ref="A73:D73"/>
    <mergeCell ref="F95:G95"/>
    <mergeCell ref="H92:I92"/>
    <mergeCell ref="L256:M256"/>
    <mergeCell ref="L281:M281"/>
    <mergeCell ref="B280:I280"/>
    <mergeCell ref="J281:K281"/>
    <mergeCell ref="J258:K258"/>
    <mergeCell ref="H257:I257"/>
    <mergeCell ref="H258:I258"/>
    <mergeCell ref="F258:G258"/>
    <mergeCell ref="J257:K257"/>
    <mergeCell ref="J270:K270"/>
    <mergeCell ref="L258:M258"/>
    <mergeCell ref="F260:G260"/>
    <mergeCell ref="F262:G262"/>
    <mergeCell ref="L276:M276"/>
    <mergeCell ref="B272:I272"/>
    <mergeCell ref="B273:I273"/>
    <mergeCell ref="J275:K275"/>
    <mergeCell ref="D264:E264"/>
    <mergeCell ref="H267:I267"/>
    <mergeCell ref="J265:K265"/>
    <mergeCell ref="L270:M270"/>
    <mergeCell ref="J274:K274"/>
    <mergeCell ref="J272:K272"/>
    <mergeCell ref="B279:I279"/>
    <mergeCell ref="A262:B262"/>
    <mergeCell ref="D261:E261"/>
    <mergeCell ref="H265:I265"/>
    <mergeCell ref="A260:B260"/>
    <mergeCell ref="H264:I264"/>
    <mergeCell ref="A268:B268"/>
    <mergeCell ref="A266:B266"/>
    <mergeCell ref="L277:M277"/>
    <mergeCell ref="L264:M264"/>
    <mergeCell ref="L275:M275"/>
    <mergeCell ref="H263:I263"/>
    <mergeCell ref="L259:M259"/>
    <mergeCell ref="L265:M265"/>
    <mergeCell ref="F261:G261"/>
    <mergeCell ref="C264:C265"/>
    <mergeCell ref="B278:I278"/>
    <mergeCell ref="D263:E263"/>
    <mergeCell ref="K335:L335"/>
    <mergeCell ref="H330:I330"/>
    <mergeCell ref="K330:L330"/>
    <mergeCell ref="K327:L327"/>
    <mergeCell ref="K324:L324"/>
    <mergeCell ref="H321:I321"/>
    <mergeCell ref="K321:L321"/>
    <mergeCell ref="K322:L322"/>
    <mergeCell ref="K328:L328"/>
    <mergeCell ref="H323:I323"/>
    <mergeCell ref="K331:L331"/>
    <mergeCell ref="H317:I317"/>
    <mergeCell ref="K310:L310"/>
    <mergeCell ref="K311:L311"/>
    <mergeCell ref="K317:L317"/>
    <mergeCell ref="J269:K269"/>
    <mergeCell ref="H260:I260"/>
    <mergeCell ref="A261:B261"/>
    <mergeCell ref="K337:L337"/>
    <mergeCell ref="K333:L333"/>
    <mergeCell ref="L340:M340"/>
    <mergeCell ref="L341:M341"/>
    <mergeCell ref="H336:I336"/>
    <mergeCell ref="K336:L336"/>
    <mergeCell ref="J340:K340"/>
    <mergeCell ref="K334:L334"/>
    <mergeCell ref="K354:L354"/>
    <mergeCell ref="J352:K352"/>
    <mergeCell ref="L352:M352"/>
    <mergeCell ref="L351:M351"/>
    <mergeCell ref="A346:L346"/>
    <mergeCell ref="J341:K341"/>
    <mergeCell ref="J343:K343"/>
    <mergeCell ref="J348:K348"/>
    <mergeCell ref="L343:M343"/>
    <mergeCell ref="J342:K342"/>
    <mergeCell ref="H337:I337"/>
    <mergeCell ref="A353:I353"/>
    <mergeCell ref="J353:M353"/>
    <mergeCell ref="J350:K350"/>
    <mergeCell ref="J351:K351"/>
    <mergeCell ref="A348:I349"/>
    <mergeCell ref="I13:M13"/>
    <mergeCell ref="A304:M304"/>
    <mergeCell ref="H177:J177"/>
    <mergeCell ref="H231:J231"/>
    <mergeCell ref="H232:J232"/>
    <mergeCell ref="H233:J233"/>
    <mergeCell ref="H234:J234"/>
    <mergeCell ref="H229:J229"/>
    <mergeCell ref="H230:J230"/>
    <mergeCell ref="L166:M166"/>
    <mergeCell ref="A166:G166"/>
    <mergeCell ref="H189:J189"/>
    <mergeCell ref="L168:M168"/>
    <mergeCell ref="A270:I270"/>
    <mergeCell ref="L238:M238"/>
    <mergeCell ref="L240:M240"/>
    <mergeCell ref="L242:M242"/>
    <mergeCell ref="C146:D146"/>
    <mergeCell ref="C147:D147"/>
    <mergeCell ref="C148:D148"/>
    <mergeCell ref="C149:D149"/>
    <mergeCell ref="C150:D150"/>
    <mergeCell ref="C151:D151"/>
    <mergeCell ref="C152:D152"/>
    <mergeCell ref="U212:V212"/>
    <mergeCell ref="W212:X212"/>
    <mergeCell ref="W213:X213"/>
    <mergeCell ref="L342:M342"/>
    <mergeCell ref="J277:K277"/>
    <mergeCell ref="Q255:R255"/>
    <mergeCell ref="J261:K261"/>
    <mergeCell ref="L260:M260"/>
    <mergeCell ref="J291:K291"/>
    <mergeCell ref="J259:K259"/>
    <mergeCell ref="J267:K267"/>
    <mergeCell ref="J266:K266"/>
    <mergeCell ref="J260:K260"/>
    <mergeCell ref="L271:M271"/>
    <mergeCell ref="J263:K263"/>
    <mergeCell ref="L266:M266"/>
    <mergeCell ref="L267:M267"/>
    <mergeCell ref="K315:L315"/>
    <mergeCell ref="K308:L308"/>
    <mergeCell ref="K319:L319"/>
    <mergeCell ref="K229:M229"/>
    <mergeCell ref="K230:M230"/>
    <mergeCell ref="K329:L329"/>
    <mergeCell ref="L237:M237"/>
    <mergeCell ref="AG305:AH305"/>
    <mergeCell ref="H328:I328"/>
    <mergeCell ref="H190:J190"/>
    <mergeCell ref="L278:M278"/>
    <mergeCell ref="J273:K273"/>
    <mergeCell ref="L274:M274"/>
    <mergeCell ref="B277:I277"/>
    <mergeCell ref="K316:L316"/>
    <mergeCell ref="J289:K289"/>
    <mergeCell ref="L288:M288"/>
    <mergeCell ref="AE305:AF305"/>
    <mergeCell ref="K306:L306"/>
    <mergeCell ref="A323:C323"/>
    <mergeCell ref="A311:C311"/>
    <mergeCell ref="A312:C312"/>
    <mergeCell ref="H255:I255"/>
    <mergeCell ref="L282:M282"/>
    <mergeCell ref="L257:M257"/>
    <mergeCell ref="H269:I269"/>
    <mergeCell ref="B274:I274"/>
    <mergeCell ref="H266:I266"/>
    <mergeCell ref="H191:J191"/>
    <mergeCell ref="H237:I237"/>
    <mergeCell ref="H242:I242"/>
    <mergeCell ref="Q89:R89"/>
    <mergeCell ref="J168:K168"/>
    <mergeCell ref="H187:J187"/>
    <mergeCell ref="H188:J188"/>
    <mergeCell ref="L170:M170"/>
    <mergeCell ref="H178:J178"/>
    <mergeCell ref="H179:J179"/>
    <mergeCell ref="H180:J180"/>
    <mergeCell ref="H176:J176"/>
    <mergeCell ref="J170:K170"/>
    <mergeCell ref="J169:K169"/>
    <mergeCell ref="J165:K165"/>
    <mergeCell ref="K140:L140"/>
    <mergeCell ref="K141:L141"/>
    <mergeCell ref="K93:L93"/>
    <mergeCell ref="K143:L143"/>
    <mergeCell ref="H96:I96"/>
    <mergeCell ref="H97:I97"/>
    <mergeCell ref="K95:L95"/>
    <mergeCell ref="K137:L137"/>
    <mergeCell ref="K116:L116"/>
    <mergeCell ref="K122:L122"/>
    <mergeCell ref="K123:L123"/>
    <mergeCell ref="K124:L124"/>
    <mergeCell ref="E204:H204"/>
    <mergeCell ref="A191:G191"/>
    <mergeCell ref="A189:G189"/>
    <mergeCell ref="A187:G187"/>
    <mergeCell ref="A188:G188"/>
    <mergeCell ref="B205:C205"/>
    <mergeCell ref="D229:E229"/>
    <mergeCell ref="L243:M243"/>
    <mergeCell ref="L244:M244"/>
    <mergeCell ref="C243:D243"/>
    <mergeCell ref="C244:D244"/>
    <mergeCell ref="C237:D237"/>
    <mergeCell ref="C239:F239"/>
    <mergeCell ref="B238:B239"/>
    <mergeCell ref="E243:F243"/>
    <mergeCell ref="E244:F244"/>
    <mergeCell ref="K231:M231"/>
    <mergeCell ref="D234:E234"/>
    <mergeCell ref="D232:E232"/>
    <mergeCell ref="D233:E233"/>
    <mergeCell ref="L245:M245"/>
    <mergeCell ref="L246:M246"/>
    <mergeCell ref="J239:M239"/>
    <mergeCell ref="J241:M241"/>
    <mergeCell ref="A227:M227"/>
    <mergeCell ref="H243:I243"/>
    <mergeCell ref="H244:I244"/>
    <mergeCell ref="H245:I245"/>
    <mergeCell ref="H246:I246"/>
    <mergeCell ref="H238:I239"/>
    <mergeCell ref="H240:I241"/>
    <mergeCell ref="J237:K237"/>
    <mergeCell ref="J238:K238"/>
    <mergeCell ref="J240:K240"/>
    <mergeCell ref="J242:K242"/>
    <mergeCell ref="J243:K243"/>
    <mergeCell ref="J244:K244"/>
    <mergeCell ref="J245:K245"/>
    <mergeCell ref="J246:K246"/>
    <mergeCell ref="K232:M232"/>
    <mergeCell ref="K233:M233"/>
    <mergeCell ref="K234:M234"/>
    <mergeCell ref="B245:B246"/>
    <mergeCell ref="C245:D246"/>
  </mergeCells>
  <phoneticPr fontId="0" type="noConversion"/>
  <conditionalFormatting sqref="F113:M130">
    <cfRule type="cellIs" dxfId="51" priority="14" stopIfTrue="1" operator="between">
      <formula>0</formula>
      <formula>0</formula>
    </cfRule>
    <cfRule type="cellIs" priority="15" stopIfTrue="1" operator="between">
      <formula>0</formula>
      <formula>0</formula>
    </cfRule>
  </conditionalFormatting>
  <conditionalFormatting sqref="J58:K58">
    <cfRule type="containsText" dxfId="50" priority="4" stopIfTrue="1" operator="containsText" text="Fehler">
      <formula>NOT(ISERROR(SEARCH("Fehler",J58)))</formula>
    </cfRule>
    <cfRule type="containsText" dxfId="49" priority="13" stopIfTrue="1" operator="containsText" text="nein">
      <formula>NOT(ISERROR(SEARCH("nein",J58)))</formula>
    </cfRule>
  </conditionalFormatting>
  <conditionalFormatting sqref="L58:M58">
    <cfRule type="containsText" dxfId="48" priority="12" stopIfTrue="1" operator="containsText" text="nein">
      <formula>NOT(ISERROR(SEARCH("nein",L58)))</formula>
    </cfRule>
  </conditionalFormatting>
  <conditionalFormatting sqref="J54:K54">
    <cfRule type="containsText" dxfId="47" priority="11" stopIfTrue="1" operator="containsText" text="nein">
      <formula>NOT(ISERROR(SEARCH("nein",J54)))</formula>
    </cfRule>
  </conditionalFormatting>
  <conditionalFormatting sqref="L54:M54">
    <cfRule type="containsText" dxfId="46" priority="10" stopIfTrue="1" operator="containsText" text="nein">
      <formula>NOT(ISERROR(SEARCH("nein",L54)))</formula>
    </cfRule>
  </conditionalFormatting>
  <conditionalFormatting sqref="J294:K294">
    <cfRule type="containsText" dxfId="45" priority="9" stopIfTrue="1" operator="containsText" text="nein">
      <formula>NOT(ISERROR(SEARCH("nein",J294)))</formula>
    </cfRule>
  </conditionalFormatting>
  <conditionalFormatting sqref="L294:M294">
    <cfRule type="containsText" dxfId="44" priority="8" stopIfTrue="1" operator="containsText" text="nein">
      <formula>NOT(ISERROR(SEARCH("nein",L294)))</formula>
    </cfRule>
  </conditionalFormatting>
  <conditionalFormatting sqref="J344:K344">
    <cfRule type="containsText" dxfId="43" priority="3" stopIfTrue="1" operator="containsText" text="Fehler">
      <formula>NOT(ISERROR(SEARCH("Fehler",J344)))</formula>
    </cfRule>
    <cfRule type="containsText" dxfId="42" priority="7" stopIfTrue="1" operator="containsText" text="nein">
      <formula>NOT(ISERROR(SEARCH("nein",J344)))</formula>
    </cfRule>
  </conditionalFormatting>
  <conditionalFormatting sqref="L344:M344">
    <cfRule type="containsText" dxfId="41" priority="6" stopIfTrue="1" operator="containsText" text="nein">
      <formula>NOT(ISERROR(SEARCH("nein",L344)))</formula>
    </cfRule>
  </conditionalFormatting>
  <conditionalFormatting sqref="J353:M353">
    <cfRule type="containsText" dxfId="40" priority="5" stopIfTrue="1" operator="containsText" text="nein">
      <formula>NOT(ISERROR(SEARCH("nein",J353)))</formula>
    </cfRule>
  </conditionalFormatting>
  <conditionalFormatting sqref="H191:J191">
    <cfRule type="containsText" dxfId="39" priority="2" stopIfTrue="1" operator="containsText" text="nein">
      <formula>NOT(ISERROR(SEARCH("nein",H191)))</formula>
    </cfRule>
  </conditionalFormatting>
  <conditionalFormatting sqref="J350:K350 J352:K352">
    <cfRule type="expression" dxfId="38" priority="16">
      <formula>$K$354=0</formula>
    </cfRule>
  </conditionalFormatting>
  <dataValidations count="21">
    <dataValidation type="decimal" allowBlank="1" showInputMessage="1" showErrorMessage="1" errorTitle="Ungültige Eingabe" error="Geben Sie eine Dezimalzahl ein." sqref="H164:H166 J271:J274 L271:L274" xr:uid="{00000000-0002-0000-0000-000000000000}">
      <formula1>0</formula1>
      <formula2>99999</formula2>
    </dataValidation>
    <dataValidation type="whole" allowBlank="1" showInputMessage="1" showErrorMessage="1" errorTitle="Ungültige Eingabe" error="Geben Sie eine ganze Zahl ein." sqref="H167" xr:uid="{00000000-0002-0000-0000-000001000000}">
      <formula1>0</formula1>
      <formula2>99</formula2>
    </dataValidation>
    <dataValidation type="decimal" allowBlank="1" showInputMessage="1" showErrorMessage="1" errorTitle="Ungültige Dateneingabe" error="Geben Sie eine Zahl ein." sqref="H8 Z9 G12 H10:H11 Z5 G5:G6 G9" xr:uid="{00000000-0002-0000-0000-000002000000}">
      <formula1>0</formula1>
      <formula2>9999</formula2>
    </dataValidation>
    <dataValidation type="textLength" allowBlank="1" showInputMessage="1" showErrorMessage="1" errorTitle="Ungültige Dateneingabe" error="Geben Sie eine gültige Betriebsnummer ein." sqref="B5:C5" xr:uid="{00000000-0002-0000-0000-000003000000}">
      <formula1>10</formula1>
      <formula2>10</formula2>
    </dataValidation>
    <dataValidation type="whole" allowBlank="1" showInputMessage="1" showErrorMessage="1" errorTitle="Ungültige Dateneingabe" error="Geben Sie eine ganze Zahl zwischen 2000 und 15000 ein." sqref="B12" xr:uid="{00000000-0002-0000-0000-000004000000}">
      <formula1>2000</formula1>
      <formula2>15000</formula2>
    </dataValidation>
    <dataValidation type="whole" allowBlank="1" showInputMessage="1" showErrorMessage="1" errorTitle="Ungültige Dateineingabe" error="Geben Sie eine ganze Zahl zwischen 300 und 2500 ein." sqref="B13" xr:uid="{00000000-0002-0000-0000-000005000000}">
      <formula1>300</formula1>
      <formula2>2500</formula2>
    </dataValidation>
    <dataValidation allowBlank="1" showInputMessage="1" showErrorMessage="1" errorTitle="Ungültige Eingabe" error="Geben Sie eine Dezimalzahl ein." sqref="F264:G265 H265 J168:J170" xr:uid="{00000000-0002-0000-0000-000006000000}"/>
    <dataValidation type="decimal" allowBlank="1" showErrorMessage="1" errorTitle="Ungültige Eingabe" error="Geben Sie eine Dezimalzahl &lt; 100 ein." sqref="F266:I269 D266:D269" xr:uid="{00000000-0002-0000-0000-000007000000}">
      <formula1>0</formula1>
      <formula2>99</formula2>
    </dataValidation>
    <dataValidation type="decimal" allowBlank="1" showInputMessage="1" showErrorMessage="1" errorTitle="Ungültige Eingabe" error="Geben Sie eine Dezimalzahl &lt; 100 ein." sqref="H257:I263 F257:F263" xr:uid="{00000000-0002-0000-0000-000008000000}">
      <formula1>0</formula1>
      <formula2>99</formula2>
    </dataValidation>
    <dataValidation type="decimal" allowBlank="1" showInputMessage="1" showErrorMessage="1" errorTitle="Ungültige Eingabe" error="Geben Sie eine Dezimalzahl ein." sqref="L277:L281 J277:J281" xr:uid="{00000000-0002-0000-0000-000009000000}">
      <formula1>-999999</formula1>
      <formula2>999999</formula2>
    </dataValidation>
    <dataValidation type="decimal" allowBlank="1" showInputMessage="1" showErrorMessage="1" sqref="G13" xr:uid="{00000000-0002-0000-0000-00000A000000}">
      <formula1>0</formula1>
      <formula2>100</formula2>
    </dataValidation>
    <dataValidation type="decimal" allowBlank="1" showInputMessage="1" showErrorMessage="1" errorTitle="Ungültige Eingabe" error="Geben Sie in dieses Feld eine ganze Zahl ein." sqref="G68:G81 Z68:AA87 G83:G87" xr:uid="{00000000-0002-0000-0000-00000B000000}">
      <formula1>0</formula1>
      <formula2>1000000</formula2>
    </dataValidation>
    <dataValidation type="whole" allowBlank="1" showInputMessage="1" showErrorMessage="1" errorTitle="Ungültige Eingabe" error="Geben Sie in dieses Feld eine ganze Zahl ein." sqref="H68:I81" xr:uid="{00000000-0002-0000-0000-00000C000000}">
      <formula1>0</formula1>
      <formula2>100</formula2>
    </dataValidation>
    <dataValidation type="decimal" operator="greaterThanOrEqual" allowBlank="1" showInputMessage="1" showErrorMessage="1" errorTitle="Falsche Eingabe" error="Geben sie eine positve Zahl ein." sqref="E68:F81 E83:F87" xr:uid="{00000000-0002-0000-0000-00000D000000}">
      <formula1>0</formula1>
    </dataValidation>
    <dataValidation type="decimal" allowBlank="1" showInputMessage="1" showErrorMessage="1" errorTitle="Ungültige Eingabe" error="Geben Sie in dieses Feld eine ganze Zahl ein." sqref="H83:I87" xr:uid="{00000000-0002-0000-0000-00000E000000}">
      <formula1>0</formula1>
      <formula2>100</formula2>
    </dataValidation>
    <dataValidation type="decimal" allowBlank="1" showInputMessage="1" showErrorMessage="1" error="Geben sie eine Dezimalzahl ein." sqref="E214" xr:uid="{00000000-0002-0000-0000-00000F000000}">
      <formula1>0</formula1>
      <formula2>100</formula2>
    </dataValidation>
    <dataValidation type="decimal" allowBlank="1" showInputMessage="1" showErrorMessage="1" error="Geben sie eine Dezimalzahl ein._x000a_Der Wert muss kleiner als der TS-Gehalt, des zur Separierung vorgesehenen flüssigen Wirtschaftdüngers sein." sqref="F230" xr:uid="{00000000-0002-0000-0000-000010000000}">
      <formula1>0</formula1>
      <formula2>D205</formula2>
    </dataValidation>
    <dataValidation type="decimal" allowBlank="1" showInputMessage="1" showErrorMessage="1" errorTitle="ungültige Eingabe" error="Geben Sie eine Dezimalzahl ein." sqref="H168:H170" xr:uid="{00000000-0002-0000-0000-000011000000}">
      <formula1>0</formula1>
      <formula2>99999</formula2>
    </dataValidation>
    <dataValidation type="decimal" allowBlank="1" showInputMessage="1" showErrorMessage="1" sqref="F192:G194 F182:G182" xr:uid="{00000000-0002-0000-0000-000012000000}">
      <formula1>36</formula1>
      <formula2>40</formula2>
    </dataValidation>
    <dataValidation type="decimal" allowBlank="1" showInputMessage="1" showErrorMessage="1" sqref="H180" xr:uid="{00000000-0002-0000-0000-000014000000}">
      <formula1>-10</formula1>
      <formula2>20</formula2>
    </dataValidation>
    <dataValidation type="decimal" allowBlank="1" showInputMessage="1" showErrorMessage="1" sqref="H178:J178" xr:uid="{00000000-0002-0000-0000-000015000000}">
      <formula1>30</formula1>
      <formula2>44</formula2>
    </dataValidation>
  </dataValidations>
  <hyperlinks>
    <hyperlink ref="H12:M12" r:id="rId2" display="ha zusätzliche Ausbringfläche" xr:uid="{5F005CB6-DEBE-480B-8322-D9F8AE46D551}"/>
  </hyperlinks>
  <pageMargins left="0.39370078740157483" right="0.31496062992125984" top="0.39370078740157483" bottom="0.39370078740157483" header="0.31496062992125984" footer="0.11811023622047245"/>
  <pageSetup paperSize="9" fitToHeight="0" orientation="portrait" r:id="rId3"/>
  <headerFooter alignWithMargins="0">
    <oddFooter>&amp;C© Bayerische Landesanstalt für Landwirtschaft (Of, Sr, Sp, Ka); Stand: 04.11.21;        Seite:&amp;P von &amp;N        &amp;D        &amp;T Uhr</oddFooter>
  </headerFooter>
  <rowBreaks count="4" manualBreakCount="4">
    <brk id="106" max="16383" man="1"/>
    <brk id="158" max="16383" man="1"/>
    <brk id="199" max="16383" man="1"/>
    <brk id="251" max="16383" man="1"/>
  </rowBreaks>
  <drawing r:id="rId4"/>
  <legacyDrawing r:id="rId5"/>
  <mc:AlternateContent xmlns:mc="http://schemas.openxmlformats.org/markup-compatibility/2006">
    <mc:Choice Requires="x14">
      <controls>
        <mc:AlternateContent xmlns:mc="http://schemas.openxmlformats.org/markup-compatibility/2006">
          <mc:Choice Requires="x14">
            <control shapeId="2055" r:id="rId6" name="Drop Down 7">
              <controlPr defaultSize="0" autoLine="0" autoPict="0">
                <anchor moveWithCells="1">
                  <from>
                    <xdr:col>0</xdr:col>
                    <xdr:colOff>9525</xdr:colOff>
                    <xdr:row>68</xdr:row>
                    <xdr:rowOff>9525</xdr:rowOff>
                  </from>
                  <to>
                    <xdr:col>3</xdr:col>
                    <xdr:colOff>485775</xdr:colOff>
                    <xdr:row>69</xdr:row>
                    <xdr:rowOff>0</xdr:rowOff>
                  </to>
                </anchor>
              </controlPr>
            </control>
          </mc:Choice>
        </mc:AlternateContent>
        <mc:AlternateContent xmlns:mc="http://schemas.openxmlformats.org/markup-compatibility/2006">
          <mc:Choice Requires="x14">
            <control shapeId="2058" r:id="rId7" name="Drop Down 10">
              <controlPr defaultSize="0" autoLine="0" autoPict="0">
                <anchor moveWithCells="1">
                  <from>
                    <xdr:col>0</xdr:col>
                    <xdr:colOff>9525</xdr:colOff>
                    <xdr:row>68</xdr:row>
                    <xdr:rowOff>219075</xdr:rowOff>
                  </from>
                  <to>
                    <xdr:col>3</xdr:col>
                    <xdr:colOff>485775</xdr:colOff>
                    <xdr:row>69</xdr:row>
                    <xdr:rowOff>209550</xdr:rowOff>
                  </to>
                </anchor>
              </controlPr>
            </control>
          </mc:Choice>
        </mc:AlternateContent>
        <mc:AlternateContent xmlns:mc="http://schemas.openxmlformats.org/markup-compatibility/2006">
          <mc:Choice Requires="x14">
            <control shapeId="2059" r:id="rId8" name="Drop Down 11">
              <controlPr defaultSize="0" autoLine="0" autoPict="0">
                <anchor moveWithCells="1">
                  <from>
                    <xdr:col>0</xdr:col>
                    <xdr:colOff>9525</xdr:colOff>
                    <xdr:row>69</xdr:row>
                    <xdr:rowOff>209550</xdr:rowOff>
                  </from>
                  <to>
                    <xdr:col>3</xdr:col>
                    <xdr:colOff>485775</xdr:colOff>
                    <xdr:row>70</xdr:row>
                    <xdr:rowOff>200025</xdr:rowOff>
                  </to>
                </anchor>
              </controlPr>
            </control>
          </mc:Choice>
        </mc:AlternateContent>
        <mc:AlternateContent xmlns:mc="http://schemas.openxmlformats.org/markup-compatibility/2006">
          <mc:Choice Requires="x14">
            <control shapeId="2060" r:id="rId9" name="Drop Down 12">
              <controlPr defaultSize="0" autoLine="0" autoPict="0">
                <anchor moveWithCells="1">
                  <from>
                    <xdr:col>0</xdr:col>
                    <xdr:colOff>9525</xdr:colOff>
                    <xdr:row>70</xdr:row>
                    <xdr:rowOff>219075</xdr:rowOff>
                  </from>
                  <to>
                    <xdr:col>3</xdr:col>
                    <xdr:colOff>485775</xdr:colOff>
                    <xdr:row>71</xdr:row>
                    <xdr:rowOff>200025</xdr:rowOff>
                  </to>
                </anchor>
              </controlPr>
            </control>
          </mc:Choice>
        </mc:AlternateContent>
        <mc:AlternateContent xmlns:mc="http://schemas.openxmlformats.org/markup-compatibility/2006">
          <mc:Choice Requires="x14">
            <control shapeId="2061" r:id="rId10" name="Drop Down 13">
              <controlPr defaultSize="0" autoLine="0" autoPict="0">
                <anchor moveWithCells="1">
                  <from>
                    <xdr:col>0</xdr:col>
                    <xdr:colOff>9525</xdr:colOff>
                    <xdr:row>71</xdr:row>
                    <xdr:rowOff>219075</xdr:rowOff>
                  </from>
                  <to>
                    <xdr:col>3</xdr:col>
                    <xdr:colOff>485775</xdr:colOff>
                    <xdr:row>72</xdr:row>
                    <xdr:rowOff>209550</xdr:rowOff>
                  </to>
                </anchor>
              </controlPr>
            </control>
          </mc:Choice>
        </mc:AlternateContent>
        <mc:AlternateContent xmlns:mc="http://schemas.openxmlformats.org/markup-compatibility/2006">
          <mc:Choice Requires="x14">
            <control shapeId="2062" r:id="rId11" name="Drop Down 14">
              <controlPr defaultSize="0" autoLine="0" autoPict="0">
                <anchor moveWithCells="1">
                  <from>
                    <xdr:col>0</xdr:col>
                    <xdr:colOff>9525</xdr:colOff>
                    <xdr:row>72</xdr:row>
                    <xdr:rowOff>219075</xdr:rowOff>
                  </from>
                  <to>
                    <xdr:col>3</xdr:col>
                    <xdr:colOff>485775</xdr:colOff>
                    <xdr:row>73</xdr:row>
                    <xdr:rowOff>200025</xdr:rowOff>
                  </to>
                </anchor>
              </controlPr>
            </control>
          </mc:Choice>
        </mc:AlternateContent>
        <mc:AlternateContent xmlns:mc="http://schemas.openxmlformats.org/markup-compatibility/2006">
          <mc:Choice Requires="x14">
            <control shapeId="2063" r:id="rId12" name="Drop Down 15">
              <controlPr defaultSize="0" autoLine="0" autoPict="0">
                <anchor moveWithCells="1">
                  <from>
                    <xdr:col>0</xdr:col>
                    <xdr:colOff>9525</xdr:colOff>
                    <xdr:row>73</xdr:row>
                    <xdr:rowOff>219075</xdr:rowOff>
                  </from>
                  <to>
                    <xdr:col>3</xdr:col>
                    <xdr:colOff>485775</xdr:colOff>
                    <xdr:row>74</xdr:row>
                    <xdr:rowOff>209550</xdr:rowOff>
                  </to>
                </anchor>
              </controlPr>
            </control>
          </mc:Choice>
        </mc:AlternateContent>
        <mc:AlternateContent xmlns:mc="http://schemas.openxmlformats.org/markup-compatibility/2006">
          <mc:Choice Requires="x14">
            <control shapeId="2064" r:id="rId13" name="Drop Down 16">
              <controlPr defaultSize="0" autoLine="0" autoPict="0">
                <anchor moveWithCells="1">
                  <from>
                    <xdr:col>0</xdr:col>
                    <xdr:colOff>9525</xdr:colOff>
                    <xdr:row>74</xdr:row>
                    <xdr:rowOff>219075</xdr:rowOff>
                  </from>
                  <to>
                    <xdr:col>3</xdr:col>
                    <xdr:colOff>485775</xdr:colOff>
                    <xdr:row>75</xdr:row>
                    <xdr:rowOff>209550</xdr:rowOff>
                  </to>
                </anchor>
              </controlPr>
            </control>
          </mc:Choice>
        </mc:AlternateContent>
        <mc:AlternateContent xmlns:mc="http://schemas.openxmlformats.org/markup-compatibility/2006">
          <mc:Choice Requires="x14">
            <control shapeId="2065" r:id="rId14" name="Drop Down 17">
              <controlPr defaultSize="0" autoLine="0" autoPict="0">
                <anchor moveWithCells="1">
                  <from>
                    <xdr:col>0</xdr:col>
                    <xdr:colOff>9525</xdr:colOff>
                    <xdr:row>78</xdr:row>
                    <xdr:rowOff>0</xdr:rowOff>
                  </from>
                  <to>
                    <xdr:col>3</xdr:col>
                    <xdr:colOff>485775</xdr:colOff>
                    <xdr:row>78</xdr:row>
                    <xdr:rowOff>219075</xdr:rowOff>
                  </to>
                </anchor>
              </controlPr>
            </control>
          </mc:Choice>
        </mc:AlternateContent>
        <mc:AlternateContent xmlns:mc="http://schemas.openxmlformats.org/markup-compatibility/2006">
          <mc:Choice Requires="x14">
            <control shapeId="2081" r:id="rId15" name="Drop Down 33">
              <controlPr defaultSize="0" autoLine="0" autoPict="0">
                <anchor moveWithCells="1">
                  <from>
                    <xdr:col>0</xdr:col>
                    <xdr:colOff>9525</xdr:colOff>
                    <xdr:row>79</xdr:row>
                    <xdr:rowOff>9525</xdr:rowOff>
                  </from>
                  <to>
                    <xdr:col>3</xdr:col>
                    <xdr:colOff>485775</xdr:colOff>
                    <xdr:row>79</xdr:row>
                    <xdr:rowOff>219075</xdr:rowOff>
                  </to>
                </anchor>
              </controlPr>
            </control>
          </mc:Choice>
        </mc:AlternateContent>
        <mc:AlternateContent xmlns:mc="http://schemas.openxmlformats.org/markup-compatibility/2006">
          <mc:Choice Requires="x14">
            <control shapeId="2082" r:id="rId16" name="Drop Down 34">
              <controlPr defaultSize="0" autoLine="0" autoPict="0">
                <anchor moveWithCells="1">
                  <from>
                    <xdr:col>0</xdr:col>
                    <xdr:colOff>9525</xdr:colOff>
                    <xdr:row>80</xdr:row>
                    <xdr:rowOff>9525</xdr:rowOff>
                  </from>
                  <to>
                    <xdr:col>3</xdr:col>
                    <xdr:colOff>485775</xdr:colOff>
                    <xdr:row>80</xdr:row>
                    <xdr:rowOff>219075</xdr:rowOff>
                  </to>
                </anchor>
              </controlPr>
            </control>
          </mc:Choice>
        </mc:AlternateContent>
        <mc:AlternateContent xmlns:mc="http://schemas.openxmlformats.org/markup-compatibility/2006">
          <mc:Choice Requires="x14">
            <control shapeId="2208" r:id="rId17" name="Drop Down 160">
              <controlPr defaultSize="0" autoLine="0" autoPict="0">
                <anchor moveWithCells="1">
                  <from>
                    <xdr:col>6</xdr:col>
                    <xdr:colOff>9525</xdr:colOff>
                    <xdr:row>67</xdr:row>
                    <xdr:rowOff>19050</xdr:rowOff>
                  </from>
                  <to>
                    <xdr:col>6</xdr:col>
                    <xdr:colOff>485775</xdr:colOff>
                    <xdr:row>68</xdr:row>
                    <xdr:rowOff>0</xdr:rowOff>
                  </to>
                </anchor>
              </controlPr>
            </control>
          </mc:Choice>
        </mc:AlternateContent>
        <mc:AlternateContent xmlns:mc="http://schemas.openxmlformats.org/markup-compatibility/2006">
          <mc:Choice Requires="x14">
            <control shapeId="2250" r:id="rId18" name="Drop Down 202">
              <controlPr defaultSize="0" autoLine="0" autoPict="0">
                <anchor moveWithCells="1">
                  <from>
                    <xdr:col>0</xdr:col>
                    <xdr:colOff>9525</xdr:colOff>
                    <xdr:row>67</xdr:row>
                    <xdr:rowOff>19050</xdr:rowOff>
                  </from>
                  <to>
                    <xdr:col>3</xdr:col>
                    <xdr:colOff>485775</xdr:colOff>
                    <xdr:row>68</xdr:row>
                    <xdr:rowOff>9525</xdr:rowOff>
                  </to>
                </anchor>
              </controlPr>
            </control>
          </mc:Choice>
        </mc:AlternateContent>
        <mc:AlternateContent xmlns:mc="http://schemas.openxmlformats.org/markup-compatibility/2006">
          <mc:Choice Requires="x14">
            <control shapeId="2261" r:id="rId19" name="Drop Down 213">
              <controlPr defaultSize="0" autoLine="0" autoPict="0">
                <anchor moveWithCells="1">
                  <from>
                    <xdr:col>6</xdr:col>
                    <xdr:colOff>9525</xdr:colOff>
                    <xdr:row>68</xdr:row>
                    <xdr:rowOff>19050</xdr:rowOff>
                  </from>
                  <to>
                    <xdr:col>6</xdr:col>
                    <xdr:colOff>485775</xdr:colOff>
                    <xdr:row>69</xdr:row>
                    <xdr:rowOff>0</xdr:rowOff>
                  </to>
                </anchor>
              </controlPr>
            </control>
          </mc:Choice>
        </mc:AlternateContent>
        <mc:AlternateContent xmlns:mc="http://schemas.openxmlformats.org/markup-compatibility/2006">
          <mc:Choice Requires="x14">
            <control shapeId="2262" r:id="rId20" name="Drop Down 214">
              <controlPr defaultSize="0" autoLine="0" autoPict="0">
                <anchor moveWithCells="1">
                  <from>
                    <xdr:col>6</xdr:col>
                    <xdr:colOff>9525</xdr:colOff>
                    <xdr:row>69</xdr:row>
                    <xdr:rowOff>28575</xdr:rowOff>
                  </from>
                  <to>
                    <xdr:col>6</xdr:col>
                    <xdr:colOff>485775</xdr:colOff>
                    <xdr:row>70</xdr:row>
                    <xdr:rowOff>9525</xdr:rowOff>
                  </to>
                </anchor>
              </controlPr>
            </control>
          </mc:Choice>
        </mc:AlternateContent>
        <mc:AlternateContent xmlns:mc="http://schemas.openxmlformats.org/markup-compatibility/2006">
          <mc:Choice Requires="x14">
            <control shapeId="2263" r:id="rId21" name="Drop Down 215">
              <controlPr defaultSize="0" autoLine="0" autoPict="0">
                <anchor moveWithCells="1">
                  <from>
                    <xdr:col>6</xdr:col>
                    <xdr:colOff>9525</xdr:colOff>
                    <xdr:row>70</xdr:row>
                    <xdr:rowOff>28575</xdr:rowOff>
                  </from>
                  <to>
                    <xdr:col>6</xdr:col>
                    <xdr:colOff>485775</xdr:colOff>
                    <xdr:row>71</xdr:row>
                    <xdr:rowOff>9525</xdr:rowOff>
                  </to>
                </anchor>
              </controlPr>
            </control>
          </mc:Choice>
        </mc:AlternateContent>
        <mc:AlternateContent xmlns:mc="http://schemas.openxmlformats.org/markup-compatibility/2006">
          <mc:Choice Requires="x14">
            <control shapeId="2264" r:id="rId22" name="Drop Down 216">
              <controlPr defaultSize="0" autoLine="0" autoPict="0">
                <anchor moveWithCells="1">
                  <from>
                    <xdr:col>6</xdr:col>
                    <xdr:colOff>9525</xdr:colOff>
                    <xdr:row>71</xdr:row>
                    <xdr:rowOff>28575</xdr:rowOff>
                  </from>
                  <to>
                    <xdr:col>6</xdr:col>
                    <xdr:colOff>485775</xdr:colOff>
                    <xdr:row>72</xdr:row>
                    <xdr:rowOff>9525</xdr:rowOff>
                  </to>
                </anchor>
              </controlPr>
            </control>
          </mc:Choice>
        </mc:AlternateContent>
        <mc:AlternateContent xmlns:mc="http://schemas.openxmlformats.org/markup-compatibility/2006">
          <mc:Choice Requires="x14">
            <control shapeId="2265" r:id="rId23" name="Drop Down 217">
              <controlPr defaultSize="0" autoLine="0" autoPict="0">
                <anchor moveWithCells="1">
                  <from>
                    <xdr:col>6</xdr:col>
                    <xdr:colOff>9525</xdr:colOff>
                    <xdr:row>72</xdr:row>
                    <xdr:rowOff>28575</xdr:rowOff>
                  </from>
                  <to>
                    <xdr:col>6</xdr:col>
                    <xdr:colOff>485775</xdr:colOff>
                    <xdr:row>73</xdr:row>
                    <xdr:rowOff>9525</xdr:rowOff>
                  </to>
                </anchor>
              </controlPr>
            </control>
          </mc:Choice>
        </mc:AlternateContent>
        <mc:AlternateContent xmlns:mc="http://schemas.openxmlformats.org/markup-compatibility/2006">
          <mc:Choice Requires="x14">
            <control shapeId="2266" r:id="rId24" name="Drop Down 218">
              <controlPr defaultSize="0" autoLine="0" autoPict="0">
                <anchor moveWithCells="1">
                  <from>
                    <xdr:col>6</xdr:col>
                    <xdr:colOff>9525</xdr:colOff>
                    <xdr:row>73</xdr:row>
                    <xdr:rowOff>28575</xdr:rowOff>
                  </from>
                  <to>
                    <xdr:col>6</xdr:col>
                    <xdr:colOff>485775</xdr:colOff>
                    <xdr:row>74</xdr:row>
                    <xdr:rowOff>9525</xdr:rowOff>
                  </to>
                </anchor>
              </controlPr>
            </control>
          </mc:Choice>
        </mc:AlternateContent>
        <mc:AlternateContent xmlns:mc="http://schemas.openxmlformats.org/markup-compatibility/2006">
          <mc:Choice Requires="x14">
            <control shapeId="2267" r:id="rId25" name="Drop Down 219">
              <controlPr defaultSize="0" autoLine="0" autoPict="0">
                <anchor moveWithCells="1">
                  <from>
                    <xdr:col>6</xdr:col>
                    <xdr:colOff>9525</xdr:colOff>
                    <xdr:row>74</xdr:row>
                    <xdr:rowOff>28575</xdr:rowOff>
                  </from>
                  <to>
                    <xdr:col>6</xdr:col>
                    <xdr:colOff>485775</xdr:colOff>
                    <xdr:row>75</xdr:row>
                    <xdr:rowOff>9525</xdr:rowOff>
                  </to>
                </anchor>
              </controlPr>
            </control>
          </mc:Choice>
        </mc:AlternateContent>
        <mc:AlternateContent xmlns:mc="http://schemas.openxmlformats.org/markup-compatibility/2006">
          <mc:Choice Requires="x14">
            <control shapeId="2268" r:id="rId26" name="Drop Down 220">
              <controlPr defaultSize="0" autoLine="0" autoPict="0">
                <anchor moveWithCells="1">
                  <from>
                    <xdr:col>6</xdr:col>
                    <xdr:colOff>9525</xdr:colOff>
                    <xdr:row>75</xdr:row>
                    <xdr:rowOff>28575</xdr:rowOff>
                  </from>
                  <to>
                    <xdr:col>6</xdr:col>
                    <xdr:colOff>485775</xdr:colOff>
                    <xdr:row>76</xdr:row>
                    <xdr:rowOff>9525</xdr:rowOff>
                  </to>
                </anchor>
              </controlPr>
            </control>
          </mc:Choice>
        </mc:AlternateContent>
        <mc:AlternateContent xmlns:mc="http://schemas.openxmlformats.org/markup-compatibility/2006">
          <mc:Choice Requires="x14">
            <control shapeId="2269" r:id="rId27" name="Drop Down 221">
              <controlPr defaultSize="0" autoLine="0" autoPict="0">
                <anchor moveWithCells="1">
                  <from>
                    <xdr:col>6</xdr:col>
                    <xdr:colOff>9525</xdr:colOff>
                    <xdr:row>78</xdr:row>
                    <xdr:rowOff>28575</xdr:rowOff>
                  </from>
                  <to>
                    <xdr:col>6</xdr:col>
                    <xdr:colOff>485775</xdr:colOff>
                    <xdr:row>79</xdr:row>
                    <xdr:rowOff>9525</xdr:rowOff>
                  </to>
                </anchor>
              </controlPr>
            </control>
          </mc:Choice>
        </mc:AlternateContent>
        <mc:AlternateContent xmlns:mc="http://schemas.openxmlformats.org/markup-compatibility/2006">
          <mc:Choice Requires="x14">
            <control shapeId="2270" r:id="rId28" name="Drop Down 222">
              <controlPr defaultSize="0" autoLine="0" autoPict="0">
                <anchor moveWithCells="1">
                  <from>
                    <xdr:col>6</xdr:col>
                    <xdr:colOff>9525</xdr:colOff>
                    <xdr:row>79</xdr:row>
                    <xdr:rowOff>28575</xdr:rowOff>
                  </from>
                  <to>
                    <xdr:col>6</xdr:col>
                    <xdr:colOff>485775</xdr:colOff>
                    <xdr:row>80</xdr:row>
                    <xdr:rowOff>9525</xdr:rowOff>
                  </to>
                </anchor>
              </controlPr>
            </control>
          </mc:Choice>
        </mc:AlternateContent>
        <mc:AlternateContent xmlns:mc="http://schemas.openxmlformats.org/markup-compatibility/2006">
          <mc:Choice Requires="x14">
            <control shapeId="2271" r:id="rId29" name="Drop Down 223">
              <controlPr defaultSize="0" autoLine="0" autoPict="0">
                <anchor moveWithCells="1">
                  <from>
                    <xdr:col>6</xdr:col>
                    <xdr:colOff>9525</xdr:colOff>
                    <xdr:row>80</xdr:row>
                    <xdr:rowOff>28575</xdr:rowOff>
                  </from>
                  <to>
                    <xdr:col>6</xdr:col>
                    <xdr:colOff>485775</xdr:colOff>
                    <xdr:row>81</xdr:row>
                    <xdr:rowOff>9525</xdr:rowOff>
                  </to>
                </anchor>
              </controlPr>
            </control>
          </mc:Choice>
        </mc:AlternateContent>
        <mc:AlternateContent xmlns:mc="http://schemas.openxmlformats.org/markup-compatibility/2006">
          <mc:Choice Requires="x14">
            <control shapeId="2304" r:id="rId30" name="Drop Down 256">
              <controlPr defaultSize="0" autoLine="0" autoPict="0">
                <anchor moveWithCells="1">
                  <from>
                    <xdr:col>6</xdr:col>
                    <xdr:colOff>19050</xdr:colOff>
                    <xdr:row>82</xdr:row>
                    <xdr:rowOff>9525</xdr:rowOff>
                  </from>
                  <to>
                    <xdr:col>6</xdr:col>
                    <xdr:colOff>495300</xdr:colOff>
                    <xdr:row>82</xdr:row>
                    <xdr:rowOff>219075</xdr:rowOff>
                  </to>
                </anchor>
              </controlPr>
            </control>
          </mc:Choice>
        </mc:AlternateContent>
        <mc:AlternateContent xmlns:mc="http://schemas.openxmlformats.org/markup-compatibility/2006">
          <mc:Choice Requires="x14">
            <control shapeId="2307" r:id="rId31" name="Drop Down 259">
              <controlPr defaultSize="0" autoLine="0" autoPict="0">
                <anchor moveWithCells="1">
                  <from>
                    <xdr:col>6</xdr:col>
                    <xdr:colOff>19050</xdr:colOff>
                    <xdr:row>85</xdr:row>
                    <xdr:rowOff>0</xdr:rowOff>
                  </from>
                  <to>
                    <xdr:col>6</xdr:col>
                    <xdr:colOff>495300</xdr:colOff>
                    <xdr:row>85</xdr:row>
                    <xdr:rowOff>209550</xdr:rowOff>
                  </to>
                </anchor>
              </controlPr>
            </control>
          </mc:Choice>
        </mc:AlternateContent>
        <mc:AlternateContent xmlns:mc="http://schemas.openxmlformats.org/markup-compatibility/2006">
          <mc:Choice Requires="x14">
            <control shapeId="2308" r:id="rId32" name="Drop Down 260">
              <controlPr defaultSize="0" autoLine="0" autoPict="0">
                <anchor moveWithCells="1">
                  <from>
                    <xdr:col>6</xdr:col>
                    <xdr:colOff>19050</xdr:colOff>
                    <xdr:row>86</xdr:row>
                    <xdr:rowOff>0</xdr:rowOff>
                  </from>
                  <to>
                    <xdr:col>6</xdr:col>
                    <xdr:colOff>495300</xdr:colOff>
                    <xdr:row>86</xdr:row>
                    <xdr:rowOff>209550</xdr:rowOff>
                  </to>
                </anchor>
              </controlPr>
            </control>
          </mc:Choice>
        </mc:AlternateContent>
        <mc:AlternateContent xmlns:mc="http://schemas.openxmlformats.org/markup-compatibility/2006">
          <mc:Choice Requires="x14">
            <control shapeId="2368" r:id="rId33" name="Drop Down 320">
              <controlPr defaultSize="0" autoLine="0" autoPict="0">
                <anchor moveWithCells="1">
                  <from>
                    <xdr:col>3</xdr:col>
                    <xdr:colOff>19050</xdr:colOff>
                    <xdr:row>265</xdr:row>
                    <xdr:rowOff>0</xdr:rowOff>
                  </from>
                  <to>
                    <xdr:col>5</xdr:col>
                    <xdr:colOff>0</xdr:colOff>
                    <xdr:row>265</xdr:row>
                    <xdr:rowOff>209550</xdr:rowOff>
                  </to>
                </anchor>
              </controlPr>
            </control>
          </mc:Choice>
        </mc:AlternateContent>
        <mc:AlternateContent xmlns:mc="http://schemas.openxmlformats.org/markup-compatibility/2006">
          <mc:Choice Requires="x14">
            <control shapeId="2370" r:id="rId34" name="Drop Down 322">
              <controlPr defaultSize="0" autoLine="0" autoPict="0">
                <anchor moveWithCells="1">
                  <from>
                    <xdr:col>3</xdr:col>
                    <xdr:colOff>19050</xdr:colOff>
                    <xdr:row>266</xdr:row>
                    <xdr:rowOff>9525</xdr:rowOff>
                  </from>
                  <to>
                    <xdr:col>5</xdr:col>
                    <xdr:colOff>0</xdr:colOff>
                    <xdr:row>266</xdr:row>
                    <xdr:rowOff>209550</xdr:rowOff>
                  </to>
                </anchor>
              </controlPr>
            </control>
          </mc:Choice>
        </mc:AlternateContent>
        <mc:AlternateContent xmlns:mc="http://schemas.openxmlformats.org/markup-compatibility/2006">
          <mc:Choice Requires="x14">
            <control shapeId="2371" r:id="rId35" name="Drop Down 323">
              <controlPr defaultSize="0" autoLine="0" autoPict="0">
                <anchor moveWithCells="1">
                  <from>
                    <xdr:col>3</xdr:col>
                    <xdr:colOff>19050</xdr:colOff>
                    <xdr:row>267</xdr:row>
                    <xdr:rowOff>9525</xdr:rowOff>
                  </from>
                  <to>
                    <xdr:col>5</xdr:col>
                    <xdr:colOff>0</xdr:colOff>
                    <xdr:row>267</xdr:row>
                    <xdr:rowOff>219075</xdr:rowOff>
                  </to>
                </anchor>
              </controlPr>
            </control>
          </mc:Choice>
        </mc:AlternateContent>
        <mc:AlternateContent xmlns:mc="http://schemas.openxmlformats.org/markup-compatibility/2006">
          <mc:Choice Requires="x14">
            <control shapeId="2372" r:id="rId36" name="Drop Down 324">
              <controlPr defaultSize="0" autoLine="0" autoPict="0">
                <anchor moveWithCells="1">
                  <from>
                    <xdr:col>3</xdr:col>
                    <xdr:colOff>19050</xdr:colOff>
                    <xdr:row>268</xdr:row>
                    <xdr:rowOff>9525</xdr:rowOff>
                  </from>
                  <to>
                    <xdr:col>5</xdr:col>
                    <xdr:colOff>0</xdr:colOff>
                    <xdr:row>268</xdr:row>
                    <xdr:rowOff>209550</xdr:rowOff>
                  </to>
                </anchor>
              </controlPr>
            </control>
          </mc:Choice>
        </mc:AlternateContent>
        <mc:AlternateContent xmlns:mc="http://schemas.openxmlformats.org/markup-compatibility/2006">
          <mc:Choice Requires="x14">
            <control shapeId="2401" r:id="rId37" name="Drop Down 353">
              <controlPr defaultSize="0" autoLine="0" autoPict="0">
                <anchor moveWithCells="1">
                  <from>
                    <xdr:col>0</xdr:col>
                    <xdr:colOff>0</xdr:colOff>
                    <xdr:row>276</xdr:row>
                    <xdr:rowOff>0</xdr:rowOff>
                  </from>
                  <to>
                    <xdr:col>0</xdr:col>
                    <xdr:colOff>962025</xdr:colOff>
                    <xdr:row>277</xdr:row>
                    <xdr:rowOff>9525</xdr:rowOff>
                  </to>
                </anchor>
              </controlPr>
            </control>
          </mc:Choice>
        </mc:AlternateContent>
        <mc:AlternateContent xmlns:mc="http://schemas.openxmlformats.org/markup-compatibility/2006">
          <mc:Choice Requires="x14">
            <control shapeId="2402" r:id="rId38" name="Drop Down 354">
              <controlPr defaultSize="0" autoLine="0" autoPict="0">
                <anchor moveWithCells="1">
                  <from>
                    <xdr:col>0</xdr:col>
                    <xdr:colOff>0</xdr:colOff>
                    <xdr:row>277</xdr:row>
                    <xdr:rowOff>0</xdr:rowOff>
                  </from>
                  <to>
                    <xdr:col>0</xdr:col>
                    <xdr:colOff>962025</xdr:colOff>
                    <xdr:row>278</xdr:row>
                    <xdr:rowOff>9525</xdr:rowOff>
                  </to>
                </anchor>
              </controlPr>
            </control>
          </mc:Choice>
        </mc:AlternateContent>
        <mc:AlternateContent xmlns:mc="http://schemas.openxmlformats.org/markup-compatibility/2006">
          <mc:Choice Requires="x14">
            <control shapeId="2403" r:id="rId39" name="Drop Down 355">
              <controlPr defaultSize="0" autoLine="0" autoPict="0">
                <anchor moveWithCells="1">
                  <from>
                    <xdr:col>0</xdr:col>
                    <xdr:colOff>0</xdr:colOff>
                    <xdr:row>278</xdr:row>
                    <xdr:rowOff>0</xdr:rowOff>
                  </from>
                  <to>
                    <xdr:col>0</xdr:col>
                    <xdr:colOff>962025</xdr:colOff>
                    <xdr:row>279</xdr:row>
                    <xdr:rowOff>9525</xdr:rowOff>
                  </to>
                </anchor>
              </controlPr>
            </control>
          </mc:Choice>
        </mc:AlternateContent>
        <mc:AlternateContent xmlns:mc="http://schemas.openxmlformats.org/markup-compatibility/2006">
          <mc:Choice Requires="x14">
            <control shapeId="2404" r:id="rId40" name="Drop Down 356">
              <controlPr defaultSize="0" autoLine="0" autoPict="0">
                <anchor moveWithCells="1">
                  <from>
                    <xdr:col>0</xdr:col>
                    <xdr:colOff>0</xdr:colOff>
                    <xdr:row>280</xdr:row>
                    <xdr:rowOff>0</xdr:rowOff>
                  </from>
                  <to>
                    <xdr:col>0</xdr:col>
                    <xdr:colOff>962025</xdr:colOff>
                    <xdr:row>281</xdr:row>
                    <xdr:rowOff>9525</xdr:rowOff>
                  </to>
                </anchor>
              </controlPr>
            </control>
          </mc:Choice>
        </mc:AlternateContent>
        <mc:AlternateContent xmlns:mc="http://schemas.openxmlformats.org/markup-compatibility/2006">
          <mc:Choice Requires="x14">
            <control shapeId="57789" r:id="rId41" name="Drop Down 2493">
              <controlPr defaultSize="0" autoLine="0" autoPict="0">
                <anchor moveWithCells="1">
                  <from>
                    <xdr:col>6</xdr:col>
                    <xdr:colOff>0</xdr:colOff>
                    <xdr:row>12</xdr:row>
                    <xdr:rowOff>9525</xdr:rowOff>
                  </from>
                  <to>
                    <xdr:col>8</xdr:col>
                    <xdr:colOff>0</xdr:colOff>
                    <xdr:row>13</xdr:row>
                    <xdr:rowOff>0</xdr:rowOff>
                  </to>
                </anchor>
              </controlPr>
            </control>
          </mc:Choice>
        </mc:AlternateContent>
        <mc:AlternateContent xmlns:mc="http://schemas.openxmlformats.org/markup-compatibility/2006">
          <mc:Choice Requires="x14">
            <control shapeId="120435" r:id="rId42" name="Drop Down 8819">
              <controlPr defaultSize="0" autoLine="0" autoPict="0">
                <anchor moveWithCells="1">
                  <from>
                    <xdr:col>0</xdr:col>
                    <xdr:colOff>9525</xdr:colOff>
                    <xdr:row>112</xdr:row>
                    <xdr:rowOff>9525</xdr:rowOff>
                  </from>
                  <to>
                    <xdr:col>2</xdr:col>
                    <xdr:colOff>352425</xdr:colOff>
                    <xdr:row>113</xdr:row>
                    <xdr:rowOff>0</xdr:rowOff>
                  </to>
                </anchor>
              </controlPr>
            </control>
          </mc:Choice>
        </mc:AlternateContent>
        <mc:AlternateContent xmlns:mc="http://schemas.openxmlformats.org/markup-compatibility/2006">
          <mc:Choice Requires="x14">
            <control shapeId="129542" r:id="rId43" name="Check Box 11782">
              <controlPr locked="0" defaultSize="0" autoFill="0" autoLine="0" autoPict="0">
                <anchor moveWithCells="1">
                  <from>
                    <xdr:col>4</xdr:col>
                    <xdr:colOff>142875</xdr:colOff>
                    <xdr:row>307</xdr:row>
                    <xdr:rowOff>9525</xdr:rowOff>
                  </from>
                  <to>
                    <xdr:col>4</xdr:col>
                    <xdr:colOff>381000</xdr:colOff>
                    <xdr:row>308</xdr:row>
                    <xdr:rowOff>9525</xdr:rowOff>
                  </to>
                </anchor>
              </controlPr>
            </control>
          </mc:Choice>
        </mc:AlternateContent>
        <mc:AlternateContent xmlns:mc="http://schemas.openxmlformats.org/markup-compatibility/2006">
          <mc:Choice Requires="x14">
            <control shapeId="131405" r:id="rId44" name="Check Box 12621">
              <controlPr locked="0" defaultSize="0" autoFill="0" autoLine="0" autoPict="0">
                <anchor moveWithCells="1">
                  <from>
                    <xdr:col>12</xdr:col>
                    <xdr:colOff>104775</xdr:colOff>
                    <xdr:row>67</xdr:row>
                    <xdr:rowOff>0</xdr:rowOff>
                  </from>
                  <to>
                    <xdr:col>12</xdr:col>
                    <xdr:colOff>342900</xdr:colOff>
                    <xdr:row>67</xdr:row>
                    <xdr:rowOff>200025</xdr:rowOff>
                  </to>
                </anchor>
              </controlPr>
            </control>
          </mc:Choice>
        </mc:AlternateContent>
        <mc:AlternateContent xmlns:mc="http://schemas.openxmlformats.org/markup-compatibility/2006">
          <mc:Choice Requires="x14">
            <control shapeId="131702" r:id="rId45" name="Check Box 12918">
              <controlPr locked="0" defaultSize="0" autoFill="0" autoLine="0" autoPict="0">
                <anchor moveWithCells="1">
                  <from>
                    <xdr:col>12</xdr:col>
                    <xdr:colOff>104775</xdr:colOff>
                    <xdr:row>70</xdr:row>
                    <xdr:rowOff>9525</xdr:rowOff>
                  </from>
                  <to>
                    <xdr:col>12</xdr:col>
                    <xdr:colOff>342900</xdr:colOff>
                    <xdr:row>70</xdr:row>
                    <xdr:rowOff>209550</xdr:rowOff>
                  </to>
                </anchor>
              </controlPr>
            </control>
          </mc:Choice>
        </mc:AlternateContent>
        <mc:AlternateContent xmlns:mc="http://schemas.openxmlformats.org/markup-compatibility/2006">
          <mc:Choice Requires="x14">
            <control shapeId="131703" r:id="rId46" name="Check Box 12919">
              <controlPr locked="0" defaultSize="0" autoFill="0" autoLine="0" autoPict="0">
                <anchor moveWithCells="1">
                  <from>
                    <xdr:col>12</xdr:col>
                    <xdr:colOff>104775</xdr:colOff>
                    <xdr:row>73</xdr:row>
                    <xdr:rowOff>0</xdr:rowOff>
                  </from>
                  <to>
                    <xdr:col>12</xdr:col>
                    <xdr:colOff>342900</xdr:colOff>
                    <xdr:row>73</xdr:row>
                    <xdr:rowOff>200025</xdr:rowOff>
                  </to>
                </anchor>
              </controlPr>
            </control>
          </mc:Choice>
        </mc:AlternateContent>
        <mc:AlternateContent xmlns:mc="http://schemas.openxmlformats.org/markup-compatibility/2006">
          <mc:Choice Requires="x14">
            <control shapeId="131705" r:id="rId47" name="Check Box 12921">
              <controlPr locked="0" defaultSize="0" autoFill="0" autoLine="0" autoPict="0">
                <anchor moveWithCells="1">
                  <from>
                    <xdr:col>12</xdr:col>
                    <xdr:colOff>114300</xdr:colOff>
                    <xdr:row>71</xdr:row>
                    <xdr:rowOff>0</xdr:rowOff>
                  </from>
                  <to>
                    <xdr:col>12</xdr:col>
                    <xdr:colOff>352425</xdr:colOff>
                    <xdr:row>71</xdr:row>
                    <xdr:rowOff>200025</xdr:rowOff>
                  </to>
                </anchor>
              </controlPr>
            </control>
          </mc:Choice>
        </mc:AlternateContent>
        <mc:AlternateContent xmlns:mc="http://schemas.openxmlformats.org/markup-compatibility/2006">
          <mc:Choice Requires="x14">
            <control shapeId="131706" r:id="rId48" name="Check Box 12922">
              <controlPr locked="0" defaultSize="0" autoFill="0" autoLine="0" autoPict="0">
                <anchor moveWithCells="1">
                  <from>
                    <xdr:col>12</xdr:col>
                    <xdr:colOff>104775</xdr:colOff>
                    <xdr:row>72</xdr:row>
                    <xdr:rowOff>0</xdr:rowOff>
                  </from>
                  <to>
                    <xdr:col>12</xdr:col>
                    <xdr:colOff>342900</xdr:colOff>
                    <xdr:row>72</xdr:row>
                    <xdr:rowOff>200025</xdr:rowOff>
                  </to>
                </anchor>
              </controlPr>
            </control>
          </mc:Choice>
        </mc:AlternateContent>
        <mc:AlternateContent xmlns:mc="http://schemas.openxmlformats.org/markup-compatibility/2006">
          <mc:Choice Requires="x14">
            <control shapeId="131707" r:id="rId49" name="Check Box 12923">
              <controlPr locked="0" defaultSize="0" autoFill="0" autoLine="0" autoPict="0">
                <anchor moveWithCells="1">
                  <from>
                    <xdr:col>12</xdr:col>
                    <xdr:colOff>114300</xdr:colOff>
                    <xdr:row>74</xdr:row>
                    <xdr:rowOff>0</xdr:rowOff>
                  </from>
                  <to>
                    <xdr:col>12</xdr:col>
                    <xdr:colOff>352425</xdr:colOff>
                    <xdr:row>74</xdr:row>
                    <xdr:rowOff>200025</xdr:rowOff>
                  </to>
                </anchor>
              </controlPr>
            </control>
          </mc:Choice>
        </mc:AlternateContent>
        <mc:AlternateContent xmlns:mc="http://schemas.openxmlformats.org/markup-compatibility/2006">
          <mc:Choice Requires="x14">
            <control shapeId="131708" r:id="rId50" name="Check Box 12924">
              <controlPr locked="0" defaultSize="0" autoFill="0" autoLine="0" autoPict="0">
                <anchor moveWithCells="1">
                  <from>
                    <xdr:col>12</xdr:col>
                    <xdr:colOff>114300</xdr:colOff>
                    <xdr:row>75</xdr:row>
                    <xdr:rowOff>0</xdr:rowOff>
                  </from>
                  <to>
                    <xdr:col>12</xdr:col>
                    <xdr:colOff>352425</xdr:colOff>
                    <xdr:row>75</xdr:row>
                    <xdr:rowOff>200025</xdr:rowOff>
                  </to>
                </anchor>
              </controlPr>
            </control>
          </mc:Choice>
        </mc:AlternateContent>
        <mc:AlternateContent xmlns:mc="http://schemas.openxmlformats.org/markup-compatibility/2006">
          <mc:Choice Requires="x14">
            <control shapeId="131709" r:id="rId51" name="Check Box 12925">
              <controlPr locked="0" defaultSize="0" autoFill="0" autoLine="0" autoPict="0">
                <anchor moveWithCells="1">
                  <from>
                    <xdr:col>12</xdr:col>
                    <xdr:colOff>114300</xdr:colOff>
                    <xdr:row>78</xdr:row>
                    <xdr:rowOff>0</xdr:rowOff>
                  </from>
                  <to>
                    <xdr:col>12</xdr:col>
                    <xdr:colOff>352425</xdr:colOff>
                    <xdr:row>78</xdr:row>
                    <xdr:rowOff>200025</xdr:rowOff>
                  </to>
                </anchor>
              </controlPr>
            </control>
          </mc:Choice>
        </mc:AlternateContent>
        <mc:AlternateContent xmlns:mc="http://schemas.openxmlformats.org/markup-compatibility/2006">
          <mc:Choice Requires="x14">
            <control shapeId="131710" r:id="rId52" name="Check Box 12926">
              <controlPr locked="0" defaultSize="0" autoFill="0" autoLine="0" autoPict="0">
                <anchor moveWithCells="1">
                  <from>
                    <xdr:col>12</xdr:col>
                    <xdr:colOff>114300</xdr:colOff>
                    <xdr:row>79</xdr:row>
                    <xdr:rowOff>0</xdr:rowOff>
                  </from>
                  <to>
                    <xdr:col>12</xdr:col>
                    <xdr:colOff>352425</xdr:colOff>
                    <xdr:row>79</xdr:row>
                    <xdr:rowOff>200025</xdr:rowOff>
                  </to>
                </anchor>
              </controlPr>
            </control>
          </mc:Choice>
        </mc:AlternateContent>
        <mc:AlternateContent xmlns:mc="http://schemas.openxmlformats.org/markup-compatibility/2006">
          <mc:Choice Requires="x14">
            <control shapeId="131711" r:id="rId53" name="Check Box 12927">
              <controlPr locked="0" defaultSize="0" autoFill="0" autoLine="0" autoPict="0">
                <anchor moveWithCells="1">
                  <from>
                    <xdr:col>12</xdr:col>
                    <xdr:colOff>114300</xdr:colOff>
                    <xdr:row>80</xdr:row>
                    <xdr:rowOff>0</xdr:rowOff>
                  </from>
                  <to>
                    <xdr:col>12</xdr:col>
                    <xdr:colOff>352425</xdr:colOff>
                    <xdr:row>80</xdr:row>
                    <xdr:rowOff>200025</xdr:rowOff>
                  </to>
                </anchor>
              </controlPr>
            </control>
          </mc:Choice>
        </mc:AlternateContent>
        <mc:AlternateContent xmlns:mc="http://schemas.openxmlformats.org/markup-compatibility/2006">
          <mc:Choice Requires="x14">
            <control shapeId="131712" r:id="rId54" name="Check Box 12928">
              <controlPr locked="0" defaultSize="0" autoFill="0" autoLine="0" autoPict="0">
                <anchor moveWithCells="1">
                  <from>
                    <xdr:col>12</xdr:col>
                    <xdr:colOff>114300</xdr:colOff>
                    <xdr:row>82</xdr:row>
                    <xdr:rowOff>0</xdr:rowOff>
                  </from>
                  <to>
                    <xdr:col>12</xdr:col>
                    <xdr:colOff>352425</xdr:colOff>
                    <xdr:row>82</xdr:row>
                    <xdr:rowOff>200025</xdr:rowOff>
                  </to>
                </anchor>
              </controlPr>
            </control>
          </mc:Choice>
        </mc:AlternateContent>
        <mc:AlternateContent xmlns:mc="http://schemas.openxmlformats.org/markup-compatibility/2006">
          <mc:Choice Requires="x14">
            <control shapeId="131713" r:id="rId55" name="Check Box 12929">
              <controlPr locked="0" defaultSize="0" autoFill="0" autoLine="0" autoPict="0">
                <anchor moveWithCells="1">
                  <from>
                    <xdr:col>12</xdr:col>
                    <xdr:colOff>114300</xdr:colOff>
                    <xdr:row>85</xdr:row>
                    <xdr:rowOff>0</xdr:rowOff>
                  </from>
                  <to>
                    <xdr:col>12</xdr:col>
                    <xdr:colOff>352425</xdr:colOff>
                    <xdr:row>85</xdr:row>
                    <xdr:rowOff>200025</xdr:rowOff>
                  </to>
                </anchor>
              </controlPr>
            </control>
          </mc:Choice>
        </mc:AlternateContent>
        <mc:AlternateContent xmlns:mc="http://schemas.openxmlformats.org/markup-compatibility/2006">
          <mc:Choice Requires="x14">
            <control shapeId="131714" r:id="rId56" name="Check Box 12930">
              <controlPr locked="0" defaultSize="0" autoFill="0" autoLine="0" autoPict="0">
                <anchor moveWithCells="1">
                  <from>
                    <xdr:col>12</xdr:col>
                    <xdr:colOff>114300</xdr:colOff>
                    <xdr:row>86</xdr:row>
                    <xdr:rowOff>0</xdr:rowOff>
                  </from>
                  <to>
                    <xdr:col>12</xdr:col>
                    <xdr:colOff>352425</xdr:colOff>
                    <xdr:row>86</xdr:row>
                    <xdr:rowOff>200025</xdr:rowOff>
                  </to>
                </anchor>
              </controlPr>
            </control>
          </mc:Choice>
        </mc:AlternateContent>
        <mc:AlternateContent xmlns:mc="http://schemas.openxmlformats.org/markup-compatibility/2006">
          <mc:Choice Requires="x14">
            <control shapeId="131848" r:id="rId57" name="Check Box 13064">
              <controlPr locked="0" defaultSize="0" autoFill="0" autoLine="0" autoPict="0">
                <anchor moveWithCells="1">
                  <from>
                    <xdr:col>12</xdr:col>
                    <xdr:colOff>104775</xdr:colOff>
                    <xdr:row>68</xdr:row>
                    <xdr:rowOff>0</xdr:rowOff>
                  </from>
                  <to>
                    <xdr:col>12</xdr:col>
                    <xdr:colOff>342900</xdr:colOff>
                    <xdr:row>68</xdr:row>
                    <xdr:rowOff>200025</xdr:rowOff>
                  </to>
                </anchor>
              </controlPr>
            </control>
          </mc:Choice>
        </mc:AlternateContent>
        <mc:AlternateContent xmlns:mc="http://schemas.openxmlformats.org/markup-compatibility/2006">
          <mc:Choice Requires="x14">
            <control shapeId="131849" r:id="rId58" name="Check Box 13065">
              <controlPr locked="0" defaultSize="0" autoFill="0" autoLine="0" autoPict="0">
                <anchor moveWithCells="1">
                  <from>
                    <xdr:col>12</xdr:col>
                    <xdr:colOff>104775</xdr:colOff>
                    <xdr:row>69</xdr:row>
                    <xdr:rowOff>0</xdr:rowOff>
                  </from>
                  <to>
                    <xdr:col>12</xdr:col>
                    <xdr:colOff>342900</xdr:colOff>
                    <xdr:row>69</xdr:row>
                    <xdr:rowOff>200025</xdr:rowOff>
                  </to>
                </anchor>
              </controlPr>
            </control>
          </mc:Choice>
        </mc:AlternateContent>
        <mc:AlternateContent xmlns:mc="http://schemas.openxmlformats.org/markup-compatibility/2006">
          <mc:Choice Requires="x14">
            <control shapeId="136820" r:id="rId59" name="Drop Down 14964">
              <controlPr defaultSize="0" autoLine="0" autoPict="0">
                <anchor moveWithCells="1">
                  <from>
                    <xdr:col>11</xdr:col>
                    <xdr:colOff>9525</xdr:colOff>
                    <xdr:row>163</xdr:row>
                    <xdr:rowOff>9525</xdr:rowOff>
                  </from>
                  <to>
                    <xdr:col>12</xdr:col>
                    <xdr:colOff>428625</xdr:colOff>
                    <xdr:row>164</xdr:row>
                    <xdr:rowOff>0</xdr:rowOff>
                  </to>
                </anchor>
              </controlPr>
            </control>
          </mc:Choice>
        </mc:AlternateContent>
        <mc:AlternateContent xmlns:mc="http://schemas.openxmlformats.org/markup-compatibility/2006">
          <mc:Choice Requires="x14">
            <control shapeId="139226" r:id="rId60" name="Check Box 16346">
              <controlPr locked="0" defaultSize="0" autoFill="0" autoLine="0" autoPict="0">
                <anchor moveWithCells="1">
                  <from>
                    <xdr:col>4</xdr:col>
                    <xdr:colOff>142875</xdr:colOff>
                    <xdr:row>308</xdr:row>
                    <xdr:rowOff>9525</xdr:rowOff>
                  </from>
                  <to>
                    <xdr:col>4</xdr:col>
                    <xdr:colOff>381000</xdr:colOff>
                    <xdr:row>309</xdr:row>
                    <xdr:rowOff>0</xdr:rowOff>
                  </to>
                </anchor>
              </controlPr>
            </control>
          </mc:Choice>
        </mc:AlternateContent>
        <mc:AlternateContent xmlns:mc="http://schemas.openxmlformats.org/markup-compatibility/2006">
          <mc:Choice Requires="x14">
            <control shapeId="139227" r:id="rId61" name="Check Box 16347">
              <controlPr defaultSize="0" autoFill="0" autoLine="0" autoPict="0">
                <anchor moveWithCells="1">
                  <from>
                    <xdr:col>4</xdr:col>
                    <xdr:colOff>142875</xdr:colOff>
                    <xdr:row>309</xdr:row>
                    <xdr:rowOff>9525</xdr:rowOff>
                  </from>
                  <to>
                    <xdr:col>4</xdr:col>
                    <xdr:colOff>381000</xdr:colOff>
                    <xdr:row>310</xdr:row>
                    <xdr:rowOff>0</xdr:rowOff>
                  </to>
                </anchor>
              </controlPr>
            </control>
          </mc:Choice>
        </mc:AlternateContent>
        <mc:AlternateContent xmlns:mc="http://schemas.openxmlformats.org/markup-compatibility/2006">
          <mc:Choice Requires="x14">
            <control shapeId="150357" r:id="rId62" name="Drop Down 21333">
              <controlPr defaultSize="0" autoLine="0" autoPict="0">
                <anchor moveWithCells="1">
                  <from>
                    <xdr:col>0</xdr:col>
                    <xdr:colOff>9525</xdr:colOff>
                    <xdr:row>113</xdr:row>
                    <xdr:rowOff>9525</xdr:rowOff>
                  </from>
                  <to>
                    <xdr:col>2</xdr:col>
                    <xdr:colOff>352425</xdr:colOff>
                    <xdr:row>114</xdr:row>
                    <xdr:rowOff>0</xdr:rowOff>
                  </to>
                </anchor>
              </controlPr>
            </control>
          </mc:Choice>
        </mc:AlternateContent>
        <mc:AlternateContent xmlns:mc="http://schemas.openxmlformats.org/markup-compatibility/2006">
          <mc:Choice Requires="x14">
            <control shapeId="150359" r:id="rId63" name="Drop Down 21335">
              <controlPr defaultSize="0" autoLine="0" autoPict="0">
                <anchor moveWithCells="1">
                  <from>
                    <xdr:col>0</xdr:col>
                    <xdr:colOff>9525</xdr:colOff>
                    <xdr:row>114</xdr:row>
                    <xdr:rowOff>9525</xdr:rowOff>
                  </from>
                  <to>
                    <xdr:col>2</xdr:col>
                    <xdr:colOff>352425</xdr:colOff>
                    <xdr:row>115</xdr:row>
                    <xdr:rowOff>0</xdr:rowOff>
                  </to>
                </anchor>
              </controlPr>
            </control>
          </mc:Choice>
        </mc:AlternateContent>
        <mc:AlternateContent xmlns:mc="http://schemas.openxmlformats.org/markup-compatibility/2006">
          <mc:Choice Requires="x14">
            <control shapeId="153375" r:id="rId64" name="Drop Down 22303">
              <controlPr defaultSize="0" autoLine="0" autoPict="0">
                <anchor moveWithCells="1">
                  <from>
                    <xdr:col>11</xdr:col>
                    <xdr:colOff>9525</xdr:colOff>
                    <xdr:row>164</xdr:row>
                    <xdr:rowOff>0</xdr:rowOff>
                  </from>
                  <to>
                    <xdr:col>12</xdr:col>
                    <xdr:colOff>428625</xdr:colOff>
                    <xdr:row>164</xdr:row>
                    <xdr:rowOff>228600</xdr:rowOff>
                  </to>
                </anchor>
              </controlPr>
            </control>
          </mc:Choice>
        </mc:AlternateContent>
        <mc:AlternateContent xmlns:mc="http://schemas.openxmlformats.org/markup-compatibility/2006">
          <mc:Choice Requires="x14">
            <control shapeId="153376" r:id="rId65" name="Drop Down 22304">
              <controlPr defaultSize="0" autoLine="0" autoPict="0">
                <anchor moveWithCells="1">
                  <from>
                    <xdr:col>11</xdr:col>
                    <xdr:colOff>9525</xdr:colOff>
                    <xdr:row>165</xdr:row>
                    <xdr:rowOff>0</xdr:rowOff>
                  </from>
                  <to>
                    <xdr:col>12</xdr:col>
                    <xdr:colOff>428625</xdr:colOff>
                    <xdr:row>165</xdr:row>
                    <xdr:rowOff>228600</xdr:rowOff>
                  </to>
                </anchor>
              </controlPr>
            </control>
          </mc:Choice>
        </mc:AlternateContent>
        <mc:AlternateContent xmlns:mc="http://schemas.openxmlformats.org/markup-compatibility/2006">
          <mc:Choice Requires="x14">
            <control shapeId="153378" r:id="rId66" name="Drop Down 22306">
              <controlPr defaultSize="0" autoLine="0" autoPict="0">
                <anchor moveWithCells="1">
                  <from>
                    <xdr:col>11</xdr:col>
                    <xdr:colOff>9525</xdr:colOff>
                    <xdr:row>166</xdr:row>
                    <xdr:rowOff>0</xdr:rowOff>
                  </from>
                  <to>
                    <xdr:col>12</xdr:col>
                    <xdr:colOff>428625</xdr:colOff>
                    <xdr:row>166</xdr:row>
                    <xdr:rowOff>228600</xdr:rowOff>
                  </to>
                </anchor>
              </controlPr>
            </control>
          </mc:Choice>
        </mc:AlternateContent>
        <mc:AlternateContent xmlns:mc="http://schemas.openxmlformats.org/markup-compatibility/2006">
          <mc:Choice Requires="x14">
            <control shapeId="153379" r:id="rId67" name="Drop Down 22307">
              <controlPr defaultSize="0" autoLine="0" autoPict="0">
                <anchor moveWithCells="1">
                  <from>
                    <xdr:col>11</xdr:col>
                    <xdr:colOff>9525</xdr:colOff>
                    <xdr:row>167</xdr:row>
                    <xdr:rowOff>0</xdr:rowOff>
                  </from>
                  <to>
                    <xdr:col>12</xdr:col>
                    <xdr:colOff>428625</xdr:colOff>
                    <xdr:row>167</xdr:row>
                    <xdr:rowOff>228600</xdr:rowOff>
                  </to>
                </anchor>
              </controlPr>
            </control>
          </mc:Choice>
        </mc:AlternateContent>
        <mc:AlternateContent xmlns:mc="http://schemas.openxmlformats.org/markup-compatibility/2006">
          <mc:Choice Requires="x14">
            <control shapeId="154668" r:id="rId68" name="Drop Down 22572">
              <controlPr defaultSize="0" autoLine="0" autoPict="0">
                <anchor moveWithCells="1">
                  <from>
                    <xdr:col>0</xdr:col>
                    <xdr:colOff>0</xdr:colOff>
                    <xdr:row>278</xdr:row>
                    <xdr:rowOff>0</xdr:rowOff>
                  </from>
                  <to>
                    <xdr:col>0</xdr:col>
                    <xdr:colOff>962025</xdr:colOff>
                    <xdr:row>279</xdr:row>
                    <xdr:rowOff>0</xdr:rowOff>
                  </to>
                </anchor>
              </controlPr>
            </control>
          </mc:Choice>
        </mc:AlternateContent>
        <mc:AlternateContent xmlns:mc="http://schemas.openxmlformats.org/markup-compatibility/2006">
          <mc:Choice Requires="x14">
            <control shapeId="154669" r:id="rId69" name="Drop Down 22573">
              <controlPr defaultSize="0" autoLine="0" autoPict="0">
                <anchor moveWithCells="1">
                  <from>
                    <xdr:col>0</xdr:col>
                    <xdr:colOff>0</xdr:colOff>
                    <xdr:row>279</xdr:row>
                    <xdr:rowOff>0</xdr:rowOff>
                  </from>
                  <to>
                    <xdr:col>0</xdr:col>
                    <xdr:colOff>962025</xdr:colOff>
                    <xdr:row>280</xdr:row>
                    <xdr:rowOff>0</xdr:rowOff>
                  </to>
                </anchor>
              </controlPr>
            </control>
          </mc:Choice>
        </mc:AlternateContent>
        <mc:AlternateContent xmlns:mc="http://schemas.openxmlformats.org/markup-compatibility/2006">
          <mc:Choice Requires="x14">
            <control shapeId="154760" r:id="rId70" name="Check Box 22664">
              <controlPr locked="0" defaultSize="0" autoFill="0" autoLine="0" autoPict="0">
                <anchor moveWithCells="1">
                  <from>
                    <xdr:col>2</xdr:col>
                    <xdr:colOff>57150</xdr:colOff>
                    <xdr:row>256</xdr:row>
                    <xdr:rowOff>9525</xdr:rowOff>
                  </from>
                  <to>
                    <xdr:col>2</xdr:col>
                    <xdr:colOff>295275</xdr:colOff>
                    <xdr:row>256</xdr:row>
                    <xdr:rowOff>209550</xdr:rowOff>
                  </to>
                </anchor>
              </controlPr>
            </control>
          </mc:Choice>
        </mc:AlternateContent>
        <mc:AlternateContent xmlns:mc="http://schemas.openxmlformats.org/markup-compatibility/2006">
          <mc:Choice Requires="x14">
            <control shapeId="154806" r:id="rId71" name="Check Box 22710">
              <controlPr locked="0" defaultSize="0" autoFill="0" autoLine="0" autoPict="0">
                <anchor moveWithCells="1">
                  <from>
                    <xdr:col>2</xdr:col>
                    <xdr:colOff>57150</xdr:colOff>
                    <xdr:row>257</xdr:row>
                    <xdr:rowOff>9525</xdr:rowOff>
                  </from>
                  <to>
                    <xdr:col>2</xdr:col>
                    <xdr:colOff>295275</xdr:colOff>
                    <xdr:row>257</xdr:row>
                    <xdr:rowOff>209550</xdr:rowOff>
                  </to>
                </anchor>
              </controlPr>
            </control>
          </mc:Choice>
        </mc:AlternateContent>
        <mc:AlternateContent xmlns:mc="http://schemas.openxmlformats.org/markup-compatibility/2006">
          <mc:Choice Requires="x14">
            <control shapeId="154807" r:id="rId72" name="Check Box 22711">
              <controlPr locked="0" defaultSize="0" autoFill="0" autoLine="0" autoPict="0">
                <anchor moveWithCells="1">
                  <from>
                    <xdr:col>2</xdr:col>
                    <xdr:colOff>57150</xdr:colOff>
                    <xdr:row>258</xdr:row>
                    <xdr:rowOff>9525</xdr:rowOff>
                  </from>
                  <to>
                    <xdr:col>2</xdr:col>
                    <xdr:colOff>295275</xdr:colOff>
                    <xdr:row>258</xdr:row>
                    <xdr:rowOff>209550</xdr:rowOff>
                  </to>
                </anchor>
              </controlPr>
            </control>
          </mc:Choice>
        </mc:AlternateContent>
        <mc:AlternateContent xmlns:mc="http://schemas.openxmlformats.org/markup-compatibility/2006">
          <mc:Choice Requires="x14">
            <control shapeId="154808" r:id="rId73" name="Check Box 22712">
              <controlPr locked="0" defaultSize="0" autoFill="0" autoLine="0" autoPict="0">
                <anchor moveWithCells="1">
                  <from>
                    <xdr:col>2</xdr:col>
                    <xdr:colOff>57150</xdr:colOff>
                    <xdr:row>259</xdr:row>
                    <xdr:rowOff>9525</xdr:rowOff>
                  </from>
                  <to>
                    <xdr:col>2</xdr:col>
                    <xdr:colOff>295275</xdr:colOff>
                    <xdr:row>259</xdr:row>
                    <xdr:rowOff>209550</xdr:rowOff>
                  </to>
                </anchor>
              </controlPr>
            </control>
          </mc:Choice>
        </mc:AlternateContent>
        <mc:AlternateContent xmlns:mc="http://schemas.openxmlformats.org/markup-compatibility/2006">
          <mc:Choice Requires="x14">
            <control shapeId="154809" r:id="rId74" name="Check Box 22713">
              <controlPr locked="0" defaultSize="0" autoFill="0" autoLine="0" autoPict="0">
                <anchor moveWithCells="1">
                  <from>
                    <xdr:col>2</xdr:col>
                    <xdr:colOff>57150</xdr:colOff>
                    <xdr:row>260</xdr:row>
                    <xdr:rowOff>9525</xdr:rowOff>
                  </from>
                  <to>
                    <xdr:col>2</xdr:col>
                    <xdr:colOff>295275</xdr:colOff>
                    <xdr:row>260</xdr:row>
                    <xdr:rowOff>209550</xdr:rowOff>
                  </to>
                </anchor>
              </controlPr>
            </control>
          </mc:Choice>
        </mc:AlternateContent>
        <mc:AlternateContent xmlns:mc="http://schemas.openxmlformats.org/markup-compatibility/2006">
          <mc:Choice Requires="x14">
            <control shapeId="154810" r:id="rId75" name="Check Box 22714">
              <controlPr locked="0" defaultSize="0" autoFill="0" autoLine="0" autoPict="0">
                <anchor moveWithCells="1">
                  <from>
                    <xdr:col>2</xdr:col>
                    <xdr:colOff>57150</xdr:colOff>
                    <xdr:row>261</xdr:row>
                    <xdr:rowOff>9525</xdr:rowOff>
                  </from>
                  <to>
                    <xdr:col>2</xdr:col>
                    <xdr:colOff>295275</xdr:colOff>
                    <xdr:row>261</xdr:row>
                    <xdr:rowOff>209550</xdr:rowOff>
                  </to>
                </anchor>
              </controlPr>
            </control>
          </mc:Choice>
        </mc:AlternateContent>
        <mc:AlternateContent xmlns:mc="http://schemas.openxmlformats.org/markup-compatibility/2006">
          <mc:Choice Requires="x14">
            <control shapeId="154811" r:id="rId76" name="Check Box 22715">
              <controlPr locked="0" defaultSize="0" autoFill="0" autoLine="0" autoPict="0">
                <anchor moveWithCells="1">
                  <from>
                    <xdr:col>2</xdr:col>
                    <xdr:colOff>57150</xdr:colOff>
                    <xdr:row>262</xdr:row>
                    <xdr:rowOff>9525</xdr:rowOff>
                  </from>
                  <to>
                    <xdr:col>2</xdr:col>
                    <xdr:colOff>295275</xdr:colOff>
                    <xdr:row>262</xdr:row>
                    <xdr:rowOff>209550</xdr:rowOff>
                  </to>
                </anchor>
              </controlPr>
            </control>
          </mc:Choice>
        </mc:AlternateContent>
        <mc:AlternateContent xmlns:mc="http://schemas.openxmlformats.org/markup-compatibility/2006">
          <mc:Choice Requires="x14">
            <control shapeId="154812" r:id="rId77" name="Check Box 22716">
              <controlPr locked="0" defaultSize="0" autoFill="0" autoLine="0" autoPict="0">
                <anchor moveWithCells="1">
                  <from>
                    <xdr:col>2</xdr:col>
                    <xdr:colOff>57150</xdr:colOff>
                    <xdr:row>265</xdr:row>
                    <xdr:rowOff>9525</xdr:rowOff>
                  </from>
                  <to>
                    <xdr:col>2</xdr:col>
                    <xdr:colOff>295275</xdr:colOff>
                    <xdr:row>265</xdr:row>
                    <xdr:rowOff>209550</xdr:rowOff>
                  </to>
                </anchor>
              </controlPr>
            </control>
          </mc:Choice>
        </mc:AlternateContent>
        <mc:AlternateContent xmlns:mc="http://schemas.openxmlformats.org/markup-compatibility/2006">
          <mc:Choice Requires="x14">
            <control shapeId="154813" r:id="rId78" name="Check Box 22717">
              <controlPr locked="0" defaultSize="0" autoFill="0" autoLine="0" autoPict="0">
                <anchor moveWithCells="1">
                  <from>
                    <xdr:col>2</xdr:col>
                    <xdr:colOff>57150</xdr:colOff>
                    <xdr:row>266</xdr:row>
                    <xdr:rowOff>9525</xdr:rowOff>
                  </from>
                  <to>
                    <xdr:col>2</xdr:col>
                    <xdr:colOff>295275</xdr:colOff>
                    <xdr:row>266</xdr:row>
                    <xdr:rowOff>209550</xdr:rowOff>
                  </to>
                </anchor>
              </controlPr>
            </control>
          </mc:Choice>
        </mc:AlternateContent>
        <mc:AlternateContent xmlns:mc="http://schemas.openxmlformats.org/markup-compatibility/2006">
          <mc:Choice Requires="x14">
            <control shapeId="154814" r:id="rId79" name="Check Box 22718">
              <controlPr locked="0" defaultSize="0" autoFill="0" autoLine="0" autoPict="0">
                <anchor moveWithCells="1">
                  <from>
                    <xdr:col>2</xdr:col>
                    <xdr:colOff>57150</xdr:colOff>
                    <xdr:row>267</xdr:row>
                    <xdr:rowOff>9525</xdr:rowOff>
                  </from>
                  <to>
                    <xdr:col>2</xdr:col>
                    <xdr:colOff>295275</xdr:colOff>
                    <xdr:row>267</xdr:row>
                    <xdr:rowOff>209550</xdr:rowOff>
                  </to>
                </anchor>
              </controlPr>
            </control>
          </mc:Choice>
        </mc:AlternateContent>
        <mc:AlternateContent xmlns:mc="http://schemas.openxmlformats.org/markup-compatibility/2006">
          <mc:Choice Requires="x14">
            <control shapeId="154815" r:id="rId80" name="Check Box 22719">
              <controlPr locked="0" defaultSize="0" autoFill="0" autoLine="0" autoPict="0">
                <anchor moveWithCells="1">
                  <from>
                    <xdr:col>2</xdr:col>
                    <xdr:colOff>57150</xdr:colOff>
                    <xdr:row>268</xdr:row>
                    <xdr:rowOff>9525</xdr:rowOff>
                  </from>
                  <to>
                    <xdr:col>2</xdr:col>
                    <xdr:colOff>295275</xdr:colOff>
                    <xdr:row>268</xdr:row>
                    <xdr:rowOff>209550</xdr:rowOff>
                  </to>
                </anchor>
              </controlPr>
            </control>
          </mc:Choice>
        </mc:AlternateContent>
        <mc:AlternateContent xmlns:mc="http://schemas.openxmlformats.org/markup-compatibility/2006">
          <mc:Choice Requires="x14">
            <control shapeId="157041" r:id="rId81" name="Drop Down 23921">
              <controlPr defaultSize="0" autoLine="0" autoPict="0">
                <anchor moveWithCells="1">
                  <from>
                    <xdr:col>6</xdr:col>
                    <xdr:colOff>19050</xdr:colOff>
                    <xdr:row>83</xdr:row>
                    <xdr:rowOff>28575</xdr:rowOff>
                  </from>
                  <to>
                    <xdr:col>6</xdr:col>
                    <xdr:colOff>495300</xdr:colOff>
                    <xdr:row>83</xdr:row>
                    <xdr:rowOff>209550</xdr:rowOff>
                  </to>
                </anchor>
              </controlPr>
            </control>
          </mc:Choice>
        </mc:AlternateContent>
        <mc:AlternateContent xmlns:mc="http://schemas.openxmlformats.org/markup-compatibility/2006">
          <mc:Choice Requires="x14">
            <control shapeId="157042" r:id="rId82" name="Check Box 23922">
              <controlPr defaultSize="0" autoFill="0" autoLine="0" autoPict="0">
                <anchor moveWithCells="1">
                  <from>
                    <xdr:col>12</xdr:col>
                    <xdr:colOff>114300</xdr:colOff>
                    <xdr:row>83</xdr:row>
                    <xdr:rowOff>0</xdr:rowOff>
                  </from>
                  <to>
                    <xdr:col>12</xdr:col>
                    <xdr:colOff>352425</xdr:colOff>
                    <xdr:row>83</xdr:row>
                    <xdr:rowOff>200025</xdr:rowOff>
                  </to>
                </anchor>
              </controlPr>
            </control>
          </mc:Choice>
        </mc:AlternateContent>
        <mc:AlternateContent xmlns:mc="http://schemas.openxmlformats.org/markup-compatibility/2006">
          <mc:Choice Requires="x14">
            <control shapeId="157043" r:id="rId83" name="Drop Down 23923">
              <controlPr defaultSize="0" autoLine="0" autoPict="0">
                <anchor moveWithCells="1">
                  <from>
                    <xdr:col>6</xdr:col>
                    <xdr:colOff>19050</xdr:colOff>
                    <xdr:row>84</xdr:row>
                    <xdr:rowOff>0</xdr:rowOff>
                  </from>
                  <to>
                    <xdr:col>6</xdr:col>
                    <xdr:colOff>495300</xdr:colOff>
                    <xdr:row>84</xdr:row>
                    <xdr:rowOff>209550</xdr:rowOff>
                  </to>
                </anchor>
              </controlPr>
            </control>
          </mc:Choice>
        </mc:AlternateContent>
        <mc:AlternateContent xmlns:mc="http://schemas.openxmlformats.org/markup-compatibility/2006">
          <mc:Choice Requires="x14">
            <control shapeId="157044" r:id="rId84" name="Check Box 23924">
              <controlPr locked="0" defaultSize="0" autoFill="0" autoLine="0" autoPict="0">
                <anchor moveWithCells="1">
                  <from>
                    <xdr:col>12</xdr:col>
                    <xdr:colOff>114300</xdr:colOff>
                    <xdr:row>84</xdr:row>
                    <xdr:rowOff>0</xdr:rowOff>
                  </from>
                  <to>
                    <xdr:col>12</xdr:col>
                    <xdr:colOff>352425</xdr:colOff>
                    <xdr:row>84</xdr:row>
                    <xdr:rowOff>200025</xdr:rowOff>
                  </to>
                </anchor>
              </controlPr>
            </control>
          </mc:Choice>
        </mc:AlternateContent>
        <mc:AlternateContent xmlns:mc="http://schemas.openxmlformats.org/markup-compatibility/2006">
          <mc:Choice Requires="x14">
            <control shapeId="157045" r:id="rId85" name="Drop Down 23925">
              <controlPr defaultSize="0" autoLine="0" autoPict="0">
                <anchor moveWithCells="1">
                  <from>
                    <xdr:col>0</xdr:col>
                    <xdr:colOff>9525</xdr:colOff>
                    <xdr:row>75</xdr:row>
                    <xdr:rowOff>228600</xdr:rowOff>
                  </from>
                  <to>
                    <xdr:col>3</xdr:col>
                    <xdr:colOff>485775</xdr:colOff>
                    <xdr:row>76</xdr:row>
                    <xdr:rowOff>219075</xdr:rowOff>
                  </to>
                </anchor>
              </controlPr>
            </control>
          </mc:Choice>
        </mc:AlternateContent>
        <mc:AlternateContent xmlns:mc="http://schemas.openxmlformats.org/markup-compatibility/2006">
          <mc:Choice Requires="x14">
            <control shapeId="157046" r:id="rId86" name="Drop Down 23926">
              <controlPr defaultSize="0" autoLine="0" autoPict="0">
                <anchor moveWithCells="1">
                  <from>
                    <xdr:col>6</xdr:col>
                    <xdr:colOff>9525</xdr:colOff>
                    <xdr:row>76</xdr:row>
                    <xdr:rowOff>28575</xdr:rowOff>
                  </from>
                  <to>
                    <xdr:col>6</xdr:col>
                    <xdr:colOff>485775</xdr:colOff>
                    <xdr:row>77</xdr:row>
                    <xdr:rowOff>9525</xdr:rowOff>
                  </to>
                </anchor>
              </controlPr>
            </control>
          </mc:Choice>
        </mc:AlternateContent>
        <mc:AlternateContent xmlns:mc="http://schemas.openxmlformats.org/markup-compatibility/2006">
          <mc:Choice Requires="x14">
            <control shapeId="157047" r:id="rId87" name="Check Box 23927">
              <controlPr locked="0" defaultSize="0" autoFill="0" autoLine="0" autoPict="0">
                <anchor moveWithCells="1">
                  <from>
                    <xdr:col>12</xdr:col>
                    <xdr:colOff>114300</xdr:colOff>
                    <xdr:row>76</xdr:row>
                    <xdr:rowOff>0</xdr:rowOff>
                  </from>
                  <to>
                    <xdr:col>12</xdr:col>
                    <xdr:colOff>352425</xdr:colOff>
                    <xdr:row>76</xdr:row>
                    <xdr:rowOff>200025</xdr:rowOff>
                  </to>
                </anchor>
              </controlPr>
            </control>
          </mc:Choice>
        </mc:AlternateContent>
        <mc:AlternateContent xmlns:mc="http://schemas.openxmlformats.org/markup-compatibility/2006">
          <mc:Choice Requires="x14">
            <control shapeId="157048" r:id="rId88" name="Drop Down 23928">
              <controlPr defaultSize="0" autoLine="0" autoPict="0">
                <anchor moveWithCells="1">
                  <from>
                    <xdr:col>0</xdr:col>
                    <xdr:colOff>9525</xdr:colOff>
                    <xdr:row>77</xdr:row>
                    <xdr:rowOff>9525</xdr:rowOff>
                  </from>
                  <to>
                    <xdr:col>3</xdr:col>
                    <xdr:colOff>485775</xdr:colOff>
                    <xdr:row>77</xdr:row>
                    <xdr:rowOff>219075</xdr:rowOff>
                  </to>
                </anchor>
              </controlPr>
            </control>
          </mc:Choice>
        </mc:AlternateContent>
        <mc:AlternateContent xmlns:mc="http://schemas.openxmlformats.org/markup-compatibility/2006">
          <mc:Choice Requires="x14">
            <control shapeId="157049" r:id="rId89" name="Drop Down 23929">
              <controlPr defaultSize="0" autoLine="0" autoPict="0">
                <anchor moveWithCells="1">
                  <from>
                    <xdr:col>6</xdr:col>
                    <xdr:colOff>9525</xdr:colOff>
                    <xdr:row>77</xdr:row>
                    <xdr:rowOff>28575</xdr:rowOff>
                  </from>
                  <to>
                    <xdr:col>6</xdr:col>
                    <xdr:colOff>485775</xdr:colOff>
                    <xdr:row>78</xdr:row>
                    <xdr:rowOff>9525</xdr:rowOff>
                  </to>
                </anchor>
              </controlPr>
            </control>
          </mc:Choice>
        </mc:AlternateContent>
        <mc:AlternateContent xmlns:mc="http://schemas.openxmlformats.org/markup-compatibility/2006">
          <mc:Choice Requires="x14">
            <control shapeId="157050" r:id="rId90" name="Check Box 23930">
              <controlPr locked="0" defaultSize="0" autoFill="0" autoLine="0" autoPict="0">
                <anchor moveWithCells="1">
                  <from>
                    <xdr:col>12</xdr:col>
                    <xdr:colOff>114300</xdr:colOff>
                    <xdr:row>77</xdr:row>
                    <xdr:rowOff>0</xdr:rowOff>
                  </from>
                  <to>
                    <xdr:col>12</xdr:col>
                    <xdr:colOff>352425</xdr:colOff>
                    <xdr:row>77</xdr:row>
                    <xdr:rowOff>200025</xdr:rowOff>
                  </to>
                </anchor>
              </controlPr>
            </control>
          </mc:Choice>
        </mc:AlternateContent>
        <mc:AlternateContent xmlns:mc="http://schemas.openxmlformats.org/markup-compatibility/2006">
          <mc:Choice Requires="x14">
            <control shapeId="157096" r:id="rId91" name="Drop Down 23976">
              <controlPr defaultSize="0" autoLine="0" autoPict="0">
                <anchor moveWithCells="1">
                  <from>
                    <xdr:col>6</xdr:col>
                    <xdr:colOff>19050</xdr:colOff>
                    <xdr:row>83</xdr:row>
                    <xdr:rowOff>0</xdr:rowOff>
                  </from>
                  <to>
                    <xdr:col>6</xdr:col>
                    <xdr:colOff>495300</xdr:colOff>
                    <xdr:row>83</xdr:row>
                    <xdr:rowOff>209550</xdr:rowOff>
                  </to>
                </anchor>
              </controlPr>
            </control>
          </mc:Choice>
        </mc:AlternateContent>
        <mc:AlternateContent xmlns:mc="http://schemas.openxmlformats.org/markup-compatibility/2006">
          <mc:Choice Requires="x14">
            <control shapeId="157097" r:id="rId92" name="Check Box 23977">
              <controlPr locked="0" defaultSize="0" autoFill="0" autoLine="0" autoPict="0">
                <anchor moveWithCells="1">
                  <from>
                    <xdr:col>12</xdr:col>
                    <xdr:colOff>114300</xdr:colOff>
                    <xdr:row>83</xdr:row>
                    <xdr:rowOff>0</xdr:rowOff>
                  </from>
                  <to>
                    <xdr:col>12</xdr:col>
                    <xdr:colOff>352425</xdr:colOff>
                    <xdr:row>83</xdr:row>
                    <xdr:rowOff>200025</xdr:rowOff>
                  </to>
                </anchor>
              </controlPr>
            </control>
          </mc:Choice>
        </mc:AlternateContent>
        <mc:AlternateContent xmlns:mc="http://schemas.openxmlformats.org/markup-compatibility/2006">
          <mc:Choice Requires="x14">
            <control shapeId="157098" r:id="rId93" name="Drop Down 23978">
              <controlPr defaultSize="0" autoLine="0" autoPict="0">
                <anchor moveWithCells="1">
                  <from>
                    <xdr:col>0</xdr:col>
                    <xdr:colOff>9525</xdr:colOff>
                    <xdr:row>115</xdr:row>
                    <xdr:rowOff>9525</xdr:rowOff>
                  </from>
                  <to>
                    <xdr:col>2</xdr:col>
                    <xdr:colOff>352425</xdr:colOff>
                    <xdr:row>116</xdr:row>
                    <xdr:rowOff>0</xdr:rowOff>
                  </to>
                </anchor>
              </controlPr>
            </control>
          </mc:Choice>
        </mc:AlternateContent>
        <mc:AlternateContent xmlns:mc="http://schemas.openxmlformats.org/markup-compatibility/2006">
          <mc:Choice Requires="x14">
            <control shapeId="157100" r:id="rId94" name="Drop Down 23980">
              <controlPr defaultSize="0" autoLine="0" autoPict="0">
                <anchor moveWithCells="1">
                  <from>
                    <xdr:col>0</xdr:col>
                    <xdr:colOff>9525</xdr:colOff>
                    <xdr:row>116</xdr:row>
                    <xdr:rowOff>9525</xdr:rowOff>
                  </from>
                  <to>
                    <xdr:col>2</xdr:col>
                    <xdr:colOff>352425</xdr:colOff>
                    <xdr:row>117</xdr:row>
                    <xdr:rowOff>0</xdr:rowOff>
                  </to>
                </anchor>
              </controlPr>
            </control>
          </mc:Choice>
        </mc:AlternateContent>
        <mc:AlternateContent xmlns:mc="http://schemas.openxmlformats.org/markup-compatibility/2006">
          <mc:Choice Requires="x14">
            <control shapeId="157103" r:id="rId95" name="Drop Down 23983">
              <controlPr defaultSize="0" autoLine="0" autoPict="0">
                <anchor moveWithCells="1">
                  <from>
                    <xdr:col>0</xdr:col>
                    <xdr:colOff>9525</xdr:colOff>
                    <xdr:row>117</xdr:row>
                    <xdr:rowOff>9525</xdr:rowOff>
                  </from>
                  <to>
                    <xdr:col>2</xdr:col>
                    <xdr:colOff>352425</xdr:colOff>
                    <xdr:row>118</xdr:row>
                    <xdr:rowOff>0</xdr:rowOff>
                  </to>
                </anchor>
              </controlPr>
            </control>
          </mc:Choice>
        </mc:AlternateContent>
        <mc:AlternateContent xmlns:mc="http://schemas.openxmlformats.org/markup-compatibility/2006">
          <mc:Choice Requires="x14">
            <control shapeId="157106" r:id="rId96" name="Drop Down 23986">
              <controlPr defaultSize="0" autoLine="0" autoPict="0">
                <anchor moveWithCells="1">
                  <from>
                    <xdr:col>0</xdr:col>
                    <xdr:colOff>9525</xdr:colOff>
                    <xdr:row>118</xdr:row>
                    <xdr:rowOff>9525</xdr:rowOff>
                  </from>
                  <to>
                    <xdr:col>2</xdr:col>
                    <xdr:colOff>352425</xdr:colOff>
                    <xdr:row>119</xdr:row>
                    <xdr:rowOff>0</xdr:rowOff>
                  </to>
                </anchor>
              </controlPr>
            </control>
          </mc:Choice>
        </mc:AlternateContent>
        <mc:AlternateContent xmlns:mc="http://schemas.openxmlformats.org/markup-compatibility/2006">
          <mc:Choice Requires="x14">
            <control shapeId="157109" r:id="rId97" name="Drop Down 23989">
              <controlPr defaultSize="0" autoLine="0" autoPict="0">
                <anchor moveWithCells="1">
                  <from>
                    <xdr:col>0</xdr:col>
                    <xdr:colOff>9525</xdr:colOff>
                    <xdr:row>119</xdr:row>
                    <xdr:rowOff>9525</xdr:rowOff>
                  </from>
                  <to>
                    <xdr:col>2</xdr:col>
                    <xdr:colOff>352425</xdr:colOff>
                    <xdr:row>120</xdr:row>
                    <xdr:rowOff>0</xdr:rowOff>
                  </to>
                </anchor>
              </controlPr>
            </control>
          </mc:Choice>
        </mc:AlternateContent>
        <mc:AlternateContent xmlns:mc="http://schemas.openxmlformats.org/markup-compatibility/2006">
          <mc:Choice Requires="x14">
            <control shapeId="157112" r:id="rId98" name="Drop Down 23992">
              <controlPr defaultSize="0" autoLine="0" autoPict="0">
                <anchor moveWithCells="1">
                  <from>
                    <xdr:col>0</xdr:col>
                    <xdr:colOff>9525</xdr:colOff>
                    <xdr:row>120</xdr:row>
                    <xdr:rowOff>9525</xdr:rowOff>
                  </from>
                  <to>
                    <xdr:col>2</xdr:col>
                    <xdr:colOff>352425</xdr:colOff>
                    <xdr:row>121</xdr:row>
                    <xdr:rowOff>0</xdr:rowOff>
                  </to>
                </anchor>
              </controlPr>
            </control>
          </mc:Choice>
        </mc:AlternateContent>
        <mc:AlternateContent xmlns:mc="http://schemas.openxmlformats.org/markup-compatibility/2006">
          <mc:Choice Requires="x14">
            <control shapeId="157115" r:id="rId99" name="Drop Down 23995">
              <controlPr defaultSize="0" autoLine="0" autoPict="0">
                <anchor moveWithCells="1">
                  <from>
                    <xdr:col>0</xdr:col>
                    <xdr:colOff>9525</xdr:colOff>
                    <xdr:row>121</xdr:row>
                    <xdr:rowOff>9525</xdr:rowOff>
                  </from>
                  <to>
                    <xdr:col>2</xdr:col>
                    <xdr:colOff>352425</xdr:colOff>
                    <xdr:row>122</xdr:row>
                    <xdr:rowOff>0</xdr:rowOff>
                  </to>
                </anchor>
              </controlPr>
            </control>
          </mc:Choice>
        </mc:AlternateContent>
        <mc:AlternateContent xmlns:mc="http://schemas.openxmlformats.org/markup-compatibility/2006">
          <mc:Choice Requires="x14">
            <control shapeId="157118" r:id="rId100" name="Drop Down 23998">
              <controlPr defaultSize="0" autoLine="0" autoPict="0">
                <anchor moveWithCells="1">
                  <from>
                    <xdr:col>0</xdr:col>
                    <xdr:colOff>9525</xdr:colOff>
                    <xdr:row>122</xdr:row>
                    <xdr:rowOff>9525</xdr:rowOff>
                  </from>
                  <to>
                    <xdr:col>2</xdr:col>
                    <xdr:colOff>352425</xdr:colOff>
                    <xdr:row>123</xdr:row>
                    <xdr:rowOff>0</xdr:rowOff>
                  </to>
                </anchor>
              </controlPr>
            </control>
          </mc:Choice>
        </mc:AlternateContent>
        <mc:AlternateContent xmlns:mc="http://schemas.openxmlformats.org/markup-compatibility/2006">
          <mc:Choice Requires="x14">
            <control shapeId="157121" r:id="rId101" name="Drop Down 24001">
              <controlPr defaultSize="0" autoLine="0" autoPict="0">
                <anchor moveWithCells="1">
                  <from>
                    <xdr:col>0</xdr:col>
                    <xdr:colOff>9525</xdr:colOff>
                    <xdr:row>123</xdr:row>
                    <xdr:rowOff>9525</xdr:rowOff>
                  </from>
                  <to>
                    <xdr:col>2</xdr:col>
                    <xdr:colOff>352425</xdr:colOff>
                    <xdr:row>124</xdr:row>
                    <xdr:rowOff>0</xdr:rowOff>
                  </to>
                </anchor>
              </controlPr>
            </control>
          </mc:Choice>
        </mc:AlternateContent>
        <mc:AlternateContent xmlns:mc="http://schemas.openxmlformats.org/markup-compatibility/2006">
          <mc:Choice Requires="x14">
            <control shapeId="157124" r:id="rId102" name="Drop Down 24004">
              <controlPr defaultSize="0" autoLine="0" autoPict="0">
                <anchor moveWithCells="1">
                  <from>
                    <xdr:col>0</xdr:col>
                    <xdr:colOff>9525</xdr:colOff>
                    <xdr:row>124</xdr:row>
                    <xdr:rowOff>9525</xdr:rowOff>
                  </from>
                  <to>
                    <xdr:col>2</xdr:col>
                    <xdr:colOff>352425</xdr:colOff>
                    <xdr:row>125</xdr:row>
                    <xdr:rowOff>0</xdr:rowOff>
                  </to>
                </anchor>
              </controlPr>
            </control>
          </mc:Choice>
        </mc:AlternateContent>
        <mc:AlternateContent xmlns:mc="http://schemas.openxmlformats.org/markup-compatibility/2006">
          <mc:Choice Requires="x14">
            <control shapeId="157127" r:id="rId103" name="Drop Down 24007">
              <controlPr defaultSize="0" autoLine="0" autoPict="0">
                <anchor moveWithCells="1">
                  <from>
                    <xdr:col>0</xdr:col>
                    <xdr:colOff>9525</xdr:colOff>
                    <xdr:row>125</xdr:row>
                    <xdr:rowOff>9525</xdr:rowOff>
                  </from>
                  <to>
                    <xdr:col>2</xdr:col>
                    <xdr:colOff>352425</xdr:colOff>
                    <xdr:row>126</xdr:row>
                    <xdr:rowOff>0</xdr:rowOff>
                  </to>
                </anchor>
              </controlPr>
            </control>
          </mc:Choice>
        </mc:AlternateContent>
        <mc:AlternateContent xmlns:mc="http://schemas.openxmlformats.org/markup-compatibility/2006">
          <mc:Choice Requires="x14">
            <control shapeId="157130" r:id="rId104" name="Drop Down 24010">
              <controlPr defaultSize="0" autoLine="0" autoPict="0">
                <anchor moveWithCells="1">
                  <from>
                    <xdr:col>0</xdr:col>
                    <xdr:colOff>9525</xdr:colOff>
                    <xdr:row>126</xdr:row>
                    <xdr:rowOff>9525</xdr:rowOff>
                  </from>
                  <to>
                    <xdr:col>2</xdr:col>
                    <xdr:colOff>352425</xdr:colOff>
                    <xdr:row>127</xdr:row>
                    <xdr:rowOff>0</xdr:rowOff>
                  </to>
                </anchor>
              </controlPr>
            </control>
          </mc:Choice>
        </mc:AlternateContent>
        <mc:AlternateContent xmlns:mc="http://schemas.openxmlformats.org/markup-compatibility/2006">
          <mc:Choice Requires="x14">
            <control shapeId="157133" r:id="rId105" name="Drop Down 24013">
              <controlPr defaultSize="0" autoLine="0" autoPict="0">
                <anchor moveWithCells="1">
                  <from>
                    <xdr:col>0</xdr:col>
                    <xdr:colOff>9525</xdr:colOff>
                    <xdr:row>127</xdr:row>
                    <xdr:rowOff>9525</xdr:rowOff>
                  </from>
                  <to>
                    <xdr:col>2</xdr:col>
                    <xdr:colOff>352425</xdr:colOff>
                    <xdr:row>127</xdr:row>
                    <xdr:rowOff>200025</xdr:rowOff>
                  </to>
                </anchor>
              </controlPr>
            </control>
          </mc:Choice>
        </mc:AlternateContent>
        <mc:AlternateContent xmlns:mc="http://schemas.openxmlformats.org/markup-compatibility/2006">
          <mc:Choice Requires="x14">
            <control shapeId="157136" r:id="rId106" name="Drop Down 24016">
              <controlPr defaultSize="0" autoLine="0" autoPict="0">
                <anchor moveWithCells="1">
                  <from>
                    <xdr:col>0</xdr:col>
                    <xdr:colOff>9525</xdr:colOff>
                    <xdr:row>128</xdr:row>
                    <xdr:rowOff>9525</xdr:rowOff>
                  </from>
                  <to>
                    <xdr:col>2</xdr:col>
                    <xdr:colOff>352425</xdr:colOff>
                    <xdr:row>129</xdr:row>
                    <xdr:rowOff>0</xdr:rowOff>
                  </to>
                </anchor>
              </controlPr>
            </control>
          </mc:Choice>
        </mc:AlternateContent>
        <mc:AlternateContent xmlns:mc="http://schemas.openxmlformats.org/markup-compatibility/2006">
          <mc:Choice Requires="x14">
            <control shapeId="157139" r:id="rId107" name="Drop Down 24019">
              <controlPr defaultSize="0" autoLine="0" autoPict="0">
                <anchor moveWithCells="1">
                  <from>
                    <xdr:col>0</xdr:col>
                    <xdr:colOff>9525</xdr:colOff>
                    <xdr:row>129</xdr:row>
                    <xdr:rowOff>9525</xdr:rowOff>
                  </from>
                  <to>
                    <xdr:col>2</xdr:col>
                    <xdr:colOff>352425</xdr:colOff>
                    <xdr:row>130</xdr:row>
                    <xdr:rowOff>0</xdr:rowOff>
                  </to>
                </anchor>
              </controlPr>
            </control>
          </mc:Choice>
        </mc:AlternateContent>
        <mc:AlternateContent xmlns:mc="http://schemas.openxmlformats.org/markup-compatibility/2006">
          <mc:Choice Requires="x14">
            <control shapeId="157272" r:id="rId108" name="Check Box 24152">
              <controlPr locked="0" defaultSize="0" autoFill="0" autoLine="0" autoPict="0">
                <anchor moveWithCells="1">
                  <from>
                    <xdr:col>4</xdr:col>
                    <xdr:colOff>142875</xdr:colOff>
                    <xdr:row>309</xdr:row>
                    <xdr:rowOff>9525</xdr:rowOff>
                  </from>
                  <to>
                    <xdr:col>4</xdr:col>
                    <xdr:colOff>381000</xdr:colOff>
                    <xdr:row>310</xdr:row>
                    <xdr:rowOff>0</xdr:rowOff>
                  </to>
                </anchor>
              </controlPr>
            </control>
          </mc:Choice>
        </mc:AlternateContent>
        <mc:AlternateContent xmlns:mc="http://schemas.openxmlformats.org/markup-compatibility/2006">
          <mc:Choice Requires="x14">
            <control shapeId="157273" r:id="rId109" name="Check Box 24153">
              <controlPr defaultSize="0" autoFill="0" autoLine="0" autoPict="0">
                <anchor moveWithCells="1">
                  <from>
                    <xdr:col>4</xdr:col>
                    <xdr:colOff>142875</xdr:colOff>
                    <xdr:row>310</xdr:row>
                    <xdr:rowOff>9525</xdr:rowOff>
                  </from>
                  <to>
                    <xdr:col>4</xdr:col>
                    <xdr:colOff>381000</xdr:colOff>
                    <xdr:row>311</xdr:row>
                    <xdr:rowOff>0</xdr:rowOff>
                  </to>
                </anchor>
              </controlPr>
            </control>
          </mc:Choice>
        </mc:AlternateContent>
        <mc:AlternateContent xmlns:mc="http://schemas.openxmlformats.org/markup-compatibility/2006">
          <mc:Choice Requires="x14">
            <control shapeId="157274" r:id="rId110" name="Check Box 24154">
              <controlPr locked="0" defaultSize="0" autoFill="0" autoLine="0" autoPict="0">
                <anchor moveWithCells="1">
                  <from>
                    <xdr:col>4</xdr:col>
                    <xdr:colOff>142875</xdr:colOff>
                    <xdr:row>310</xdr:row>
                    <xdr:rowOff>9525</xdr:rowOff>
                  </from>
                  <to>
                    <xdr:col>4</xdr:col>
                    <xdr:colOff>381000</xdr:colOff>
                    <xdr:row>311</xdr:row>
                    <xdr:rowOff>0</xdr:rowOff>
                  </to>
                </anchor>
              </controlPr>
            </control>
          </mc:Choice>
        </mc:AlternateContent>
        <mc:AlternateContent xmlns:mc="http://schemas.openxmlformats.org/markup-compatibility/2006">
          <mc:Choice Requires="x14">
            <control shapeId="157275" r:id="rId111" name="Check Box 24155">
              <controlPr defaultSize="0" autoFill="0" autoLine="0" autoPict="0">
                <anchor moveWithCells="1">
                  <from>
                    <xdr:col>4</xdr:col>
                    <xdr:colOff>142875</xdr:colOff>
                    <xdr:row>311</xdr:row>
                    <xdr:rowOff>9525</xdr:rowOff>
                  </from>
                  <to>
                    <xdr:col>4</xdr:col>
                    <xdr:colOff>381000</xdr:colOff>
                    <xdr:row>312</xdr:row>
                    <xdr:rowOff>0</xdr:rowOff>
                  </to>
                </anchor>
              </controlPr>
            </control>
          </mc:Choice>
        </mc:AlternateContent>
        <mc:AlternateContent xmlns:mc="http://schemas.openxmlformats.org/markup-compatibility/2006">
          <mc:Choice Requires="x14">
            <control shapeId="157276" r:id="rId112" name="Check Box 24156">
              <controlPr defaultSize="0" autoFill="0" autoLine="0" autoPict="0">
                <anchor moveWithCells="1">
                  <from>
                    <xdr:col>4</xdr:col>
                    <xdr:colOff>142875</xdr:colOff>
                    <xdr:row>311</xdr:row>
                    <xdr:rowOff>9525</xdr:rowOff>
                  </from>
                  <to>
                    <xdr:col>4</xdr:col>
                    <xdr:colOff>381000</xdr:colOff>
                    <xdr:row>312</xdr:row>
                    <xdr:rowOff>0</xdr:rowOff>
                  </to>
                </anchor>
              </controlPr>
            </control>
          </mc:Choice>
        </mc:AlternateContent>
        <mc:AlternateContent xmlns:mc="http://schemas.openxmlformats.org/markup-compatibility/2006">
          <mc:Choice Requires="x14">
            <control shapeId="157277" r:id="rId113" name="Check Box 24157">
              <controlPr locked="0" defaultSize="0" autoFill="0" autoLine="0" autoPict="0">
                <anchor moveWithCells="1">
                  <from>
                    <xdr:col>4</xdr:col>
                    <xdr:colOff>142875</xdr:colOff>
                    <xdr:row>311</xdr:row>
                    <xdr:rowOff>9525</xdr:rowOff>
                  </from>
                  <to>
                    <xdr:col>4</xdr:col>
                    <xdr:colOff>381000</xdr:colOff>
                    <xdr:row>312</xdr:row>
                    <xdr:rowOff>0</xdr:rowOff>
                  </to>
                </anchor>
              </controlPr>
            </control>
          </mc:Choice>
        </mc:AlternateContent>
        <mc:AlternateContent xmlns:mc="http://schemas.openxmlformats.org/markup-compatibility/2006">
          <mc:Choice Requires="x14">
            <control shapeId="157278" r:id="rId114" name="Check Box 24158">
              <controlPr defaultSize="0" autoFill="0" autoLine="0" autoPict="0">
                <anchor moveWithCells="1">
                  <from>
                    <xdr:col>4</xdr:col>
                    <xdr:colOff>142875</xdr:colOff>
                    <xdr:row>312</xdr:row>
                    <xdr:rowOff>9525</xdr:rowOff>
                  </from>
                  <to>
                    <xdr:col>4</xdr:col>
                    <xdr:colOff>381000</xdr:colOff>
                    <xdr:row>313</xdr:row>
                    <xdr:rowOff>0</xdr:rowOff>
                  </to>
                </anchor>
              </controlPr>
            </control>
          </mc:Choice>
        </mc:AlternateContent>
        <mc:AlternateContent xmlns:mc="http://schemas.openxmlformats.org/markup-compatibility/2006">
          <mc:Choice Requires="x14">
            <control shapeId="157279" r:id="rId115" name="Check Box 24159">
              <controlPr defaultSize="0" autoFill="0" autoLine="0" autoPict="0">
                <anchor moveWithCells="1">
                  <from>
                    <xdr:col>4</xdr:col>
                    <xdr:colOff>142875</xdr:colOff>
                    <xdr:row>312</xdr:row>
                    <xdr:rowOff>9525</xdr:rowOff>
                  </from>
                  <to>
                    <xdr:col>4</xdr:col>
                    <xdr:colOff>381000</xdr:colOff>
                    <xdr:row>313</xdr:row>
                    <xdr:rowOff>0</xdr:rowOff>
                  </to>
                </anchor>
              </controlPr>
            </control>
          </mc:Choice>
        </mc:AlternateContent>
        <mc:AlternateContent xmlns:mc="http://schemas.openxmlformats.org/markup-compatibility/2006">
          <mc:Choice Requires="x14">
            <control shapeId="157280" r:id="rId116" name="Check Box 24160">
              <controlPr locked="0" defaultSize="0" autoFill="0" autoLine="0" autoPict="0">
                <anchor moveWithCells="1">
                  <from>
                    <xdr:col>4</xdr:col>
                    <xdr:colOff>142875</xdr:colOff>
                    <xdr:row>312</xdr:row>
                    <xdr:rowOff>9525</xdr:rowOff>
                  </from>
                  <to>
                    <xdr:col>4</xdr:col>
                    <xdr:colOff>381000</xdr:colOff>
                    <xdr:row>313</xdr:row>
                    <xdr:rowOff>0</xdr:rowOff>
                  </to>
                </anchor>
              </controlPr>
            </control>
          </mc:Choice>
        </mc:AlternateContent>
        <mc:AlternateContent xmlns:mc="http://schemas.openxmlformats.org/markup-compatibility/2006">
          <mc:Choice Requires="x14">
            <control shapeId="157281" r:id="rId117" name="Check Box 24161">
              <controlPr defaultSize="0" autoFill="0" autoLine="0" autoPict="0">
                <anchor moveWithCells="1">
                  <from>
                    <xdr:col>4</xdr:col>
                    <xdr:colOff>142875</xdr:colOff>
                    <xdr:row>313</xdr:row>
                    <xdr:rowOff>9525</xdr:rowOff>
                  </from>
                  <to>
                    <xdr:col>4</xdr:col>
                    <xdr:colOff>381000</xdr:colOff>
                    <xdr:row>314</xdr:row>
                    <xdr:rowOff>0</xdr:rowOff>
                  </to>
                </anchor>
              </controlPr>
            </control>
          </mc:Choice>
        </mc:AlternateContent>
        <mc:AlternateContent xmlns:mc="http://schemas.openxmlformats.org/markup-compatibility/2006">
          <mc:Choice Requires="x14">
            <control shapeId="157282" r:id="rId118" name="Check Box 24162">
              <controlPr defaultSize="0" autoFill="0" autoLine="0" autoPict="0">
                <anchor moveWithCells="1">
                  <from>
                    <xdr:col>4</xdr:col>
                    <xdr:colOff>142875</xdr:colOff>
                    <xdr:row>313</xdr:row>
                    <xdr:rowOff>9525</xdr:rowOff>
                  </from>
                  <to>
                    <xdr:col>4</xdr:col>
                    <xdr:colOff>381000</xdr:colOff>
                    <xdr:row>314</xdr:row>
                    <xdr:rowOff>0</xdr:rowOff>
                  </to>
                </anchor>
              </controlPr>
            </control>
          </mc:Choice>
        </mc:AlternateContent>
        <mc:AlternateContent xmlns:mc="http://schemas.openxmlformats.org/markup-compatibility/2006">
          <mc:Choice Requires="x14">
            <control shapeId="157283" r:id="rId119" name="Check Box 24163">
              <controlPr locked="0" defaultSize="0" autoFill="0" autoLine="0" autoPict="0">
                <anchor moveWithCells="1">
                  <from>
                    <xdr:col>4</xdr:col>
                    <xdr:colOff>142875</xdr:colOff>
                    <xdr:row>313</xdr:row>
                    <xdr:rowOff>9525</xdr:rowOff>
                  </from>
                  <to>
                    <xdr:col>4</xdr:col>
                    <xdr:colOff>381000</xdr:colOff>
                    <xdr:row>314</xdr:row>
                    <xdr:rowOff>0</xdr:rowOff>
                  </to>
                </anchor>
              </controlPr>
            </control>
          </mc:Choice>
        </mc:AlternateContent>
        <mc:AlternateContent xmlns:mc="http://schemas.openxmlformats.org/markup-compatibility/2006">
          <mc:Choice Requires="x14">
            <control shapeId="157284" r:id="rId120" name="Check Box 24164">
              <controlPr defaultSize="0" autoFill="0" autoLine="0" autoPict="0">
                <anchor moveWithCells="1">
                  <from>
                    <xdr:col>4</xdr:col>
                    <xdr:colOff>142875</xdr:colOff>
                    <xdr:row>314</xdr:row>
                    <xdr:rowOff>9525</xdr:rowOff>
                  </from>
                  <to>
                    <xdr:col>4</xdr:col>
                    <xdr:colOff>381000</xdr:colOff>
                    <xdr:row>315</xdr:row>
                    <xdr:rowOff>0</xdr:rowOff>
                  </to>
                </anchor>
              </controlPr>
            </control>
          </mc:Choice>
        </mc:AlternateContent>
        <mc:AlternateContent xmlns:mc="http://schemas.openxmlformats.org/markup-compatibility/2006">
          <mc:Choice Requires="x14">
            <control shapeId="157285" r:id="rId121" name="Check Box 24165">
              <controlPr defaultSize="0" autoFill="0" autoLine="0" autoPict="0">
                <anchor moveWithCells="1">
                  <from>
                    <xdr:col>4</xdr:col>
                    <xdr:colOff>142875</xdr:colOff>
                    <xdr:row>314</xdr:row>
                    <xdr:rowOff>9525</xdr:rowOff>
                  </from>
                  <to>
                    <xdr:col>4</xdr:col>
                    <xdr:colOff>381000</xdr:colOff>
                    <xdr:row>315</xdr:row>
                    <xdr:rowOff>0</xdr:rowOff>
                  </to>
                </anchor>
              </controlPr>
            </control>
          </mc:Choice>
        </mc:AlternateContent>
        <mc:AlternateContent xmlns:mc="http://schemas.openxmlformats.org/markup-compatibility/2006">
          <mc:Choice Requires="x14">
            <control shapeId="157286" r:id="rId122" name="Check Box 24166">
              <controlPr locked="0" defaultSize="0" autoFill="0" autoLine="0" autoPict="0">
                <anchor moveWithCells="1">
                  <from>
                    <xdr:col>4</xdr:col>
                    <xdr:colOff>142875</xdr:colOff>
                    <xdr:row>314</xdr:row>
                    <xdr:rowOff>9525</xdr:rowOff>
                  </from>
                  <to>
                    <xdr:col>4</xdr:col>
                    <xdr:colOff>381000</xdr:colOff>
                    <xdr:row>315</xdr:row>
                    <xdr:rowOff>0</xdr:rowOff>
                  </to>
                </anchor>
              </controlPr>
            </control>
          </mc:Choice>
        </mc:AlternateContent>
        <mc:AlternateContent xmlns:mc="http://schemas.openxmlformats.org/markup-compatibility/2006">
          <mc:Choice Requires="x14">
            <control shapeId="157287" r:id="rId123" name="Check Box 24167">
              <controlPr defaultSize="0" autoFill="0" autoLine="0" autoPict="0">
                <anchor moveWithCells="1">
                  <from>
                    <xdr:col>4</xdr:col>
                    <xdr:colOff>142875</xdr:colOff>
                    <xdr:row>315</xdr:row>
                    <xdr:rowOff>9525</xdr:rowOff>
                  </from>
                  <to>
                    <xdr:col>4</xdr:col>
                    <xdr:colOff>381000</xdr:colOff>
                    <xdr:row>316</xdr:row>
                    <xdr:rowOff>0</xdr:rowOff>
                  </to>
                </anchor>
              </controlPr>
            </control>
          </mc:Choice>
        </mc:AlternateContent>
        <mc:AlternateContent xmlns:mc="http://schemas.openxmlformats.org/markup-compatibility/2006">
          <mc:Choice Requires="x14">
            <control shapeId="157288" r:id="rId124" name="Check Box 24168">
              <controlPr defaultSize="0" autoFill="0" autoLine="0" autoPict="0">
                <anchor moveWithCells="1">
                  <from>
                    <xdr:col>4</xdr:col>
                    <xdr:colOff>142875</xdr:colOff>
                    <xdr:row>315</xdr:row>
                    <xdr:rowOff>9525</xdr:rowOff>
                  </from>
                  <to>
                    <xdr:col>4</xdr:col>
                    <xdr:colOff>381000</xdr:colOff>
                    <xdr:row>316</xdr:row>
                    <xdr:rowOff>0</xdr:rowOff>
                  </to>
                </anchor>
              </controlPr>
            </control>
          </mc:Choice>
        </mc:AlternateContent>
        <mc:AlternateContent xmlns:mc="http://schemas.openxmlformats.org/markup-compatibility/2006">
          <mc:Choice Requires="x14">
            <control shapeId="157289" r:id="rId125" name="Check Box 24169">
              <controlPr locked="0" defaultSize="0" autoFill="0" autoLine="0" autoPict="0">
                <anchor moveWithCells="1">
                  <from>
                    <xdr:col>4</xdr:col>
                    <xdr:colOff>142875</xdr:colOff>
                    <xdr:row>315</xdr:row>
                    <xdr:rowOff>9525</xdr:rowOff>
                  </from>
                  <to>
                    <xdr:col>4</xdr:col>
                    <xdr:colOff>381000</xdr:colOff>
                    <xdr:row>316</xdr:row>
                    <xdr:rowOff>0</xdr:rowOff>
                  </to>
                </anchor>
              </controlPr>
            </control>
          </mc:Choice>
        </mc:AlternateContent>
        <mc:AlternateContent xmlns:mc="http://schemas.openxmlformats.org/markup-compatibility/2006">
          <mc:Choice Requires="x14">
            <control shapeId="157290" r:id="rId126" name="Check Box 24170">
              <controlPr defaultSize="0" autoFill="0" autoLine="0" autoPict="0">
                <anchor moveWithCells="1">
                  <from>
                    <xdr:col>4</xdr:col>
                    <xdr:colOff>142875</xdr:colOff>
                    <xdr:row>316</xdr:row>
                    <xdr:rowOff>9525</xdr:rowOff>
                  </from>
                  <to>
                    <xdr:col>4</xdr:col>
                    <xdr:colOff>381000</xdr:colOff>
                    <xdr:row>317</xdr:row>
                    <xdr:rowOff>0</xdr:rowOff>
                  </to>
                </anchor>
              </controlPr>
            </control>
          </mc:Choice>
        </mc:AlternateContent>
        <mc:AlternateContent xmlns:mc="http://schemas.openxmlformats.org/markup-compatibility/2006">
          <mc:Choice Requires="x14">
            <control shapeId="157291" r:id="rId127" name="Check Box 24171">
              <controlPr defaultSize="0" autoFill="0" autoLine="0" autoPict="0">
                <anchor moveWithCells="1">
                  <from>
                    <xdr:col>4</xdr:col>
                    <xdr:colOff>142875</xdr:colOff>
                    <xdr:row>316</xdr:row>
                    <xdr:rowOff>9525</xdr:rowOff>
                  </from>
                  <to>
                    <xdr:col>4</xdr:col>
                    <xdr:colOff>381000</xdr:colOff>
                    <xdr:row>317</xdr:row>
                    <xdr:rowOff>0</xdr:rowOff>
                  </to>
                </anchor>
              </controlPr>
            </control>
          </mc:Choice>
        </mc:AlternateContent>
        <mc:AlternateContent xmlns:mc="http://schemas.openxmlformats.org/markup-compatibility/2006">
          <mc:Choice Requires="x14">
            <control shapeId="157292" r:id="rId128" name="Check Box 24172">
              <controlPr locked="0" defaultSize="0" autoFill="0" autoLine="0" autoPict="0">
                <anchor moveWithCells="1">
                  <from>
                    <xdr:col>4</xdr:col>
                    <xdr:colOff>142875</xdr:colOff>
                    <xdr:row>316</xdr:row>
                    <xdr:rowOff>9525</xdr:rowOff>
                  </from>
                  <to>
                    <xdr:col>4</xdr:col>
                    <xdr:colOff>381000</xdr:colOff>
                    <xdr:row>317</xdr:row>
                    <xdr:rowOff>0</xdr:rowOff>
                  </to>
                </anchor>
              </controlPr>
            </control>
          </mc:Choice>
        </mc:AlternateContent>
        <mc:AlternateContent xmlns:mc="http://schemas.openxmlformats.org/markup-compatibility/2006">
          <mc:Choice Requires="x14">
            <control shapeId="157293" r:id="rId129" name="Check Box 24173">
              <controlPr defaultSize="0" autoFill="0" autoLine="0" autoPict="0">
                <anchor moveWithCells="1">
                  <from>
                    <xdr:col>4</xdr:col>
                    <xdr:colOff>142875</xdr:colOff>
                    <xdr:row>317</xdr:row>
                    <xdr:rowOff>9525</xdr:rowOff>
                  </from>
                  <to>
                    <xdr:col>4</xdr:col>
                    <xdr:colOff>381000</xdr:colOff>
                    <xdr:row>318</xdr:row>
                    <xdr:rowOff>0</xdr:rowOff>
                  </to>
                </anchor>
              </controlPr>
            </control>
          </mc:Choice>
        </mc:AlternateContent>
        <mc:AlternateContent xmlns:mc="http://schemas.openxmlformats.org/markup-compatibility/2006">
          <mc:Choice Requires="x14">
            <control shapeId="157294" r:id="rId130" name="Check Box 24174">
              <controlPr defaultSize="0" autoFill="0" autoLine="0" autoPict="0">
                <anchor moveWithCells="1">
                  <from>
                    <xdr:col>4</xdr:col>
                    <xdr:colOff>142875</xdr:colOff>
                    <xdr:row>317</xdr:row>
                    <xdr:rowOff>9525</xdr:rowOff>
                  </from>
                  <to>
                    <xdr:col>4</xdr:col>
                    <xdr:colOff>381000</xdr:colOff>
                    <xdr:row>318</xdr:row>
                    <xdr:rowOff>0</xdr:rowOff>
                  </to>
                </anchor>
              </controlPr>
            </control>
          </mc:Choice>
        </mc:AlternateContent>
        <mc:AlternateContent xmlns:mc="http://schemas.openxmlformats.org/markup-compatibility/2006">
          <mc:Choice Requires="x14">
            <control shapeId="157295" r:id="rId131" name="Check Box 24175">
              <controlPr locked="0" defaultSize="0" autoFill="0" autoLine="0" autoPict="0">
                <anchor moveWithCells="1">
                  <from>
                    <xdr:col>4</xdr:col>
                    <xdr:colOff>142875</xdr:colOff>
                    <xdr:row>317</xdr:row>
                    <xdr:rowOff>9525</xdr:rowOff>
                  </from>
                  <to>
                    <xdr:col>4</xdr:col>
                    <xdr:colOff>381000</xdr:colOff>
                    <xdr:row>318</xdr:row>
                    <xdr:rowOff>0</xdr:rowOff>
                  </to>
                </anchor>
              </controlPr>
            </control>
          </mc:Choice>
        </mc:AlternateContent>
        <mc:AlternateContent xmlns:mc="http://schemas.openxmlformats.org/markup-compatibility/2006">
          <mc:Choice Requires="x14">
            <control shapeId="157296" r:id="rId132" name="Check Box 24176">
              <controlPr defaultSize="0" autoFill="0" autoLine="0" autoPict="0">
                <anchor moveWithCells="1">
                  <from>
                    <xdr:col>4</xdr:col>
                    <xdr:colOff>142875</xdr:colOff>
                    <xdr:row>318</xdr:row>
                    <xdr:rowOff>9525</xdr:rowOff>
                  </from>
                  <to>
                    <xdr:col>4</xdr:col>
                    <xdr:colOff>381000</xdr:colOff>
                    <xdr:row>319</xdr:row>
                    <xdr:rowOff>0</xdr:rowOff>
                  </to>
                </anchor>
              </controlPr>
            </control>
          </mc:Choice>
        </mc:AlternateContent>
        <mc:AlternateContent xmlns:mc="http://schemas.openxmlformats.org/markup-compatibility/2006">
          <mc:Choice Requires="x14">
            <control shapeId="157297" r:id="rId133" name="Check Box 24177">
              <controlPr defaultSize="0" autoFill="0" autoLine="0" autoPict="0">
                <anchor moveWithCells="1">
                  <from>
                    <xdr:col>4</xdr:col>
                    <xdr:colOff>142875</xdr:colOff>
                    <xdr:row>318</xdr:row>
                    <xdr:rowOff>9525</xdr:rowOff>
                  </from>
                  <to>
                    <xdr:col>4</xdr:col>
                    <xdr:colOff>381000</xdr:colOff>
                    <xdr:row>319</xdr:row>
                    <xdr:rowOff>0</xdr:rowOff>
                  </to>
                </anchor>
              </controlPr>
            </control>
          </mc:Choice>
        </mc:AlternateContent>
        <mc:AlternateContent xmlns:mc="http://schemas.openxmlformats.org/markup-compatibility/2006">
          <mc:Choice Requires="x14">
            <control shapeId="157298" r:id="rId134" name="Check Box 24178">
              <controlPr locked="0" defaultSize="0" autoFill="0" autoLine="0" autoPict="0">
                <anchor moveWithCells="1">
                  <from>
                    <xdr:col>4</xdr:col>
                    <xdr:colOff>142875</xdr:colOff>
                    <xdr:row>318</xdr:row>
                    <xdr:rowOff>9525</xdr:rowOff>
                  </from>
                  <to>
                    <xdr:col>4</xdr:col>
                    <xdr:colOff>381000</xdr:colOff>
                    <xdr:row>319</xdr:row>
                    <xdr:rowOff>0</xdr:rowOff>
                  </to>
                </anchor>
              </controlPr>
            </control>
          </mc:Choice>
        </mc:AlternateContent>
        <mc:AlternateContent xmlns:mc="http://schemas.openxmlformats.org/markup-compatibility/2006">
          <mc:Choice Requires="x14">
            <control shapeId="157299" r:id="rId135" name="Check Box 24179">
              <controlPr defaultSize="0" autoFill="0" autoLine="0" autoPict="0">
                <anchor moveWithCells="1">
                  <from>
                    <xdr:col>4</xdr:col>
                    <xdr:colOff>142875</xdr:colOff>
                    <xdr:row>319</xdr:row>
                    <xdr:rowOff>9525</xdr:rowOff>
                  </from>
                  <to>
                    <xdr:col>4</xdr:col>
                    <xdr:colOff>381000</xdr:colOff>
                    <xdr:row>320</xdr:row>
                    <xdr:rowOff>0</xdr:rowOff>
                  </to>
                </anchor>
              </controlPr>
            </control>
          </mc:Choice>
        </mc:AlternateContent>
        <mc:AlternateContent xmlns:mc="http://schemas.openxmlformats.org/markup-compatibility/2006">
          <mc:Choice Requires="x14">
            <control shapeId="157300" r:id="rId136" name="Check Box 24180">
              <controlPr defaultSize="0" autoFill="0" autoLine="0" autoPict="0">
                <anchor moveWithCells="1">
                  <from>
                    <xdr:col>4</xdr:col>
                    <xdr:colOff>142875</xdr:colOff>
                    <xdr:row>319</xdr:row>
                    <xdr:rowOff>9525</xdr:rowOff>
                  </from>
                  <to>
                    <xdr:col>4</xdr:col>
                    <xdr:colOff>381000</xdr:colOff>
                    <xdr:row>320</xdr:row>
                    <xdr:rowOff>0</xdr:rowOff>
                  </to>
                </anchor>
              </controlPr>
            </control>
          </mc:Choice>
        </mc:AlternateContent>
        <mc:AlternateContent xmlns:mc="http://schemas.openxmlformats.org/markup-compatibility/2006">
          <mc:Choice Requires="x14">
            <control shapeId="157301" r:id="rId137" name="Check Box 24181">
              <controlPr locked="0" defaultSize="0" autoFill="0" autoLine="0" autoPict="0">
                <anchor moveWithCells="1">
                  <from>
                    <xdr:col>4</xdr:col>
                    <xdr:colOff>142875</xdr:colOff>
                    <xdr:row>319</xdr:row>
                    <xdr:rowOff>9525</xdr:rowOff>
                  </from>
                  <to>
                    <xdr:col>4</xdr:col>
                    <xdr:colOff>381000</xdr:colOff>
                    <xdr:row>320</xdr:row>
                    <xdr:rowOff>0</xdr:rowOff>
                  </to>
                </anchor>
              </controlPr>
            </control>
          </mc:Choice>
        </mc:AlternateContent>
        <mc:AlternateContent xmlns:mc="http://schemas.openxmlformats.org/markup-compatibility/2006">
          <mc:Choice Requires="x14">
            <control shapeId="157302" r:id="rId138" name="Check Box 24182">
              <controlPr defaultSize="0" autoFill="0" autoLine="0" autoPict="0">
                <anchor moveWithCells="1">
                  <from>
                    <xdr:col>4</xdr:col>
                    <xdr:colOff>142875</xdr:colOff>
                    <xdr:row>320</xdr:row>
                    <xdr:rowOff>9525</xdr:rowOff>
                  </from>
                  <to>
                    <xdr:col>4</xdr:col>
                    <xdr:colOff>381000</xdr:colOff>
                    <xdr:row>321</xdr:row>
                    <xdr:rowOff>0</xdr:rowOff>
                  </to>
                </anchor>
              </controlPr>
            </control>
          </mc:Choice>
        </mc:AlternateContent>
        <mc:AlternateContent xmlns:mc="http://schemas.openxmlformats.org/markup-compatibility/2006">
          <mc:Choice Requires="x14">
            <control shapeId="157303" r:id="rId139" name="Check Box 24183">
              <controlPr defaultSize="0" autoFill="0" autoLine="0" autoPict="0">
                <anchor moveWithCells="1">
                  <from>
                    <xdr:col>4</xdr:col>
                    <xdr:colOff>142875</xdr:colOff>
                    <xdr:row>320</xdr:row>
                    <xdr:rowOff>9525</xdr:rowOff>
                  </from>
                  <to>
                    <xdr:col>4</xdr:col>
                    <xdr:colOff>381000</xdr:colOff>
                    <xdr:row>321</xdr:row>
                    <xdr:rowOff>0</xdr:rowOff>
                  </to>
                </anchor>
              </controlPr>
            </control>
          </mc:Choice>
        </mc:AlternateContent>
        <mc:AlternateContent xmlns:mc="http://schemas.openxmlformats.org/markup-compatibility/2006">
          <mc:Choice Requires="x14">
            <control shapeId="157304" r:id="rId140" name="Check Box 24184">
              <controlPr locked="0" defaultSize="0" autoFill="0" autoLine="0" autoPict="0">
                <anchor moveWithCells="1">
                  <from>
                    <xdr:col>4</xdr:col>
                    <xdr:colOff>142875</xdr:colOff>
                    <xdr:row>320</xdr:row>
                    <xdr:rowOff>9525</xdr:rowOff>
                  </from>
                  <to>
                    <xdr:col>4</xdr:col>
                    <xdr:colOff>381000</xdr:colOff>
                    <xdr:row>321</xdr:row>
                    <xdr:rowOff>0</xdr:rowOff>
                  </to>
                </anchor>
              </controlPr>
            </control>
          </mc:Choice>
        </mc:AlternateContent>
        <mc:AlternateContent xmlns:mc="http://schemas.openxmlformats.org/markup-compatibility/2006">
          <mc:Choice Requires="x14">
            <control shapeId="157305" r:id="rId141" name="Check Box 24185">
              <controlPr defaultSize="0" autoFill="0" autoLine="0" autoPict="0">
                <anchor moveWithCells="1">
                  <from>
                    <xdr:col>4</xdr:col>
                    <xdr:colOff>142875</xdr:colOff>
                    <xdr:row>321</xdr:row>
                    <xdr:rowOff>9525</xdr:rowOff>
                  </from>
                  <to>
                    <xdr:col>4</xdr:col>
                    <xdr:colOff>381000</xdr:colOff>
                    <xdr:row>322</xdr:row>
                    <xdr:rowOff>0</xdr:rowOff>
                  </to>
                </anchor>
              </controlPr>
            </control>
          </mc:Choice>
        </mc:AlternateContent>
        <mc:AlternateContent xmlns:mc="http://schemas.openxmlformats.org/markup-compatibility/2006">
          <mc:Choice Requires="x14">
            <control shapeId="157306" r:id="rId142" name="Check Box 24186">
              <controlPr defaultSize="0" autoFill="0" autoLine="0" autoPict="0">
                <anchor moveWithCells="1">
                  <from>
                    <xdr:col>4</xdr:col>
                    <xdr:colOff>142875</xdr:colOff>
                    <xdr:row>321</xdr:row>
                    <xdr:rowOff>9525</xdr:rowOff>
                  </from>
                  <to>
                    <xdr:col>4</xdr:col>
                    <xdr:colOff>381000</xdr:colOff>
                    <xdr:row>322</xdr:row>
                    <xdr:rowOff>0</xdr:rowOff>
                  </to>
                </anchor>
              </controlPr>
            </control>
          </mc:Choice>
        </mc:AlternateContent>
        <mc:AlternateContent xmlns:mc="http://schemas.openxmlformats.org/markup-compatibility/2006">
          <mc:Choice Requires="x14">
            <control shapeId="157307" r:id="rId143" name="Check Box 24187">
              <controlPr locked="0" defaultSize="0" autoFill="0" autoLine="0" autoPict="0">
                <anchor moveWithCells="1">
                  <from>
                    <xdr:col>4</xdr:col>
                    <xdr:colOff>142875</xdr:colOff>
                    <xdr:row>321</xdr:row>
                    <xdr:rowOff>9525</xdr:rowOff>
                  </from>
                  <to>
                    <xdr:col>4</xdr:col>
                    <xdr:colOff>381000</xdr:colOff>
                    <xdr:row>322</xdr:row>
                    <xdr:rowOff>0</xdr:rowOff>
                  </to>
                </anchor>
              </controlPr>
            </control>
          </mc:Choice>
        </mc:AlternateContent>
        <mc:AlternateContent xmlns:mc="http://schemas.openxmlformats.org/markup-compatibility/2006">
          <mc:Choice Requires="x14">
            <control shapeId="157308" r:id="rId144" name="Check Box 24188">
              <controlPr defaultSize="0" autoFill="0" autoLine="0" autoPict="0">
                <anchor moveWithCells="1">
                  <from>
                    <xdr:col>4</xdr:col>
                    <xdr:colOff>142875</xdr:colOff>
                    <xdr:row>322</xdr:row>
                    <xdr:rowOff>9525</xdr:rowOff>
                  </from>
                  <to>
                    <xdr:col>4</xdr:col>
                    <xdr:colOff>381000</xdr:colOff>
                    <xdr:row>323</xdr:row>
                    <xdr:rowOff>0</xdr:rowOff>
                  </to>
                </anchor>
              </controlPr>
            </control>
          </mc:Choice>
        </mc:AlternateContent>
        <mc:AlternateContent xmlns:mc="http://schemas.openxmlformats.org/markup-compatibility/2006">
          <mc:Choice Requires="x14">
            <control shapeId="157309" r:id="rId145" name="Check Box 24189">
              <controlPr defaultSize="0" autoFill="0" autoLine="0" autoPict="0">
                <anchor moveWithCells="1">
                  <from>
                    <xdr:col>4</xdr:col>
                    <xdr:colOff>142875</xdr:colOff>
                    <xdr:row>322</xdr:row>
                    <xdr:rowOff>9525</xdr:rowOff>
                  </from>
                  <to>
                    <xdr:col>4</xdr:col>
                    <xdr:colOff>381000</xdr:colOff>
                    <xdr:row>323</xdr:row>
                    <xdr:rowOff>0</xdr:rowOff>
                  </to>
                </anchor>
              </controlPr>
            </control>
          </mc:Choice>
        </mc:AlternateContent>
        <mc:AlternateContent xmlns:mc="http://schemas.openxmlformats.org/markup-compatibility/2006">
          <mc:Choice Requires="x14">
            <control shapeId="157310" r:id="rId146" name="Check Box 24190">
              <controlPr locked="0" defaultSize="0" autoFill="0" autoLine="0" autoPict="0">
                <anchor moveWithCells="1">
                  <from>
                    <xdr:col>4</xdr:col>
                    <xdr:colOff>142875</xdr:colOff>
                    <xdr:row>322</xdr:row>
                    <xdr:rowOff>9525</xdr:rowOff>
                  </from>
                  <to>
                    <xdr:col>4</xdr:col>
                    <xdr:colOff>381000</xdr:colOff>
                    <xdr:row>323</xdr:row>
                    <xdr:rowOff>0</xdr:rowOff>
                  </to>
                </anchor>
              </controlPr>
            </control>
          </mc:Choice>
        </mc:AlternateContent>
        <mc:AlternateContent xmlns:mc="http://schemas.openxmlformats.org/markup-compatibility/2006">
          <mc:Choice Requires="x14">
            <control shapeId="157311" r:id="rId147" name="Check Box 24191">
              <controlPr defaultSize="0" autoFill="0" autoLine="0" autoPict="0">
                <anchor moveWithCells="1">
                  <from>
                    <xdr:col>4</xdr:col>
                    <xdr:colOff>142875</xdr:colOff>
                    <xdr:row>323</xdr:row>
                    <xdr:rowOff>9525</xdr:rowOff>
                  </from>
                  <to>
                    <xdr:col>4</xdr:col>
                    <xdr:colOff>381000</xdr:colOff>
                    <xdr:row>324</xdr:row>
                    <xdr:rowOff>0</xdr:rowOff>
                  </to>
                </anchor>
              </controlPr>
            </control>
          </mc:Choice>
        </mc:AlternateContent>
        <mc:AlternateContent xmlns:mc="http://schemas.openxmlformats.org/markup-compatibility/2006">
          <mc:Choice Requires="x14">
            <control shapeId="157312" r:id="rId148" name="Check Box 24192">
              <controlPr defaultSize="0" autoFill="0" autoLine="0" autoPict="0">
                <anchor moveWithCells="1">
                  <from>
                    <xdr:col>4</xdr:col>
                    <xdr:colOff>142875</xdr:colOff>
                    <xdr:row>323</xdr:row>
                    <xdr:rowOff>9525</xdr:rowOff>
                  </from>
                  <to>
                    <xdr:col>4</xdr:col>
                    <xdr:colOff>381000</xdr:colOff>
                    <xdr:row>324</xdr:row>
                    <xdr:rowOff>0</xdr:rowOff>
                  </to>
                </anchor>
              </controlPr>
            </control>
          </mc:Choice>
        </mc:AlternateContent>
        <mc:AlternateContent xmlns:mc="http://schemas.openxmlformats.org/markup-compatibility/2006">
          <mc:Choice Requires="x14">
            <control shapeId="157313" r:id="rId149" name="Check Box 24193">
              <controlPr locked="0" defaultSize="0" autoFill="0" autoLine="0" autoPict="0">
                <anchor moveWithCells="1">
                  <from>
                    <xdr:col>4</xdr:col>
                    <xdr:colOff>142875</xdr:colOff>
                    <xdr:row>323</xdr:row>
                    <xdr:rowOff>9525</xdr:rowOff>
                  </from>
                  <to>
                    <xdr:col>4</xdr:col>
                    <xdr:colOff>381000</xdr:colOff>
                    <xdr:row>324</xdr:row>
                    <xdr:rowOff>0</xdr:rowOff>
                  </to>
                </anchor>
              </controlPr>
            </control>
          </mc:Choice>
        </mc:AlternateContent>
        <mc:AlternateContent xmlns:mc="http://schemas.openxmlformats.org/markup-compatibility/2006">
          <mc:Choice Requires="x14">
            <control shapeId="157314" r:id="rId150" name="Check Box 24194">
              <controlPr defaultSize="0" autoFill="0" autoLine="0" autoPict="0">
                <anchor moveWithCells="1">
                  <from>
                    <xdr:col>4</xdr:col>
                    <xdr:colOff>142875</xdr:colOff>
                    <xdr:row>324</xdr:row>
                    <xdr:rowOff>9525</xdr:rowOff>
                  </from>
                  <to>
                    <xdr:col>4</xdr:col>
                    <xdr:colOff>381000</xdr:colOff>
                    <xdr:row>325</xdr:row>
                    <xdr:rowOff>0</xdr:rowOff>
                  </to>
                </anchor>
              </controlPr>
            </control>
          </mc:Choice>
        </mc:AlternateContent>
        <mc:AlternateContent xmlns:mc="http://schemas.openxmlformats.org/markup-compatibility/2006">
          <mc:Choice Requires="x14">
            <control shapeId="157315" r:id="rId151" name="Check Box 24195">
              <controlPr defaultSize="0" autoFill="0" autoLine="0" autoPict="0">
                <anchor moveWithCells="1">
                  <from>
                    <xdr:col>4</xdr:col>
                    <xdr:colOff>142875</xdr:colOff>
                    <xdr:row>324</xdr:row>
                    <xdr:rowOff>9525</xdr:rowOff>
                  </from>
                  <to>
                    <xdr:col>4</xdr:col>
                    <xdr:colOff>381000</xdr:colOff>
                    <xdr:row>325</xdr:row>
                    <xdr:rowOff>0</xdr:rowOff>
                  </to>
                </anchor>
              </controlPr>
            </control>
          </mc:Choice>
        </mc:AlternateContent>
        <mc:AlternateContent xmlns:mc="http://schemas.openxmlformats.org/markup-compatibility/2006">
          <mc:Choice Requires="x14">
            <control shapeId="157316" r:id="rId152" name="Check Box 24196">
              <controlPr locked="0" defaultSize="0" autoFill="0" autoLine="0" autoPict="0">
                <anchor moveWithCells="1">
                  <from>
                    <xdr:col>4</xdr:col>
                    <xdr:colOff>142875</xdr:colOff>
                    <xdr:row>324</xdr:row>
                    <xdr:rowOff>9525</xdr:rowOff>
                  </from>
                  <to>
                    <xdr:col>4</xdr:col>
                    <xdr:colOff>381000</xdr:colOff>
                    <xdr:row>325</xdr:row>
                    <xdr:rowOff>0</xdr:rowOff>
                  </to>
                </anchor>
              </controlPr>
            </control>
          </mc:Choice>
        </mc:AlternateContent>
        <mc:AlternateContent xmlns:mc="http://schemas.openxmlformats.org/markup-compatibility/2006">
          <mc:Choice Requires="x14">
            <control shapeId="157317" r:id="rId153" name="Check Box 24197">
              <controlPr defaultSize="0" autoFill="0" autoLine="0" autoPict="0">
                <anchor moveWithCells="1">
                  <from>
                    <xdr:col>4</xdr:col>
                    <xdr:colOff>142875</xdr:colOff>
                    <xdr:row>325</xdr:row>
                    <xdr:rowOff>9525</xdr:rowOff>
                  </from>
                  <to>
                    <xdr:col>4</xdr:col>
                    <xdr:colOff>381000</xdr:colOff>
                    <xdr:row>326</xdr:row>
                    <xdr:rowOff>0</xdr:rowOff>
                  </to>
                </anchor>
              </controlPr>
            </control>
          </mc:Choice>
        </mc:AlternateContent>
        <mc:AlternateContent xmlns:mc="http://schemas.openxmlformats.org/markup-compatibility/2006">
          <mc:Choice Requires="x14">
            <control shapeId="157318" r:id="rId154" name="Check Box 24198">
              <controlPr defaultSize="0" autoFill="0" autoLine="0" autoPict="0">
                <anchor moveWithCells="1">
                  <from>
                    <xdr:col>4</xdr:col>
                    <xdr:colOff>142875</xdr:colOff>
                    <xdr:row>325</xdr:row>
                    <xdr:rowOff>9525</xdr:rowOff>
                  </from>
                  <to>
                    <xdr:col>4</xdr:col>
                    <xdr:colOff>381000</xdr:colOff>
                    <xdr:row>326</xdr:row>
                    <xdr:rowOff>0</xdr:rowOff>
                  </to>
                </anchor>
              </controlPr>
            </control>
          </mc:Choice>
        </mc:AlternateContent>
        <mc:AlternateContent xmlns:mc="http://schemas.openxmlformats.org/markup-compatibility/2006">
          <mc:Choice Requires="x14">
            <control shapeId="157319" r:id="rId155" name="Check Box 24199">
              <controlPr locked="0" defaultSize="0" autoFill="0" autoLine="0" autoPict="0">
                <anchor moveWithCells="1">
                  <from>
                    <xdr:col>4</xdr:col>
                    <xdr:colOff>142875</xdr:colOff>
                    <xdr:row>325</xdr:row>
                    <xdr:rowOff>9525</xdr:rowOff>
                  </from>
                  <to>
                    <xdr:col>4</xdr:col>
                    <xdr:colOff>381000</xdr:colOff>
                    <xdr:row>326</xdr:row>
                    <xdr:rowOff>0</xdr:rowOff>
                  </to>
                </anchor>
              </controlPr>
            </control>
          </mc:Choice>
        </mc:AlternateContent>
        <mc:AlternateContent xmlns:mc="http://schemas.openxmlformats.org/markup-compatibility/2006">
          <mc:Choice Requires="x14">
            <control shapeId="157320" r:id="rId156" name="Check Box 24200">
              <controlPr defaultSize="0" autoFill="0" autoLine="0" autoPict="0">
                <anchor moveWithCells="1">
                  <from>
                    <xdr:col>4</xdr:col>
                    <xdr:colOff>142875</xdr:colOff>
                    <xdr:row>326</xdr:row>
                    <xdr:rowOff>9525</xdr:rowOff>
                  </from>
                  <to>
                    <xdr:col>4</xdr:col>
                    <xdr:colOff>381000</xdr:colOff>
                    <xdr:row>327</xdr:row>
                    <xdr:rowOff>0</xdr:rowOff>
                  </to>
                </anchor>
              </controlPr>
            </control>
          </mc:Choice>
        </mc:AlternateContent>
        <mc:AlternateContent xmlns:mc="http://schemas.openxmlformats.org/markup-compatibility/2006">
          <mc:Choice Requires="x14">
            <control shapeId="157321" r:id="rId157" name="Check Box 24201">
              <controlPr defaultSize="0" autoFill="0" autoLine="0" autoPict="0">
                <anchor moveWithCells="1">
                  <from>
                    <xdr:col>4</xdr:col>
                    <xdr:colOff>142875</xdr:colOff>
                    <xdr:row>326</xdr:row>
                    <xdr:rowOff>9525</xdr:rowOff>
                  </from>
                  <to>
                    <xdr:col>4</xdr:col>
                    <xdr:colOff>381000</xdr:colOff>
                    <xdr:row>327</xdr:row>
                    <xdr:rowOff>0</xdr:rowOff>
                  </to>
                </anchor>
              </controlPr>
            </control>
          </mc:Choice>
        </mc:AlternateContent>
        <mc:AlternateContent xmlns:mc="http://schemas.openxmlformats.org/markup-compatibility/2006">
          <mc:Choice Requires="x14">
            <control shapeId="157322" r:id="rId158" name="Check Box 24202">
              <controlPr locked="0" defaultSize="0" autoFill="0" autoLine="0" autoPict="0">
                <anchor moveWithCells="1">
                  <from>
                    <xdr:col>4</xdr:col>
                    <xdr:colOff>142875</xdr:colOff>
                    <xdr:row>326</xdr:row>
                    <xdr:rowOff>9525</xdr:rowOff>
                  </from>
                  <to>
                    <xdr:col>4</xdr:col>
                    <xdr:colOff>381000</xdr:colOff>
                    <xdr:row>327</xdr:row>
                    <xdr:rowOff>0</xdr:rowOff>
                  </to>
                </anchor>
              </controlPr>
            </control>
          </mc:Choice>
        </mc:AlternateContent>
        <mc:AlternateContent xmlns:mc="http://schemas.openxmlformats.org/markup-compatibility/2006">
          <mc:Choice Requires="x14">
            <control shapeId="157323" r:id="rId159" name="Check Box 24203">
              <controlPr defaultSize="0" autoFill="0" autoLine="0" autoPict="0">
                <anchor moveWithCells="1">
                  <from>
                    <xdr:col>4</xdr:col>
                    <xdr:colOff>142875</xdr:colOff>
                    <xdr:row>327</xdr:row>
                    <xdr:rowOff>9525</xdr:rowOff>
                  </from>
                  <to>
                    <xdr:col>4</xdr:col>
                    <xdr:colOff>381000</xdr:colOff>
                    <xdr:row>328</xdr:row>
                    <xdr:rowOff>0</xdr:rowOff>
                  </to>
                </anchor>
              </controlPr>
            </control>
          </mc:Choice>
        </mc:AlternateContent>
        <mc:AlternateContent xmlns:mc="http://schemas.openxmlformats.org/markup-compatibility/2006">
          <mc:Choice Requires="x14">
            <control shapeId="157324" r:id="rId160" name="Check Box 24204">
              <controlPr defaultSize="0" autoFill="0" autoLine="0" autoPict="0">
                <anchor moveWithCells="1">
                  <from>
                    <xdr:col>4</xdr:col>
                    <xdr:colOff>142875</xdr:colOff>
                    <xdr:row>327</xdr:row>
                    <xdr:rowOff>9525</xdr:rowOff>
                  </from>
                  <to>
                    <xdr:col>4</xdr:col>
                    <xdr:colOff>381000</xdr:colOff>
                    <xdr:row>328</xdr:row>
                    <xdr:rowOff>0</xdr:rowOff>
                  </to>
                </anchor>
              </controlPr>
            </control>
          </mc:Choice>
        </mc:AlternateContent>
        <mc:AlternateContent xmlns:mc="http://schemas.openxmlformats.org/markup-compatibility/2006">
          <mc:Choice Requires="x14">
            <control shapeId="157325" r:id="rId161" name="Check Box 24205">
              <controlPr locked="0" defaultSize="0" autoFill="0" autoLine="0" autoPict="0">
                <anchor moveWithCells="1">
                  <from>
                    <xdr:col>4</xdr:col>
                    <xdr:colOff>142875</xdr:colOff>
                    <xdr:row>327</xdr:row>
                    <xdr:rowOff>9525</xdr:rowOff>
                  </from>
                  <to>
                    <xdr:col>4</xdr:col>
                    <xdr:colOff>381000</xdr:colOff>
                    <xdr:row>328</xdr:row>
                    <xdr:rowOff>0</xdr:rowOff>
                  </to>
                </anchor>
              </controlPr>
            </control>
          </mc:Choice>
        </mc:AlternateContent>
        <mc:AlternateContent xmlns:mc="http://schemas.openxmlformats.org/markup-compatibility/2006">
          <mc:Choice Requires="x14">
            <control shapeId="157326" r:id="rId162" name="Check Box 24206">
              <controlPr defaultSize="0" autoFill="0" autoLine="0" autoPict="0">
                <anchor moveWithCells="1">
                  <from>
                    <xdr:col>4</xdr:col>
                    <xdr:colOff>142875</xdr:colOff>
                    <xdr:row>328</xdr:row>
                    <xdr:rowOff>9525</xdr:rowOff>
                  </from>
                  <to>
                    <xdr:col>4</xdr:col>
                    <xdr:colOff>381000</xdr:colOff>
                    <xdr:row>329</xdr:row>
                    <xdr:rowOff>0</xdr:rowOff>
                  </to>
                </anchor>
              </controlPr>
            </control>
          </mc:Choice>
        </mc:AlternateContent>
        <mc:AlternateContent xmlns:mc="http://schemas.openxmlformats.org/markup-compatibility/2006">
          <mc:Choice Requires="x14">
            <control shapeId="157327" r:id="rId163" name="Check Box 24207">
              <controlPr defaultSize="0" autoFill="0" autoLine="0" autoPict="0">
                <anchor moveWithCells="1">
                  <from>
                    <xdr:col>4</xdr:col>
                    <xdr:colOff>142875</xdr:colOff>
                    <xdr:row>328</xdr:row>
                    <xdr:rowOff>9525</xdr:rowOff>
                  </from>
                  <to>
                    <xdr:col>4</xdr:col>
                    <xdr:colOff>381000</xdr:colOff>
                    <xdr:row>329</xdr:row>
                    <xdr:rowOff>0</xdr:rowOff>
                  </to>
                </anchor>
              </controlPr>
            </control>
          </mc:Choice>
        </mc:AlternateContent>
        <mc:AlternateContent xmlns:mc="http://schemas.openxmlformats.org/markup-compatibility/2006">
          <mc:Choice Requires="x14">
            <control shapeId="157328" r:id="rId164" name="Check Box 24208">
              <controlPr locked="0" defaultSize="0" autoFill="0" autoLine="0" autoPict="0">
                <anchor moveWithCells="1">
                  <from>
                    <xdr:col>4</xdr:col>
                    <xdr:colOff>142875</xdr:colOff>
                    <xdr:row>328</xdr:row>
                    <xdr:rowOff>9525</xdr:rowOff>
                  </from>
                  <to>
                    <xdr:col>4</xdr:col>
                    <xdr:colOff>381000</xdr:colOff>
                    <xdr:row>329</xdr:row>
                    <xdr:rowOff>0</xdr:rowOff>
                  </to>
                </anchor>
              </controlPr>
            </control>
          </mc:Choice>
        </mc:AlternateContent>
        <mc:AlternateContent xmlns:mc="http://schemas.openxmlformats.org/markup-compatibility/2006">
          <mc:Choice Requires="x14">
            <control shapeId="157329" r:id="rId165" name="Check Box 24209">
              <controlPr defaultSize="0" autoFill="0" autoLine="0" autoPict="0">
                <anchor moveWithCells="1">
                  <from>
                    <xdr:col>4</xdr:col>
                    <xdr:colOff>142875</xdr:colOff>
                    <xdr:row>329</xdr:row>
                    <xdr:rowOff>9525</xdr:rowOff>
                  </from>
                  <to>
                    <xdr:col>4</xdr:col>
                    <xdr:colOff>381000</xdr:colOff>
                    <xdr:row>330</xdr:row>
                    <xdr:rowOff>0</xdr:rowOff>
                  </to>
                </anchor>
              </controlPr>
            </control>
          </mc:Choice>
        </mc:AlternateContent>
        <mc:AlternateContent xmlns:mc="http://schemas.openxmlformats.org/markup-compatibility/2006">
          <mc:Choice Requires="x14">
            <control shapeId="157330" r:id="rId166" name="Check Box 24210">
              <controlPr defaultSize="0" autoFill="0" autoLine="0" autoPict="0">
                <anchor moveWithCells="1">
                  <from>
                    <xdr:col>4</xdr:col>
                    <xdr:colOff>142875</xdr:colOff>
                    <xdr:row>329</xdr:row>
                    <xdr:rowOff>9525</xdr:rowOff>
                  </from>
                  <to>
                    <xdr:col>4</xdr:col>
                    <xdr:colOff>381000</xdr:colOff>
                    <xdr:row>330</xdr:row>
                    <xdr:rowOff>0</xdr:rowOff>
                  </to>
                </anchor>
              </controlPr>
            </control>
          </mc:Choice>
        </mc:AlternateContent>
        <mc:AlternateContent xmlns:mc="http://schemas.openxmlformats.org/markup-compatibility/2006">
          <mc:Choice Requires="x14">
            <control shapeId="157331" r:id="rId167" name="Check Box 24211">
              <controlPr locked="0" defaultSize="0" autoFill="0" autoLine="0" autoPict="0">
                <anchor moveWithCells="1">
                  <from>
                    <xdr:col>4</xdr:col>
                    <xdr:colOff>142875</xdr:colOff>
                    <xdr:row>329</xdr:row>
                    <xdr:rowOff>9525</xdr:rowOff>
                  </from>
                  <to>
                    <xdr:col>4</xdr:col>
                    <xdr:colOff>381000</xdr:colOff>
                    <xdr:row>330</xdr:row>
                    <xdr:rowOff>0</xdr:rowOff>
                  </to>
                </anchor>
              </controlPr>
            </control>
          </mc:Choice>
        </mc:AlternateContent>
        <mc:AlternateContent xmlns:mc="http://schemas.openxmlformats.org/markup-compatibility/2006">
          <mc:Choice Requires="x14">
            <control shapeId="157332" r:id="rId168" name="Check Box 24212">
              <controlPr defaultSize="0" autoFill="0" autoLine="0" autoPict="0">
                <anchor moveWithCells="1">
                  <from>
                    <xdr:col>4</xdr:col>
                    <xdr:colOff>142875</xdr:colOff>
                    <xdr:row>330</xdr:row>
                    <xdr:rowOff>9525</xdr:rowOff>
                  </from>
                  <to>
                    <xdr:col>4</xdr:col>
                    <xdr:colOff>381000</xdr:colOff>
                    <xdr:row>331</xdr:row>
                    <xdr:rowOff>0</xdr:rowOff>
                  </to>
                </anchor>
              </controlPr>
            </control>
          </mc:Choice>
        </mc:AlternateContent>
        <mc:AlternateContent xmlns:mc="http://schemas.openxmlformats.org/markup-compatibility/2006">
          <mc:Choice Requires="x14">
            <control shapeId="157333" r:id="rId169" name="Check Box 24213">
              <controlPr defaultSize="0" autoFill="0" autoLine="0" autoPict="0">
                <anchor moveWithCells="1">
                  <from>
                    <xdr:col>4</xdr:col>
                    <xdr:colOff>142875</xdr:colOff>
                    <xdr:row>330</xdr:row>
                    <xdr:rowOff>9525</xdr:rowOff>
                  </from>
                  <to>
                    <xdr:col>4</xdr:col>
                    <xdr:colOff>381000</xdr:colOff>
                    <xdr:row>331</xdr:row>
                    <xdr:rowOff>0</xdr:rowOff>
                  </to>
                </anchor>
              </controlPr>
            </control>
          </mc:Choice>
        </mc:AlternateContent>
        <mc:AlternateContent xmlns:mc="http://schemas.openxmlformats.org/markup-compatibility/2006">
          <mc:Choice Requires="x14">
            <control shapeId="157334" r:id="rId170" name="Check Box 24214">
              <controlPr locked="0" defaultSize="0" autoFill="0" autoLine="0" autoPict="0">
                <anchor moveWithCells="1">
                  <from>
                    <xdr:col>4</xdr:col>
                    <xdr:colOff>142875</xdr:colOff>
                    <xdr:row>330</xdr:row>
                    <xdr:rowOff>9525</xdr:rowOff>
                  </from>
                  <to>
                    <xdr:col>4</xdr:col>
                    <xdr:colOff>381000</xdr:colOff>
                    <xdr:row>331</xdr:row>
                    <xdr:rowOff>0</xdr:rowOff>
                  </to>
                </anchor>
              </controlPr>
            </control>
          </mc:Choice>
        </mc:AlternateContent>
        <mc:AlternateContent xmlns:mc="http://schemas.openxmlformats.org/markup-compatibility/2006">
          <mc:Choice Requires="x14">
            <control shapeId="157335" r:id="rId171" name="Check Box 24215">
              <controlPr defaultSize="0" autoFill="0" autoLine="0" autoPict="0">
                <anchor moveWithCells="1">
                  <from>
                    <xdr:col>4</xdr:col>
                    <xdr:colOff>142875</xdr:colOff>
                    <xdr:row>331</xdr:row>
                    <xdr:rowOff>9525</xdr:rowOff>
                  </from>
                  <to>
                    <xdr:col>4</xdr:col>
                    <xdr:colOff>381000</xdr:colOff>
                    <xdr:row>332</xdr:row>
                    <xdr:rowOff>0</xdr:rowOff>
                  </to>
                </anchor>
              </controlPr>
            </control>
          </mc:Choice>
        </mc:AlternateContent>
        <mc:AlternateContent xmlns:mc="http://schemas.openxmlformats.org/markup-compatibility/2006">
          <mc:Choice Requires="x14">
            <control shapeId="157336" r:id="rId172" name="Check Box 24216">
              <controlPr defaultSize="0" autoFill="0" autoLine="0" autoPict="0">
                <anchor moveWithCells="1">
                  <from>
                    <xdr:col>4</xdr:col>
                    <xdr:colOff>142875</xdr:colOff>
                    <xdr:row>331</xdr:row>
                    <xdr:rowOff>9525</xdr:rowOff>
                  </from>
                  <to>
                    <xdr:col>4</xdr:col>
                    <xdr:colOff>381000</xdr:colOff>
                    <xdr:row>332</xdr:row>
                    <xdr:rowOff>0</xdr:rowOff>
                  </to>
                </anchor>
              </controlPr>
            </control>
          </mc:Choice>
        </mc:AlternateContent>
        <mc:AlternateContent xmlns:mc="http://schemas.openxmlformats.org/markup-compatibility/2006">
          <mc:Choice Requires="x14">
            <control shapeId="157337" r:id="rId173" name="Check Box 24217">
              <controlPr locked="0" defaultSize="0" autoFill="0" autoLine="0" autoPict="0">
                <anchor moveWithCells="1">
                  <from>
                    <xdr:col>4</xdr:col>
                    <xdr:colOff>142875</xdr:colOff>
                    <xdr:row>331</xdr:row>
                    <xdr:rowOff>9525</xdr:rowOff>
                  </from>
                  <to>
                    <xdr:col>4</xdr:col>
                    <xdr:colOff>381000</xdr:colOff>
                    <xdr:row>332</xdr:row>
                    <xdr:rowOff>0</xdr:rowOff>
                  </to>
                </anchor>
              </controlPr>
            </control>
          </mc:Choice>
        </mc:AlternateContent>
        <mc:AlternateContent xmlns:mc="http://schemas.openxmlformats.org/markup-compatibility/2006">
          <mc:Choice Requires="x14">
            <control shapeId="157338" r:id="rId174" name="Check Box 24218">
              <controlPr defaultSize="0" autoFill="0" autoLine="0" autoPict="0">
                <anchor moveWithCells="1">
                  <from>
                    <xdr:col>4</xdr:col>
                    <xdr:colOff>142875</xdr:colOff>
                    <xdr:row>332</xdr:row>
                    <xdr:rowOff>9525</xdr:rowOff>
                  </from>
                  <to>
                    <xdr:col>4</xdr:col>
                    <xdr:colOff>381000</xdr:colOff>
                    <xdr:row>333</xdr:row>
                    <xdr:rowOff>0</xdr:rowOff>
                  </to>
                </anchor>
              </controlPr>
            </control>
          </mc:Choice>
        </mc:AlternateContent>
        <mc:AlternateContent xmlns:mc="http://schemas.openxmlformats.org/markup-compatibility/2006">
          <mc:Choice Requires="x14">
            <control shapeId="157339" r:id="rId175" name="Check Box 24219">
              <controlPr defaultSize="0" autoFill="0" autoLine="0" autoPict="0">
                <anchor moveWithCells="1">
                  <from>
                    <xdr:col>4</xdr:col>
                    <xdr:colOff>142875</xdr:colOff>
                    <xdr:row>332</xdr:row>
                    <xdr:rowOff>9525</xdr:rowOff>
                  </from>
                  <to>
                    <xdr:col>4</xdr:col>
                    <xdr:colOff>381000</xdr:colOff>
                    <xdr:row>333</xdr:row>
                    <xdr:rowOff>0</xdr:rowOff>
                  </to>
                </anchor>
              </controlPr>
            </control>
          </mc:Choice>
        </mc:AlternateContent>
        <mc:AlternateContent xmlns:mc="http://schemas.openxmlformats.org/markup-compatibility/2006">
          <mc:Choice Requires="x14">
            <control shapeId="157340" r:id="rId176" name="Check Box 24220">
              <controlPr locked="0" defaultSize="0" autoFill="0" autoLine="0" autoPict="0">
                <anchor moveWithCells="1">
                  <from>
                    <xdr:col>4</xdr:col>
                    <xdr:colOff>142875</xdr:colOff>
                    <xdr:row>332</xdr:row>
                    <xdr:rowOff>9525</xdr:rowOff>
                  </from>
                  <to>
                    <xdr:col>4</xdr:col>
                    <xdr:colOff>381000</xdr:colOff>
                    <xdr:row>333</xdr:row>
                    <xdr:rowOff>0</xdr:rowOff>
                  </to>
                </anchor>
              </controlPr>
            </control>
          </mc:Choice>
        </mc:AlternateContent>
        <mc:AlternateContent xmlns:mc="http://schemas.openxmlformats.org/markup-compatibility/2006">
          <mc:Choice Requires="x14">
            <control shapeId="157341" r:id="rId177" name="Check Box 24221">
              <controlPr defaultSize="0" autoFill="0" autoLine="0" autoPict="0">
                <anchor moveWithCells="1">
                  <from>
                    <xdr:col>4</xdr:col>
                    <xdr:colOff>142875</xdr:colOff>
                    <xdr:row>333</xdr:row>
                    <xdr:rowOff>9525</xdr:rowOff>
                  </from>
                  <to>
                    <xdr:col>4</xdr:col>
                    <xdr:colOff>381000</xdr:colOff>
                    <xdr:row>334</xdr:row>
                    <xdr:rowOff>0</xdr:rowOff>
                  </to>
                </anchor>
              </controlPr>
            </control>
          </mc:Choice>
        </mc:AlternateContent>
        <mc:AlternateContent xmlns:mc="http://schemas.openxmlformats.org/markup-compatibility/2006">
          <mc:Choice Requires="x14">
            <control shapeId="157342" r:id="rId178" name="Check Box 24222">
              <controlPr defaultSize="0" autoFill="0" autoLine="0" autoPict="0">
                <anchor moveWithCells="1">
                  <from>
                    <xdr:col>4</xdr:col>
                    <xdr:colOff>142875</xdr:colOff>
                    <xdr:row>333</xdr:row>
                    <xdr:rowOff>9525</xdr:rowOff>
                  </from>
                  <to>
                    <xdr:col>4</xdr:col>
                    <xdr:colOff>381000</xdr:colOff>
                    <xdr:row>334</xdr:row>
                    <xdr:rowOff>0</xdr:rowOff>
                  </to>
                </anchor>
              </controlPr>
            </control>
          </mc:Choice>
        </mc:AlternateContent>
        <mc:AlternateContent xmlns:mc="http://schemas.openxmlformats.org/markup-compatibility/2006">
          <mc:Choice Requires="x14">
            <control shapeId="157343" r:id="rId179" name="Check Box 24223">
              <controlPr locked="0" defaultSize="0" autoFill="0" autoLine="0" autoPict="0">
                <anchor moveWithCells="1">
                  <from>
                    <xdr:col>4</xdr:col>
                    <xdr:colOff>142875</xdr:colOff>
                    <xdr:row>333</xdr:row>
                    <xdr:rowOff>9525</xdr:rowOff>
                  </from>
                  <to>
                    <xdr:col>4</xdr:col>
                    <xdr:colOff>381000</xdr:colOff>
                    <xdr:row>334</xdr:row>
                    <xdr:rowOff>0</xdr:rowOff>
                  </to>
                </anchor>
              </controlPr>
            </control>
          </mc:Choice>
        </mc:AlternateContent>
        <mc:AlternateContent xmlns:mc="http://schemas.openxmlformats.org/markup-compatibility/2006">
          <mc:Choice Requires="x14">
            <control shapeId="157344" r:id="rId180" name="Check Box 24224">
              <controlPr defaultSize="0" autoFill="0" autoLine="0" autoPict="0">
                <anchor moveWithCells="1">
                  <from>
                    <xdr:col>4</xdr:col>
                    <xdr:colOff>142875</xdr:colOff>
                    <xdr:row>334</xdr:row>
                    <xdr:rowOff>9525</xdr:rowOff>
                  </from>
                  <to>
                    <xdr:col>4</xdr:col>
                    <xdr:colOff>381000</xdr:colOff>
                    <xdr:row>335</xdr:row>
                    <xdr:rowOff>0</xdr:rowOff>
                  </to>
                </anchor>
              </controlPr>
            </control>
          </mc:Choice>
        </mc:AlternateContent>
        <mc:AlternateContent xmlns:mc="http://schemas.openxmlformats.org/markup-compatibility/2006">
          <mc:Choice Requires="x14">
            <control shapeId="157345" r:id="rId181" name="Check Box 24225">
              <controlPr defaultSize="0" autoFill="0" autoLine="0" autoPict="0">
                <anchor moveWithCells="1">
                  <from>
                    <xdr:col>4</xdr:col>
                    <xdr:colOff>142875</xdr:colOff>
                    <xdr:row>334</xdr:row>
                    <xdr:rowOff>9525</xdr:rowOff>
                  </from>
                  <to>
                    <xdr:col>4</xdr:col>
                    <xdr:colOff>381000</xdr:colOff>
                    <xdr:row>335</xdr:row>
                    <xdr:rowOff>0</xdr:rowOff>
                  </to>
                </anchor>
              </controlPr>
            </control>
          </mc:Choice>
        </mc:AlternateContent>
        <mc:AlternateContent xmlns:mc="http://schemas.openxmlformats.org/markup-compatibility/2006">
          <mc:Choice Requires="x14">
            <control shapeId="157346" r:id="rId182" name="Check Box 24226">
              <controlPr locked="0" defaultSize="0" autoFill="0" autoLine="0" autoPict="0">
                <anchor moveWithCells="1">
                  <from>
                    <xdr:col>4</xdr:col>
                    <xdr:colOff>142875</xdr:colOff>
                    <xdr:row>334</xdr:row>
                    <xdr:rowOff>9525</xdr:rowOff>
                  </from>
                  <to>
                    <xdr:col>4</xdr:col>
                    <xdr:colOff>381000</xdr:colOff>
                    <xdr:row>335</xdr:row>
                    <xdr:rowOff>0</xdr:rowOff>
                  </to>
                </anchor>
              </controlPr>
            </control>
          </mc:Choice>
        </mc:AlternateContent>
        <mc:AlternateContent xmlns:mc="http://schemas.openxmlformats.org/markup-compatibility/2006">
          <mc:Choice Requires="x14">
            <control shapeId="157347" r:id="rId183" name="Check Box 24227">
              <controlPr defaultSize="0" autoFill="0" autoLine="0" autoPict="0">
                <anchor moveWithCells="1">
                  <from>
                    <xdr:col>4</xdr:col>
                    <xdr:colOff>142875</xdr:colOff>
                    <xdr:row>335</xdr:row>
                    <xdr:rowOff>9525</xdr:rowOff>
                  </from>
                  <to>
                    <xdr:col>4</xdr:col>
                    <xdr:colOff>381000</xdr:colOff>
                    <xdr:row>336</xdr:row>
                    <xdr:rowOff>0</xdr:rowOff>
                  </to>
                </anchor>
              </controlPr>
            </control>
          </mc:Choice>
        </mc:AlternateContent>
        <mc:AlternateContent xmlns:mc="http://schemas.openxmlformats.org/markup-compatibility/2006">
          <mc:Choice Requires="x14">
            <control shapeId="157348" r:id="rId184" name="Check Box 24228">
              <controlPr defaultSize="0" autoFill="0" autoLine="0" autoPict="0">
                <anchor moveWithCells="1">
                  <from>
                    <xdr:col>4</xdr:col>
                    <xdr:colOff>142875</xdr:colOff>
                    <xdr:row>335</xdr:row>
                    <xdr:rowOff>9525</xdr:rowOff>
                  </from>
                  <to>
                    <xdr:col>4</xdr:col>
                    <xdr:colOff>381000</xdr:colOff>
                    <xdr:row>336</xdr:row>
                    <xdr:rowOff>0</xdr:rowOff>
                  </to>
                </anchor>
              </controlPr>
            </control>
          </mc:Choice>
        </mc:AlternateContent>
        <mc:AlternateContent xmlns:mc="http://schemas.openxmlformats.org/markup-compatibility/2006">
          <mc:Choice Requires="x14">
            <control shapeId="157349" r:id="rId185" name="Check Box 24229">
              <controlPr locked="0" defaultSize="0" autoFill="0" autoLine="0" autoPict="0">
                <anchor moveWithCells="1">
                  <from>
                    <xdr:col>4</xdr:col>
                    <xdr:colOff>142875</xdr:colOff>
                    <xdr:row>335</xdr:row>
                    <xdr:rowOff>9525</xdr:rowOff>
                  </from>
                  <to>
                    <xdr:col>4</xdr:col>
                    <xdr:colOff>381000</xdr:colOff>
                    <xdr:row>336</xdr:row>
                    <xdr:rowOff>0</xdr:rowOff>
                  </to>
                </anchor>
              </controlPr>
            </control>
          </mc:Choice>
        </mc:AlternateContent>
        <mc:AlternateContent xmlns:mc="http://schemas.openxmlformats.org/markup-compatibility/2006">
          <mc:Choice Requires="x14">
            <control shapeId="157350" r:id="rId186" name="Check Box 24230">
              <controlPr defaultSize="0" autoFill="0" autoLine="0" autoPict="0">
                <anchor moveWithCells="1">
                  <from>
                    <xdr:col>4</xdr:col>
                    <xdr:colOff>142875</xdr:colOff>
                    <xdr:row>336</xdr:row>
                    <xdr:rowOff>9525</xdr:rowOff>
                  </from>
                  <to>
                    <xdr:col>4</xdr:col>
                    <xdr:colOff>381000</xdr:colOff>
                    <xdr:row>337</xdr:row>
                    <xdr:rowOff>0</xdr:rowOff>
                  </to>
                </anchor>
              </controlPr>
            </control>
          </mc:Choice>
        </mc:AlternateContent>
        <mc:AlternateContent xmlns:mc="http://schemas.openxmlformats.org/markup-compatibility/2006">
          <mc:Choice Requires="x14">
            <control shapeId="157351" r:id="rId187" name="Check Box 24231">
              <controlPr locked="0" defaultSize="0" autoFill="0" autoLine="0" autoPict="0">
                <anchor moveWithCells="1">
                  <from>
                    <xdr:col>4</xdr:col>
                    <xdr:colOff>142875</xdr:colOff>
                    <xdr:row>336</xdr:row>
                    <xdr:rowOff>9525</xdr:rowOff>
                  </from>
                  <to>
                    <xdr:col>4</xdr:col>
                    <xdr:colOff>381000</xdr:colOff>
                    <xdr:row>337</xdr:row>
                    <xdr:rowOff>0</xdr:rowOff>
                  </to>
                </anchor>
              </controlPr>
            </control>
          </mc:Choice>
        </mc:AlternateContent>
        <mc:AlternateContent xmlns:mc="http://schemas.openxmlformats.org/markup-compatibility/2006">
          <mc:Choice Requires="x14">
            <control shapeId="183268" r:id="rId188" name="Drop Down 35812">
              <controlPr defaultSize="0" autoLine="0" autoPict="0">
                <anchor moveWithCells="1">
                  <from>
                    <xdr:col>3</xdr:col>
                    <xdr:colOff>19050</xdr:colOff>
                    <xdr:row>307</xdr:row>
                    <xdr:rowOff>19050</xdr:rowOff>
                  </from>
                  <to>
                    <xdr:col>3</xdr:col>
                    <xdr:colOff>504825</xdr:colOff>
                    <xdr:row>308</xdr:row>
                    <xdr:rowOff>0</xdr:rowOff>
                  </to>
                </anchor>
              </controlPr>
            </control>
          </mc:Choice>
        </mc:AlternateContent>
        <mc:AlternateContent xmlns:mc="http://schemas.openxmlformats.org/markup-compatibility/2006">
          <mc:Choice Requires="x14">
            <control shapeId="186470" r:id="rId189" name="Drop Down 35942">
              <controlPr defaultSize="0" autoLine="0" autoPict="0">
                <anchor moveWithCells="1">
                  <from>
                    <xdr:col>3</xdr:col>
                    <xdr:colOff>19050</xdr:colOff>
                    <xdr:row>308</xdr:row>
                    <xdr:rowOff>19050</xdr:rowOff>
                  </from>
                  <to>
                    <xdr:col>3</xdr:col>
                    <xdr:colOff>504825</xdr:colOff>
                    <xdr:row>309</xdr:row>
                    <xdr:rowOff>0</xdr:rowOff>
                  </to>
                </anchor>
              </controlPr>
            </control>
          </mc:Choice>
        </mc:AlternateContent>
        <mc:AlternateContent xmlns:mc="http://schemas.openxmlformats.org/markup-compatibility/2006">
          <mc:Choice Requires="x14">
            <control shapeId="186471" r:id="rId190" name="Drop Down 35943">
              <controlPr defaultSize="0" autoLine="0" autoPict="0">
                <anchor moveWithCells="1">
                  <from>
                    <xdr:col>3</xdr:col>
                    <xdr:colOff>19050</xdr:colOff>
                    <xdr:row>309</xdr:row>
                    <xdr:rowOff>19050</xdr:rowOff>
                  </from>
                  <to>
                    <xdr:col>3</xdr:col>
                    <xdr:colOff>504825</xdr:colOff>
                    <xdr:row>310</xdr:row>
                    <xdr:rowOff>0</xdr:rowOff>
                  </to>
                </anchor>
              </controlPr>
            </control>
          </mc:Choice>
        </mc:AlternateContent>
        <mc:AlternateContent xmlns:mc="http://schemas.openxmlformats.org/markup-compatibility/2006">
          <mc:Choice Requires="x14">
            <control shapeId="186472" r:id="rId191" name="Drop Down 35944">
              <controlPr defaultSize="0" autoLine="0" autoPict="0">
                <anchor moveWithCells="1">
                  <from>
                    <xdr:col>3</xdr:col>
                    <xdr:colOff>19050</xdr:colOff>
                    <xdr:row>310</xdr:row>
                    <xdr:rowOff>19050</xdr:rowOff>
                  </from>
                  <to>
                    <xdr:col>3</xdr:col>
                    <xdr:colOff>504825</xdr:colOff>
                    <xdr:row>311</xdr:row>
                    <xdr:rowOff>0</xdr:rowOff>
                  </to>
                </anchor>
              </controlPr>
            </control>
          </mc:Choice>
        </mc:AlternateContent>
        <mc:AlternateContent xmlns:mc="http://schemas.openxmlformats.org/markup-compatibility/2006">
          <mc:Choice Requires="x14">
            <control shapeId="186473" r:id="rId192" name="Drop Down 35945">
              <controlPr defaultSize="0" autoLine="0" autoPict="0">
                <anchor moveWithCells="1">
                  <from>
                    <xdr:col>3</xdr:col>
                    <xdr:colOff>19050</xdr:colOff>
                    <xdr:row>311</xdr:row>
                    <xdr:rowOff>19050</xdr:rowOff>
                  </from>
                  <to>
                    <xdr:col>3</xdr:col>
                    <xdr:colOff>504825</xdr:colOff>
                    <xdr:row>312</xdr:row>
                    <xdr:rowOff>0</xdr:rowOff>
                  </to>
                </anchor>
              </controlPr>
            </control>
          </mc:Choice>
        </mc:AlternateContent>
        <mc:AlternateContent xmlns:mc="http://schemas.openxmlformats.org/markup-compatibility/2006">
          <mc:Choice Requires="x14">
            <control shapeId="186474" r:id="rId193" name="Drop Down 35946">
              <controlPr defaultSize="0" autoLine="0" autoPict="0">
                <anchor moveWithCells="1">
                  <from>
                    <xdr:col>3</xdr:col>
                    <xdr:colOff>19050</xdr:colOff>
                    <xdr:row>312</xdr:row>
                    <xdr:rowOff>19050</xdr:rowOff>
                  </from>
                  <to>
                    <xdr:col>3</xdr:col>
                    <xdr:colOff>504825</xdr:colOff>
                    <xdr:row>313</xdr:row>
                    <xdr:rowOff>0</xdr:rowOff>
                  </to>
                </anchor>
              </controlPr>
            </control>
          </mc:Choice>
        </mc:AlternateContent>
        <mc:AlternateContent xmlns:mc="http://schemas.openxmlformats.org/markup-compatibility/2006">
          <mc:Choice Requires="x14">
            <control shapeId="186475" r:id="rId194" name="Drop Down 35947">
              <controlPr defaultSize="0" autoLine="0" autoPict="0">
                <anchor moveWithCells="1">
                  <from>
                    <xdr:col>3</xdr:col>
                    <xdr:colOff>19050</xdr:colOff>
                    <xdr:row>313</xdr:row>
                    <xdr:rowOff>19050</xdr:rowOff>
                  </from>
                  <to>
                    <xdr:col>3</xdr:col>
                    <xdr:colOff>504825</xdr:colOff>
                    <xdr:row>314</xdr:row>
                    <xdr:rowOff>0</xdr:rowOff>
                  </to>
                </anchor>
              </controlPr>
            </control>
          </mc:Choice>
        </mc:AlternateContent>
        <mc:AlternateContent xmlns:mc="http://schemas.openxmlformats.org/markup-compatibility/2006">
          <mc:Choice Requires="x14">
            <control shapeId="186476" r:id="rId195" name="Drop Down 35948">
              <controlPr defaultSize="0" autoLine="0" autoPict="0">
                <anchor moveWithCells="1">
                  <from>
                    <xdr:col>3</xdr:col>
                    <xdr:colOff>19050</xdr:colOff>
                    <xdr:row>314</xdr:row>
                    <xdr:rowOff>19050</xdr:rowOff>
                  </from>
                  <to>
                    <xdr:col>3</xdr:col>
                    <xdr:colOff>504825</xdr:colOff>
                    <xdr:row>315</xdr:row>
                    <xdr:rowOff>0</xdr:rowOff>
                  </to>
                </anchor>
              </controlPr>
            </control>
          </mc:Choice>
        </mc:AlternateContent>
        <mc:AlternateContent xmlns:mc="http://schemas.openxmlformats.org/markup-compatibility/2006">
          <mc:Choice Requires="x14">
            <control shapeId="186477" r:id="rId196" name="Drop Down 35949">
              <controlPr defaultSize="0" autoLine="0" autoPict="0">
                <anchor moveWithCells="1">
                  <from>
                    <xdr:col>3</xdr:col>
                    <xdr:colOff>19050</xdr:colOff>
                    <xdr:row>315</xdr:row>
                    <xdr:rowOff>19050</xdr:rowOff>
                  </from>
                  <to>
                    <xdr:col>3</xdr:col>
                    <xdr:colOff>504825</xdr:colOff>
                    <xdr:row>316</xdr:row>
                    <xdr:rowOff>0</xdr:rowOff>
                  </to>
                </anchor>
              </controlPr>
            </control>
          </mc:Choice>
        </mc:AlternateContent>
        <mc:AlternateContent xmlns:mc="http://schemas.openxmlformats.org/markup-compatibility/2006">
          <mc:Choice Requires="x14">
            <control shapeId="186478" r:id="rId197" name="Drop Down 35950">
              <controlPr defaultSize="0" autoLine="0" autoPict="0">
                <anchor moveWithCells="1">
                  <from>
                    <xdr:col>3</xdr:col>
                    <xdr:colOff>19050</xdr:colOff>
                    <xdr:row>316</xdr:row>
                    <xdr:rowOff>19050</xdr:rowOff>
                  </from>
                  <to>
                    <xdr:col>3</xdr:col>
                    <xdr:colOff>504825</xdr:colOff>
                    <xdr:row>317</xdr:row>
                    <xdr:rowOff>0</xdr:rowOff>
                  </to>
                </anchor>
              </controlPr>
            </control>
          </mc:Choice>
        </mc:AlternateContent>
        <mc:AlternateContent xmlns:mc="http://schemas.openxmlformats.org/markup-compatibility/2006">
          <mc:Choice Requires="x14">
            <control shapeId="186479" r:id="rId198" name="Drop Down 35951">
              <controlPr defaultSize="0" autoLine="0" autoPict="0">
                <anchor moveWithCells="1">
                  <from>
                    <xdr:col>3</xdr:col>
                    <xdr:colOff>19050</xdr:colOff>
                    <xdr:row>317</xdr:row>
                    <xdr:rowOff>19050</xdr:rowOff>
                  </from>
                  <to>
                    <xdr:col>3</xdr:col>
                    <xdr:colOff>504825</xdr:colOff>
                    <xdr:row>318</xdr:row>
                    <xdr:rowOff>0</xdr:rowOff>
                  </to>
                </anchor>
              </controlPr>
            </control>
          </mc:Choice>
        </mc:AlternateContent>
        <mc:AlternateContent xmlns:mc="http://schemas.openxmlformats.org/markup-compatibility/2006">
          <mc:Choice Requires="x14">
            <control shapeId="186480" r:id="rId199" name="Drop Down 35952">
              <controlPr defaultSize="0" autoLine="0" autoPict="0">
                <anchor moveWithCells="1">
                  <from>
                    <xdr:col>3</xdr:col>
                    <xdr:colOff>19050</xdr:colOff>
                    <xdr:row>318</xdr:row>
                    <xdr:rowOff>19050</xdr:rowOff>
                  </from>
                  <to>
                    <xdr:col>3</xdr:col>
                    <xdr:colOff>504825</xdr:colOff>
                    <xdr:row>319</xdr:row>
                    <xdr:rowOff>0</xdr:rowOff>
                  </to>
                </anchor>
              </controlPr>
            </control>
          </mc:Choice>
        </mc:AlternateContent>
        <mc:AlternateContent xmlns:mc="http://schemas.openxmlformats.org/markup-compatibility/2006">
          <mc:Choice Requires="x14">
            <control shapeId="186481" r:id="rId200" name="Drop Down 35953">
              <controlPr defaultSize="0" autoLine="0" autoPict="0">
                <anchor moveWithCells="1">
                  <from>
                    <xdr:col>3</xdr:col>
                    <xdr:colOff>19050</xdr:colOff>
                    <xdr:row>319</xdr:row>
                    <xdr:rowOff>19050</xdr:rowOff>
                  </from>
                  <to>
                    <xdr:col>3</xdr:col>
                    <xdr:colOff>504825</xdr:colOff>
                    <xdr:row>320</xdr:row>
                    <xdr:rowOff>0</xdr:rowOff>
                  </to>
                </anchor>
              </controlPr>
            </control>
          </mc:Choice>
        </mc:AlternateContent>
        <mc:AlternateContent xmlns:mc="http://schemas.openxmlformats.org/markup-compatibility/2006">
          <mc:Choice Requires="x14">
            <control shapeId="186482" r:id="rId201" name="Drop Down 35954">
              <controlPr defaultSize="0" autoLine="0" autoPict="0">
                <anchor moveWithCells="1">
                  <from>
                    <xdr:col>3</xdr:col>
                    <xdr:colOff>19050</xdr:colOff>
                    <xdr:row>320</xdr:row>
                    <xdr:rowOff>19050</xdr:rowOff>
                  </from>
                  <to>
                    <xdr:col>3</xdr:col>
                    <xdr:colOff>504825</xdr:colOff>
                    <xdr:row>321</xdr:row>
                    <xdr:rowOff>0</xdr:rowOff>
                  </to>
                </anchor>
              </controlPr>
            </control>
          </mc:Choice>
        </mc:AlternateContent>
        <mc:AlternateContent xmlns:mc="http://schemas.openxmlformats.org/markup-compatibility/2006">
          <mc:Choice Requires="x14">
            <control shapeId="186483" r:id="rId202" name="Drop Down 35955">
              <controlPr defaultSize="0" autoLine="0" autoPict="0">
                <anchor moveWithCells="1">
                  <from>
                    <xdr:col>3</xdr:col>
                    <xdr:colOff>19050</xdr:colOff>
                    <xdr:row>321</xdr:row>
                    <xdr:rowOff>19050</xdr:rowOff>
                  </from>
                  <to>
                    <xdr:col>3</xdr:col>
                    <xdr:colOff>504825</xdr:colOff>
                    <xdr:row>322</xdr:row>
                    <xdr:rowOff>0</xdr:rowOff>
                  </to>
                </anchor>
              </controlPr>
            </control>
          </mc:Choice>
        </mc:AlternateContent>
        <mc:AlternateContent xmlns:mc="http://schemas.openxmlformats.org/markup-compatibility/2006">
          <mc:Choice Requires="x14">
            <control shapeId="186484" r:id="rId203" name="Drop Down 35956">
              <controlPr defaultSize="0" autoLine="0" autoPict="0">
                <anchor moveWithCells="1">
                  <from>
                    <xdr:col>3</xdr:col>
                    <xdr:colOff>19050</xdr:colOff>
                    <xdr:row>322</xdr:row>
                    <xdr:rowOff>19050</xdr:rowOff>
                  </from>
                  <to>
                    <xdr:col>3</xdr:col>
                    <xdr:colOff>504825</xdr:colOff>
                    <xdr:row>323</xdr:row>
                    <xdr:rowOff>0</xdr:rowOff>
                  </to>
                </anchor>
              </controlPr>
            </control>
          </mc:Choice>
        </mc:AlternateContent>
        <mc:AlternateContent xmlns:mc="http://schemas.openxmlformats.org/markup-compatibility/2006">
          <mc:Choice Requires="x14">
            <control shapeId="186485" r:id="rId204" name="Drop Down 35957">
              <controlPr defaultSize="0" autoLine="0" autoPict="0">
                <anchor moveWithCells="1">
                  <from>
                    <xdr:col>3</xdr:col>
                    <xdr:colOff>19050</xdr:colOff>
                    <xdr:row>323</xdr:row>
                    <xdr:rowOff>19050</xdr:rowOff>
                  </from>
                  <to>
                    <xdr:col>3</xdr:col>
                    <xdr:colOff>504825</xdr:colOff>
                    <xdr:row>324</xdr:row>
                    <xdr:rowOff>0</xdr:rowOff>
                  </to>
                </anchor>
              </controlPr>
            </control>
          </mc:Choice>
        </mc:AlternateContent>
        <mc:AlternateContent xmlns:mc="http://schemas.openxmlformats.org/markup-compatibility/2006">
          <mc:Choice Requires="x14">
            <control shapeId="186486" r:id="rId205" name="Drop Down 35958">
              <controlPr defaultSize="0" autoLine="0" autoPict="0">
                <anchor moveWithCells="1">
                  <from>
                    <xdr:col>3</xdr:col>
                    <xdr:colOff>19050</xdr:colOff>
                    <xdr:row>324</xdr:row>
                    <xdr:rowOff>19050</xdr:rowOff>
                  </from>
                  <to>
                    <xdr:col>3</xdr:col>
                    <xdr:colOff>504825</xdr:colOff>
                    <xdr:row>325</xdr:row>
                    <xdr:rowOff>0</xdr:rowOff>
                  </to>
                </anchor>
              </controlPr>
            </control>
          </mc:Choice>
        </mc:AlternateContent>
        <mc:AlternateContent xmlns:mc="http://schemas.openxmlformats.org/markup-compatibility/2006">
          <mc:Choice Requires="x14">
            <control shapeId="186487" r:id="rId206" name="Drop Down 35959">
              <controlPr defaultSize="0" autoLine="0" autoPict="0">
                <anchor moveWithCells="1">
                  <from>
                    <xdr:col>3</xdr:col>
                    <xdr:colOff>19050</xdr:colOff>
                    <xdr:row>325</xdr:row>
                    <xdr:rowOff>19050</xdr:rowOff>
                  </from>
                  <to>
                    <xdr:col>3</xdr:col>
                    <xdr:colOff>504825</xdr:colOff>
                    <xdr:row>326</xdr:row>
                    <xdr:rowOff>0</xdr:rowOff>
                  </to>
                </anchor>
              </controlPr>
            </control>
          </mc:Choice>
        </mc:AlternateContent>
        <mc:AlternateContent xmlns:mc="http://schemas.openxmlformats.org/markup-compatibility/2006">
          <mc:Choice Requires="x14">
            <control shapeId="186488" r:id="rId207" name="Drop Down 35960">
              <controlPr defaultSize="0" autoLine="0" autoPict="0">
                <anchor moveWithCells="1">
                  <from>
                    <xdr:col>3</xdr:col>
                    <xdr:colOff>19050</xdr:colOff>
                    <xdr:row>326</xdr:row>
                    <xdr:rowOff>19050</xdr:rowOff>
                  </from>
                  <to>
                    <xdr:col>3</xdr:col>
                    <xdr:colOff>504825</xdr:colOff>
                    <xdr:row>327</xdr:row>
                    <xdr:rowOff>0</xdr:rowOff>
                  </to>
                </anchor>
              </controlPr>
            </control>
          </mc:Choice>
        </mc:AlternateContent>
        <mc:AlternateContent xmlns:mc="http://schemas.openxmlformats.org/markup-compatibility/2006">
          <mc:Choice Requires="x14">
            <control shapeId="186489" r:id="rId208" name="Drop Down 35961">
              <controlPr defaultSize="0" autoLine="0" autoPict="0">
                <anchor moveWithCells="1">
                  <from>
                    <xdr:col>3</xdr:col>
                    <xdr:colOff>19050</xdr:colOff>
                    <xdr:row>327</xdr:row>
                    <xdr:rowOff>19050</xdr:rowOff>
                  </from>
                  <to>
                    <xdr:col>3</xdr:col>
                    <xdr:colOff>504825</xdr:colOff>
                    <xdr:row>328</xdr:row>
                    <xdr:rowOff>0</xdr:rowOff>
                  </to>
                </anchor>
              </controlPr>
            </control>
          </mc:Choice>
        </mc:AlternateContent>
        <mc:AlternateContent xmlns:mc="http://schemas.openxmlformats.org/markup-compatibility/2006">
          <mc:Choice Requires="x14">
            <control shapeId="186490" r:id="rId209" name="Drop Down 35962">
              <controlPr defaultSize="0" autoLine="0" autoPict="0">
                <anchor moveWithCells="1">
                  <from>
                    <xdr:col>3</xdr:col>
                    <xdr:colOff>19050</xdr:colOff>
                    <xdr:row>328</xdr:row>
                    <xdr:rowOff>19050</xdr:rowOff>
                  </from>
                  <to>
                    <xdr:col>3</xdr:col>
                    <xdr:colOff>504825</xdr:colOff>
                    <xdr:row>329</xdr:row>
                    <xdr:rowOff>0</xdr:rowOff>
                  </to>
                </anchor>
              </controlPr>
            </control>
          </mc:Choice>
        </mc:AlternateContent>
        <mc:AlternateContent xmlns:mc="http://schemas.openxmlformats.org/markup-compatibility/2006">
          <mc:Choice Requires="x14">
            <control shapeId="186491" r:id="rId210" name="Drop Down 35963">
              <controlPr defaultSize="0" autoLine="0" autoPict="0">
                <anchor moveWithCells="1">
                  <from>
                    <xdr:col>3</xdr:col>
                    <xdr:colOff>19050</xdr:colOff>
                    <xdr:row>329</xdr:row>
                    <xdr:rowOff>19050</xdr:rowOff>
                  </from>
                  <to>
                    <xdr:col>3</xdr:col>
                    <xdr:colOff>504825</xdr:colOff>
                    <xdr:row>330</xdr:row>
                    <xdr:rowOff>0</xdr:rowOff>
                  </to>
                </anchor>
              </controlPr>
            </control>
          </mc:Choice>
        </mc:AlternateContent>
        <mc:AlternateContent xmlns:mc="http://schemas.openxmlformats.org/markup-compatibility/2006">
          <mc:Choice Requires="x14">
            <control shapeId="186492" r:id="rId211" name="Drop Down 35964">
              <controlPr defaultSize="0" autoLine="0" autoPict="0">
                <anchor moveWithCells="1">
                  <from>
                    <xdr:col>3</xdr:col>
                    <xdr:colOff>19050</xdr:colOff>
                    <xdr:row>330</xdr:row>
                    <xdr:rowOff>19050</xdr:rowOff>
                  </from>
                  <to>
                    <xdr:col>3</xdr:col>
                    <xdr:colOff>504825</xdr:colOff>
                    <xdr:row>331</xdr:row>
                    <xdr:rowOff>0</xdr:rowOff>
                  </to>
                </anchor>
              </controlPr>
            </control>
          </mc:Choice>
        </mc:AlternateContent>
        <mc:AlternateContent xmlns:mc="http://schemas.openxmlformats.org/markup-compatibility/2006">
          <mc:Choice Requires="x14">
            <control shapeId="186493" r:id="rId212" name="Drop Down 35965">
              <controlPr defaultSize="0" autoLine="0" autoPict="0">
                <anchor moveWithCells="1">
                  <from>
                    <xdr:col>3</xdr:col>
                    <xdr:colOff>19050</xdr:colOff>
                    <xdr:row>331</xdr:row>
                    <xdr:rowOff>19050</xdr:rowOff>
                  </from>
                  <to>
                    <xdr:col>3</xdr:col>
                    <xdr:colOff>504825</xdr:colOff>
                    <xdr:row>332</xdr:row>
                    <xdr:rowOff>0</xdr:rowOff>
                  </to>
                </anchor>
              </controlPr>
            </control>
          </mc:Choice>
        </mc:AlternateContent>
        <mc:AlternateContent xmlns:mc="http://schemas.openxmlformats.org/markup-compatibility/2006">
          <mc:Choice Requires="x14">
            <control shapeId="186494" r:id="rId213" name="Drop Down 35966">
              <controlPr defaultSize="0" autoLine="0" autoPict="0">
                <anchor moveWithCells="1">
                  <from>
                    <xdr:col>3</xdr:col>
                    <xdr:colOff>19050</xdr:colOff>
                    <xdr:row>332</xdr:row>
                    <xdr:rowOff>19050</xdr:rowOff>
                  </from>
                  <to>
                    <xdr:col>3</xdr:col>
                    <xdr:colOff>504825</xdr:colOff>
                    <xdr:row>333</xdr:row>
                    <xdr:rowOff>0</xdr:rowOff>
                  </to>
                </anchor>
              </controlPr>
            </control>
          </mc:Choice>
        </mc:AlternateContent>
        <mc:AlternateContent xmlns:mc="http://schemas.openxmlformats.org/markup-compatibility/2006">
          <mc:Choice Requires="x14">
            <control shapeId="186495" r:id="rId214" name="Drop Down 35967">
              <controlPr defaultSize="0" autoLine="0" autoPict="0">
                <anchor moveWithCells="1">
                  <from>
                    <xdr:col>3</xdr:col>
                    <xdr:colOff>19050</xdr:colOff>
                    <xdr:row>333</xdr:row>
                    <xdr:rowOff>19050</xdr:rowOff>
                  </from>
                  <to>
                    <xdr:col>3</xdr:col>
                    <xdr:colOff>504825</xdr:colOff>
                    <xdr:row>334</xdr:row>
                    <xdr:rowOff>0</xdr:rowOff>
                  </to>
                </anchor>
              </controlPr>
            </control>
          </mc:Choice>
        </mc:AlternateContent>
        <mc:AlternateContent xmlns:mc="http://schemas.openxmlformats.org/markup-compatibility/2006">
          <mc:Choice Requires="x14">
            <control shapeId="186496" r:id="rId215" name="Drop Down 35968">
              <controlPr defaultSize="0" autoLine="0" autoPict="0">
                <anchor moveWithCells="1">
                  <from>
                    <xdr:col>3</xdr:col>
                    <xdr:colOff>19050</xdr:colOff>
                    <xdr:row>334</xdr:row>
                    <xdr:rowOff>19050</xdr:rowOff>
                  </from>
                  <to>
                    <xdr:col>3</xdr:col>
                    <xdr:colOff>504825</xdr:colOff>
                    <xdr:row>335</xdr:row>
                    <xdr:rowOff>0</xdr:rowOff>
                  </to>
                </anchor>
              </controlPr>
            </control>
          </mc:Choice>
        </mc:AlternateContent>
        <mc:AlternateContent xmlns:mc="http://schemas.openxmlformats.org/markup-compatibility/2006">
          <mc:Choice Requires="x14">
            <control shapeId="186497" r:id="rId216" name="Drop Down 35969">
              <controlPr defaultSize="0" autoLine="0" autoPict="0">
                <anchor moveWithCells="1">
                  <from>
                    <xdr:col>3</xdr:col>
                    <xdr:colOff>19050</xdr:colOff>
                    <xdr:row>335</xdr:row>
                    <xdr:rowOff>19050</xdr:rowOff>
                  </from>
                  <to>
                    <xdr:col>3</xdr:col>
                    <xdr:colOff>504825</xdr:colOff>
                    <xdr:row>336</xdr:row>
                    <xdr:rowOff>0</xdr:rowOff>
                  </to>
                </anchor>
              </controlPr>
            </control>
          </mc:Choice>
        </mc:AlternateContent>
        <mc:AlternateContent xmlns:mc="http://schemas.openxmlformats.org/markup-compatibility/2006">
          <mc:Choice Requires="x14">
            <control shapeId="186498" r:id="rId217" name="Drop Down 35970">
              <controlPr defaultSize="0" autoLine="0" autoPict="0">
                <anchor moveWithCells="1">
                  <from>
                    <xdr:col>3</xdr:col>
                    <xdr:colOff>19050</xdr:colOff>
                    <xdr:row>336</xdr:row>
                    <xdr:rowOff>19050</xdr:rowOff>
                  </from>
                  <to>
                    <xdr:col>3</xdr:col>
                    <xdr:colOff>504825</xdr:colOff>
                    <xdr:row>337</xdr:row>
                    <xdr:rowOff>0</xdr:rowOff>
                  </to>
                </anchor>
              </controlPr>
            </control>
          </mc:Choice>
        </mc:AlternateContent>
        <mc:AlternateContent xmlns:mc="http://schemas.openxmlformats.org/markup-compatibility/2006">
          <mc:Choice Requires="x14">
            <control shapeId="217918" r:id="rId218" name="Drop Down 45886">
              <controlPr defaultSize="0" autoLine="0" autoPict="0">
                <anchor moveWithCells="1">
                  <from>
                    <xdr:col>0</xdr:col>
                    <xdr:colOff>9525</xdr:colOff>
                    <xdr:row>136</xdr:row>
                    <xdr:rowOff>9525</xdr:rowOff>
                  </from>
                  <to>
                    <xdr:col>2</xdr:col>
                    <xdr:colOff>0</xdr:colOff>
                    <xdr:row>137</xdr:row>
                    <xdr:rowOff>0</xdr:rowOff>
                  </to>
                </anchor>
              </controlPr>
            </control>
          </mc:Choice>
        </mc:AlternateContent>
        <mc:AlternateContent xmlns:mc="http://schemas.openxmlformats.org/markup-compatibility/2006">
          <mc:Choice Requires="x14">
            <control shapeId="217919" r:id="rId219" name="Drop Down 45887">
              <controlPr defaultSize="0" autoLine="0" autoPict="0">
                <anchor moveWithCells="1">
                  <from>
                    <xdr:col>0</xdr:col>
                    <xdr:colOff>9525</xdr:colOff>
                    <xdr:row>137</xdr:row>
                    <xdr:rowOff>9525</xdr:rowOff>
                  </from>
                  <to>
                    <xdr:col>2</xdr:col>
                    <xdr:colOff>0</xdr:colOff>
                    <xdr:row>138</xdr:row>
                    <xdr:rowOff>0</xdr:rowOff>
                  </to>
                </anchor>
              </controlPr>
            </control>
          </mc:Choice>
        </mc:AlternateContent>
        <mc:AlternateContent xmlns:mc="http://schemas.openxmlformats.org/markup-compatibility/2006">
          <mc:Choice Requires="x14">
            <control shapeId="217920" r:id="rId220" name="Drop Down 45888">
              <controlPr defaultSize="0" autoLine="0" autoPict="0">
                <anchor moveWithCells="1">
                  <from>
                    <xdr:col>0</xdr:col>
                    <xdr:colOff>9525</xdr:colOff>
                    <xdr:row>138</xdr:row>
                    <xdr:rowOff>9525</xdr:rowOff>
                  </from>
                  <to>
                    <xdr:col>2</xdr:col>
                    <xdr:colOff>0</xdr:colOff>
                    <xdr:row>139</xdr:row>
                    <xdr:rowOff>0</xdr:rowOff>
                  </to>
                </anchor>
              </controlPr>
            </control>
          </mc:Choice>
        </mc:AlternateContent>
        <mc:AlternateContent xmlns:mc="http://schemas.openxmlformats.org/markup-compatibility/2006">
          <mc:Choice Requires="x14">
            <control shapeId="217921" r:id="rId221" name="Drop Down 45889">
              <controlPr defaultSize="0" autoLine="0" autoPict="0">
                <anchor moveWithCells="1">
                  <from>
                    <xdr:col>0</xdr:col>
                    <xdr:colOff>9525</xdr:colOff>
                    <xdr:row>139</xdr:row>
                    <xdr:rowOff>9525</xdr:rowOff>
                  </from>
                  <to>
                    <xdr:col>2</xdr:col>
                    <xdr:colOff>0</xdr:colOff>
                    <xdr:row>140</xdr:row>
                    <xdr:rowOff>0</xdr:rowOff>
                  </to>
                </anchor>
              </controlPr>
            </control>
          </mc:Choice>
        </mc:AlternateContent>
        <mc:AlternateContent xmlns:mc="http://schemas.openxmlformats.org/markup-compatibility/2006">
          <mc:Choice Requires="x14">
            <control shapeId="217922" r:id="rId222" name="Drop Down 45890">
              <controlPr defaultSize="0" autoLine="0" autoPict="0">
                <anchor moveWithCells="1">
                  <from>
                    <xdr:col>0</xdr:col>
                    <xdr:colOff>9525</xdr:colOff>
                    <xdr:row>140</xdr:row>
                    <xdr:rowOff>9525</xdr:rowOff>
                  </from>
                  <to>
                    <xdr:col>2</xdr:col>
                    <xdr:colOff>0</xdr:colOff>
                    <xdr:row>141</xdr:row>
                    <xdr:rowOff>0</xdr:rowOff>
                  </to>
                </anchor>
              </controlPr>
            </control>
          </mc:Choice>
        </mc:AlternateContent>
        <mc:AlternateContent xmlns:mc="http://schemas.openxmlformats.org/markup-compatibility/2006">
          <mc:Choice Requires="x14">
            <control shapeId="217923" r:id="rId223" name="Drop Down 45891">
              <controlPr defaultSize="0" autoLine="0" autoPict="0">
                <anchor moveWithCells="1">
                  <from>
                    <xdr:col>0</xdr:col>
                    <xdr:colOff>9525</xdr:colOff>
                    <xdr:row>141</xdr:row>
                    <xdr:rowOff>9525</xdr:rowOff>
                  </from>
                  <to>
                    <xdr:col>2</xdr:col>
                    <xdr:colOff>0</xdr:colOff>
                    <xdr:row>142</xdr:row>
                    <xdr:rowOff>0</xdr:rowOff>
                  </to>
                </anchor>
              </controlPr>
            </control>
          </mc:Choice>
        </mc:AlternateContent>
        <mc:AlternateContent xmlns:mc="http://schemas.openxmlformats.org/markup-compatibility/2006">
          <mc:Choice Requires="x14">
            <control shapeId="217924" r:id="rId224" name="Drop Down 45892">
              <controlPr defaultSize="0" autoLine="0" autoPict="0">
                <anchor moveWithCells="1">
                  <from>
                    <xdr:col>0</xdr:col>
                    <xdr:colOff>9525</xdr:colOff>
                    <xdr:row>142</xdr:row>
                    <xdr:rowOff>9525</xdr:rowOff>
                  </from>
                  <to>
                    <xdr:col>2</xdr:col>
                    <xdr:colOff>0</xdr:colOff>
                    <xdr:row>143</xdr:row>
                    <xdr:rowOff>0</xdr:rowOff>
                  </to>
                </anchor>
              </controlPr>
            </control>
          </mc:Choice>
        </mc:AlternateContent>
        <mc:AlternateContent xmlns:mc="http://schemas.openxmlformats.org/markup-compatibility/2006">
          <mc:Choice Requires="x14">
            <control shapeId="217925" r:id="rId225" name="Drop Down 45893">
              <controlPr defaultSize="0" autoLine="0" autoPict="0">
                <anchor moveWithCells="1">
                  <from>
                    <xdr:col>0</xdr:col>
                    <xdr:colOff>9525</xdr:colOff>
                    <xdr:row>143</xdr:row>
                    <xdr:rowOff>9525</xdr:rowOff>
                  </from>
                  <to>
                    <xdr:col>2</xdr:col>
                    <xdr:colOff>0</xdr:colOff>
                    <xdr:row>144</xdr:row>
                    <xdr:rowOff>0</xdr:rowOff>
                  </to>
                </anchor>
              </controlPr>
            </control>
          </mc:Choice>
        </mc:AlternateContent>
        <mc:AlternateContent xmlns:mc="http://schemas.openxmlformats.org/markup-compatibility/2006">
          <mc:Choice Requires="x14">
            <control shapeId="217926" r:id="rId226" name="Drop Down 45894">
              <controlPr defaultSize="0" autoLine="0" autoPict="0">
                <anchor moveWithCells="1">
                  <from>
                    <xdr:col>0</xdr:col>
                    <xdr:colOff>9525</xdr:colOff>
                    <xdr:row>144</xdr:row>
                    <xdr:rowOff>9525</xdr:rowOff>
                  </from>
                  <to>
                    <xdr:col>2</xdr:col>
                    <xdr:colOff>0</xdr:colOff>
                    <xdr:row>145</xdr:row>
                    <xdr:rowOff>0</xdr:rowOff>
                  </to>
                </anchor>
              </controlPr>
            </control>
          </mc:Choice>
        </mc:AlternateContent>
        <mc:AlternateContent xmlns:mc="http://schemas.openxmlformats.org/markup-compatibility/2006">
          <mc:Choice Requires="x14">
            <control shapeId="217927" r:id="rId227" name="Drop Down 45895">
              <controlPr defaultSize="0" autoLine="0" autoPict="0">
                <anchor moveWithCells="1">
                  <from>
                    <xdr:col>0</xdr:col>
                    <xdr:colOff>9525</xdr:colOff>
                    <xdr:row>145</xdr:row>
                    <xdr:rowOff>9525</xdr:rowOff>
                  </from>
                  <to>
                    <xdr:col>2</xdr:col>
                    <xdr:colOff>0</xdr:colOff>
                    <xdr:row>146</xdr:row>
                    <xdr:rowOff>0</xdr:rowOff>
                  </to>
                </anchor>
              </controlPr>
            </control>
          </mc:Choice>
        </mc:AlternateContent>
        <mc:AlternateContent xmlns:mc="http://schemas.openxmlformats.org/markup-compatibility/2006">
          <mc:Choice Requires="x14">
            <control shapeId="217928" r:id="rId228" name="Drop Down 45896">
              <controlPr defaultSize="0" autoLine="0" autoPict="0">
                <anchor moveWithCells="1">
                  <from>
                    <xdr:col>0</xdr:col>
                    <xdr:colOff>9525</xdr:colOff>
                    <xdr:row>146</xdr:row>
                    <xdr:rowOff>9525</xdr:rowOff>
                  </from>
                  <to>
                    <xdr:col>2</xdr:col>
                    <xdr:colOff>0</xdr:colOff>
                    <xdr:row>147</xdr:row>
                    <xdr:rowOff>0</xdr:rowOff>
                  </to>
                </anchor>
              </controlPr>
            </control>
          </mc:Choice>
        </mc:AlternateContent>
        <mc:AlternateContent xmlns:mc="http://schemas.openxmlformats.org/markup-compatibility/2006">
          <mc:Choice Requires="x14">
            <control shapeId="217929" r:id="rId229" name="Drop Down 45897">
              <controlPr defaultSize="0" autoLine="0" autoPict="0">
                <anchor moveWithCells="1">
                  <from>
                    <xdr:col>0</xdr:col>
                    <xdr:colOff>9525</xdr:colOff>
                    <xdr:row>147</xdr:row>
                    <xdr:rowOff>9525</xdr:rowOff>
                  </from>
                  <to>
                    <xdr:col>2</xdr:col>
                    <xdr:colOff>0</xdr:colOff>
                    <xdr:row>148</xdr:row>
                    <xdr:rowOff>0</xdr:rowOff>
                  </to>
                </anchor>
              </controlPr>
            </control>
          </mc:Choice>
        </mc:AlternateContent>
        <mc:AlternateContent xmlns:mc="http://schemas.openxmlformats.org/markup-compatibility/2006">
          <mc:Choice Requires="x14">
            <control shapeId="217930" r:id="rId230" name="Drop Down 45898">
              <controlPr defaultSize="0" autoLine="0" autoPict="0">
                <anchor moveWithCells="1">
                  <from>
                    <xdr:col>0</xdr:col>
                    <xdr:colOff>9525</xdr:colOff>
                    <xdr:row>148</xdr:row>
                    <xdr:rowOff>9525</xdr:rowOff>
                  </from>
                  <to>
                    <xdr:col>2</xdr:col>
                    <xdr:colOff>0</xdr:colOff>
                    <xdr:row>149</xdr:row>
                    <xdr:rowOff>0</xdr:rowOff>
                  </to>
                </anchor>
              </controlPr>
            </control>
          </mc:Choice>
        </mc:AlternateContent>
        <mc:AlternateContent xmlns:mc="http://schemas.openxmlformats.org/markup-compatibility/2006">
          <mc:Choice Requires="x14">
            <control shapeId="217931" r:id="rId231" name="Drop Down 45899">
              <controlPr defaultSize="0" autoLine="0" autoPict="0">
                <anchor moveWithCells="1">
                  <from>
                    <xdr:col>0</xdr:col>
                    <xdr:colOff>9525</xdr:colOff>
                    <xdr:row>149</xdr:row>
                    <xdr:rowOff>9525</xdr:rowOff>
                  </from>
                  <to>
                    <xdr:col>2</xdr:col>
                    <xdr:colOff>0</xdr:colOff>
                    <xdr:row>150</xdr:row>
                    <xdr:rowOff>0</xdr:rowOff>
                  </to>
                </anchor>
              </controlPr>
            </control>
          </mc:Choice>
        </mc:AlternateContent>
        <mc:AlternateContent xmlns:mc="http://schemas.openxmlformats.org/markup-compatibility/2006">
          <mc:Choice Requires="x14">
            <control shapeId="217932" r:id="rId232" name="Drop Down 45900">
              <controlPr defaultSize="0" autoLine="0" autoPict="0">
                <anchor moveWithCells="1">
                  <from>
                    <xdr:col>0</xdr:col>
                    <xdr:colOff>9525</xdr:colOff>
                    <xdr:row>150</xdr:row>
                    <xdr:rowOff>9525</xdr:rowOff>
                  </from>
                  <to>
                    <xdr:col>2</xdr:col>
                    <xdr:colOff>0</xdr:colOff>
                    <xdr:row>151</xdr:row>
                    <xdr:rowOff>0</xdr:rowOff>
                  </to>
                </anchor>
              </controlPr>
            </control>
          </mc:Choice>
        </mc:AlternateContent>
        <mc:AlternateContent xmlns:mc="http://schemas.openxmlformats.org/markup-compatibility/2006">
          <mc:Choice Requires="x14">
            <control shapeId="217933" r:id="rId233" name="Drop Down 45901">
              <controlPr defaultSize="0" autoLine="0" autoPict="0">
                <anchor moveWithCells="1">
                  <from>
                    <xdr:col>0</xdr:col>
                    <xdr:colOff>9525</xdr:colOff>
                    <xdr:row>151</xdr:row>
                    <xdr:rowOff>9525</xdr:rowOff>
                  </from>
                  <to>
                    <xdr:col>2</xdr:col>
                    <xdr:colOff>0</xdr:colOff>
                    <xdr:row>152</xdr:row>
                    <xdr:rowOff>0</xdr:rowOff>
                  </to>
                </anchor>
              </controlPr>
            </control>
          </mc:Choice>
        </mc:AlternateContent>
        <mc:AlternateContent xmlns:mc="http://schemas.openxmlformats.org/markup-compatibility/2006">
          <mc:Choice Requires="x14">
            <control shapeId="217934" r:id="rId234" name="Drop Down 45902">
              <controlPr defaultSize="0" autoLine="0" autoPict="0">
                <anchor moveWithCells="1">
                  <from>
                    <xdr:col>0</xdr:col>
                    <xdr:colOff>9525</xdr:colOff>
                    <xdr:row>152</xdr:row>
                    <xdr:rowOff>9525</xdr:rowOff>
                  </from>
                  <to>
                    <xdr:col>2</xdr:col>
                    <xdr:colOff>0</xdr:colOff>
                    <xdr:row>153</xdr:row>
                    <xdr:rowOff>0</xdr:rowOff>
                  </to>
                </anchor>
              </controlPr>
            </control>
          </mc:Choice>
        </mc:AlternateContent>
        <mc:AlternateContent xmlns:mc="http://schemas.openxmlformats.org/markup-compatibility/2006">
          <mc:Choice Requires="x14">
            <control shapeId="217935" r:id="rId235" name="Drop Down 45903">
              <controlPr defaultSize="0" autoLine="0" autoPict="0">
                <anchor moveWithCells="1">
                  <from>
                    <xdr:col>0</xdr:col>
                    <xdr:colOff>9525</xdr:colOff>
                    <xdr:row>153</xdr:row>
                    <xdr:rowOff>0</xdr:rowOff>
                  </from>
                  <to>
                    <xdr:col>2</xdr:col>
                    <xdr:colOff>0</xdr:colOff>
                    <xdr:row>153</xdr:row>
                    <xdr:rowOff>190500</xdr:rowOff>
                  </to>
                </anchor>
              </controlPr>
            </control>
          </mc:Choice>
        </mc:AlternateContent>
        <mc:AlternateContent xmlns:mc="http://schemas.openxmlformats.org/markup-compatibility/2006">
          <mc:Choice Requires="x14">
            <control shapeId="217936" r:id="rId236" name="Drop Down 45904">
              <controlPr defaultSize="0" autoLine="0" autoPict="0">
                <anchor moveWithCells="1">
                  <from>
                    <xdr:col>0</xdr:col>
                    <xdr:colOff>9525</xdr:colOff>
                    <xdr:row>136</xdr:row>
                    <xdr:rowOff>9525</xdr:rowOff>
                  </from>
                  <to>
                    <xdr:col>2</xdr:col>
                    <xdr:colOff>0</xdr:colOff>
                    <xdr:row>137</xdr:row>
                    <xdr:rowOff>0</xdr:rowOff>
                  </to>
                </anchor>
              </controlPr>
            </control>
          </mc:Choice>
        </mc:AlternateContent>
        <mc:AlternateContent xmlns:mc="http://schemas.openxmlformats.org/markup-compatibility/2006">
          <mc:Choice Requires="x14">
            <control shapeId="217937" r:id="rId237" name="Drop Down 45905">
              <controlPr defaultSize="0" autoLine="0" autoPict="0">
                <anchor moveWithCells="1">
                  <from>
                    <xdr:col>0</xdr:col>
                    <xdr:colOff>9525</xdr:colOff>
                    <xdr:row>137</xdr:row>
                    <xdr:rowOff>9525</xdr:rowOff>
                  </from>
                  <to>
                    <xdr:col>2</xdr:col>
                    <xdr:colOff>0</xdr:colOff>
                    <xdr:row>138</xdr:row>
                    <xdr:rowOff>0</xdr:rowOff>
                  </to>
                </anchor>
              </controlPr>
            </control>
          </mc:Choice>
        </mc:AlternateContent>
        <mc:AlternateContent xmlns:mc="http://schemas.openxmlformats.org/markup-compatibility/2006">
          <mc:Choice Requires="x14">
            <control shapeId="217938" r:id="rId238" name="Drop Down 45906">
              <controlPr defaultSize="0" autoLine="0" autoPict="0">
                <anchor moveWithCells="1">
                  <from>
                    <xdr:col>0</xdr:col>
                    <xdr:colOff>9525</xdr:colOff>
                    <xdr:row>138</xdr:row>
                    <xdr:rowOff>9525</xdr:rowOff>
                  </from>
                  <to>
                    <xdr:col>2</xdr:col>
                    <xdr:colOff>0</xdr:colOff>
                    <xdr:row>139</xdr:row>
                    <xdr:rowOff>0</xdr:rowOff>
                  </to>
                </anchor>
              </controlPr>
            </control>
          </mc:Choice>
        </mc:AlternateContent>
        <mc:AlternateContent xmlns:mc="http://schemas.openxmlformats.org/markup-compatibility/2006">
          <mc:Choice Requires="x14">
            <control shapeId="217939" r:id="rId239" name="Drop Down 45907">
              <controlPr defaultSize="0" autoLine="0" autoPict="0">
                <anchor moveWithCells="1">
                  <from>
                    <xdr:col>0</xdr:col>
                    <xdr:colOff>9525</xdr:colOff>
                    <xdr:row>139</xdr:row>
                    <xdr:rowOff>9525</xdr:rowOff>
                  </from>
                  <to>
                    <xdr:col>2</xdr:col>
                    <xdr:colOff>0</xdr:colOff>
                    <xdr:row>140</xdr:row>
                    <xdr:rowOff>0</xdr:rowOff>
                  </to>
                </anchor>
              </controlPr>
            </control>
          </mc:Choice>
        </mc:AlternateContent>
        <mc:AlternateContent xmlns:mc="http://schemas.openxmlformats.org/markup-compatibility/2006">
          <mc:Choice Requires="x14">
            <control shapeId="217940" r:id="rId240" name="Drop Down 45908">
              <controlPr defaultSize="0" autoLine="0" autoPict="0">
                <anchor moveWithCells="1">
                  <from>
                    <xdr:col>0</xdr:col>
                    <xdr:colOff>9525</xdr:colOff>
                    <xdr:row>140</xdr:row>
                    <xdr:rowOff>9525</xdr:rowOff>
                  </from>
                  <to>
                    <xdr:col>2</xdr:col>
                    <xdr:colOff>0</xdr:colOff>
                    <xdr:row>141</xdr:row>
                    <xdr:rowOff>0</xdr:rowOff>
                  </to>
                </anchor>
              </controlPr>
            </control>
          </mc:Choice>
        </mc:AlternateContent>
        <mc:AlternateContent xmlns:mc="http://schemas.openxmlformats.org/markup-compatibility/2006">
          <mc:Choice Requires="x14">
            <control shapeId="217941" r:id="rId241" name="Drop Down 45909">
              <controlPr defaultSize="0" autoLine="0" autoPict="0">
                <anchor moveWithCells="1">
                  <from>
                    <xdr:col>0</xdr:col>
                    <xdr:colOff>9525</xdr:colOff>
                    <xdr:row>141</xdr:row>
                    <xdr:rowOff>9525</xdr:rowOff>
                  </from>
                  <to>
                    <xdr:col>2</xdr:col>
                    <xdr:colOff>0</xdr:colOff>
                    <xdr:row>142</xdr:row>
                    <xdr:rowOff>0</xdr:rowOff>
                  </to>
                </anchor>
              </controlPr>
            </control>
          </mc:Choice>
        </mc:AlternateContent>
        <mc:AlternateContent xmlns:mc="http://schemas.openxmlformats.org/markup-compatibility/2006">
          <mc:Choice Requires="x14">
            <control shapeId="217942" r:id="rId242" name="Drop Down 45910">
              <controlPr defaultSize="0" autoLine="0" autoPict="0">
                <anchor moveWithCells="1">
                  <from>
                    <xdr:col>0</xdr:col>
                    <xdr:colOff>9525</xdr:colOff>
                    <xdr:row>142</xdr:row>
                    <xdr:rowOff>9525</xdr:rowOff>
                  </from>
                  <to>
                    <xdr:col>2</xdr:col>
                    <xdr:colOff>0</xdr:colOff>
                    <xdr:row>143</xdr:row>
                    <xdr:rowOff>0</xdr:rowOff>
                  </to>
                </anchor>
              </controlPr>
            </control>
          </mc:Choice>
        </mc:AlternateContent>
        <mc:AlternateContent xmlns:mc="http://schemas.openxmlformats.org/markup-compatibility/2006">
          <mc:Choice Requires="x14">
            <control shapeId="217943" r:id="rId243" name="Drop Down 45911">
              <controlPr defaultSize="0" autoLine="0" autoPict="0">
                <anchor moveWithCells="1">
                  <from>
                    <xdr:col>0</xdr:col>
                    <xdr:colOff>9525</xdr:colOff>
                    <xdr:row>143</xdr:row>
                    <xdr:rowOff>9525</xdr:rowOff>
                  </from>
                  <to>
                    <xdr:col>2</xdr:col>
                    <xdr:colOff>0</xdr:colOff>
                    <xdr:row>144</xdr:row>
                    <xdr:rowOff>0</xdr:rowOff>
                  </to>
                </anchor>
              </controlPr>
            </control>
          </mc:Choice>
        </mc:AlternateContent>
        <mc:AlternateContent xmlns:mc="http://schemas.openxmlformats.org/markup-compatibility/2006">
          <mc:Choice Requires="x14">
            <control shapeId="217944" r:id="rId244" name="Drop Down 45912">
              <controlPr defaultSize="0" autoLine="0" autoPict="0">
                <anchor moveWithCells="1">
                  <from>
                    <xdr:col>0</xdr:col>
                    <xdr:colOff>9525</xdr:colOff>
                    <xdr:row>144</xdr:row>
                    <xdr:rowOff>9525</xdr:rowOff>
                  </from>
                  <to>
                    <xdr:col>2</xdr:col>
                    <xdr:colOff>0</xdr:colOff>
                    <xdr:row>145</xdr:row>
                    <xdr:rowOff>0</xdr:rowOff>
                  </to>
                </anchor>
              </controlPr>
            </control>
          </mc:Choice>
        </mc:AlternateContent>
        <mc:AlternateContent xmlns:mc="http://schemas.openxmlformats.org/markup-compatibility/2006">
          <mc:Choice Requires="x14">
            <control shapeId="217945" r:id="rId245" name="Drop Down 45913">
              <controlPr defaultSize="0" autoLine="0" autoPict="0">
                <anchor moveWithCells="1">
                  <from>
                    <xdr:col>0</xdr:col>
                    <xdr:colOff>9525</xdr:colOff>
                    <xdr:row>145</xdr:row>
                    <xdr:rowOff>9525</xdr:rowOff>
                  </from>
                  <to>
                    <xdr:col>2</xdr:col>
                    <xdr:colOff>0</xdr:colOff>
                    <xdr:row>146</xdr:row>
                    <xdr:rowOff>0</xdr:rowOff>
                  </to>
                </anchor>
              </controlPr>
            </control>
          </mc:Choice>
        </mc:AlternateContent>
        <mc:AlternateContent xmlns:mc="http://schemas.openxmlformats.org/markup-compatibility/2006">
          <mc:Choice Requires="x14">
            <control shapeId="217946" r:id="rId246" name="Drop Down 45914">
              <controlPr defaultSize="0" autoLine="0" autoPict="0">
                <anchor moveWithCells="1">
                  <from>
                    <xdr:col>0</xdr:col>
                    <xdr:colOff>9525</xdr:colOff>
                    <xdr:row>146</xdr:row>
                    <xdr:rowOff>9525</xdr:rowOff>
                  </from>
                  <to>
                    <xdr:col>2</xdr:col>
                    <xdr:colOff>0</xdr:colOff>
                    <xdr:row>147</xdr:row>
                    <xdr:rowOff>0</xdr:rowOff>
                  </to>
                </anchor>
              </controlPr>
            </control>
          </mc:Choice>
        </mc:AlternateContent>
        <mc:AlternateContent xmlns:mc="http://schemas.openxmlformats.org/markup-compatibility/2006">
          <mc:Choice Requires="x14">
            <control shapeId="217947" r:id="rId247" name="Drop Down 45915">
              <controlPr defaultSize="0" autoLine="0" autoPict="0">
                <anchor moveWithCells="1">
                  <from>
                    <xdr:col>0</xdr:col>
                    <xdr:colOff>9525</xdr:colOff>
                    <xdr:row>147</xdr:row>
                    <xdr:rowOff>9525</xdr:rowOff>
                  </from>
                  <to>
                    <xdr:col>2</xdr:col>
                    <xdr:colOff>0</xdr:colOff>
                    <xdr:row>148</xdr:row>
                    <xdr:rowOff>0</xdr:rowOff>
                  </to>
                </anchor>
              </controlPr>
            </control>
          </mc:Choice>
        </mc:AlternateContent>
        <mc:AlternateContent xmlns:mc="http://schemas.openxmlformats.org/markup-compatibility/2006">
          <mc:Choice Requires="x14">
            <control shapeId="217948" r:id="rId248" name="Drop Down 45916">
              <controlPr defaultSize="0" autoLine="0" autoPict="0">
                <anchor moveWithCells="1">
                  <from>
                    <xdr:col>0</xdr:col>
                    <xdr:colOff>9525</xdr:colOff>
                    <xdr:row>148</xdr:row>
                    <xdr:rowOff>9525</xdr:rowOff>
                  </from>
                  <to>
                    <xdr:col>2</xdr:col>
                    <xdr:colOff>0</xdr:colOff>
                    <xdr:row>149</xdr:row>
                    <xdr:rowOff>0</xdr:rowOff>
                  </to>
                </anchor>
              </controlPr>
            </control>
          </mc:Choice>
        </mc:AlternateContent>
        <mc:AlternateContent xmlns:mc="http://schemas.openxmlformats.org/markup-compatibility/2006">
          <mc:Choice Requires="x14">
            <control shapeId="217949" r:id="rId249" name="Drop Down 45917">
              <controlPr defaultSize="0" autoLine="0" autoPict="0">
                <anchor moveWithCells="1">
                  <from>
                    <xdr:col>0</xdr:col>
                    <xdr:colOff>9525</xdr:colOff>
                    <xdr:row>149</xdr:row>
                    <xdr:rowOff>9525</xdr:rowOff>
                  </from>
                  <to>
                    <xdr:col>2</xdr:col>
                    <xdr:colOff>0</xdr:colOff>
                    <xdr:row>150</xdr:row>
                    <xdr:rowOff>0</xdr:rowOff>
                  </to>
                </anchor>
              </controlPr>
            </control>
          </mc:Choice>
        </mc:AlternateContent>
        <mc:AlternateContent xmlns:mc="http://schemas.openxmlformats.org/markup-compatibility/2006">
          <mc:Choice Requires="x14">
            <control shapeId="217950" r:id="rId250" name="Drop Down 45918">
              <controlPr defaultSize="0" autoLine="0" autoPict="0">
                <anchor moveWithCells="1">
                  <from>
                    <xdr:col>0</xdr:col>
                    <xdr:colOff>9525</xdr:colOff>
                    <xdr:row>150</xdr:row>
                    <xdr:rowOff>9525</xdr:rowOff>
                  </from>
                  <to>
                    <xdr:col>2</xdr:col>
                    <xdr:colOff>0</xdr:colOff>
                    <xdr:row>151</xdr:row>
                    <xdr:rowOff>0</xdr:rowOff>
                  </to>
                </anchor>
              </controlPr>
            </control>
          </mc:Choice>
        </mc:AlternateContent>
        <mc:AlternateContent xmlns:mc="http://schemas.openxmlformats.org/markup-compatibility/2006">
          <mc:Choice Requires="x14">
            <control shapeId="217951" r:id="rId251" name="Drop Down 45919">
              <controlPr defaultSize="0" autoLine="0" autoPict="0">
                <anchor moveWithCells="1">
                  <from>
                    <xdr:col>0</xdr:col>
                    <xdr:colOff>9525</xdr:colOff>
                    <xdr:row>151</xdr:row>
                    <xdr:rowOff>9525</xdr:rowOff>
                  </from>
                  <to>
                    <xdr:col>2</xdr:col>
                    <xdr:colOff>0</xdr:colOff>
                    <xdr:row>152</xdr:row>
                    <xdr:rowOff>0</xdr:rowOff>
                  </to>
                </anchor>
              </controlPr>
            </control>
          </mc:Choice>
        </mc:AlternateContent>
        <mc:AlternateContent xmlns:mc="http://schemas.openxmlformats.org/markup-compatibility/2006">
          <mc:Choice Requires="x14">
            <control shapeId="217952" r:id="rId252" name="Drop Down 45920">
              <controlPr defaultSize="0" autoLine="0" autoPict="0">
                <anchor moveWithCells="1">
                  <from>
                    <xdr:col>0</xdr:col>
                    <xdr:colOff>9525</xdr:colOff>
                    <xdr:row>152</xdr:row>
                    <xdr:rowOff>9525</xdr:rowOff>
                  </from>
                  <to>
                    <xdr:col>2</xdr:col>
                    <xdr:colOff>0</xdr:colOff>
                    <xdr:row>153</xdr:row>
                    <xdr:rowOff>0</xdr:rowOff>
                  </to>
                </anchor>
              </controlPr>
            </control>
          </mc:Choice>
        </mc:AlternateContent>
        <mc:AlternateContent xmlns:mc="http://schemas.openxmlformats.org/markup-compatibility/2006">
          <mc:Choice Requires="x14">
            <control shapeId="217953" r:id="rId253" name="Drop Down 45921">
              <controlPr defaultSize="0" autoLine="0" autoPict="0">
                <anchor moveWithCells="1">
                  <from>
                    <xdr:col>0</xdr:col>
                    <xdr:colOff>9525</xdr:colOff>
                    <xdr:row>153</xdr:row>
                    <xdr:rowOff>9525</xdr:rowOff>
                  </from>
                  <to>
                    <xdr:col>2</xdr:col>
                    <xdr:colOff>0</xdr:colOff>
                    <xdr:row>154</xdr:row>
                    <xdr:rowOff>0</xdr:rowOff>
                  </to>
                </anchor>
              </controlPr>
            </control>
          </mc:Choice>
        </mc:AlternateContent>
        <mc:AlternateContent xmlns:mc="http://schemas.openxmlformats.org/markup-compatibility/2006">
          <mc:Choice Requires="x14">
            <control shapeId="217954" r:id="rId254" name="Drop Down 45922">
              <controlPr defaultSize="0" autoLine="0" autoPict="0">
                <anchor moveWithCells="1">
                  <from>
                    <xdr:col>0</xdr:col>
                    <xdr:colOff>9525</xdr:colOff>
                    <xdr:row>154</xdr:row>
                    <xdr:rowOff>0</xdr:rowOff>
                  </from>
                  <to>
                    <xdr:col>2</xdr:col>
                    <xdr:colOff>0</xdr:colOff>
                    <xdr:row>154</xdr:row>
                    <xdr:rowOff>190500</xdr:rowOff>
                  </to>
                </anchor>
              </controlPr>
            </control>
          </mc:Choice>
        </mc:AlternateContent>
        <mc:AlternateContent xmlns:mc="http://schemas.openxmlformats.org/markup-compatibility/2006">
          <mc:Choice Requires="x14">
            <control shapeId="217955" r:id="rId255" name="Drop Down 45923">
              <controlPr defaultSize="0" autoLine="0" autoPict="0">
                <anchor moveWithCells="1">
                  <from>
                    <xdr:col>0</xdr:col>
                    <xdr:colOff>9525</xdr:colOff>
                    <xdr:row>154</xdr:row>
                    <xdr:rowOff>9525</xdr:rowOff>
                  </from>
                  <to>
                    <xdr:col>2</xdr:col>
                    <xdr:colOff>0</xdr:colOff>
                    <xdr:row>155</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69BB5-92A4-4E00-AAE5-C90F00841BC7}">
  <sheetPr codeName="Tabelle16"/>
  <dimension ref="A1:L61"/>
  <sheetViews>
    <sheetView workbookViewId="0">
      <selection activeCell="C26" sqref="C26"/>
    </sheetView>
  </sheetViews>
  <sheetFormatPr baseColWidth="10" defaultRowHeight="12.75" x14ac:dyDescent="0.2"/>
  <cols>
    <col min="1" max="1" width="0.85546875" customWidth="1"/>
    <col min="2" max="2" width="35.28515625" customWidth="1"/>
    <col min="3" max="3" width="11.140625" customWidth="1"/>
    <col min="4" max="4" width="12.28515625" customWidth="1"/>
    <col min="5" max="5" width="11.5703125" customWidth="1"/>
    <col min="6" max="8" width="11.140625" customWidth="1"/>
    <col min="10" max="10" width="11.140625" customWidth="1"/>
  </cols>
  <sheetData>
    <row r="1" spans="1:12" x14ac:dyDescent="0.2">
      <c r="A1" s="1162" t="s">
        <v>1141</v>
      </c>
      <c r="B1" s="1161"/>
      <c r="C1" s="1162"/>
      <c r="D1" s="1162"/>
      <c r="E1" s="1162"/>
      <c r="F1" s="1162"/>
      <c r="G1" s="1162"/>
      <c r="H1" s="1162"/>
      <c r="I1" s="1162"/>
      <c r="J1" s="1162"/>
    </row>
    <row r="2" spans="1:12" x14ac:dyDescent="0.2">
      <c r="A2" s="1235" t="s">
        <v>1142</v>
      </c>
      <c r="B2" s="1161"/>
      <c r="C2" s="1161"/>
      <c r="D2" s="1162"/>
      <c r="E2" s="1162"/>
      <c r="F2" s="1162"/>
      <c r="G2" s="1162"/>
      <c r="H2" s="1162"/>
      <c r="I2" s="1162"/>
      <c r="J2" s="1162"/>
    </row>
    <row r="3" spans="1:12" x14ac:dyDescent="0.2">
      <c r="A3" s="1161"/>
      <c r="B3" s="1162" t="s">
        <v>1100</v>
      </c>
      <c r="C3" s="1162"/>
      <c r="D3" s="1162"/>
      <c r="E3" s="1162"/>
      <c r="F3" s="1162"/>
      <c r="G3" s="1162"/>
      <c r="H3" s="1162"/>
      <c r="I3" s="1162"/>
      <c r="J3" s="1162"/>
      <c r="L3" s="1129" t="s">
        <v>23</v>
      </c>
    </row>
    <row r="4" spans="1:12" ht="13.5" thickBot="1" x14ac:dyDescent="0.25">
      <c r="A4" s="1161"/>
      <c r="B4" s="1162"/>
      <c r="C4" s="1162"/>
      <c r="D4" s="1162"/>
      <c r="E4" s="1162"/>
      <c r="F4" s="1162"/>
      <c r="G4" s="1162"/>
      <c r="H4" s="1162"/>
      <c r="I4" s="1162"/>
      <c r="J4" s="1162"/>
      <c r="K4" t="s">
        <v>8291</v>
      </c>
      <c r="L4" s="1129" t="s">
        <v>217</v>
      </c>
    </row>
    <row r="5" spans="1:12" x14ac:dyDescent="0.2">
      <c r="A5" s="1236"/>
      <c r="B5" s="1163" t="s">
        <v>270</v>
      </c>
      <c r="C5" s="1164" t="s">
        <v>1101</v>
      </c>
      <c r="D5" s="1165"/>
      <c r="E5" s="1165"/>
      <c r="F5" s="1165"/>
      <c r="G5" s="1165"/>
      <c r="H5" s="1166"/>
      <c r="I5" s="1167"/>
      <c r="J5" s="1168"/>
      <c r="K5" t="s">
        <v>8431</v>
      </c>
      <c r="L5" s="1129" t="s">
        <v>1145</v>
      </c>
    </row>
    <row r="6" spans="1:12" ht="15" thickBot="1" x14ac:dyDescent="0.3">
      <c r="A6" s="1237"/>
      <c r="B6" s="1169"/>
      <c r="C6" s="1170" t="s">
        <v>4</v>
      </c>
      <c r="D6" s="1171" t="s">
        <v>798</v>
      </c>
      <c r="E6" s="1170" t="s">
        <v>1046</v>
      </c>
      <c r="F6" s="1170" t="s">
        <v>799</v>
      </c>
      <c r="G6" s="1172" t="s">
        <v>1047</v>
      </c>
      <c r="H6" s="1171" t="s">
        <v>1043</v>
      </c>
      <c r="I6" s="1173" t="s">
        <v>1102</v>
      </c>
      <c r="J6" s="1304" t="s">
        <v>270</v>
      </c>
      <c r="K6" s="1240" t="s">
        <v>8430</v>
      </c>
      <c r="L6" s="1240" t="s">
        <v>1146</v>
      </c>
    </row>
    <row r="7" spans="1:12" x14ac:dyDescent="0.2">
      <c r="A7" s="1238"/>
      <c r="B7" s="1174" t="s">
        <v>23</v>
      </c>
      <c r="C7" s="1175"/>
      <c r="D7" s="1176"/>
      <c r="E7" s="1175"/>
      <c r="F7" s="1175"/>
      <c r="G7" s="1177"/>
      <c r="H7" s="1176"/>
      <c r="I7" s="1178"/>
      <c r="J7" s="1172">
        <v>0</v>
      </c>
      <c r="K7" s="2177">
        <v>0.5</v>
      </c>
      <c r="L7" s="1129" t="s">
        <v>1147</v>
      </c>
    </row>
    <row r="8" spans="1:12" x14ac:dyDescent="0.2">
      <c r="A8" s="1238"/>
      <c r="B8" s="1179" t="s">
        <v>49</v>
      </c>
      <c r="C8" s="1590">
        <v>2.7</v>
      </c>
      <c r="D8" s="1465">
        <v>1.49</v>
      </c>
      <c r="E8" s="1591">
        <v>0.65</v>
      </c>
      <c r="F8" s="1180">
        <v>0.28999999999999998</v>
      </c>
      <c r="G8" s="1181">
        <v>0.24066390041493774</v>
      </c>
      <c r="H8" s="1182">
        <v>0.06</v>
      </c>
      <c r="I8" s="1183">
        <v>0.17</v>
      </c>
      <c r="J8" s="1184">
        <v>1</v>
      </c>
      <c r="K8" s="2177">
        <v>0.56000000000000005</v>
      </c>
    </row>
    <row r="9" spans="1:12" x14ac:dyDescent="0.2">
      <c r="A9" s="1238"/>
      <c r="B9" s="1179" t="s">
        <v>1104</v>
      </c>
      <c r="C9" s="1590">
        <v>2.56</v>
      </c>
      <c r="D9" s="1465">
        <v>1.17</v>
      </c>
      <c r="E9" s="1591">
        <v>0.51</v>
      </c>
      <c r="F9" s="1180">
        <v>0.24</v>
      </c>
      <c r="G9" s="1181">
        <v>0.19917012448132779</v>
      </c>
      <c r="H9" s="1592">
        <v>4.9689440993788817E-2</v>
      </c>
      <c r="I9" s="1593">
        <v>0.17414965986394559</v>
      </c>
      <c r="J9" s="1185">
        <v>2</v>
      </c>
      <c r="K9" s="2177">
        <v>0.79</v>
      </c>
    </row>
    <row r="10" spans="1:12" x14ac:dyDescent="0.2">
      <c r="A10" s="1238"/>
      <c r="B10" s="1179" t="s">
        <v>1121</v>
      </c>
      <c r="C10" s="1590">
        <v>2.6</v>
      </c>
      <c r="D10" s="1465">
        <v>1.37</v>
      </c>
      <c r="E10" s="1591">
        <v>0.6</v>
      </c>
      <c r="F10" s="1180">
        <v>0.24096385542168677</v>
      </c>
      <c r="G10" s="1181">
        <v>0.19997000449932512</v>
      </c>
      <c r="H10" s="1592">
        <v>4.9888996981715686E-2</v>
      </c>
      <c r="I10" s="1593">
        <v>0.17687074829931973</v>
      </c>
      <c r="J10" s="1185">
        <v>4</v>
      </c>
      <c r="K10" s="2177">
        <v>0.48</v>
      </c>
    </row>
    <row r="11" spans="1:12" x14ac:dyDescent="0.2">
      <c r="A11" s="1238"/>
      <c r="B11" s="1179" t="s">
        <v>1110</v>
      </c>
      <c r="C11" s="1590">
        <v>2.6</v>
      </c>
      <c r="D11" s="1465">
        <v>1.37</v>
      </c>
      <c r="E11" s="1591">
        <v>0.6</v>
      </c>
      <c r="F11" s="1180">
        <v>0.28915662650602408</v>
      </c>
      <c r="G11" s="1181">
        <v>0.23996400539919011</v>
      </c>
      <c r="H11" s="1592">
        <v>5.9866796378058813E-2</v>
      </c>
      <c r="I11" s="1593">
        <v>0.17687074829931973</v>
      </c>
      <c r="J11" s="1185">
        <v>5</v>
      </c>
      <c r="K11" s="2177">
        <v>0.48</v>
      </c>
    </row>
    <row r="12" spans="1:12" x14ac:dyDescent="0.2">
      <c r="A12" s="1238"/>
      <c r="B12" s="1179" t="s">
        <v>8390</v>
      </c>
      <c r="C12" s="1590">
        <v>3</v>
      </c>
      <c r="D12" s="1465">
        <v>1.74</v>
      </c>
      <c r="E12" s="1594">
        <v>0.76</v>
      </c>
      <c r="F12" s="1180">
        <v>0.24</v>
      </c>
      <c r="G12" s="1181">
        <v>0.19917012448132779</v>
      </c>
      <c r="H12" s="1592">
        <v>4.9689440993788817E-2</v>
      </c>
      <c r="I12" s="1593">
        <v>0.20408163265306123</v>
      </c>
      <c r="J12" s="1185">
        <v>6</v>
      </c>
      <c r="K12" s="2177">
        <v>1</v>
      </c>
    </row>
    <row r="13" spans="1:12" x14ac:dyDescent="0.2">
      <c r="A13" s="1238"/>
      <c r="B13" s="1179" t="s">
        <v>1112</v>
      </c>
      <c r="C13" s="1590">
        <v>3</v>
      </c>
      <c r="D13" s="1465">
        <v>1.49</v>
      </c>
      <c r="E13" s="1591">
        <v>0.65</v>
      </c>
      <c r="F13" s="1180">
        <v>0.3</v>
      </c>
      <c r="G13" s="1181">
        <v>0.24896265560165973</v>
      </c>
      <c r="H13" s="1592">
        <v>6.2111801242236024E-2</v>
      </c>
      <c r="I13" s="1593">
        <v>0.20408163265306123</v>
      </c>
      <c r="J13" s="1185">
        <v>7</v>
      </c>
      <c r="K13" s="2177">
        <v>1</v>
      </c>
    </row>
    <row r="14" spans="1:12" x14ac:dyDescent="0.2">
      <c r="A14" s="1238"/>
      <c r="B14" s="1179" t="s">
        <v>1105</v>
      </c>
      <c r="C14" s="1590">
        <v>3.5</v>
      </c>
      <c r="D14" s="1465">
        <v>1.28</v>
      </c>
      <c r="E14" s="1591">
        <v>0.56000000000000005</v>
      </c>
      <c r="F14" s="1180">
        <v>0.3</v>
      </c>
      <c r="G14" s="1181">
        <v>0.24896265560165973</v>
      </c>
      <c r="H14" s="1592">
        <v>6.2111801242236024E-2</v>
      </c>
      <c r="I14" s="1593">
        <v>0.23809523809523811</v>
      </c>
      <c r="J14" s="1185">
        <v>3</v>
      </c>
      <c r="K14" s="2177">
        <v>1</v>
      </c>
    </row>
    <row r="15" spans="1:12" x14ac:dyDescent="0.2">
      <c r="A15" s="1238"/>
      <c r="B15" s="1179" t="s">
        <v>1106</v>
      </c>
      <c r="C15" s="1590">
        <v>3</v>
      </c>
      <c r="D15" s="1465">
        <v>0.92</v>
      </c>
      <c r="E15" s="1591">
        <v>0.4</v>
      </c>
      <c r="F15" s="1180">
        <v>0.31</v>
      </c>
      <c r="G15" s="1181">
        <v>0.25726141078838172</v>
      </c>
      <c r="H15" s="1592">
        <v>6.4182194616977231E-2</v>
      </c>
      <c r="I15" s="1593">
        <v>0.20408163265306123</v>
      </c>
      <c r="J15" s="1185">
        <v>3</v>
      </c>
      <c r="K15" s="2177">
        <v>1</v>
      </c>
    </row>
    <row r="16" spans="1:12" x14ac:dyDescent="0.2">
      <c r="A16" s="1238"/>
      <c r="B16" s="1179" t="s">
        <v>1107</v>
      </c>
      <c r="C16" s="1590">
        <v>3.3</v>
      </c>
      <c r="D16" s="1465">
        <v>1.17</v>
      </c>
      <c r="E16" s="1594">
        <v>0.51</v>
      </c>
      <c r="F16" s="1180">
        <v>0.3</v>
      </c>
      <c r="G16" s="1181">
        <v>0.24896265560165973</v>
      </c>
      <c r="H16" s="1592">
        <v>6.2111801242236024E-2</v>
      </c>
      <c r="I16" s="1593">
        <v>0.22448979591836735</v>
      </c>
      <c r="J16" s="1185">
        <v>3</v>
      </c>
      <c r="K16" s="2177">
        <v>1</v>
      </c>
    </row>
    <row r="17" spans="1:11" x14ac:dyDescent="0.2">
      <c r="A17" s="1238"/>
      <c r="B17" s="1179" t="s">
        <v>1109</v>
      </c>
      <c r="C17" s="1590">
        <v>3</v>
      </c>
      <c r="D17" s="1465">
        <v>1.1499999999999999</v>
      </c>
      <c r="E17" s="1594">
        <v>0.5</v>
      </c>
      <c r="F17" s="1180">
        <v>0.3</v>
      </c>
      <c r="G17" s="1181">
        <v>0.24896265560165973</v>
      </c>
      <c r="H17" s="1592">
        <v>6.2111801242236024E-2</v>
      </c>
      <c r="I17" s="1593">
        <v>0.20408163265306123</v>
      </c>
      <c r="J17" s="1185">
        <v>3</v>
      </c>
      <c r="K17" s="2177">
        <v>1</v>
      </c>
    </row>
    <row r="18" spans="1:11" x14ac:dyDescent="0.2">
      <c r="A18" s="1238"/>
      <c r="B18" s="1179" t="s">
        <v>1108</v>
      </c>
      <c r="C18" s="1590">
        <v>3</v>
      </c>
      <c r="D18" s="1465">
        <v>1.21</v>
      </c>
      <c r="E18" s="1591">
        <v>0.53</v>
      </c>
      <c r="F18" s="1180">
        <v>0.3</v>
      </c>
      <c r="G18" s="1181">
        <v>0.24896265560165973</v>
      </c>
      <c r="H18" s="1592">
        <v>6.2111801242236024E-2</v>
      </c>
      <c r="I18" s="1593">
        <v>0.20408163265306123</v>
      </c>
      <c r="J18" s="1185">
        <v>3</v>
      </c>
      <c r="K18" s="2177">
        <v>1</v>
      </c>
    </row>
    <row r="19" spans="1:11" ht="13.5" thickBot="1" x14ac:dyDescent="0.25">
      <c r="A19" s="1238"/>
      <c r="B19" s="1186" t="s">
        <v>1113</v>
      </c>
      <c r="C19" s="1595">
        <v>2.6</v>
      </c>
      <c r="D19" s="1596">
        <v>1.37</v>
      </c>
      <c r="E19" s="1597">
        <v>0.06</v>
      </c>
      <c r="F19" s="1187">
        <v>0.24</v>
      </c>
      <c r="G19" s="1188">
        <v>0.19917012448132779</v>
      </c>
      <c r="H19" s="1598">
        <v>4.9689440993788817E-2</v>
      </c>
      <c r="I19" s="1599">
        <v>0.17687074829931973</v>
      </c>
      <c r="J19" s="1185">
        <v>8</v>
      </c>
      <c r="K19" s="2177">
        <v>0.48</v>
      </c>
    </row>
    <row r="20" spans="1:11" ht="13.5" thickBot="1" x14ac:dyDescent="0.25">
      <c r="A20" s="32"/>
      <c r="B20" s="1161"/>
      <c r="C20" s="1189"/>
      <c r="D20" s="1189"/>
      <c r="E20" s="1189"/>
      <c r="F20" s="1161"/>
      <c r="G20" s="1161"/>
      <c r="H20" s="1161"/>
      <c r="I20" s="1161"/>
      <c r="J20" s="1161"/>
    </row>
    <row r="21" spans="1:11" x14ac:dyDescent="0.2">
      <c r="A21" s="1236"/>
      <c r="B21" s="1190"/>
      <c r="C21" s="1191" t="s">
        <v>1114</v>
      </c>
      <c r="D21" s="1192"/>
      <c r="E21" s="1192"/>
      <c r="F21" s="1193"/>
      <c r="G21" s="1161"/>
      <c r="H21" s="1161"/>
      <c r="I21" s="1161"/>
      <c r="J21" s="1161"/>
    </row>
    <row r="22" spans="1:11" x14ac:dyDescent="0.2">
      <c r="A22" s="1238"/>
      <c r="B22" s="1162"/>
      <c r="C22" s="1172" t="s">
        <v>1115</v>
      </c>
      <c r="D22" s="1172"/>
      <c r="E22" s="1172"/>
      <c r="F22" s="1178"/>
      <c r="G22" s="32"/>
      <c r="H22" s="32"/>
      <c r="I22" s="32"/>
      <c r="J22" s="32"/>
    </row>
    <row r="23" spans="1:11" ht="13.5" thickBot="1" x14ac:dyDescent="0.25">
      <c r="A23" s="1237"/>
      <c r="B23" s="1169"/>
      <c r="C23" s="1194" t="s">
        <v>1116</v>
      </c>
      <c r="D23" s="1171" t="s">
        <v>1117</v>
      </c>
      <c r="E23" s="1171" t="s">
        <v>1118</v>
      </c>
      <c r="F23" s="1173" t="s">
        <v>1119</v>
      </c>
      <c r="G23" s="32"/>
      <c r="H23" s="2170" t="s">
        <v>8430</v>
      </c>
      <c r="I23" s="32"/>
      <c r="J23" s="32"/>
    </row>
    <row r="24" spans="1:11" x14ac:dyDescent="0.2">
      <c r="A24" s="1238"/>
      <c r="B24" s="1179" t="s">
        <v>1120</v>
      </c>
      <c r="C24" s="1195"/>
      <c r="D24" s="1196">
        <v>56</v>
      </c>
      <c r="E24" s="1196">
        <v>54</v>
      </c>
      <c r="F24" s="1197">
        <v>46</v>
      </c>
      <c r="G24" s="32"/>
      <c r="H24" s="2170" t="s">
        <v>8431</v>
      </c>
      <c r="I24" s="32"/>
      <c r="J24" s="32"/>
    </row>
    <row r="25" spans="1:11" x14ac:dyDescent="0.2">
      <c r="A25" s="1238"/>
      <c r="B25" s="1179" t="s">
        <v>1103</v>
      </c>
      <c r="C25" s="1195"/>
      <c r="D25" s="1196">
        <v>58</v>
      </c>
      <c r="E25" s="1196">
        <v>56</v>
      </c>
      <c r="F25" s="1197">
        <v>50</v>
      </c>
      <c r="G25" s="32"/>
      <c r="H25" s="32"/>
      <c r="I25" s="32"/>
      <c r="J25" s="32"/>
    </row>
    <row r="26" spans="1:11" x14ac:dyDescent="0.2">
      <c r="A26" s="1238"/>
      <c r="B26" s="1179" t="s">
        <v>1104</v>
      </c>
      <c r="C26" s="1198">
        <v>79</v>
      </c>
      <c r="D26" s="1199"/>
      <c r="E26" s="1199"/>
      <c r="F26" s="1200"/>
      <c r="G26" s="32"/>
      <c r="H26" s="32"/>
      <c r="I26" s="32"/>
      <c r="J26" s="32"/>
    </row>
    <row r="27" spans="1:11" x14ac:dyDescent="0.2">
      <c r="A27" s="1238"/>
      <c r="B27" s="1179" t="s">
        <v>1121</v>
      </c>
      <c r="C27" s="1198">
        <v>48</v>
      </c>
      <c r="D27" s="1199"/>
      <c r="E27" s="1199"/>
      <c r="F27" s="1200"/>
      <c r="G27" s="32"/>
      <c r="H27" s="32"/>
      <c r="I27" s="32"/>
      <c r="J27" s="32"/>
    </row>
    <row r="28" spans="1:11" ht="13.5" thickBot="1" x14ac:dyDescent="0.25">
      <c r="A28" s="1237"/>
      <c r="B28" s="1186" t="s">
        <v>1110</v>
      </c>
      <c r="C28" s="1201">
        <v>48</v>
      </c>
      <c r="D28" s="1202"/>
      <c r="E28" s="1202"/>
      <c r="F28" s="1203"/>
      <c r="G28" s="32"/>
      <c r="H28" s="32"/>
      <c r="I28" s="32"/>
      <c r="J28" s="32"/>
    </row>
    <row r="29" spans="1:11" x14ac:dyDescent="0.2">
      <c r="A29" s="32"/>
      <c r="B29" s="1161"/>
      <c r="C29" s="1161"/>
      <c r="D29" s="1161"/>
      <c r="E29" s="1161"/>
      <c r="F29" s="32"/>
      <c r="G29" s="32"/>
      <c r="H29" s="32"/>
      <c r="I29" s="32"/>
      <c r="J29" s="32"/>
    </row>
    <row r="30" spans="1:11" x14ac:dyDescent="0.2">
      <c r="A30" s="32"/>
      <c r="B30" s="1161"/>
      <c r="C30" s="1161"/>
      <c r="D30" s="1161"/>
      <c r="E30" s="1161"/>
      <c r="F30" s="32"/>
      <c r="G30" s="32"/>
      <c r="H30" s="32"/>
      <c r="I30" s="32"/>
      <c r="J30" s="32"/>
    </row>
    <row r="31" spans="1:11" x14ac:dyDescent="0.2">
      <c r="A31" s="32"/>
      <c r="B31" s="1162" t="s">
        <v>1122</v>
      </c>
      <c r="C31" s="1162"/>
      <c r="D31" s="1162"/>
      <c r="E31" s="1161"/>
      <c r="F31" s="32"/>
      <c r="G31" s="32"/>
      <c r="H31" s="32"/>
      <c r="I31" s="32"/>
      <c r="J31" s="32"/>
    </row>
    <row r="32" spans="1:11" ht="13.5" thickBot="1" x14ac:dyDescent="0.25">
      <c r="A32" s="32"/>
      <c r="B32" s="1161"/>
      <c r="C32" s="1161"/>
      <c r="D32" s="1161"/>
      <c r="E32" s="1161"/>
      <c r="F32" s="32"/>
      <c r="G32" s="32"/>
      <c r="H32" s="32"/>
      <c r="I32" s="32"/>
      <c r="J32" s="32"/>
    </row>
    <row r="33" spans="1:12" x14ac:dyDescent="0.2">
      <c r="A33" s="1236"/>
      <c r="B33" s="1600" t="s">
        <v>1123</v>
      </c>
      <c r="C33" s="1601" t="s">
        <v>8329</v>
      </c>
      <c r="D33" s="1602" t="s">
        <v>1124</v>
      </c>
      <c r="E33" s="1603"/>
      <c r="F33" s="1603"/>
      <c r="G33" s="1603"/>
      <c r="H33" s="1190"/>
      <c r="I33" s="1190"/>
      <c r="J33" s="1193"/>
      <c r="K33" s="1204" t="s">
        <v>1125</v>
      </c>
    </row>
    <row r="34" spans="1:12" ht="15" thickBot="1" x14ac:dyDescent="0.3">
      <c r="A34" s="1237"/>
      <c r="B34" s="1604"/>
      <c r="C34" s="1605" t="s">
        <v>2</v>
      </c>
      <c r="D34" s="1606" t="s">
        <v>4</v>
      </c>
      <c r="E34" s="1606" t="s">
        <v>8296</v>
      </c>
      <c r="F34" s="1176" t="s">
        <v>1046</v>
      </c>
      <c r="G34" s="1607" t="s">
        <v>8297</v>
      </c>
      <c r="H34" s="1176" t="s">
        <v>1047</v>
      </c>
      <c r="I34" s="1171" t="s">
        <v>1043</v>
      </c>
      <c r="J34" s="1608" t="s">
        <v>1102</v>
      </c>
      <c r="K34" s="1609" t="s">
        <v>555</v>
      </c>
      <c r="L34" s="1129" t="s">
        <v>270</v>
      </c>
    </row>
    <row r="35" spans="1:12" ht="13.5" thickBot="1" x14ac:dyDescent="0.25">
      <c r="A35" s="1238"/>
      <c r="B35" s="1174" t="s">
        <v>23</v>
      </c>
      <c r="D35" s="1207"/>
      <c r="E35" s="1208"/>
      <c r="F35" s="1209"/>
      <c r="G35" s="1210"/>
      <c r="H35" s="1209"/>
      <c r="I35" s="1209"/>
      <c r="J35" s="1211"/>
      <c r="K35" s="1204"/>
      <c r="L35">
        <v>0</v>
      </c>
    </row>
    <row r="36" spans="1:12" x14ac:dyDescent="0.2">
      <c r="A36" s="1238"/>
      <c r="B36" s="1610" t="s">
        <v>1126</v>
      </c>
      <c r="C36" s="1611">
        <v>13.1</v>
      </c>
      <c r="D36" s="1612">
        <v>5</v>
      </c>
      <c r="E36" s="1612">
        <v>2.2999999999999998</v>
      </c>
      <c r="F36" s="1613">
        <v>1</v>
      </c>
      <c r="G36" s="1614">
        <v>1.8072289156626506</v>
      </c>
      <c r="H36" s="1615">
        <f t="shared" ref="H36:H41" si="0">+G36/1.205</f>
        <v>1.4997750337449383</v>
      </c>
      <c r="I36" s="1616">
        <v>0.2</v>
      </c>
      <c r="J36" s="1617">
        <f t="shared" ref="J36:J41" si="1">+D36/10</f>
        <v>0.5</v>
      </c>
      <c r="K36" s="1618">
        <v>24.4</v>
      </c>
      <c r="L36" s="1305">
        <v>1</v>
      </c>
    </row>
    <row r="37" spans="1:12" x14ac:dyDescent="0.2">
      <c r="A37" s="1238"/>
      <c r="B37" s="1610" t="s">
        <v>1127</v>
      </c>
      <c r="C37" s="1611">
        <v>13.3</v>
      </c>
      <c r="D37" s="1619">
        <v>5.33</v>
      </c>
      <c r="E37" s="1620">
        <v>2.2999999999999998</v>
      </c>
      <c r="F37" s="1621">
        <v>1</v>
      </c>
      <c r="G37" s="1212">
        <v>1.8072289156626506</v>
      </c>
      <c r="H37" s="1213">
        <f t="shared" si="0"/>
        <v>1.4997750337449383</v>
      </c>
      <c r="I37" s="1616">
        <v>0.2</v>
      </c>
      <c r="J37" s="1622">
        <f t="shared" si="1"/>
        <v>0.53300000000000003</v>
      </c>
      <c r="K37" s="1623">
        <v>25.4</v>
      </c>
      <c r="L37" s="1305">
        <v>1</v>
      </c>
    </row>
    <row r="38" spans="1:12" x14ac:dyDescent="0.2">
      <c r="A38" s="1238"/>
      <c r="B38" s="1610" t="s">
        <v>1128</v>
      </c>
      <c r="C38" s="1611">
        <v>13.5</v>
      </c>
      <c r="D38" s="1612">
        <v>5.6</v>
      </c>
      <c r="E38" s="1621">
        <v>2.2999999999999998</v>
      </c>
      <c r="F38" s="1621">
        <v>1</v>
      </c>
      <c r="G38" s="1212">
        <v>1.8072289156626506</v>
      </c>
      <c r="H38" s="1213">
        <f t="shared" si="0"/>
        <v>1.4997750337449383</v>
      </c>
      <c r="I38" s="1616">
        <v>0.2</v>
      </c>
      <c r="J38" s="1622">
        <f t="shared" si="1"/>
        <v>0.55999999999999994</v>
      </c>
      <c r="K38" s="1623">
        <v>26.5</v>
      </c>
      <c r="L38" s="1305">
        <v>1</v>
      </c>
    </row>
    <row r="39" spans="1:12" x14ac:dyDescent="0.2">
      <c r="A39" s="1238"/>
      <c r="B39" s="1610" t="s">
        <v>1129</v>
      </c>
      <c r="C39" s="1611">
        <v>10.3</v>
      </c>
      <c r="D39" s="1612">
        <v>3.5</v>
      </c>
      <c r="E39" s="1621">
        <v>1.4</v>
      </c>
      <c r="F39" s="1621">
        <v>0.6</v>
      </c>
      <c r="G39" s="1212">
        <v>0.6</v>
      </c>
      <c r="H39" s="1213">
        <f t="shared" si="0"/>
        <v>0.49792531120331945</v>
      </c>
      <c r="I39" s="1616">
        <v>0.15</v>
      </c>
      <c r="J39" s="1622">
        <f t="shared" si="1"/>
        <v>0.35</v>
      </c>
      <c r="K39" s="1623">
        <v>21.7</v>
      </c>
      <c r="L39" s="1305">
        <v>6</v>
      </c>
    </row>
    <row r="40" spans="1:12" x14ac:dyDescent="0.2">
      <c r="A40" s="1238"/>
      <c r="B40" s="1610" t="s">
        <v>1130</v>
      </c>
      <c r="C40" s="1611">
        <v>12.7</v>
      </c>
      <c r="D40" s="1215">
        <v>5.8</v>
      </c>
      <c r="E40" s="1216">
        <v>2.8</v>
      </c>
      <c r="F40" s="1213">
        <f>+E40/2.291</f>
        <v>1.2221737232649497</v>
      </c>
      <c r="G40" s="1212">
        <v>2.2000000000000002</v>
      </c>
      <c r="H40" s="1213">
        <f t="shared" si="0"/>
        <v>1.8257261410788381</v>
      </c>
      <c r="I40" s="1616">
        <v>0.33</v>
      </c>
      <c r="J40" s="1622">
        <f t="shared" si="1"/>
        <v>0.57999999999999996</v>
      </c>
      <c r="K40" s="1623">
        <v>29.1</v>
      </c>
      <c r="L40" s="1305">
        <v>5</v>
      </c>
    </row>
    <row r="41" spans="1:12" ht="13.5" thickBot="1" x14ac:dyDescent="0.25">
      <c r="A41" s="1237"/>
      <c r="B41" s="1624" t="s">
        <v>1131</v>
      </c>
      <c r="C41" s="1625">
        <v>16.899999999999999</v>
      </c>
      <c r="D41" s="1217">
        <v>8.3000000000000007</v>
      </c>
      <c r="E41" s="1218">
        <v>2.5</v>
      </c>
      <c r="F41" s="1219">
        <f>+E41/2.291</f>
        <v>1.0912265386294195</v>
      </c>
      <c r="G41" s="1220">
        <v>2.2000000000000002</v>
      </c>
      <c r="H41" s="1219">
        <f t="shared" si="0"/>
        <v>1.8257261410788381</v>
      </c>
      <c r="I41" s="1626">
        <v>0.18</v>
      </c>
      <c r="J41" s="1627">
        <f t="shared" si="1"/>
        <v>0.83000000000000007</v>
      </c>
      <c r="K41" s="1628">
        <v>31.3</v>
      </c>
      <c r="L41" s="1305">
        <v>4</v>
      </c>
    </row>
    <row r="42" spans="1:12" x14ac:dyDescent="0.2">
      <c r="A42" s="32"/>
      <c r="B42" s="1161"/>
      <c r="C42" s="1161"/>
      <c r="D42" s="1161"/>
      <c r="E42" s="1161"/>
      <c r="F42" s="32"/>
      <c r="G42" s="32"/>
      <c r="H42" s="32"/>
      <c r="I42" s="32"/>
      <c r="J42" s="32"/>
    </row>
    <row r="43" spans="1:12" x14ac:dyDescent="0.2">
      <c r="A43" s="32"/>
      <c r="B43" s="1161" t="s">
        <v>1132</v>
      </c>
      <c r="C43" s="1161"/>
      <c r="D43" s="1161"/>
      <c r="E43" s="1161"/>
      <c r="F43" s="32"/>
      <c r="G43" s="32"/>
      <c r="H43" s="32"/>
      <c r="I43" s="32"/>
      <c r="J43" s="32"/>
    </row>
    <row r="44" spans="1:12" x14ac:dyDescent="0.2">
      <c r="A44" s="32"/>
      <c r="B44" s="1161" t="s">
        <v>1133</v>
      </c>
      <c r="C44" s="1161"/>
      <c r="D44" s="1161"/>
      <c r="E44" s="1161"/>
      <c r="F44" s="32"/>
      <c r="G44" s="32"/>
      <c r="H44" s="32"/>
      <c r="I44" s="32"/>
      <c r="J44" s="32"/>
    </row>
    <row r="45" spans="1:12" ht="15" x14ac:dyDescent="0.2">
      <c r="A45" s="32"/>
      <c r="B45" s="1161"/>
      <c r="C45" s="1161"/>
      <c r="D45" s="1221"/>
      <c r="E45" s="1221"/>
      <c r="F45" s="1221"/>
      <c r="G45" s="1221"/>
      <c r="H45" s="1221"/>
      <c r="I45" s="32"/>
      <c r="J45" s="32"/>
    </row>
    <row r="46" spans="1:12" ht="15" x14ac:dyDescent="0.2">
      <c r="A46" s="32"/>
      <c r="B46" s="1161"/>
      <c r="C46" s="1161"/>
      <c r="D46" s="1221"/>
      <c r="E46" s="1221"/>
      <c r="F46" s="1221"/>
      <c r="G46" s="1221"/>
      <c r="H46" s="32"/>
      <c r="I46" s="32"/>
      <c r="J46" s="32"/>
    </row>
    <row r="47" spans="1:12" x14ac:dyDescent="0.2">
      <c r="A47" s="32"/>
      <c r="B47" s="1162" t="s">
        <v>1134</v>
      </c>
      <c r="C47" s="1162"/>
      <c r="D47" s="1161"/>
      <c r="E47" s="1161"/>
      <c r="F47" s="32"/>
      <c r="G47" s="32"/>
      <c r="H47" s="32"/>
      <c r="I47" s="32"/>
      <c r="J47" s="32"/>
    </row>
    <row r="48" spans="1:12" ht="13.5" thickBot="1" x14ac:dyDescent="0.25">
      <c r="A48" s="32"/>
      <c r="B48" s="1161"/>
      <c r="C48" s="1161"/>
      <c r="D48" s="1161"/>
      <c r="E48" s="1161"/>
      <c r="F48" s="32"/>
      <c r="G48" s="32"/>
      <c r="H48" s="32"/>
      <c r="I48" s="32"/>
      <c r="J48" s="32"/>
    </row>
    <row r="49" spans="1:12" x14ac:dyDescent="0.2">
      <c r="A49" s="1236"/>
      <c r="B49" s="1163" t="s">
        <v>1135</v>
      </c>
      <c r="C49" s="1164" t="s">
        <v>1136</v>
      </c>
      <c r="D49" s="1165"/>
      <c r="E49" s="1165"/>
      <c r="F49" s="1165"/>
      <c r="G49" s="1190"/>
      <c r="H49" s="1190"/>
      <c r="I49" s="1193"/>
      <c r="J49" s="1161"/>
    </row>
    <row r="50" spans="1:12" ht="15" thickBot="1" x14ac:dyDescent="0.3">
      <c r="A50" s="1237"/>
      <c r="B50" s="1174"/>
      <c r="C50" s="1205" t="s">
        <v>4</v>
      </c>
      <c r="D50" s="1205" t="s">
        <v>798</v>
      </c>
      <c r="E50" s="1176" t="s">
        <v>1046</v>
      </c>
      <c r="F50" s="1175" t="s">
        <v>799</v>
      </c>
      <c r="G50" s="1176" t="s">
        <v>1047</v>
      </c>
      <c r="H50" s="1176" t="s">
        <v>1043</v>
      </c>
      <c r="I50" s="1206" t="s">
        <v>1102</v>
      </c>
      <c r="J50" s="1172" t="s">
        <v>270</v>
      </c>
      <c r="L50" s="1240" t="s">
        <v>8394</v>
      </c>
    </row>
    <row r="51" spans="1:12" ht="13.5" thickBot="1" x14ac:dyDescent="0.25">
      <c r="A51" s="1238"/>
      <c r="B51" s="1165" t="s">
        <v>23</v>
      </c>
      <c r="C51" s="1207"/>
      <c r="D51" s="1208"/>
      <c r="E51" s="1209"/>
      <c r="F51" s="1210"/>
      <c r="G51" s="1209"/>
      <c r="H51" s="1222"/>
      <c r="I51" s="1223"/>
      <c r="J51" s="1172">
        <v>0</v>
      </c>
    </row>
    <row r="52" spans="1:12" x14ac:dyDescent="0.2">
      <c r="A52" s="1238"/>
      <c r="B52" s="1629" t="s">
        <v>8330</v>
      </c>
      <c r="C52" s="1631">
        <v>1.19</v>
      </c>
      <c r="D52" s="1632">
        <v>0.26</v>
      </c>
      <c r="E52" s="1633">
        <v>0.11</v>
      </c>
      <c r="F52" s="1634">
        <v>0.11</v>
      </c>
      <c r="G52" s="1635">
        <f>+F52/1.205</f>
        <v>9.1286307053941904E-2</v>
      </c>
      <c r="H52" s="1225">
        <v>0.01</v>
      </c>
      <c r="I52" s="1636">
        <f>+C52/10</f>
        <v>0.11899999999999999</v>
      </c>
      <c r="J52" s="1185">
        <v>3</v>
      </c>
      <c r="L52">
        <v>240</v>
      </c>
    </row>
    <row r="53" spans="1:12" ht="13.5" thickBot="1" x14ac:dyDescent="0.25">
      <c r="A53" s="32"/>
      <c r="B53" s="1630" t="s">
        <v>8331</v>
      </c>
      <c r="C53" s="1637">
        <v>19</v>
      </c>
      <c r="D53" s="1638">
        <v>4.8099999999999996</v>
      </c>
      <c r="E53" s="1639">
        <f>+D53/2.291</f>
        <v>2.099519860323003</v>
      </c>
      <c r="F53" s="1640">
        <v>1.77</v>
      </c>
      <c r="G53" s="1639">
        <f>+F53/1.205</f>
        <v>1.4688796680497924</v>
      </c>
      <c r="H53" s="1641">
        <v>0.18</v>
      </c>
      <c r="I53" s="1642">
        <f>+C53/10</f>
        <v>1.9</v>
      </c>
      <c r="J53" s="32"/>
    </row>
    <row r="54" spans="1:12" x14ac:dyDescent="0.2">
      <c r="A54" s="32"/>
      <c r="B54" s="32"/>
      <c r="C54" s="32"/>
      <c r="D54" s="32"/>
      <c r="E54" s="32"/>
      <c r="F54" s="1184"/>
      <c r="G54" s="1184"/>
      <c r="H54" s="32"/>
      <c r="I54" s="32"/>
      <c r="J54" s="32"/>
    </row>
    <row r="55" spans="1:12" x14ac:dyDescent="0.2">
      <c r="A55" s="32"/>
      <c r="B55" s="1162" t="s">
        <v>1137</v>
      </c>
      <c r="C55" s="1162"/>
      <c r="D55" s="1161"/>
      <c r="E55" s="1161"/>
      <c r="F55" s="32"/>
      <c r="G55" s="32"/>
      <c r="H55" s="32"/>
      <c r="I55" s="32"/>
      <c r="J55" s="32"/>
    </row>
    <row r="56" spans="1:12" ht="13.5" thickBot="1" x14ac:dyDescent="0.25">
      <c r="A56" s="32"/>
      <c r="B56" s="1161"/>
      <c r="C56" s="1161"/>
      <c r="D56" s="1161"/>
      <c r="E56" s="1161"/>
      <c r="F56" s="32"/>
      <c r="G56" s="32"/>
      <c r="H56" s="32"/>
      <c r="I56" s="32"/>
      <c r="J56" s="32"/>
    </row>
    <row r="57" spans="1:12" x14ac:dyDescent="0.2">
      <c r="A57" s="1236"/>
      <c r="B57" s="1163" t="s">
        <v>1138</v>
      </c>
      <c r="C57" s="3174" t="s">
        <v>1139</v>
      </c>
      <c r="D57" s="3193"/>
      <c r="E57" s="3193"/>
      <c r="F57" s="3193"/>
      <c r="G57" s="1190"/>
      <c r="H57" s="1190"/>
      <c r="I57" s="1193"/>
      <c r="J57" s="1161"/>
    </row>
    <row r="58" spans="1:12" ht="15" thickBot="1" x14ac:dyDescent="0.3">
      <c r="A58" s="1238"/>
      <c r="B58" s="1174"/>
      <c r="C58" s="1205" t="s">
        <v>4</v>
      </c>
      <c r="D58" s="1205" t="s">
        <v>798</v>
      </c>
      <c r="E58" s="1176" t="s">
        <v>1046</v>
      </c>
      <c r="F58" s="1175" t="s">
        <v>799</v>
      </c>
      <c r="G58" s="1176" t="s">
        <v>1047</v>
      </c>
      <c r="H58" s="1226" t="s">
        <v>1043</v>
      </c>
      <c r="I58" s="1206" t="s">
        <v>1102</v>
      </c>
      <c r="J58" s="1172" t="s">
        <v>270</v>
      </c>
      <c r="L58" s="1240" t="s">
        <v>8398</v>
      </c>
    </row>
    <row r="59" spans="1:12" x14ac:dyDescent="0.2">
      <c r="A59" s="1236"/>
      <c r="B59" s="1165" t="s">
        <v>23</v>
      </c>
      <c r="C59" s="1207"/>
      <c r="D59" s="1208"/>
      <c r="E59" s="1209"/>
      <c r="F59" s="1210"/>
      <c r="G59" s="1209"/>
      <c r="H59" s="1227"/>
      <c r="I59" s="1223"/>
      <c r="J59" s="1172">
        <v>0</v>
      </c>
    </row>
    <row r="60" spans="1:12" ht="13.5" thickBot="1" x14ac:dyDescent="0.25">
      <c r="A60" s="1237"/>
      <c r="B60" s="1228" t="s">
        <v>1140</v>
      </c>
      <c r="C60" s="1229">
        <v>128</v>
      </c>
      <c r="D60" s="1230">
        <v>0.9</v>
      </c>
      <c r="E60" s="1231">
        <v>0.4</v>
      </c>
      <c r="F60" s="1232">
        <v>60.3</v>
      </c>
      <c r="G60" s="1219">
        <v>50</v>
      </c>
      <c r="H60" s="1233">
        <v>0.5</v>
      </c>
      <c r="I60" s="1234">
        <v>12.8</v>
      </c>
      <c r="J60" s="1184">
        <v>4</v>
      </c>
      <c r="L60">
        <v>4</v>
      </c>
    </row>
    <row r="61" spans="1:12" x14ac:dyDescent="0.2">
      <c r="A61" s="1161"/>
      <c r="B61" s="1161"/>
      <c r="C61" s="1161"/>
      <c r="D61" s="1161"/>
      <c r="E61" s="1161"/>
      <c r="F61" s="1161"/>
      <c r="G61" s="1161"/>
      <c r="H61" s="1161"/>
      <c r="I61" s="1161"/>
      <c r="J61" s="1161"/>
    </row>
  </sheetData>
  <mergeCells count="1">
    <mergeCell ref="C57:F57"/>
  </mergeCells>
  <pageMargins left="0.7" right="0.7" top="0.78740157499999996" bottom="0.78740157499999996"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H13"/>
  <sheetViews>
    <sheetView workbookViewId="0"/>
  </sheetViews>
  <sheetFormatPr baseColWidth="10" defaultRowHeight="12.75" x14ac:dyDescent="0.2"/>
  <sheetData>
    <row r="1" spans="1:8" x14ac:dyDescent="0.2">
      <c r="D1" s="1867" t="s">
        <v>23</v>
      </c>
    </row>
    <row r="2" spans="1:8" x14ac:dyDescent="0.2">
      <c r="A2">
        <v>1</v>
      </c>
      <c r="B2" s="28" t="s">
        <v>37</v>
      </c>
      <c r="D2" s="1129" t="s">
        <v>1076</v>
      </c>
      <c r="F2" s="1129" t="s">
        <v>23</v>
      </c>
      <c r="H2" s="1129" t="s">
        <v>895</v>
      </c>
    </row>
    <row r="3" spans="1:8" x14ac:dyDescent="0.2">
      <c r="A3">
        <v>2</v>
      </c>
      <c r="B3" s="28" t="s">
        <v>38</v>
      </c>
      <c r="D3" s="1129" t="s">
        <v>1077</v>
      </c>
      <c r="F3" s="1129" t="s">
        <v>1161</v>
      </c>
      <c r="H3" s="1129" t="s">
        <v>0</v>
      </c>
    </row>
    <row r="4" spans="1:8" x14ac:dyDescent="0.2">
      <c r="A4">
        <v>3</v>
      </c>
      <c r="B4" s="28" t="s">
        <v>39</v>
      </c>
      <c r="D4" s="1129" t="s">
        <v>1078</v>
      </c>
      <c r="F4" s="1129" t="s">
        <v>1162</v>
      </c>
      <c r="H4" s="1129" t="s">
        <v>13</v>
      </c>
    </row>
    <row r="5" spans="1:8" x14ac:dyDescent="0.2">
      <c r="D5" s="1129" t="s">
        <v>1079</v>
      </c>
      <c r="F5" s="1129" t="s">
        <v>1160</v>
      </c>
    </row>
    <row r="6" spans="1:8" x14ac:dyDescent="0.2">
      <c r="A6">
        <v>1</v>
      </c>
      <c r="B6" s="28" t="s">
        <v>341</v>
      </c>
      <c r="D6" s="1129" t="s">
        <v>1080</v>
      </c>
    </row>
    <row r="7" spans="1:8" x14ac:dyDescent="0.2">
      <c r="A7">
        <v>2</v>
      </c>
      <c r="B7" s="28" t="s">
        <v>342</v>
      </c>
      <c r="D7" s="1129" t="s">
        <v>1081</v>
      </c>
    </row>
    <row r="8" spans="1:8" x14ac:dyDescent="0.2">
      <c r="D8" s="1129" t="s">
        <v>1082</v>
      </c>
    </row>
    <row r="9" spans="1:8" x14ac:dyDescent="0.2">
      <c r="A9">
        <v>1</v>
      </c>
      <c r="B9" s="28" t="s">
        <v>721</v>
      </c>
      <c r="D9" s="1129" t="s">
        <v>1083</v>
      </c>
    </row>
    <row r="10" spans="1:8" x14ac:dyDescent="0.2">
      <c r="A10">
        <v>2</v>
      </c>
      <c r="B10" s="28" t="s">
        <v>731</v>
      </c>
      <c r="D10" s="1129" t="s">
        <v>1084</v>
      </c>
    </row>
    <row r="11" spans="1:8" x14ac:dyDescent="0.2">
      <c r="D11" s="1129" t="s">
        <v>1085</v>
      </c>
    </row>
    <row r="12" spans="1:8" x14ac:dyDescent="0.2">
      <c r="D12" s="1129" t="s">
        <v>1086</v>
      </c>
    </row>
    <row r="13" spans="1:8" x14ac:dyDescent="0.2">
      <c r="D13" s="1129" t="s">
        <v>1087</v>
      </c>
    </row>
  </sheetData>
  <customSheetViews>
    <customSheetView guid="{DDA6E6AA-9473-49A0-A3A2-76E4959B79AF}" state="hidden">
      <selection activeCell="I36" sqref="I36"/>
      <pageMargins left="0.7" right="0.7" top="0.78740157499999996" bottom="0.78740157499999996" header="0.3" footer="0.3"/>
    </customSheetView>
  </customSheetView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pageSetUpPr fitToPage="1"/>
  </sheetPr>
  <dimension ref="A1:F78"/>
  <sheetViews>
    <sheetView workbookViewId="0"/>
  </sheetViews>
  <sheetFormatPr baseColWidth="10" defaultColWidth="11.42578125" defaultRowHeight="12.75" x14ac:dyDescent="0.2"/>
  <cols>
    <col min="1" max="1" width="4.28515625" style="32" customWidth="1"/>
    <col min="2" max="2" width="41.5703125" style="32" customWidth="1"/>
    <col min="3" max="3" width="2.28515625" style="32" customWidth="1"/>
    <col min="4" max="4" width="6.85546875" style="32" customWidth="1"/>
    <col min="5" max="5" width="44.85546875" style="32" customWidth="1"/>
    <col min="6" max="16384" width="11.42578125" style="32"/>
  </cols>
  <sheetData>
    <row r="1" spans="1:6" ht="15.95" customHeight="1" x14ac:dyDescent="0.3">
      <c r="A1" s="60" t="s">
        <v>96</v>
      </c>
      <c r="B1" s="61"/>
      <c r="C1" s="61"/>
      <c r="D1" s="62"/>
      <c r="E1" s="61"/>
      <c r="F1" s="61"/>
    </row>
    <row r="2" spans="1:6" ht="6" customHeight="1" x14ac:dyDescent="0.25">
      <c r="A2" s="63"/>
      <c r="B2" s="64"/>
      <c r="C2" s="64"/>
      <c r="D2" s="63"/>
      <c r="E2" s="64"/>
      <c r="F2" s="64"/>
    </row>
    <row r="3" spans="1:6" ht="15.95" customHeight="1" x14ac:dyDescent="0.25">
      <c r="A3" s="3204" t="s">
        <v>97</v>
      </c>
      <c r="B3" s="3205"/>
      <c r="C3" s="65"/>
      <c r="D3" s="66"/>
      <c r="E3" s="67" t="s">
        <v>98</v>
      </c>
      <c r="F3" s="68"/>
    </row>
    <row r="4" spans="1:6" ht="14.1" customHeight="1" x14ac:dyDescent="0.2">
      <c r="A4" s="69" t="s">
        <v>99</v>
      </c>
      <c r="B4" s="70" t="s">
        <v>100</v>
      </c>
      <c r="C4" s="71"/>
      <c r="D4" s="72"/>
      <c r="E4" s="73" t="s">
        <v>101</v>
      </c>
      <c r="F4" s="74"/>
    </row>
    <row r="5" spans="1:6" ht="5.0999999999999996" customHeight="1" x14ac:dyDescent="0.2">
      <c r="A5" s="71"/>
      <c r="B5" s="74"/>
      <c r="C5" s="74"/>
      <c r="D5" s="75"/>
      <c r="E5" s="76"/>
      <c r="F5" s="74"/>
    </row>
    <row r="6" spans="1:6" ht="12.95" customHeight="1" x14ac:dyDescent="0.2">
      <c r="A6" s="77" t="s">
        <v>102</v>
      </c>
      <c r="B6" s="78" t="s">
        <v>103</v>
      </c>
      <c r="C6" s="79"/>
      <c r="D6" s="80"/>
      <c r="E6" s="81" t="s">
        <v>104</v>
      </c>
      <c r="F6" s="74"/>
    </row>
    <row r="7" spans="1:6" ht="5.0999999999999996" customHeight="1" x14ac:dyDescent="0.2">
      <c r="A7" s="82"/>
      <c r="B7" s="83"/>
      <c r="C7" s="79"/>
      <c r="D7" s="80"/>
      <c r="E7" s="84"/>
      <c r="F7" s="74"/>
    </row>
    <row r="8" spans="1:6" ht="12.95" customHeight="1" x14ac:dyDescent="0.2">
      <c r="A8" s="85" t="s">
        <v>105</v>
      </c>
      <c r="B8" s="86" t="s">
        <v>106</v>
      </c>
      <c r="C8" s="74"/>
      <c r="D8" s="80"/>
      <c r="E8" s="87" t="s">
        <v>106</v>
      </c>
      <c r="F8" s="74"/>
    </row>
    <row r="9" spans="1:6" ht="12.95" customHeight="1" x14ac:dyDescent="0.2">
      <c r="A9" s="88" t="s">
        <v>107</v>
      </c>
      <c r="B9" s="89" t="s">
        <v>108</v>
      </c>
      <c r="C9" s="74"/>
      <c r="D9" s="80"/>
      <c r="E9" s="90" t="s">
        <v>109</v>
      </c>
      <c r="F9" s="74"/>
    </row>
    <row r="10" spans="1:6" ht="12.95" customHeight="1" x14ac:dyDescent="0.2">
      <c r="A10" s="91" t="s">
        <v>110</v>
      </c>
      <c r="B10" s="92" t="s">
        <v>111</v>
      </c>
      <c r="C10" s="74"/>
      <c r="D10" s="80"/>
      <c r="E10" s="93" t="s">
        <v>112</v>
      </c>
      <c r="F10" s="74"/>
    </row>
    <row r="11" spans="1:6" ht="5.0999999999999996" customHeight="1" x14ac:dyDescent="0.2">
      <c r="A11" s="82"/>
      <c r="B11" s="76"/>
      <c r="C11" s="74"/>
      <c r="D11" s="80"/>
      <c r="E11" s="84"/>
      <c r="F11" s="74"/>
    </row>
    <row r="12" spans="1:6" ht="12.95" customHeight="1" x14ac:dyDescent="0.2">
      <c r="A12" s="85" t="s">
        <v>113</v>
      </c>
      <c r="B12" s="86" t="s">
        <v>114</v>
      </c>
      <c r="C12" s="74"/>
      <c r="D12" s="80"/>
      <c r="E12" s="87" t="s">
        <v>115</v>
      </c>
      <c r="F12" s="74"/>
    </row>
    <row r="13" spans="1:6" ht="12.95" customHeight="1" x14ac:dyDescent="0.2">
      <c r="A13" s="88" t="s">
        <v>116</v>
      </c>
      <c r="B13" s="89" t="s">
        <v>117</v>
      </c>
      <c r="C13" s="74"/>
      <c r="D13" s="80"/>
      <c r="E13" s="90" t="s">
        <v>117</v>
      </c>
      <c r="F13" s="74"/>
    </row>
    <row r="14" spans="1:6" ht="12.95" customHeight="1" x14ac:dyDescent="0.2">
      <c r="A14" s="91" t="s">
        <v>118</v>
      </c>
      <c r="B14" s="92" t="s">
        <v>119</v>
      </c>
      <c r="C14" s="74"/>
      <c r="D14" s="80"/>
      <c r="E14" s="93" t="s">
        <v>119</v>
      </c>
      <c r="F14" s="74"/>
    </row>
    <row r="15" spans="1:6" ht="5.0999999999999996" customHeight="1" x14ac:dyDescent="0.2">
      <c r="A15" s="82"/>
      <c r="B15" s="76"/>
      <c r="C15" s="74"/>
      <c r="D15" s="80"/>
      <c r="E15" s="84"/>
      <c r="F15" s="74"/>
    </row>
    <row r="16" spans="1:6" ht="12.95" customHeight="1" x14ac:dyDescent="0.2">
      <c r="A16" s="3194">
        <v>18</v>
      </c>
      <c r="B16" s="3201" t="s">
        <v>120</v>
      </c>
      <c r="C16" s="74"/>
      <c r="D16" s="80"/>
      <c r="E16" s="87" t="s">
        <v>121</v>
      </c>
      <c r="F16" s="74"/>
    </row>
    <row r="17" spans="1:6" ht="12.95" customHeight="1" x14ac:dyDescent="0.2">
      <c r="A17" s="3195"/>
      <c r="B17" s="3203"/>
      <c r="C17" s="74"/>
      <c r="D17" s="80"/>
      <c r="E17" s="93" t="s">
        <v>122</v>
      </c>
      <c r="F17" s="74"/>
    </row>
    <row r="18" spans="1:6" ht="5.0999999999999996" customHeight="1" x14ac:dyDescent="0.2">
      <c r="A18" s="82"/>
      <c r="B18" s="76"/>
      <c r="C18" s="74"/>
      <c r="D18" s="80"/>
      <c r="E18" s="84"/>
      <c r="F18" s="74"/>
    </row>
    <row r="19" spans="1:6" ht="12.95" customHeight="1" x14ac:dyDescent="0.2">
      <c r="A19" s="94" t="s">
        <v>123</v>
      </c>
      <c r="B19" s="95" t="s">
        <v>124</v>
      </c>
      <c r="C19" s="74"/>
      <c r="D19" s="80"/>
      <c r="E19" s="3206" t="s">
        <v>125</v>
      </c>
      <c r="F19" s="74"/>
    </row>
    <row r="20" spans="1:6" ht="12.95" customHeight="1" x14ac:dyDescent="0.2">
      <c r="A20" s="88" t="s">
        <v>126</v>
      </c>
      <c r="B20" s="89" t="s">
        <v>127</v>
      </c>
      <c r="C20" s="74"/>
      <c r="D20" s="80"/>
      <c r="E20" s="3207"/>
      <c r="F20" s="74"/>
    </row>
    <row r="21" spans="1:6" ht="12.95" customHeight="1" x14ac:dyDescent="0.2">
      <c r="A21" s="88" t="s">
        <v>128</v>
      </c>
      <c r="B21" s="89" t="s">
        <v>129</v>
      </c>
      <c r="C21" s="74"/>
      <c r="D21" s="80"/>
      <c r="E21" s="96" t="s">
        <v>130</v>
      </c>
      <c r="F21" s="74"/>
    </row>
    <row r="22" spans="1:6" ht="12" customHeight="1" x14ac:dyDescent="0.2">
      <c r="A22" s="91" t="s">
        <v>131</v>
      </c>
      <c r="B22" s="92" t="s">
        <v>132</v>
      </c>
      <c r="C22" s="74"/>
      <c r="D22" s="80"/>
      <c r="E22" s="97"/>
      <c r="F22" s="74"/>
    </row>
    <row r="23" spans="1:6" ht="5.0999999999999996" customHeight="1" x14ac:dyDescent="0.2">
      <c r="A23" s="82"/>
      <c r="B23" s="76"/>
      <c r="C23" s="74"/>
      <c r="D23" s="80"/>
      <c r="E23" s="76"/>
      <c r="F23" s="74"/>
    </row>
    <row r="24" spans="1:6" ht="12.95" customHeight="1" x14ac:dyDescent="0.2">
      <c r="A24" s="85" t="s">
        <v>133</v>
      </c>
      <c r="B24" s="86" t="s">
        <v>134</v>
      </c>
      <c r="C24" s="74"/>
      <c r="D24" s="80"/>
      <c r="E24" s="3208" t="s">
        <v>135</v>
      </c>
      <c r="F24" s="74"/>
    </row>
    <row r="25" spans="1:6" ht="12.95" customHeight="1" x14ac:dyDescent="0.2">
      <c r="A25" s="91" t="s">
        <v>136</v>
      </c>
      <c r="B25" s="92" t="s">
        <v>137</v>
      </c>
      <c r="C25" s="74"/>
      <c r="D25" s="80"/>
      <c r="E25" s="3209"/>
      <c r="F25" s="74"/>
    </row>
    <row r="26" spans="1:6" ht="5.0999999999999996" customHeight="1" x14ac:dyDescent="0.2">
      <c r="A26" s="82"/>
      <c r="B26" s="76"/>
      <c r="C26" s="74"/>
      <c r="D26" s="80"/>
      <c r="E26" s="76"/>
      <c r="F26" s="74"/>
    </row>
    <row r="27" spans="1:6" ht="12.95" customHeight="1" x14ac:dyDescent="0.2">
      <c r="A27" s="85" t="s">
        <v>138</v>
      </c>
      <c r="B27" s="86" t="s">
        <v>139</v>
      </c>
      <c r="C27" s="74"/>
      <c r="D27" s="80"/>
      <c r="E27" s="98" t="s">
        <v>140</v>
      </c>
      <c r="F27" s="74"/>
    </row>
    <row r="28" spans="1:6" ht="12.95" customHeight="1" x14ac:dyDescent="0.2">
      <c r="A28" s="91" t="s">
        <v>141</v>
      </c>
      <c r="B28" s="92" t="s">
        <v>142</v>
      </c>
      <c r="C28" s="74"/>
      <c r="D28" s="80"/>
      <c r="E28" s="97" t="s">
        <v>143</v>
      </c>
      <c r="F28" s="74"/>
    </row>
    <row r="29" spans="1:6" ht="8.1" customHeight="1" x14ac:dyDescent="0.2">
      <c r="A29" s="82"/>
      <c r="B29" s="76"/>
      <c r="C29" s="74"/>
      <c r="D29" s="80"/>
      <c r="E29" s="76"/>
      <c r="F29" s="74"/>
    </row>
    <row r="30" spans="1:6" ht="12.95" customHeight="1" x14ac:dyDescent="0.2">
      <c r="A30" s="3194" t="s">
        <v>144</v>
      </c>
      <c r="B30" s="3196" t="s">
        <v>145</v>
      </c>
      <c r="C30" s="74"/>
      <c r="D30" s="80"/>
      <c r="E30" s="99" t="s">
        <v>146</v>
      </c>
      <c r="F30" s="74"/>
    </row>
    <row r="31" spans="1:6" ht="12.95" customHeight="1" x14ac:dyDescent="0.2">
      <c r="A31" s="3195"/>
      <c r="B31" s="3197"/>
      <c r="C31" s="74"/>
      <c r="D31" s="75"/>
      <c r="E31" s="100" t="s">
        <v>147</v>
      </c>
      <c r="F31" s="74"/>
    </row>
    <row r="32" spans="1:6" ht="9.9499999999999993" customHeight="1" x14ac:dyDescent="0.2">
      <c r="A32" s="82"/>
      <c r="B32" s="76"/>
      <c r="C32" s="74"/>
      <c r="D32" s="75"/>
      <c r="E32" s="76"/>
      <c r="F32" s="74"/>
    </row>
    <row r="33" spans="1:6" ht="12.95" customHeight="1" x14ac:dyDescent="0.2">
      <c r="A33" s="82"/>
      <c r="B33" s="76"/>
      <c r="C33" s="74"/>
      <c r="D33" s="80"/>
      <c r="E33" s="87" t="s">
        <v>148</v>
      </c>
      <c r="F33" s="74"/>
    </row>
    <row r="34" spans="1:6" ht="12.95" customHeight="1" x14ac:dyDescent="0.2">
      <c r="A34" s="82"/>
      <c r="B34" s="76"/>
      <c r="C34" s="74"/>
      <c r="D34" s="75"/>
      <c r="E34" s="90" t="s">
        <v>149</v>
      </c>
      <c r="F34" s="74"/>
    </row>
    <row r="35" spans="1:6" ht="12.95" customHeight="1" x14ac:dyDescent="0.2">
      <c r="A35" s="82"/>
      <c r="B35" s="76"/>
      <c r="C35" s="74"/>
      <c r="D35" s="75"/>
      <c r="E35" s="101" t="s">
        <v>150</v>
      </c>
      <c r="F35" s="74"/>
    </row>
    <row r="36" spans="1:6" ht="12.95" customHeight="1" x14ac:dyDescent="0.2">
      <c r="A36" s="3194" t="s">
        <v>151</v>
      </c>
      <c r="B36" s="3201" t="s">
        <v>152</v>
      </c>
      <c r="C36" s="74"/>
      <c r="D36" s="75"/>
      <c r="E36" s="102" t="s">
        <v>153</v>
      </c>
      <c r="F36" s="74"/>
    </row>
    <row r="37" spans="1:6" ht="12.95" customHeight="1" x14ac:dyDescent="0.2">
      <c r="A37" s="3198"/>
      <c r="B37" s="3202"/>
      <c r="C37" s="74"/>
      <c r="D37" s="80"/>
      <c r="E37" s="103" t="s">
        <v>154</v>
      </c>
      <c r="F37" s="74"/>
    </row>
    <row r="38" spans="1:6" ht="12.95" customHeight="1" x14ac:dyDescent="0.2">
      <c r="A38" s="82"/>
      <c r="B38" s="76"/>
      <c r="C38" s="74"/>
      <c r="D38" s="75"/>
      <c r="E38" s="103" t="s">
        <v>155</v>
      </c>
      <c r="F38" s="74"/>
    </row>
    <row r="39" spans="1:6" ht="12.95" customHeight="1" x14ac:dyDescent="0.2">
      <c r="A39" s="82"/>
      <c r="B39" s="76"/>
      <c r="C39" s="74"/>
      <c r="D39" s="75"/>
      <c r="E39" s="104" t="s">
        <v>156</v>
      </c>
      <c r="F39" s="74"/>
    </row>
    <row r="40" spans="1:6" ht="12.95" customHeight="1" x14ac:dyDescent="0.2">
      <c r="A40" s="82"/>
      <c r="B40" s="76"/>
      <c r="C40" s="74"/>
      <c r="D40" s="75"/>
      <c r="E40" s="105" t="s">
        <v>157</v>
      </c>
      <c r="F40" s="74"/>
    </row>
    <row r="41" spans="1:6" ht="5.0999999999999996" customHeight="1" x14ac:dyDescent="0.2">
      <c r="A41" s="82"/>
      <c r="B41" s="76"/>
      <c r="C41" s="74"/>
      <c r="D41" s="75"/>
      <c r="E41" s="76"/>
      <c r="F41" s="74"/>
    </row>
    <row r="42" spans="1:6" ht="12.95" customHeight="1" x14ac:dyDescent="0.2">
      <c r="A42" s="82"/>
      <c r="B42" s="76"/>
      <c r="C42" s="74"/>
      <c r="D42" s="80"/>
      <c r="E42" s="98" t="s">
        <v>158</v>
      </c>
      <c r="F42" s="74"/>
    </row>
    <row r="43" spans="1:6" ht="12.95" customHeight="1" x14ac:dyDescent="0.2">
      <c r="A43" s="85" t="s">
        <v>159</v>
      </c>
      <c r="B43" s="86" t="s">
        <v>160</v>
      </c>
      <c r="C43" s="74"/>
      <c r="D43" s="75"/>
      <c r="E43" s="96" t="s">
        <v>161</v>
      </c>
      <c r="F43" s="74"/>
    </row>
    <row r="44" spans="1:6" ht="12.95" customHeight="1" x14ac:dyDescent="0.2">
      <c r="A44" s="88" t="s">
        <v>162</v>
      </c>
      <c r="B44" s="89" t="s">
        <v>163</v>
      </c>
      <c r="C44" s="74"/>
      <c r="D44" s="75"/>
      <c r="E44" s="96" t="s">
        <v>164</v>
      </c>
      <c r="F44" s="74"/>
    </row>
    <row r="45" spans="1:6" ht="12.95" customHeight="1" x14ac:dyDescent="0.2">
      <c r="A45" s="91" t="s">
        <v>165</v>
      </c>
      <c r="B45" s="92" t="s">
        <v>166</v>
      </c>
      <c r="C45" s="74"/>
      <c r="D45" s="75"/>
      <c r="E45" s="96" t="s">
        <v>167</v>
      </c>
      <c r="F45" s="74"/>
    </row>
    <row r="46" spans="1:6" ht="12.95" customHeight="1" x14ac:dyDescent="0.2">
      <c r="A46" s="82"/>
      <c r="B46" s="76"/>
      <c r="C46" s="74"/>
      <c r="D46" s="75"/>
      <c r="E46" s="97" t="s">
        <v>168</v>
      </c>
      <c r="F46" s="74"/>
    </row>
    <row r="47" spans="1:6" ht="8.1" customHeight="1" x14ac:dyDescent="0.2">
      <c r="A47" s="82"/>
      <c r="B47" s="76"/>
      <c r="C47" s="74"/>
      <c r="D47" s="75"/>
      <c r="E47" s="76"/>
      <c r="F47" s="74"/>
    </row>
    <row r="48" spans="1:6" ht="12.95" customHeight="1" x14ac:dyDescent="0.2">
      <c r="A48" s="3194" t="s">
        <v>169</v>
      </c>
      <c r="B48" s="3201" t="s">
        <v>170</v>
      </c>
      <c r="C48" s="74"/>
      <c r="D48" s="80"/>
      <c r="E48" s="98" t="s">
        <v>171</v>
      </c>
      <c r="F48" s="74"/>
    </row>
    <row r="49" spans="1:6" ht="12.95" customHeight="1" x14ac:dyDescent="0.2">
      <c r="A49" s="3195"/>
      <c r="B49" s="3203"/>
      <c r="C49" s="74"/>
      <c r="D49" s="75"/>
      <c r="E49" s="97" t="s">
        <v>172</v>
      </c>
      <c r="F49" s="74"/>
    </row>
    <row r="50" spans="1:6" ht="5.0999999999999996" customHeight="1" x14ac:dyDescent="0.2">
      <c r="A50" s="82"/>
      <c r="B50" s="76"/>
      <c r="C50" s="74"/>
      <c r="D50" s="75"/>
      <c r="E50" s="106"/>
      <c r="F50" s="74"/>
    </row>
    <row r="51" spans="1:6" ht="12.95" customHeight="1" x14ac:dyDescent="0.2">
      <c r="A51" s="3194" t="s">
        <v>173</v>
      </c>
      <c r="B51" s="3196" t="s">
        <v>174</v>
      </c>
      <c r="C51" s="74"/>
      <c r="D51" s="80"/>
      <c r="E51" s="98" t="s">
        <v>175</v>
      </c>
      <c r="F51" s="74"/>
    </row>
    <row r="52" spans="1:6" ht="12.95" customHeight="1" x14ac:dyDescent="0.2">
      <c r="A52" s="3195"/>
      <c r="B52" s="3197"/>
      <c r="C52" s="74"/>
      <c r="D52" s="75"/>
      <c r="E52" s="97" t="s">
        <v>176</v>
      </c>
      <c r="F52" s="74"/>
    </row>
    <row r="53" spans="1:6" ht="5.0999999999999996" customHeight="1" x14ac:dyDescent="0.2">
      <c r="A53" s="82"/>
      <c r="B53" s="76"/>
      <c r="C53" s="74"/>
      <c r="D53" s="75"/>
      <c r="E53" s="106"/>
      <c r="F53" s="74"/>
    </row>
    <row r="54" spans="1:6" ht="12.95" customHeight="1" x14ac:dyDescent="0.2">
      <c r="A54" s="3194" t="s">
        <v>177</v>
      </c>
      <c r="B54" s="3196" t="s">
        <v>178</v>
      </c>
      <c r="C54" s="74"/>
      <c r="D54" s="80"/>
      <c r="E54" s="98" t="s">
        <v>179</v>
      </c>
      <c r="F54" s="74"/>
    </row>
    <row r="55" spans="1:6" ht="12.95" customHeight="1" x14ac:dyDescent="0.2">
      <c r="A55" s="3195"/>
      <c r="B55" s="3197"/>
      <c r="C55" s="74"/>
      <c r="D55" s="75"/>
      <c r="E55" s="97" t="s">
        <v>180</v>
      </c>
      <c r="F55" s="74"/>
    </row>
    <row r="56" spans="1:6" ht="5.0999999999999996" customHeight="1" x14ac:dyDescent="0.2">
      <c r="A56" s="82"/>
      <c r="B56" s="76"/>
      <c r="C56" s="74"/>
      <c r="D56" s="75"/>
      <c r="E56" s="106"/>
      <c r="F56" s="74"/>
    </row>
    <row r="57" spans="1:6" ht="12.95" customHeight="1" x14ac:dyDescent="0.2">
      <c r="A57" s="3194" t="s">
        <v>181</v>
      </c>
      <c r="B57" s="3201" t="s">
        <v>182</v>
      </c>
      <c r="C57" s="74"/>
      <c r="D57" s="80"/>
      <c r="E57" s="98" t="s">
        <v>183</v>
      </c>
      <c r="F57" s="74"/>
    </row>
    <row r="58" spans="1:6" ht="12.95" customHeight="1" x14ac:dyDescent="0.2">
      <c r="A58" s="3198"/>
      <c r="B58" s="3202"/>
      <c r="C58" s="74"/>
      <c r="D58" s="75"/>
      <c r="E58" s="97" t="s">
        <v>184</v>
      </c>
      <c r="F58" s="74"/>
    </row>
    <row r="59" spans="1:6" ht="5.0999999999999996" customHeight="1" x14ac:dyDescent="0.2">
      <c r="A59" s="82"/>
      <c r="B59" s="76"/>
      <c r="C59" s="74"/>
      <c r="D59" s="75"/>
      <c r="E59" s="106"/>
      <c r="F59" s="74"/>
    </row>
    <row r="60" spans="1:6" ht="12.95" customHeight="1" x14ac:dyDescent="0.2">
      <c r="A60" s="77" t="s">
        <v>185</v>
      </c>
      <c r="B60" s="107" t="s">
        <v>186</v>
      </c>
      <c r="C60" s="74"/>
      <c r="D60" s="75"/>
      <c r="E60" s="108" t="s">
        <v>187</v>
      </c>
      <c r="F60" s="74"/>
    </row>
    <row r="61" spans="1:6" ht="5.0999999999999996" customHeight="1" x14ac:dyDescent="0.2">
      <c r="A61" s="82"/>
      <c r="B61" s="76"/>
      <c r="C61" s="74"/>
      <c r="D61" s="75"/>
      <c r="E61" s="106"/>
      <c r="F61" s="74"/>
    </row>
    <row r="62" spans="1:6" ht="12.95" customHeight="1" x14ac:dyDescent="0.2">
      <c r="A62" s="82"/>
      <c r="B62" s="76"/>
      <c r="C62" s="74"/>
      <c r="D62" s="75"/>
      <c r="E62" s="98" t="s">
        <v>188</v>
      </c>
      <c r="F62" s="74"/>
    </row>
    <row r="63" spans="1:6" ht="12.95" customHeight="1" x14ac:dyDescent="0.2">
      <c r="A63" s="3194" t="s">
        <v>189</v>
      </c>
      <c r="B63" s="3196" t="s">
        <v>190</v>
      </c>
      <c r="C63" s="74"/>
      <c r="D63" s="75"/>
      <c r="E63" s="96" t="s">
        <v>191</v>
      </c>
      <c r="F63" s="74"/>
    </row>
    <row r="64" spans="1:6" ht="12.95" customHeight="1" x14ac:dyDescent="0.2">
      <c r="A64" s="3195"/>
      <c r="B64" s="3197"/>
      <c r="C64" s="74"/>
      <c r="D64" s="75"/>
      <c r="E64" s="96" t="s">
        <v>192</v>
      </c>
      <c r="F64" s="74"/>
    </row>
    <row r="65" spans="1:6" ht="12.95" customHeight="1" x14ac:dyDescent="0.2">
      <c r="A65" s="82"/>
      <c r="B65" s="76"/>
      <c r="C65" s="74"/>
      <c r="D65" s="75"/>
      <c r="E65" s="97" t="s">
        <v>193</v>
      </c>
      <c r="F65" s="74"/>
    </row>
    <row r="66" spans="1:6" ht="5.0999999999999996" customHeight="1" x14ac:dyDescent="0.2">
      <c r="A66" s="82"/>
      <c r="B66" s="76"/>
      <c r="C66" s="74"/>
      <c r="D66" s="75"/>
      <c r="E66" s="106"/>
      <c r="F66" s="74"/>
    </row>
    <row r="67" spans="1:6" ht="12.95" customHeight="1" x14ac:dyDescent="0.2">
      <c r="A67" s="77" t="s">
        <v>194</v>
      </c>
      <c r="B67" s="109" t="s">
        <v>195</v>
      </c>
      <c r="C67" s="110"/>
      <c r="D67" s="75"/>
      <c r="E67" s="108" t="s">
        <v>196</v>
      </c>
      <c r="F67" s="74"/>
    </row>
    <row r="68" spans="1:6" ht="5.0999999999999996" customHeight="1" x14ac:dyDescent="0.2">
      <c r="A68" s="82"/>
      <c r="B68" s="76"/>
      <c r="C68" s="74"/>
      <c r="D68" s="75"/>
      <c r="E68" s="106"/>
      <c r="F68" s="74"/>
    </row>
    <row r="69" spans="1:6" ht="12.95" customHeight="1" x14ac:dyDescent="0.2">
      <c r="A69" s="3194" t="s">
        <v>197</v>
      </c>
      <c r="B69" s="3199" t="s">
        <v>198</v>
      </c>
      <c r="C69" s="110"/>
      <c r="D69" s="75"/>
      <c r="E69" s="98" t="s">
        <v>199</v>
      </c>
      <c r="F69" s="74"/>
    </row>
    <row r="70" spans="1:6" ht="12.95" customHeight="1" x14ac:dyDescent="0.2">
      <c r="A70" s="3198"/>
      <c r="B70" s="3200"/>
      <c r="C70" s="110"/>
      <c r="D70" s="75"/>
      <c r="E70" s="97" t="s">
        <v>200</v>
      </c>
      <c r="F70" s="74"/>
    </row>
    <row r="71" spans="1:6" ht="5.0999999999999996" customHeight="1" x14ac:dyDescent="0.2">
      <c r="A71" s="82"/>
      <c r="B71" s="76"/>
      <c r="C71" s="74"/>
      <c r="D71" s="75"/>
      <c r="E71" s="106"/>
      <c r="F71" s="74"/>
    </row>
    <row r="72" spans="1:6" ht="12.95" customHeight="1" x14ac:dyDescent="0.2">
      <c r="A72" s="3194" t="s">
        <v>201</v>
      </c>
      <c r="B72" s="3199" t="s">
        <v>202</v>
      </c>
      <c r="C72" s="110"/>
      <c r="D72" s="75"/>
      <c r="E72" s="98" t="s">
        <v>203</v>
      </c>
      <c r="F72" s="74"/>
    </row>
    <row r="73" spans="1:6" ht="12.95" customHeight="1" x14ac:dyDescent="0.2">
      <c r="A73" s="3198"/>
      <c r="B73" s="3200"/>
      <c r="C73" s="110"/>
      <c r="D73" s="75"/>
      <c r="E73" s="97" t="s">
        <v>204</v>
      </c>
      <c r="F73" s="74"/>
    </row>
    <row r="74" spans="1:6" ht="5.0999999999999996" customHeight="1" x14ac:dyDescent="0.2">
      <c r="A74" s="82"/>
      <c r="B74" s="76"/>
      <c r="C74" s="74"/>
      <c r="D74" s="75"/>
      <c r="E74" s="106"/>
      <c r="F74" s="74"/>
    </row>
    <row r="75" spans="1:6" ht="12.95" customHeight="1" x14ac:dyDescent="0.2">
      <c r="A75" s="77" t="s">
        <v>205</v>
      </c>
      <c r="B75" s="109" t="s">
        <v>206</v>
      </c>
      <c r="C75" s="110"/>
      <c r="D75" s="75"/>
      <c r="E75" s="108" t="s">
        <v>207</v>
      </c>
      <c r="F75" s="74"/>
    </row>
    <row r="76" spans="1:6" ht="5.0999999999999996" customHeight="1" x14ac:dyDescent="0.25">
      <c r="A76" s="63"/>
      <c r="B76" s="64"/>
      <c r="C76" s="64"/>
      <c r="D76" s="63"/>
      <c r="E76" s="64"/>
      <c r="F76" s="64"/>
    </row>
    <row r="77" spans="1:6" ht="15" x14ac:dyDescent="0.25">
      <c r="A77" s="77" t="s">
        <v>208</v>
      </c>
      <c r="B77" s="109" t="s">
        <v>209</v>
      </c>
      <c r="C77" s="64"/>
      <c r="D77" s="63"/>
      <c r="E77" s="108" t="s">
        <v>210</v>
      </c>
      <c r="F77" s="64"/>
    </row>
    <row r="78" spans="1:6" ht="15" x14ac:dyDescent="0.25">
      <c r="A78" s="63"/>
      <c r="B78" s="64"/>
      <c r="C78" s="64"/>
      <c r="D78" s="63"/>
      <c r="E78" s="64"/>
      <c r="F78" s="64"/>
    </row>
  </sheetData>
  <customSheetViews>
    <customSheetView guid="{DDA6E6AA-9473-49A0-A3A2-76E4959B79AF}" scale="110" fitToPage="1" state="hidden">
      <selection activeCell="G25" sqref="G25"/>
      <pageMargins left="0" right="0" top="0" bottom="0" header="0.31496062992125984" footer="0.31496062992125984"/>
      <pageSetup paperSize="9" orientation="portrait" r:id="rId1"/>
    </customSheetView>
  </customSheetViews>
  <mergeCells count="23">
    <mergeCell ref="A3:B3"/>
    <mergeCell ref="A16:A17"/>
    <mergeCell ref="B16:B17"/>
    <mergeCell ref="E19:E20"/>
    <mergeCell ref="E24:E25"/>
    <mergeCell ref="A36:A37"/>
    <mergeCell ref="B36:B37"/>
    <mergeCell ref="A48:A49"/>
    <mergeCell ref="B48:B49"/>
    <mergeCell ref="A30:A31"/>
    <mergeCell ref="B30:B31"/>
    <mergeCell ref="A51:A52"/>
    <mergeCell ref="B51:B52"/>
    <mergeCell ref="A69:A70"/>
    <mergeCell ref="B69:B70"/>
    <mergeCell ref="A72:A73"/>
    <mergeCell ref="B72:B73"/>
    <mergeCell ref="A54:A55"/>
    <mergeCell ref="B54:B55"/>
    <mergeCell ref="A57:A58"/>
    <mergeCell ref="B57:B58"/>
    <mergeCell ref="A63:A64"/>
    <mergeCell ref="B63:B64"/>
  </mergeCells>
  <pageMargins left="0" right="0" top="0" bottom="0" header="0.31496062992125984" footer="0.31496062992125984"/>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3"/>
  <dimension ref="A2:M12"/>
  <sheetViews>
    <sheetView workbookViewId="0"/>
  </sheetViews>
  <sheetFormatPr baseColWidth="10" defaultRowHeight="12.75" x14ac:dyDescent="0.2"/>
  <sheetData>
    <row r="2" spans="1:13" x14ac:dyDescent="0.2">
      <c r="A2" s="321">
        <v>43354</v>
      </c>
      <c r="B2" t="s">
        <v>327</v>
      </c>
      <c r="C2" t="s">
        <v>328</v>
      </c>
    </row>
    <row r="3" spans="1:13" x14ac:dyDescent="0.2">
      <c r="A3" s="321">
        <v>43354</v>
      </c>
      <c r="B3" t="s">
        <v>327</v>
      </c>
      <c r="C3" t="s">
        <v>329</v>
      </c>
    </row>
    <row r="4" spans="1:13" x14ac:dyDescent="0.2">
      <c r="A4" s="321">
        <v>43354</v>
      </c>
      <c r="B4" t="s">
        <v>327</v>
      </c>
      <c r="C4" t="s">
        <v>330</v>
      </c>
    </row>
    <row r="5" spans="1:13" x14ac:dyDescent="0.2">
      <c r="C5" s="322" t="s">
        <v>331</v>
      </c>
    </row>
    <row r="6" spans="1:13" x14ac:dyDescent="0.2">
      <c r="C6" s="322" t="s">
        <v>332</v>
      </c>
    </row>
    <row r="7" spans="1:13" x14ac:dyDescent="0.2">
      <c r="C7" s="322" t="s">
        <v>333</v>
      </c>
    </row>
    <row r="8" spans="1:13" x14ac:dyDescent="0.2">
      <c r="C8" s="323" t="s">
        <v>334</v>
      </c>
      <c r="G8" s="3210" t="s">
        <v>340</v>
      </c>
      <c r="H8" s="3210"/>
      <c r="I8" s="3210"/>
      <c r="J8" s="3210"/>
      <c r="K8" s="3210"/>
      <c r="L8" s="6"/>
      <c r="M8" s="6"/>
    </row>
    <row r="9" spans="1:13" x14ac:dyDescent="0.2">
      <c r="C9" s="323" t="s">
        <v>335</v>
      </c>
      <c r="G9" s="3210"/>
      <c r="H9" s="3210"/>
      <c r="I9" s="3210"/>
      <c r="J9" s="3210"/>
      <c r="K9" s="3210"/>
      <c r="L9" s="6"/>
      <c r="M9" s="6"/>
    </row>
    <row r="10" spans="1:13" x14ac:dyDescent="0.2">
      <c r="C10" t="s">
        <v>336</v>
      </c>
      <c r="G10" s="6"/>
      <c r="H10" s="6"/>
      <c r="I10" s="6"/>
      <c r="J10" s="6"/>
      <c r="K10" s="6"/>
      <c r="L10" s="6"/>
      <c r="M10" s="6"/>
    </row>
    <row r="11" spans="1:13" x14ac:dyDescent="0.2">
      <c r="C11" t="s">
        <v>337</v>
      </c>
      <c r="G11" s="6"/>
      <c r="H11" s="6"/>
      <c r="I11" s="6"/>
      <c r="J11" s="6"/>
      <c r="K11" s="6"/>
      <c r="L11" s="6"/>
      <c r="M11" s="6"/>
    </row>
    <row r="12" spans="1:13" x14ac:dyDescent="0.2">
      <c r="A12" s="321">
        <v>43354</v>
      </c>
      <c r="B12" t="s">
        <v>327</v>
      </c>
      <c r="C12" t="s">
        <v>338</v>
      </c>
    </row>
  </sheetData>
  <mergeCells count="1">
    <mergeCell ref="G8:K9"/>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8"/>
  <dimension ref="A1:L98"/>
  <sheetViews>
    <sheetView topLeftCell="A25" workbookViewId="0"/>
  </sheetViews>
  <sheetFormatPr baseColWidth="10" defaultRowHeight="12.75" x14ac:dyDescent="0.2"/>
  <cols>
    <col min="4" max="4" width="13.5703125" bestFit="1" customWidth="1"/>
  </cols>
  <sheetData>
    <row r="1" spans="1:11" ht="15" x14ac:dyDescent="0.25">
      <c r="A1" s="521" t="s">
        <v>362</v>
      </c>
      <c r="B1" s="521" t="s">
        <v>363</v>
      </c>
      <c r="C1" s="521"/>
      <c r="D1" t="s">
        <v>1279</v>
      </c>
      <c r="E1" s="521"/>
    </row>
    <row r="2" spans="1:11" ht="15" x14ac:dyDescent="0.25">
      <c r="A2" s="521">
        <v>161</v>
      </c>
      <c r="B2" s="521" t="s">
        <v>365</v>
      </c>
      <c r="C2" s="521" t="s">
        <v>365</v>
      </c>
      <c r="D2" s="517">
        <v>626.48603100000003</v>
      </c>
      <c r="E2" s="520" t="s">
        <v>364</v>
      </c>
      <c r="G2" s="416" t="str">
        <f>LEFT('Berechnung Nährstoffe und Lager'!$S$5,3)</f>
        <v>0</v>
      </c>
      <c r="H2" s="416" t="str">
        <f>+G2</f>
        <v>0</v>
      </c>
      <c r="I2" s="416">
        <f>VALUE(H2)</f>
        <v>0</v>
      </c>
      <c r="J2" s="517">
        <f t="shared" ref="J2:J33" si="0">IF(I2=A2,1,0)</f>
        <v>0</v>
      </c>
      <c r="K2">
        <f>IF(J2&gt;0,D2,0)</f>
        <v>0</v>
      </c>
    </row>
    <row r="3" spans="1:11" ht="15" x14ac:dyDescent="0.25">
      <c r="A3" s="521">
        <v>162</v>
      </c>
      <c r="B3" s="521" t="s">
        <v>366</v>
      </c>
      <c r="C3" s="521" t="s">
        <v>367</v>
      </c>
      <c r="D3" s="517">
        <v>918.39902400000005</v>
      </c>
      <c r="E3" s="520" t="s">
        <v>364</v>
      </c>
      <c r="G3" s="416" t="str">
        <f>LEFT('Berechnung Nährstoffe und Lager'!$S$5,3)</f>
        <v>0</v>
      </c>
      <c r="H3" s="416" t="str">
        <f t="shared" ref="H3:H66" si="1">+G3</f>
        <v>0</v>
      </c>
      <c r="I3" s="416">
        <f t="shared" ref="I3:I66" si="2">VALUE(H3)</f>
        <v>0</v>
      </c>
      <c r="J3" s="517">
        <f t="shared" si="0"/>
        <v>0</v>
      </c>
      <c r="K3">
        <f t="shared" ref="K3:K66" si="3">IF(J3&gt;0,D3,0)</f>
        <v>0</v>
      </c>
    </row>
    <row r="4" spans="1:11" ht="15" x14ac:dyDescent="0.25">
      <c r="A4" s="521">
        <v>163</v>
      </c>
      <c r="B4" s="521" t="s">
        <v>368</v>
      </c>
      <c r="C4" s="521" t="s">
        <v>368</v>
      </c>
      <c r="D4" s="517">
        <v>1088.2628560000001</v>
      </c>
      <c r="E4" s="520" t="s">
        <v>364</v>
      </c>
      <c r="G4" s="416" t="str">
        <f>LEFT('Berechnung Nährstoffe und Lager'!$S$5,3)</f>
        <v>0</v>
      </c>
      <c r="H4" s="416" t="str">
        <f t="shared" si="1"/>
        <v>0</v>
      </c>
      <c r="I4" s="416">
        <f t="shared" si="2"/>
        <v>0</v>
      </c>
      <c r="J4" s="517">
        <f t="shared" si="0"/>
        <v>0</v>
      </c>
      <c r="K4">
        <f t="shared" si="3"/>
        <v>0</v>
      </c>
    </row>
    <row r="5" spans="1:11" ht="15" x14ac:dyDescent="0.25">
      <c r="A5" s="521">
        <v>171</v>
      </c>
      <c r="B5" s="521" t="s">
        <v>369</v>
      </c>
      <c r="C5" s="521" t="s">
        <v>370</v>
      </c>
      <c r="D5" s="517">
        <v>842.72049600000003</v>
      </c>
      <c r="E5" s="520" t="s">
        <v>364</v>
      </c>
      <c r="G5" s="416" t="str">
        <f>LEFT('Berechnung Nährstoffe und Lager'!$S$5,3)</f>
        <v>0</v>
      </c>
      <c r="H5" s="416" t="str">
        <f t="shared" si="1"/>
        <v>0</v>
      </c>
      <c r="I5" s="416">
        <f t="shared" si="2"/>
        <v>0</v>
      </c>
      <c r="J5" s="517">
        <f t="shared" si="0"/>
        <v>0</v>
      </c>
      <c r="K5">
        <f t="shared" si="3"/>
        <v>0</v>
      </c>
    </row>
    <row r="6" spans="1:11" ht="15" x14ac:dyDescent="0.25">
      <c r="A6" s="521">
        <v>172</v>
      </c>
      <c r="B6" s="521" t="s">
        <v>371</v>
      </c>
      <c r="C6" s="521" t="s">
        <v>371</v>
      </c>
      <c r="D6" s="517">
        <v>1652.6455880000001</v>
      </c>
      <c r="E6" s="520" t="s">
        <v>364</v>
      </c>
      <c r="G6" s="416" t="str">
        <f>LEFT('Berechnung Nährstoffe und Lager'!$S$5,3)</f>
        <v>0</v>
      </c>
      <c r="H6" s="416" t="str">
        <f t="shared" si="1"/>
        <v>0</v>
      </c>
      <c r="I6" s="416">
        <f t="shared" si="2"/>
        <v>0</v>
      </c>
      <c r="J6" s="517">
        <f t="shared" si="0"/>
        <v>0</v>
      </c>
      <c r="K6">
        <f t="shared" si="3"/>
        <v>0</v>
      </c>
    </row>
    <row r="7" spans="1:11" ht="15" x14ac:dyDescent="0.25">
      <c r="A7" s="521">
        <v>173</v>
      </c>
      <c r="B7" s="521" t="s">
        <v>372</v>
      </c>
      <c r="C7" s="521" t="s">
        <v>373</v>
      </c>
      <c r="D7" s="517">
        <v>1561.4830460000001</v>
      </c>
      <c r="E7" s="520" t="s">
        <v>364</v>
      </c>
      <c r="G7" s="416" t="str">
        <f>LEFT('Berechnung Nährstoffe und Lager'!$S$5,3)</f>
        <v>0</v>
      </c>
      <c r="H7" s="416" t="str">
        <f t="shared" si="1"/>
        <v>0</v>
      </c>
      <c r="I7" s="416">
        <f t="shared" si="2"/>
        <v>0</v>
      </c>
      <c r="J7" s="517">
        <f t="shared" si="0"/>
        <v>0</v>
      </c>
      <c r="K7">
        <f t="shared" si="3"/>
        <v>0</v>
      </c>
    </row>
    <row r="8" spans="1:11" ht="15" x14ac:dyDescent="0.25">
      <c r="A8" s="521">
        <v>174</v>
      </c>
      <c r="B8" s="521" t="s">
        <v>374</v>
      </c>
      <c r="C8" s="521" t="s">
        <v>374</v>
      </c>
      <c r="D8" s="517">
        <v>810.66031199999998</v>
      </c>
      <c r="E8" s="520" t="s">
        <v>364</v>
      </c>
      <c r="G8" s="416" t="str">
        <f>LEFT('Berechnung Nährstoffe und Lager'!$S$5,3)</f>
        <v>0</v>
      </c>
      <c r="H8" s="416" t="str">
        <f t="shared" si="1"/>
        <v>0</v>
      </c>
      <c r="I8" s="416">
        <f t="shared" si="2"/>
        <v>0</v>
      </c>
      <c r="J8" s="517">
        <f t="shared" si="0"/>
        <v>0</v>
      </c>
      <c r="K8">
        <f t="shared" si="3"/>
        <v>0</v>
      </c>
    </row>
    <row r="9" spans="1:11" ht="15" x14ac:dyDescent="0.25">
      <c r="A9" s="521">
        <v>175</v>
      </c>
      <c r="B9" s="521" t="s">
        <v>375</v>
      </c>
      <c r="C9" s="521" t="s">
        <v>375</v>
      </c>
      <c r="D9" s="517">
        <v>978.39369299999998</v>
      </c>
      <c r="E9" s="520" t="s">
        <v>364</v>
      </c>
      <c r="G9" s="416" t="str">
        <f>LEFT('Berechnung Nährstoffe und Lager'!$S$5,3)</f>
        <v>0</v>
      </c>
      <c r="H9" s="416" t="str">
        <f t="shared" si="1"/>
        <v>0</v>
      </c>
      <c r="I9" s="416">
        <f t="shared" si="2"/>
        <v>0</v>
      </c>
      <c r="J9" s="517">
        <f t="shared" si="0"/>
        <v>0</v>
      </c>
      <c r="K9">
        <f t="shared" si="3"/>
        <v>0</v>
      </c>
    </row>
    <row r="10" spans="1:11" ht="15" x14ac:dyDescent="0.25">
      <c r="A10" s="521">
        <v>176</v>
      </c>
      <c r="B10" s="521" t="s">
        <v>376</v>
      </c>
      <c r="C10" s="521" t="s">
        <v>377</v>
      </c>
      <c r="D10" s="517">
        <v>674.12674900000002</v>
      </c>
      <c r="E10" s="520" t="s">
        <v>364</v>
      </c>
      <c r="G10" s="416" t="str">
        <f>LEFT('Berechnung Nährstoffe und Lager'!$S$5,3)</f>
        <v>0</v>
      </c>
      <c r="H10" s="416" t="str">
        <f t="shared" si="1"/>
        <v>0</v>
      </c>
      <c r="I10" s="416">
        <f t="shared" si="2"/>
        <v>0</v>
      </c>
      <c r="J10" s="517">
        <f t="shared" si="0"/>
        <v>0</v>
      </c>
      <c r="K10">
        <f t="shared" si="3"/>
        <v>0</v>
      </c>
    </row>
    <row r="11" spans="1:11" ht="15" x14ac:dyDescent="0.25">
      <c r="A11" s="521">
        <v>177</v>
      </c>
      <c r="B11" s="521" t="s">
        <v>378</v>
      </c>
      <c r="C11" s="521" t="s">
        <v>378</v>
      </c>
      <c r="D11" s="517">
        <v>830.36048700000003</v>
      </c>
      <c r="E11" s="520" t="s">
        <v>364</v>
      </c>
      <c r="G11" s="416" t="str">
        <f>LEFT('Berechnung Nährstoffe und Lager'!$S$5,3)</f>
        <v>0</v>
      </c>
      <c r="H11" s="416" t="str">
        <f t="shared" si="1"/>
        <v>0</v>
      </c>
      <c r="I11" s="416">
        <f t="shared" si="2"/>
        <v>0</v>
      </c>
      <c r="J11" s="517">
        <f t="shared" si="0"/>
        <v>0</v>
      </c>
      <c r="K11">
        <f t="shared" si="3"/>
        <v>0</v>
      </c>
    </row>
    <row r="12" spans="1:11" ht="15" x14ac:dyDescent="0.25">
      <c r="A12" s="521">
        <v>178</v>
      </c>
      <c r="B12" s="521" t="s">
        <v>379</v>
      </c>
      <c r="C12" s="521" t="s">
        <v>379</v>
      </c>
      <c r="D12" s="517">
        <v>779.39612499999998</v>
      </c>
      <c r="E12" s="520" t="s">
        <v>364</v>
      </c>
      <c r="G12" s="416" t="str">
        <f>LEFT('Berechnung Nährstoffe und Lager'!$S$5,3)</f>
        <v>0</v>
      </c>
      <c r="H12" s="416" t="str">
        <f t="shared" si="1"/>
        <v>0</v>
      </c>
      <c r="I12" s="416">
        <f t="shared" si="2"/>
        <v>0</v>
      </c>
      <c r="J12" s="517">
        <f t="shared" si="0"/>
        <v>0</v>
      </c>
      <c r="K12">
        <f t="shared" si="3"/>
        <v>0</v>
      </c>
    </row>
    <row r="13" spans="1:11" ht="15" x14ac:dyDescent="0.25">
      <c r="A13" s="521">
        <v>179</v>
      </c>
      <c r="B13" s="521" t="s">
        <v>380</v>
      </c>
      <c r="C13" s="521" t="s">
        <v>381</v>
      </c>
      <c r="D13" s="517">
        <v>873.32983999999999</v>
      </c>
      <c r="E13" s="520" t="s">
        <v>364</v>
      </c>
      <c r="G13" s="416" t="str">
        <f>LEFT('Berechnung Nährstoffe und Lager'!$S$5,3)</f>
        <v>0</v>
      </c>
      <c r="H13" s="416" t="str">
        <f t="shared" si="1"/>
        <v>0</v>
      </c>
      <c r="I13" s="416">
        <f t="shared" si="2"/>
        <v>0</v>
      </c>
      <c r="J13" s="517">
        <f t="shared" si="0"/>
        <v>0</v>
      </c>
      <c r="K13">
        <f t="shared" si="3"/>
        <v>0</v>
      </c>
    </row>
    <row r="14" spans="1:11" ht="15" x14ac:dyDescent="0.25">
      <c r="A14" s="521">
        <v>180</v>
      </c>
      <c r="B14" s="521" t="s">
        <v>382</v>
      </c>
      <c r="C14" s="521" t="s">
        <v>382</v>
      </c>
      <c r="D14" s="517">
        <v>1626.720826</v>
      </c>
      <c r="E14" s="520" t="s">
        <v>364</v>
      </c>
      <c r="G14" s="416" t="str">
        <f>LEFT('Berechnung Nährstoffe und Lager'!$S$5,3)</f>
        <v>0</v>
      </c>
      <c r="H14" s="416" t="str">
        <f t="shared" si="1"/>
        <v>0</v>
      </c>
      <c r="I14" s="416">
        <f t="shared" si="2"/>
        <v>0</v>
      </c>
      <c r="J14" s="517">
        <f t="shared" si="0"/>
        <v>0</v>
      </c>
      <c r="K14">
        <f t="shared" si="3"/>
        <v>0</v>
      </c>
    </row>
    <row r="15" spans="1:11" ht="15" x14ac:dyDescent="0.25">
      <c r="A15" s="521">
        <v>181</v>
      </c>
      <c r="B15" s="521" t="s">
        <v>383</v>
      </c>
      <c r="C15" s="521" t="s">
        <v>383</v>
      </c>
      <c r="D15" s="517">
        <v>935.857572</v>
      </c>
      <c r="E15" s="520" t="s">
        <v>364</v>
      </c>
      <c r="G15" s="416" t="str">
        <f>LEFT('Berechnung Nährstoffe und Lager'!$S$5,3)</f>
        <v>0</v>
      </c>
      <c r="H15" s="416" t="str">
        <f t="shared" si="1"/>
        <v>0</v>
      </c>
      <c r="I15" s="416">
        <f t="shared" si="2"/>
        <v>0</v>
      </c>
      <c r="J15" s="517">
        <f t="shared" si="0"/>
        <v>0</v>
      </c>
      <c r="K15">
        <f t="shared" si="3"/>
        <v>0</v>
      </c>
    </row>
    <row r="16" spans="1:11" ht="15" x14ac:dyDescent="0.25">
      <c r="A16" s="521">
        <v>182</v>
      </c>
      <c r="B16" s="521" t="s">
        <v>384</v>
      </c>
      <c r="C16" s="521" t="s">
        <v>384</v>
      </c>
      <c r="D16" s="517">
        <v>1621.724277</v>
      </c>
      <c r="E16" s="520" t="s">
        <v>364</v>
      </c>
      <c r="G16" s="416" t="str">
        <f>LEFT('Berechnung Nährstoffe und Lager'!$S$5,3)</f>
        <v>0</v>
      </c>
      <c r="H16" s="416" t="str">
        <f t="shared" si="1"/>
        <v>0</v>
      </c>
      <c r="I16" s="416">
        <f t="shared" si="2"/>
        <v>0</v>
      </c>
      <c r="J16" s="517">
        <f t="shared" si="0"/>
        <v>0</v>
      </c>
      <c r="K16">
        <f t="shared" si="3"/>
        <v>0</v>
      </c>
    </row>
    <row r="17" spans="1:11" ht="15" x14ac:dyDescent="0.25">
      <c r="A17" s="521">
        <v>183</v>
      </c>
      <c r="B17" s="521" t="s">
        <v>385</v>
      </c>
      <c r="C17" s="521" t="s">
        <v>386</v>
      </c>
      <c r="D17" s="517">
        <v>832.59303499999999</v>
      </c>
      <c r="E17" s="520" t="s">
        <v>364</v>
      </c>
      <c r="G17" s="416" t="str">
        <f>LEFT('Berechnung Nährstoffe und Lager'!$S$5,3)</f>
        <v>0</v>
      </c>
      <c r="H17" s="416" t="str">
        <f t="shared" si="1"/>
        <v>0</v>
      </c>
      <c r="I17" s="416">
        <f t="shared" si="2"/>
        <v>0</v>
      </c>
      <c r="J17" s="517">
        <f t="shared" si="0"/>
        <v>0</v>
      </c>
      <c r="K17">
        <f t="shared" si="3"/>
        <v>0</v>
      </c>
    </row>
    <row r="18" spans="1:11" ht="15" x14ac:dyDescent="0.25">
      <c r="A18" s="521">
        <v>184</v>
      </c>
      <c r="B18" s="521" t="s">
        <v>366</v>
      </c>
      <c r="C18" s="521" t="s">
        <v>367</v>
      </c>
      <c r="D18" s="517">
        <v>999.14003100000002</v>
      </c>
      <c r="E18" s="520" t="s">
        <v>364</v>
      </c>
      <c r="G18" s="416" t="str">
        <f>LEFT('Berechnung Nährstoffe und Lager'!$S$5,3)</f>
        <v>0</v>
      </c>
      <c r="H18" s="416" t="str">
        <f t="shared" si="1"/>
        <v>0</v>
      </c>
      <c r="I18" s="416">
        <f t="shared" si="2"/>
        <v>0</v>
      </c>
      <c r="J18" s="517">
        <f t="shared" si="0"/>
        <v>0</v>
      </c>
      <c r="K18">
        <f t="shared" si="3"/>
        <v>0</v>
      </c>
    </row>
    <row r="19" spans="1:11" ht="15" x14ac:dyDescent="0.25">
      <c r="A19" s="521">
        <v>185</v>
      </c>
      <c r="B19" s="521" t="s">
        <v>387</v>
      </c>
      <c r="C19" s="521" t="s">
        <v>387</v>
      </c>
      <c r="D19" s="517">
        <v>676.82738500000005</v>
      </c>
      <c r="E19" s="520" t="s">
        <v>364</v>
      </c>
      <c r="G19" s="416" t="str">
        <f>LEFT('Berechnung Nährstoffe und Lager'!$S$5,3)</f>
        <v>0</v>
      </c>
      <c r="H19" s="416" t="str">
        <f t="shared" si="1"/>
        <v>0</v>
      </c>
      <c r="I19" s="416">
        <f t="shared" si="2"/>
        <v>0</v>
      </c>
      <c r="J19" s="517">
        <f t="shared" si="0"/>
        <v>0</v>
      </c>
      <c r="K19">
        <f t="shared" si="3"/>
        <v>0</v>
      </c>
    </row>
    <row r="20" spans="1:11" ht="15" x14ac:dyDescent="0.25">
      <c r="A20" s="521">
        <v>186</v>
      </c>
      <c r="B20" s="521" t="s">
        <v>388</v>
      </c>
      <c r="C20" s="521" t="s">
        <v>388</v>
      </c>
      <c r="D20" s="517">
        <v>751.42763200000002</v>
      </c>
      <c r="E20" s="520" t="s">
        <v>364</v>
      </c>
      <c r="G20" s="416" t="str">
        <f>LEFT('Berechnung Nährstoffe und Lager'!$S$5,3)</f>
        <v>0</v>
      </c>
      <c r="H20" s="416" t="str">
        <f t="shared" si="1"/>
        <v>0</v>
      </c>
      <c r="I20" s="416">
        <f t="shared" si="2"/>
        <v>0</v>
      </c>
      <c r="J20" s="517">
        <f t="shared" si="0"/>
        <v>0</v>
      </c>
      <c r="K20">
        <f t="shared" si="3"/>
        <v>0</v>
      </c>
    </row>
    <row r="21" spans="1:11" ht="15" x14ac:dyDescent="0.25">
      <c r="A21" s="521">
        <v>187</v>
      </c>
      <c r="B21" s="521" t="s">
        <v>368</v>
      </c>
      <c r="C21" s="521" t="s">
        <v>368</v>
      </c>
      <c r="D21" s="517">
        <v>1175.046722</v>
      </c>
      <c r="E21" s="520" t="s">
        <v>364</v>
      </c>
      <c r="G21" s="416" t="str">
        <f>LEFT('Berechnung Nährstoffe und Lager'!$S$5,3)</f>
        <v>0</v>
      </c>
      <c r="H21" s="416" t="str">
        <f t="shared" si="1"/>
        <v>0</v>
      </c>
      <c r="I21" s="416">
        <f t="shared" si="2"/>
        <v>0</v>
      </c>
      <c r="J21" s="517">
        <f t="shared" si="0"/>
        <v>0</v>
      </c>
      <c r="K21">
        <f t="shared" si="3"/>
        <v>0</v>
      </c>
    </row>
    <row r="22" spans="1:11" ht="15" x14ac:dyDescent="0.25">
      <c r="A22" s="521">
        <v>188</v>
      </c>
      <c r="B22" s="521" t="s">
        <v>389</v>
      </c>
      <c r="C22" s="521" t="s">
        <v>389</v>
      </c>
      <c r="D22" s="517">
        <v>1013.233332</v>
      </c>
      <c r="E22" s="520" t="s">
        <v>364</v>
      </c>
      <c r="G22" s="416" t="str">
        <f>LEFT('Berechnung Nährstoffe und Lager'!$S$5,3)</f>
        <v>0</v>
      </c>
      <c r="H22" s="416" t="str">
        <f t="shared" si="1"/>
        <v>0</v>
      </c>
      <c r="I22" s="416">
        <f t="shared" si="2"/>
        <v>0</v>
      </c>
      <c r="J22" s="517">
        <f t="shared" si="0"/>
        <v>0</v>
      </c>
      <c r="K22">
        <f t="shared" si="3"/>
        <v>0</v>
      </c>
    </row>
    <row r="23" spans="1:11" ht="15" x14ac:dyDescent="0.25">
      <c r="A23" s="521">
        <v>189</v>
      </c>
      <c r="B23" s="521" t="s">
        <v>390</v>
      </c>
      <c r="C23" s="521" t="s">
        <v>390</v>
      </c>
      <c r="D23" s="517">
        <v>1342.6430640000001</v>
      </c>
      <c r="E23" s="520" t="s">
        <v>364</v>
      </c>
      <c r="G23" s="416" t="str">
        <f>LEFT('Berechnung Nährstoffe und Lager'!$S$5,3)</f>
        <v>0</v>
      </c>
      <c r="H23" s="416" t="str">
        <f t="shared" si="1"/>
        <v>0</v>
      </c>
      <c r="I23" s="416">
        <f t="shared" si="2"/>
        <v>0</v>
      </c>
      <c r="J23" s="517">
        <f t="shared" si="0"/>
        <v>0</v>
      </c>
      <c r="K23">
        <f t="shared" si="3"/>
        <v>0</v>
      </c>
    </row>
    <row r="24" spans="1:11" ht="15" x14ac:dyDescent="0.25">
      <c r="A24" s="521">
        <v>190</v>
      </c>
      <c r="B24" s="521" t="s">
        <v>391</v>
      </c>
      <c r="C24" s="521" t="s">
        <v>391</v>
      </c>
      <c r="D24" s="517">
        <v>1152.15878</v>
      </c>
      <c r="E24" s="520" t="s">
        <v>364</v>
      </c>
      <c r="G24" s="416" t="str">
        <f>LEFT('Berechnung Nährstoffe und Lager'!$S$5,3)</f>
        <v>0</v>
      </c>
      <c r="H24" s="416" t="str">
        <f t="shared" si="1"/>
        <v>0</v>
      </c>
      <c r="I24" s="416">
        <f t="shared" si="2"/>
        <v>0</v>
      </c>
      <c r="J24" s="517">
        <f t="shared" si="0"/>
        <v>0</v>
      </c>
      <c r="K24">
        <f t="shared" si="3"/>
        <v>0</v>
      </c>
    </row>
    <row r="25" spans="1:11" ht="15" x14ac:dyDescent="0.25">
      <c r="A25" s="521">
        <v>261</v>
      </c>
      <c r="B25" s="521" t="s">
        <v>392</v>
      </c>
      <c r="C25" s="521" t="s">
        <v>392</v>
      </c>
      <c r="D25" s="517">
        <v>728.73593700000004</v>
      </c>
      <c r="E25" s="520" t="s">
        <v>364</v>
      </c>
      <c r="G25" s="416" t="str">
        <f>LEFT('Berechnung Nährstoffe und Lager'!$S$5,3)</f>
        <v>0</v>
      </c>
      <c r="H25" s="416" t="str">
        <f t="shared" si="1"/>
        <v>0</v>
      </c>
      <c r="I25" s="416">
        <f t="shared" si="2"/>
        <v>0</v>
      </c>
      <c r="J25" s="517">
        <f t="shared" si="0"/>
        <v>0</v>
      </c>
      <c r="K25">
        <f t="shared" si="3"/>
        <v>0</v>
      </c>
    </row>
    <row r="26" spans="1:11" ht="15" x14ac:dyDescent="0.25">
      <c r="A26" s="521">
        <v>262</v>
      </c>
      <c r="B26" s="521" t="s">
        <v>393</v>
      </c>
      <c r="C26" s="521" t="s">
        <v>393</v>
      </c>
      <c r="D26" s="517">
        <v>809.39253799999994</v>
      </c>
      <c r="E26" s="520" t="s">
        <v>364</v>
      </c>
      <c r="G26" s="416" t="str">
        <f>LEFT('Berechnung Nährstoffe und Lager'!$S$5,3)</f>
        <v>0</v>
      </c>
      <c r="H26" s="416" t="str">
        <f t="shared" si="1"/>
        <v>0</v>
      </c>
      <c r="I26" s="416">
        <f t="shared" si="2"/>
        <v>0</v>
      </c>
      <c r="J26" s="517">
        <f t="shared" si="0"/>
        <v>0</v>
      </c>
      <c r="K26">
        <f t="shared" si="3"/>
        <v>0</v>
      </c>
    </row>
    <row r="27" spans="1:11" ht="15" x14ac:dyDescent="0.25">
      <c r="A27" s="521">
        <v>263</v>
      </c>
      <c r="B27" s="521" t="s">
        <v>394</v>
      </c>
      <c r="C27" s="521" t="s">
        <v>394</v>
      </c>
      <c r="D27" s="517">
        <v>647.20447799999999</v>
      </c>
      <c r="E27" s="520" t="s">
        <v>364</v>
      </c>
      <c r="G27" s="416" t="str">
        <f>LEFT('Berechnung Nährstoffe und Lager'!$S$5,3)</f>
        <v>0</v>
      </c>
      <c r="H27" s="416" t="str">
        <f t="shared" si="1"/>
        <v>0</v>
      </c>
      <c r="I27" s="416">
        <f t="shared" si="2"/>
        <v>0</v>
      </c>
      <c r="J27" s="517">
        <f t="shared" si="0"/>
        <v>0</v>
      </c>
      <c r="K27">
        <f t="shared" si="3"/>
        <v>0</v>
      </c>
    </row>
    <row r="28" spans="1:11" ht="15" x14ac:dyDescent="0.25">
      <c r="A28" s="521">
        <v>271</v>
      </c>
      <c r="B28" s="521" t="s">
        <v>395</v>
      </c>
      <c r="C28" s="521" t="s">
        <v>395</v>
      </c>
      <c r="D28" s="517">
        <v>857.99441300000001</v>
      </c>
      <c r="E28" s="520" t="s">
        <v>364</v>
      </c>
      <c r="G28" s="416" t="str">
        <f>LEFT('Berechnung Nährstoffe und Lager'!$S$5,3)</f>
        <v>0</v>
      </c>
      <c r="H28" s="416" t="str">
        <f t="shared" si="1"/>
        <v>0</v>
      </c>
      <c r="I28" s="416">
        <f t="shared" si="2"/>
        <v>0</v>
      </c>
      <c r="J28" s="517">
        <f t="shared" si="0"/>
        <v>0</v>
      </c>
      <c r="K28">
        <f t="shared" si="3"/>
        <v>0</v>
      </c>
    </row>
    <row r="29" spans="1:11" ht="15" x14ac:dyDescent="0.25">
      <c r="A29" s="521">
        <v>272</v>
      </c>
      <c r="B29" s="521" t="s">
        <v>396</v>
      </c>
      <c r="C29" s="521" t="s">
        <v>396</v>
      </c>
      <c r="D29" s="517">
        <v>1038.282976</v>
      </c>
      <c r="E29" s="520" t="s">
        <v>364</v>
      </c>
      <c r="G29" s="416" t="str">
        <f>LEFT('Berechnung Nährstoffe und Lager'!$S$5,3)</f>
        <v>0</v>
      </c>
      <c r="H29" s="416" t="str">
        <f t="shared" si="1"/>
        <v>0</v>
      </c>
      <c r="I29" s="416">
        <f t="shared" si="2"/>
        <v>0</v>
      </c>
      <c r="J29" s="517">
        <f t="shared" si="0"/>
        <v>0</v>
      </c>
      <c r="K29">
        <f t="shared" si="3"/>
        <v>0</v>
      </c>
    </row>
    <row r="30" spans="1:11" ht="15" x14ac:dyDescent="0.25">
      <c r="A30" s="521">
        <v>273</v>
      </c>
      <c r="B30" s="521" t="s">
        <v>397</v>
      </c>
      <c r="C30" s="521" t="s">
        <v>397</v>
      </c>
      <c r="D30" s="517">
        <v>700.64457900000002</v>
      </c>
      <c r="E30" s="520" t="s">
        <v>364</v>
      </c>
      <c r="G30" s="416" t="str">
        <f>LEFT('Berechnung Nährstoffe und Lager'!$S$5,3)</f>
        <v>0</v>
      </c>
      <c r="H30" s="416" t="str">
        <f t="shared" si="1"/>
        <v>0</v>
      </c>
      <c r="I30" s="416">
        <f t="shared" si="2"/>
        <v>0</v>
      </c>
      <c r="J30" s="517">
        <f t="shared" si="0"/>
        <v>0</v>
      </c>
      <c r="K30">
        <f t="shared" si="3"/>
        <v>0</v>
      </c>
    </row>
    <row r="31" spans="1:11" ht="15" x14ac:dyDescent="0.25">
      <c r="A31" s="521">
        <v>274</v>
      </c>
      <c r="B31" s="521" t="s">
        <v>392</v>
      </c>
      <c r="C31" s="521" t="s">
        <v>392</v>
      </c>
      <c r="D31" s="517">
        <v>751.70879500000001</v>
      </c>
      <c r="E31" s="520" t="s">
        <v>364</v>
      </c>
      <c r="G31" s="416" t="str">
        <f>LEFT('Berechnung Nährstoffe und Lager'!$S$5,3)</f>
        <v>0</v>
      </c>
      <c r="H31" s="416" t="str">
        <f t="shared" si="1"/>
        <v>0</v>
      </c>
      <c r="I31" s="416">
        <f t="shared" si="2"/>
        <v>0</v>
      </c>
      <c r="J31" s="517">
        <f t="shared" si="0"/>
        <v>0</v>
      </c>
      <c r="K31">
        <f t="shared" si="3"/>
        <v>0</v>
      </c>
    </row>
    <row r="32" spans="1:11" ht="15" x14ac:dyDescent="0.25">
      <c r="A32" s="521">
        <v>275</v>
      </c>
      <c r="B32" s="521" t="s">
        <v>393</v>
      </c>
      <c r="C32" s="521" t="s">
        <v>393</v>
      </c>
      <c r="D32" s="517">
        <v>841.87963300000001</v>
      </c>
      <c r="E32" s="520" t="s">
        <v>364</v>
      </c>
      <c r="G32" s="416" t="str">
        <f>LEFT('Berechnung Nährstoffe und Lager'!$S$5,3)</f>
        <v>0</v>
      </c>
      <c r="H32" s="416" t="str">
        <f t="shared" si="1"/>
        <v>0</v>
      </c>
      <c r="I32" s="416">
        <f t="shared" si="2"/>
        <v>0</v>
      </c>
      <c r="J32" s="517">
        <f t="shared" si="0"/>
        <v>0</v>
      </c>
      <c r="K32">
        <f t="shared" si="3"/>
        <v>0</v>
      </c>
    </row>
    <row r="33" spans="1:11" ht="15" x14ac:dyDescent="0.25">
      <c r="A33" s="521">
        <v>276</v>
      </c>
      <c r="B33" s="521" t="s">
        <v>398</v>
      </c>
      <c r="C33" s="521" t="s">
        <v>398</v>
      </c>
      <c r="D33" s="517">
        <v>1042.2642410000001</v>
      </c>
      <c r="E33" s="520" t="s">
        <v>364</v>
      </c>
      <c r="G33" s="416" t="str">
        <f>LEFT('Berechnung Nährstoffe und Lager'!$S$5,3)</f>
        <v>0</v>
      </c>
      <c r="H33" s="416" t="str">
        <f t="shared" si="1"/>
        <v>0</v>
      </c>
      <c r="I33" s="416">
        <f t="shared" si="2"/>
        <v>0</v>
      </c>
      <c r="J33" s="517">
        <f t="shared" si="0"/>
        <v>0</v>
      </c>
      <c r="K33">
        <f t="shared" si="3"/>
        <v>0</v>
      </c>
    </row>
    <row r="34" spans="1:11" ht="15" x14ac:dyDescent="0.25">
      <c r="A34" s="521">
        <v>277</v>
      </c>
      <c r="B34" s="521" t="s">
        <v>399</v>
      </c>
      <c r="C34" s="521" t="s">
        <v>399</v>
      </c>
      <c r="D34" s="517">
        <v>789.52893900000004</v>
      </c>
      <c r="E34" s="520" t="s">
        <v>364</v>
      </c>
      <c r="G34" s="416" t="str">
        <f>LEFT('Berechnung Nährstoffe und Lager'!$S$5,3)</f>
        <v>0</v>
      </c>
      <c r="H34" s="416" t="str">
        <f t="shared" si="1"/>
        <v>0</v>
      </c>
      <c r="I34" s="416">
        <f t="shared" si="2"/>
        <v>0</v>
      </c>
      <c r="J34" s="517">
        <f t="shared" ref="J34:J65" si="4">IF(I34=A34,1,0)</f>
        <v>0</v>
      </c>
      <c r="K34">
        <f t="shared" si="3"/>
        <v>0</v>
      </c>
    </row>
    <row r="35" spans="1:11" ht="15" x14ac:dyDescent="0.25">
      <c r="A35" s="521">
        <v>278</v>
      </c>
      <c r="B35" s="521" t="s">
        <v>400</v>
      </c>
      <c r="C35" s="521" t="s">
        <v>400</v>
      </c>
      <c r="D35" s="517">
        <v>756.96159499999999</v>
      </c>
      <c r="E35" s="520" t="s">
        <v>364</v>
      </c>
      <c r="G35" s="416" t="str">
        <f>LEFT('Berechnung Nährstoffe und Lager'!$S$5,3)</f>
        <v>0</v>
      </c>
      <c r="H35" s="416" t="str">
        <f t="shared" si="1"/>
        <v>0</v>
      </c>
      <c r="I35" s="416">
        <f t="shared" si="2"/>
        <v>0</v>
      </c>
      <c r="J35" s="517">
        <f t="shared" si="4"/>
        <v>0</v>
      </c>
      <c r="K35">
        <f t="shared" si="3"/>
        <v>0</v>
      </c>
    </row>
    <row r="36" spans="1:11" ht="15" x14ac:dyDescent="0.25">
      <c r="A36" s="521">
        <v>279</v>
      </c>
      <c r="B36" s="521" t="s">
        <v>401</v>
      </c>
      <c r="C36" s="521" t="s">
        <v>401</v>
      </c>
      <c r="D36" s="517">
        <v>717.49988699999994</v>
      </c>
      <c r="E36" s="520" t="s">
        <v>364</v>
      </c>
      <c r="G36" s="416" t="str">
        <f>LEFT('Berechnung Nährstoffe und Lager'!$S$5,3)</f>
        <v>0</v>
      </c>
      <c r="H36" s="416" t="str">
        <f t="shared" si="1"/>
        <v>0</v>
      </c>
      <c r="I36" s="416">
        <f t="shared" si="2"/>
        <v>0</v>
      </c>
      <c r="J36" s="517">
        <f t="shared" si="4"/>
        <v>0</v>
      </c>
      <c r="K36">
        <f t="shared" si="3"/>
        <v>0</v>
      </c>
    </row>
    <row r="37" spans="1:11" ht="15" x14ac:dyDescent="0.25">
      <c r="A37" s="521">
        <v>361</v>
      </c>
      <c r="B37" s="521" t="s">
        <v>402</v>
      </c>
      <c r="C37" s="521" t="s">
        <v>402</v>
      </c>
      <c r="D37" s="517">
        <v>642.48076700000001</v>
      </c>
      <c r="E37" s="520" t="s">
        <v>364</v>
      </c>
      <c r="G37" s="416" t="str">
        <f>LEFT('Berechnung Nährstoffe und Lager'!$S$5,3)</f>
        <v>0</v>
      </c>
      <c r="H37" s="416" t="str">
        <f t="shared" si="1"/>
        <v>0</v>
      </c>
      <c r="I37" s="416">
        <f t="shared" si="2"/>
        <v>0</v>
      </c>
      <c r="J37" s="517">
        <f t="shared" si="4"/>
        <v>0</v>
      </c>
      <c r="K37">
        <f t="shared" si="3"/>
        <v>0</v>
      </c>
    </row>
    <row r="38" spans="1:11" ht="15" x14ac:dyDescent="0.25">
      <c r="A38" s="521">
        <v>362</v>
      </c>
      <c r="B38" s="521" t="s">
        <v>403</v>
      </c>
      <c r="C38" s="521" t="s">
        <v>403</v>
      </c>
      <c r="D38" s="517">
        <v>645.39135699999997</v>
      </c>
      <c r="E38" s="520" t="s">
        <v>364</v>
      </c>
      <c r="G38" s="416" t="str">
        <f>LEFT('Berechnung Nährstoffe und Lager'!$S$5,3)</f>
        <v>0</v>
      </c>
      <c r="H38" s="416" t="str">
        <f t="shared" si="1"/>
        <v>0</v>
      </c>
      <c r="I38" s="416">
        <f t="shared" si="2"/>
        <v>0</v>
      </c>
      <c r="J38" s="517">
        <f t="shared" si="4"/>
        <v>0</v>
      </c>
      <c r="K38">
        <f t="shared" si="3"/>
        <v>0</v>
      </c>
    </row>
    <row r="39" spans="1:11" ht="15" x14ac:dyDescent="0.25">
      <c r="A39" s="521">
        <v>363</v>
      </c>
      <c r="B39" s="521" t="s">
        <v>404</v>
      </c>
      <c r="C39" s="521" t="s">
        <v>404</v>
      </c>
      <c r="D39" s="517">
        <v>662.62535100000002</v>
      </c>
      <c r="E39" s="520" t="s">
        <v>364</v>
      </c>
      <c r="G39" s="416" t="str">
        <f>LEFT('Berechnung Nährstoffe und Lager'!$S$5,3)</f>
        <v>0</v>
      </c>
      <c r="H39" s="416" t="str">
        <f t="shared" si="1"/>
        <v>0</v>
      </c>
      <c r="I39" s="416">
        <f t="shared" si="2"/>
        <v>0</v>
      </c>
      <c r="J39" s="517">
        <f t="shared" si="4"/>
        <v>0</v>
      </c>
      <c r="K39">
        <f t="shared" si="3"/>
        <v>0</v>
      </c>
    </row>
    <row r="40" spans="1:11" ht="15" x14ac:dyDescent="0.25">
      <c r="A40" s="521">
        <v>371</v>
      </c>
      <c r="B40" s="521" t="s">
        <v>405</v>
      </c>
      <c r="C40" s="521" t="s">
        <v>405</v>
      </c>
      <c r="D40" s="517">
        <v>703.27166699999998</v>
      </c>
      <c r="E40" s="520" t="s">
        <v>364</v>
      </c>
      <c r="G40" s="416" t="str">
        <f>LEFT('Berechnung Nährstoffe und Lager'!$S$5,3)</f>
        <v>0</v>
      </c>
      <c r="H40" s="416" t="str">
        <f t="shared" si="1"/>
        <v>0</v>
      </c>
      <c r="I40" s="416">
        <f t="shared" si="2"/>
        <v>0</v>
      </c>
      <c r="J40" s="517">
        <f t="shared" si="4"/>
        <v>0</v>
      </c>
      <c r="K40">
        <f t="shared" si="3"/>
        <v>0</v>
      </c>
    </row>
    <row r="41" spans="1:11" ht="15" x14ac:dyDescent="0.25">
      <c r="A41" s="521">
        <v>372</v>
      </c>
      <c r="B41" s="521" t="s">
        <v>406</v>
      </c>
      <c r="C41" s="521" t="s">
        <v>406</v>
      </c>
      <c r="D41" s="517">
        <v>792.32119699999998</v>
      </c>
      <c r="E41" s="520" t="s">
        <v>364</v>
      </c>
      <c r="G41" s="416" t="str">
        <f>LEFT('Berechnung Nährstoffe und Lager'!$S$5,3)</f>
        <v>0</v>
      </c>
      <c r="H41" s="416" t="str">
        <f t="shared" si="1"/>
        <v>0</v>
      </c>
      <c r="I41" s="416">
        <f t="shared" si="2"/>
        <v>0</v>
      </c>
      <c r="J41" s="517">
        <f t="shared" si="4"/>
        <v>0</v>
      </c>
      <c r="K41">
        <f t="shared" si="3"/>
        <v>0</v>
      </c>
    </row>
    <row r="42" spans="1:11" ht="15" x14ac:dyDescent="0.25">
      <c r="A42" s="521">
        <v>373</v>
      </c>
      <c r="B42" s="521" t="s">
        <v>407</v>
      </c>
      <c r="C42" s="521" t="s">
        <v>407</v>
      </c>
      <c r="D42" s="517">
        <v>739.75539800000001</v>
      </c>
      <c r="E42" s="520" t="s">
        <v>364</v>
      </c>
      <c r="G42" s="416" t="str">
        <f>LEFT('Berechnung Nährstoffe und Lager'!$S$5,3)</f>
        <v>0</v>
      </c>
      <c r="H42" s="416" t="str">
        <f t="shared" si="1"/>
        <v>0</v>
      </c>
      <c r="I42" s="416">
        <f t="shared" si="2"/>
        <v>0</v>
      </c>
      <c r="J42" s="517">
        <f t="shared" si="4"/>
        <v>0</v>
      </c>
      <c r="K42">
        <f t="shared" si="3"/>
        <v>0</v>
      </c>
    </row>
    <row r="43" spans="1:11" ht="15" x14ac:dyDescent="0.25">
      <c r="A43" s="521">
        <v>374</v>
      </c>
      <c r="B43" s="521" t="s">
        <v>408</v>
      </c>
      <c r="C43" s="521" t="s">
        <v>408</v>
      </c>
      <c r="D43" s="517">
        <v>698.95514700000001</v>
      </c>
      <c r="E43" s="520" t="s">
        <v>364</v>
      </c>
      <c r="G43" s="416" t="str">
        <f>LEFT('Berechnung Nährstoffe und Lager'!$S$5,3)</f>
        <v>0</v>
      </c>
      <c r="H43" s="416" t="str">
        <f t="shared" si="1"/>
        <v>0</v>
      </c>
      <c r="I43" s="416">
        <f t="shared" si="2"/>
        <v>0</v>
      </c>
      <c r="J43" s="517">
        <f t="shared" si="4"/>
        <v>0</v>
      </c>
      <c r="K43">
        <f t="shared" si="3"/>
        <v>0</v>
      </c>
    </row>
    <row r="44" spans="1:11" ht="15" x14ac:dyDescent="0.25">
      <c r="A44" s="521">
        <v>375</v>
      </c>
      <c r="B44" s="521" t="s">
        <v>403</v>
      </c>
      <c r="C44" s="521" t="s">
        <v>403</v>
      </c>
      <c r="D44" s="517">
        <v>679.05672400000003</v>
      </c>
      <c r="E44" s="520" t="s">
        <v>364</v>
      </c>
      <c r="G44" s="416" t="str">
        <f>LEFT('Berechnung Nährstoffe und Lager'!$S$5,3)</f>
        <v>0</v>
      </c>
      <c r="H44" s="416" t="str">
        <f t="shared" si="1"/>
        <v>0</v>
      </c>
      <c r="I44" s="416">
        <f t="shared" si="2"/>
        <v>0</v>
      </c>
      <c r="J44" s="517">
        <f t="shared" si="4"/>
        <v>0</v>
      </c>
      <c r="K44">
        <f t="shared" si="3"/>
        <v>0</v>
      </c>
    </row>
    <row r="45" spans="1:11" ht="15" x14ac:dyDescent="0.25">
      <c r="A45" s="521">
        <v>376</v>
      </c>
      <c r="B45" s="521" t="s">
        <v>409</v>
      </c>
      <c r="C45" s="521" t="s">
        <v>409</v>
      </c>
      <c r="D45" s="517">
        <v>681.42459199999996</v>
      </c>
      <c r="E45" s="520" t="s">
        <v>364</v>
      </c>
      <c r="G45" s="416" t="str">
        <f>LEFT('Berechnung Nährstoffe und Lager'!$S$5,3)</f>
        <v>0</v>
      </c>
      <c r="H45" s="416" t="str">
        <f t="shared" si="1"/>
        <v>0</v>
      </c>
      <c r="I45" s="416">
        <f t="shared" si="2"/>
        <v>0</v>
      </c>
      <c r="J45" s="517">
        <f t="shared" si="4"/>
        <v>0</v>
      </c>
      <c r="K45">
        <f t="shared" si="3"/>
        <v>0</v>
      </c>
    </row>
    <row r="46" spans="1:11" ht="15" x14ac:dyDescent="0.25">
      <c r="A46" s="521">
        <v>377</v>
      </c>
      <c r="B46" s="521" t="s">
        <v>410</v>
      </c>
      <c r="C46" s="521" t="s">
        <v>410</v>
      </c>
      <c r="D46" s="517">
        <v>733.12053900000001</v>
      </c>
      <c r="E46" s="520" t="s">
        <v>364</v>
      </c>
      <c r="G46" s="416" t="str">
        <f>LEFT('Berechnung Nährstoffe und Lager'!$S$5,3)</f>
        <v>0</v>
      </c>
      <c r="H46" s="416" t="str">
        <f t="shared" si="1"/>
        <v>0</v>
      </c>
      <c r="I46" s="416">
        <f t="shared" si="2"/>
        <v>0</v>
      </c>
      <c r="J46" s="517">
        <f t="shared" si="4"/>
        <v>0</v>
      </c>
      <c r="K46">
        <f t="shared" si="3"/>
        <v>0</v>
      </c>
    </row>
    <row r="47" spans="1:11" ht="15" x14ac:dyDescent="0.25">
      <c r="A47" s="521">
        <v>461</v>
      </c>
      <c r="B47" s="521" t="s">
        <v>411</v>
      </c>
      <c r="C47" s="521" t="s">
        <v>411</v>
      </c>
      <c r="D47" s="517">
        <v>624.23035600000003</v>
      </c>
      <c r="E47" s="520" t="s">
        <v>364</v>
      </c>
      <c r="G47" s="416" t="str">
        <f>LEFT('Berechnung Nährstoffe und Lager'!$S$5,3)</f>
        <v>0</v>
      </c>
      <c r="H47" s="416" t="str">
        <f t="shared" si="1"/>
        <v>0</v>
      </c>
      <c r="I47" s="416">
        <f t="shared" si="2"/>
        <v>0</v>
      </c>
      <c r="J47" s="517">
        <f t="shared" si="4"/>
        <v>0</v>
      </c>
      <c r="K47">
        <f t="shared" si="3"/>
        <v>0</v>
      </c>
    </row>
    <row r="48" spans="1:11" ht="15" x14ac:dyDescent="0.25">
      <c r="A48" s="521">
        <v>462</v>
      </c>
      <c r="B48" s="521" t="s">
        <v>412</v>
      </c>
      <c r="C48" s="521" t="s">
        <v>412</v>
      </c>
      <c r="D48" s="517">
        <v>689.04477499999996</v>
      </c>
      <c r="E48" s="520" t="s">
        <v>364</v>
      </c>
      <c r="G48" s="416" t="str">
        <f>LEFT('Berechnung Nährstoffe und Lager'!$S$5,3)</f>
        <v>0</v>
      </c>
      <c r="H48" s="416" t="str">
        <f t="shared" si="1"/>
        <v>0</v>
      </c>
      <c r="I48" s="416">
        <f t="shared" si="2"/>
        <v>0</v>
      </c>
      <c r="J48" s="517">
        <f t="shared" si="4"/>
        <v>0</v>
      </c>
      <c r="K48">
        <f t="shared" si="3"/>
        <v>0</v>
      </c>
    </row>
    <row r="49" spans="1:11" ht="15" x14ac:dyDescent="0.25">
      <c r="A49" s="521">
        <v>463</v>
      </c>
      <c r="B49" s="521" t="s">
        <v>413</v>
      </c>
      <c r="C49" s="521" t="s">
        <v>413</v>
      </c>
      <c r="D49" s="517">
        <v>685.33478400000001</v>
      </c>
      <c r="E49" s="520" t="s">
        <v>364</v>
      </c>
      <c r="G49" s="416" t="str">
        <f>LEFT('Berechnung Nährstoffe und Lager'!$S$5,3)</f>
        <v>0</v>
      </c>
      <c r="H49" s="416" t="str">
        <f t="shared" si="1"/>
        <v>0</v>
      </c>
      <c r="I49" s="416">
        <f t="shared" si="2"/>
        <v>0</v>
      </c>
      <c r="J49" s="517">
        <f t="shared" si="4"/>
        <v>0</v>
      </c>
      <c r="K49">
        <f t="shared" si="3"/>
        <v>0</v>
      </c>
    </row>
    <row r="50" spans="1:11" ht="15" x14ac:dyDescent="0.25">
      <c r="A50" s="521">
        <v>464</v>
      </c>
      <c r="B50" s="521" t="s">
        <v>414</v>
      </c>
      <c r="C50" s="521" t="s">
        <v>414</v>
      </c>
      <c r="D50" s="517">
        <v>661.28750000000002</v>
      </c>
      <c r="E50" s="520" t="s">
        <v>364</v>
      </c>
      <c r="G50" s="416" t="str">
        <f>LEFT('Berechnung Nährstoffe und Lager'!$S$5,3)</f>
        <v>0</v>
      </c>
      <c r="H50" s="416" t="str">
        <f t="shared" si="1"/>
        <v>0</v>
      </c>
      <c r="I50" s="416">
        <f t="shared" si="2"/>
        <v>0</v>
      </c>
      <c r="J50" s="517">
        <f t="shared" si="4"/>
        <v>0</v>
      </c>
      <c r="K50">
        <f t="shared" si="3"/>
        <v>0</v>
      </c>
    </row>
    <row r="51" spans="1:11" ht="15" x14ac:dyDescent="0.25">
      <c r="A51" s="521">
        <v>471</v>
      </c>
      <c r="B51" s="521" t="s">
        <v>411</v>
      </c>
      <c r="C51" s="521" t="s">
        <v>411</v>
      </c>
      <c r="D51" s="517">
        <v>677.51418799999999</v>
      </c>
      <c r="E51" s="520" t="s">
        <v>364</v>
      </c>
      <c r="G51" s="416" t="str">
        <f>LEFT('Berechnung Nährstoffe und Lager'!$S$5,3)</f>
        <v>0</v>
      </c>
      <c r="H51" s="416" t="str">
        <f t="shared" si="1"/>
        <v>0</v>
      </c>
      <c r="I51" s="416">
        <f t="shared" si="2"/>
        <v>0</v>
      </c>
      <c r="J51" s="517">
        <f t="shared" si="4"/>
        <v>0</v>
      </c>
      <c r="K51">
        <f t="shared" si="3"/>
        <v>0</v>
      </c>
    </row>
    <row r="52" spans="1:11" ht="15" x14ac:dyDescent="0.25">
      <c r="A52" s="521">
        <v>472</v>
      </c>
      <c r="B52" s="521" t="s">
        <v>412</v>
      </c>
      <c r="C52" s="521" t="s">
        <v>412</v>
      </c>
      <c r="D52" s="517">
        <v>805.22680200000002</v>
      </c>
      <c r="E52" s="520" t="s">
        <v>364</v>
      </c>
      <c r="G52" s="416" t="str">
        <f>LEFT('Berechnung Nährstoffe und Lager'!$S$5,3)</f>
        <v>0</v>
      </c>
      <c r="H52" s="416" t="str">
        <f t="shared" si="1"/>
        <v>0</v>
      </c>
      <c r="I52" s="416">
        <f t="shared" si="2"/>
        <v>0</v>
      </c>
      <c r="J52" s="517">
        <f t="shared" si="4"/>
        <v>0</v>
      </c>
      <c r="K52">
        <f t="shared" si="3"/>
        <v>0</v>
      </c>
    </row>
    <row r="53" spans="1:11" ht="15" x14ac:dyDescent="0.25">
      <c r="A53" s="521">
        <v>473</v>
      </c>
      <c r="B53" s="521" t="s">
        <v>413</v>
      </c>
      <c r="C53" s="521" t="s">
        <v>413</v>
      </c>
      <c r="D53" s="517">
        <v>674.53293699999995</v>
      </c>
      <c r="E53" s="520" t="s">
        <v>364</v>
      </c>
      <c r="G53" s="416" t="str">
        <f>LEFT('Berechnung Nährstoffe und Lager'!$S$5,3)</f>
        <v>0</v>
      </c>
      <c r="H53" s="416" t="str">
        <f t="shared" si="1"/>
        <v>0</v>
      </c>
      <c r="I53" s="416">
        <f t="shared" si="2"/>
        <v>0</v>
      </c>
      <c r="J53" s="517">
        <f t="shared" si="4"/>
        <v>0</v>
      </c>
      <c r="K53">
        <f t="shared" si="3"/>
        <v>0</v>
      </c>
    </row>
    <row r="54" spans="1:11" ht="15" x14ac:dyDescent="0.25">
      <c r="A54" s="521">
        <v>474</v>
      </c>
      <c r="B54" s="521" t="s">
        <v>415</v>
      </c>
      <c r="C54" s="521" t="s">
        <v>415</v>
      </c>
      <c r="D54" s="517">
        <v>762.59782199999995</v>
      </c>
      <c r="E54" s="520" t="s">
        <v>364</v>
      </c>
      <c r="G54" s="416" t="str">
        <f>LEFT('Berechnung Nährstoffe und Lager'!$S$5,3)</f>
        <v>0</v>
      </c>
      <c r="H54" s="416" t="str">
        <f t="shared" si="1"/>
        <v>0</v>
      </c>
      <c r="I54" s="416">
        <f t="shared" si="2"/>
        <v>0</v>
      </c>
      <c r="J54" s="517">
        <f t="shared" si="4"/>
        <v>0</v>
      </c>
      <c r="K54">
        <f t="shared" si="3"/>
        <v>0</v>
      </c>
    </row>
    <row r="55" spans="1:11" ht="15" x14ac:dyDescent="0.25">
      <c r="A55" s="521">
        <v>475</v>
      </c>
      <c r="B55" s="521" t="s">
        <v>414</v>
      </c>
      <c r="C55" s="521" t="s">
        <v>414</v>
      </c>
      <c r="D55" s="517">
        <v>766.46465999999998</v>
      </c>
      <c r="E55" s="520" t="s">
        <v>364</v>
      </c>
      <c r="G55" s="416" t="str">
        <f>LEFT('Berechnung Nährstoffe und Lager'!$S$5,3)</f>
        <v>0</v>
      </c>
      <c r="H55" s="416" t="str">
        <f t="shared" si="1"/>
        <v>0</v>
      </c>
      <c r="I55" s="416">
        <f t="shared" si="2"/>
        <v>0</v>
      </c>
      <c r="J55" s="517">
        <f t="shared" si="4"/>
        <v>0</v>
      </c>
      <c r="K55">
        <f t="shared" si="3"/>
        <v>0</v>
      </c>
    </row>
    <row r="56" spans="1:11" ht="15" x14ac:dyDescent="0.25">
      <c r="A56" s="521">
        <v>476</v>
      </c>
      <c r="B56" s="521" t="s">
        <v>416</v>
      </c>
      <c r="C56" s="521" t="s">
        <v>416</v>
      </c>
      <c r="D56" s="517">
        <v>840.09107700000004</v>
      </c>
      <c r="E56" s="520" t="s">
        <v>364</v>
      </c>
      <c r="G56" s="416" t="str">
        <f>LEFT('Berechnung Nährstoffe und Lager'!$S$5,3)</f>
        <v>0</v>
      </c>
      <c r="H56" s="416" t="str">
        <f t="shared" si="1"/>
        <v>0</v>
      </c>
      <c r="I56" s="416">
        <f t="shared" si="2"/>
        <v>0</v>
      </c>
      <c r="J56" s="517">
        <f t="shared" si="4"/>
        <v>0</v>
      </c>
      <c r="K56">
        <f t="shared" si="3"/>
        <v>0</v>
      </c>
    </row>
    <row r="57" spans="1:11" ht="15" x14ac:dyDescent="0.25">
      <c r="A57" s="521">
        <v>477</v>
      </c>
      <c r="B57" s="521" t="s">
        <v>417</v>
      </c>
      <c r="C57" s="521" t="s">
        <v>417</v>
      </c>
      <c r="D57" s="517">
        <v>754.01590799999997</v>
      </c>
      <c r="E57" s="520" t="s">
        <v>364</v>
      </c>
      <c r="G57" s="416" t="str">
        <f>LEFT('Berechnung Nährstoffe und Lager'!$S$5,3)</f>
        <v>0</v>
      </c>
      <c r="H57" s="416" t="str">
        <f t="shared" si="1"/>
        <v>0</v>
      </c>
      <c r="I57" s="416">
        <f t="shared" si="2"/>
        <v>0</v>
      </c>
      <c r="J57" s="517">
        <f t="shared" si="4"/>
        <v>0</v>
      </c>
      <c r="K57">
        <f t="shared" si="3"/>
        <v>0</v>
      </c>
    </row>
    <row r="58" spans="1:11" ht="15" x14ac:dyDescent="0.25">
      <c r="A58" s="521">
        <v>478</v>
      </c>
      <c r="B58" s="521" t="s">
        <v>418</v>
      </c>
      <c r="C58" s="521" t="s">
        <v>418</v>
      </c>
      <c r="D58" s="517">
        <v>663.68571299999996</v>
      </c>
      <c r="E58" s="520" t="s">
        <v>364</v>
      </c>
      <c r="G58" s="416" t="str">
        <f>LEFT('Berechnung Nährstoffe und Lager'!$S$5,3)</f>
        <v>0</v>
      </c>
      <c r="H58" s="416" t="str">
        <f t="shared" si="1"/>
        <v>0</v>
      </c>
      <c r="I58" s="416">
        <f t="shared" si="2"/>
        <v>0</v>
      </c>
      <c r="J58" s="517">
        <f t="shared" si="4"/>
        <v>0</v>
      </c>
      <c r="K58">
        <f t="shared" si="3"/>
        <v>0</v>
      </c>
    </row>
    <row r="59" spans="1:11" ht="15" x14ac:dyDescent="0.25">
      <c r="A59" s="521">
        <v>479</v>
      </c>
      <c r="B59" s="521" t="s">
        <v>419</v>
      </c>
      <c r="C59" s="521" t="s">
        <v>419</v>
      </c>
      <c r="D59" s="517">
        <v>761.51830399999994</v>
      </c>
      <c r="E59" s="520" t="s">
        <v>364</v>
      </c>
      <c r="G59" s="416" t="str">
        <f>LEFT('Berechnung Nährstoffe und Lager'!$S$5,3)</f>
        <v>0</v>
      </c>
      <c r="H59" s="416" t="str">
        <f t="shared" si="1"/>
        <v>0</v>
      </c>
      <c r="I59" s="416">
        <f t="shared" si="2"/>
        <v>0</v>
      </c>
      <c r="J59" s="517">
        <f t="shared" si="4"/>
        <v>0</v>
      </c>
      <c r="K59">
        <f t="shared" si="3"/>
        <v>0</v>
      </c>
    </row>
    <row r="60" spans="1:11" ht="15" x14ac:dyDescent="0.25">
      <c r="A60" s="521">
        <v>561</v>
      </c>
      <c r="B60" s="521" t="s">
        <v>420</v>
      </c>
      <c r="C60" s="521" t="s">
        <v>420</v>
      </c>
      <c r="D60" s="517">
        <v>641.50404100000003</v>
      </c>
      <c r="E60" s="520" t="s">
        <v>364</v>
      </c>
      <c r="G60" s="416" t="str">
        <f>LEFT('Berechnung Nährstoffe und Lager'!$S$5,3)</f>
        <v>0</v>
      </c>
      <c r="H60" s="416" t="str">
        <f t="shared" si="1"/>
        <v>0</v>
      </c>
      <c r="I60" s="416">
        <f t="shared" si="2"/>
        <v>0</v>
      </c>
      <c r="J60" s="517">
        <f t="shared" si="4"/>
        <v>0</v>
      </c>
      <c r="K60">
        <f t="shared" si="3"/>
        <v>0</v>
      </c>
    </row>
    <row r="61" spans="1:11" ht="15" x14ac:dyDescent="0.25">
      <c r="A61" s="521">
        <v>562</v>
      </c>
      <c r="B61" s="521" t="s">
        <v>421</v>
      </c>
      <c r="C61" s="521" t="s">
        <v>421</v>
      </c>
      <c r="D61" s="517">
        <v>620.00384499999996</v>
      </c>
      <c r="E61" s="520" t="s">
        <v>364</v>
      </c>
      <c r="G61" s="416" t="str">
        <f>LEFT('Berechnung Nährstoffe und Lager'!$S$5,3)</f>
        <v>0</v>
      </c>
      <c r="H61" s="416" t="str">
        <f t="shared" si="1"/>
        <v>0</v>
      </c>
      <c r="I61" s="416">
        <f t="shared" si="2"/>
        <v>0</v>
      </c>
      <c r="J61" s="517">
        <f t="shared" si="4"/>
        <v>0</v>
      </c>
      <c r="K61">
        <f t="shared" si="3"/>
        <v>0</v>
      </c>
    </row>
    <row r="62" spans="1:11" ht="15" x14ac:dyDescent="0.25">
      <c r="A62" s="521">
        <v>563</v>
      </c>
      <c r="B62" s="521" t="s">
        <v>422</v>
      </c>
      <c r="C62" s="521" t="s">
        <v>423</v>
      </c>
      <c r="D62" s="517">
        <v>578.62257899999997</v>
      </c>
      <c r="E62" s="520" t="s">
        <v>364</v>
      </c>
      <c r="G62" s="416" t="str">
        <f>LEFT('Berechnung Nährstoffe und Lager'!$S$5,3)</f>
        <v>0</v>
      </c>
      <c r="H62" s="416" t="str">
        <f t="shared" si="1"/>
        <v>0</v>
      </c>
      <c r="I62" s="416">
        <f t="shared" si="2"/>
        <v>0</v>
      </c>
      <c r="J62" s="517">
        <f t="shared" si="4"/>
        <v>0</v>
      </c>
      <c r="K62">
        <f t="shared" si="3"/>
        <v>0</v>
      </c>
    </row>
    <row r="63" spans="1:11" ht="15" x14ac:dyDescent="0.25">
      <c r="A63" s="521">
        <v>564</v>
      </c>
      <c r="B63" s="521" t="s">
        <v>424</v>
      </c>
      <c r="C63" s="521" t="s">
        <v>425</v>
      </c>
      <c r="D63" s="517">
        <v>608.04814999999996</v>
      </c>
      <c r="E63" s="520" t="s">
        <v>364</v>
      </c>
      <c r="G63" s="416" t="str">
        <f>LEFT('Berechnung Nährstoffe und Lager'!$S$5,3)</f>
        <v>0</v>
      </c>
      <c r="H63" s="416" t="str">
        <f t="shared" si="1"/>
        <v>0</v>
      </c>
      <c r="I63" s="416">
        <f t="shared" si="2"/>
        <v>0</v>
      </c>
      <c r="J63" s="517">
        <f t="shared" si="4"/>
        <v>0</v>
      </c>
      <c r="K63">
        <f t="shared" si="3"/>
        <v>0</v>
      </c>
    </row>
    <row r="64" spans="1:11" ht="15" x14ac:dyDescent="0.25">
      <c r="A64" s="521">
        <v>565</v>
      </c>
      <c r="B64" s="521" t="s">
        <v>426</v>
      </c>
      <c r="C64" s="521" t="s">
        <v>426</v>
      </c>
      <c r="D64" s="517">
        <v>610.95121800000004</v>
      </c>
      <c r="E64" s="520" t="s">
        <v>364</v>
      </c>
      <c r="G64" s="416" t="str">
        <f>LEFT('Berechnung Nährstoffe und Lager'!$S$5,3)</f>
        <v>0</v>
      </c>
      <c r="H64" s="416" t="str">
        <f t="shared" si="1"/>
        <v>0</v>
      </c>
      <c r="I64" s="416">
        <f t="shared" si="2"/>
        <v>0</v>
      </c>
      <c r="J64" s="517">
        <f t="shared" si="4"/>
        <v>0</v>
      </c>
      <c r="K64">
        <f t="shared" si="3"/>
        <v>0</v>
      </c>
    </row>
    <row r="65" spans="1:11" ht="15" x14ac:dyDescent="0.25">
      <c r="A65" s="521">
        <v>571</v>
      </c>
      <c r="B65" s="521" t="s">
        <v>420</v>
      </c>
      <c r="C65" s="521" t="s">
        <v>420</v>
      </c>
      <c r="D65" s="517">
        <v>650.69102399999997</v>
      </c>
      <c r="E65" s="520" t="s">
        <v>364</v>
      </c>
      <c r="G65" s="416" t="str">
        <f>LEFT('Berechnung Nährstoffe und Lager'!$S$5,3)</f>
        <v>0</v>
      </c>
      <c r="H65" s="416" t="str">
        <f t="shared" si="1"/>
        <v>0</v>
      </c>
      <c r="I65" s="416">
        <f t="shared" si="2"/>
        <v>0</v>
      </c>
      <c r="J65" s="517">
        <f t="shared" si="4"/>
        <v>0</v>
      </c>
      <c r="K65">
        <f t="shared" si="3"/>
        <v>0</v>
      </c>
    </row>
    <row r="66" spans="1:11" ht="15" x14ac:dyDescent="0.25">
      <c r="A66" s="521">
        <v>572</v>
      </c>
      <c r="B66" s="521" t="s">
        <v>427</v>
      </c>
      <c r="C66" s="521" t="s">
        <v>428</v>
      </c>
      <c r="D66" s="517">
        <v>623.15303600000004</v>
      </c>
      <c r="E66" s="520" t="s">
        <v>364</v>
      </c>
      <c r="G66" s="416" t="str">
        <f>LEFT('Berechnung Nährstoffe und Lager'!$S$5,3)</f>
        <v>0</v>
      </c>
      <c r="H66" s="416" t="str">
        <f t="shared" si="1"/>
        <v>0</v>
      </c>
      <c r="I66" s="416">
        <f t="shared" si="2"/>
        <v>0</v>
      </c>
      <c r="J66" s="517">
        <f t="shared" ref="J66:J97" si="5">IF(I66=A66,1,0)</f>
        <v>0</v>
      </c>
      <c r="K66">
        <f t="shared" si="3"/>
        <v>0</v>
      </c>
    </row>
    <row r="67" spans="1:11" ht="15" x14ac:dyDescent="0.25">
      <c r="A67" s="521">
        <v>573</v>
      </c>
      <c r="B67" s="521" t="s">
        <v>422</v>
      </c>
      <c r="C67" s="521" t="s">
        <v>423</v>
      </c>
      <c r="D67" s="517">
        <v>580.23709699999995</v>
      </c>
      <c r="E67" s="520" t="s">
        <v>364</v>
      </c>
      <c r="G67" s="416" t="str">
        <f>LEFT('Berechnung Nährstoffe und Lager'!$S$5,3)</f>
        <v>0</v>
      </c>
      <c r="H67" s="416" t="str">
        <f t="shared" ref="H67:H97" si="6">+G67</f>
        <v>0</v>
      </c>
      <c r="I67" s="416">
        <f t="shared" ref="I67:I97" si="7">VALUE(H67)</f>
        <v>0</v>
      </c>
      <c r="J67" s="517">
        <f t="shared" si="5"/>
        <v>0</v>
      </c>
      <c r="K67">
        <f t="shared" ref="K67:K97" si="8">IF(J67&gt;0,D67,0)</f>
        <v>0</v>
      </c>
    </row>
    <row r="68" spans="1:11" ht="15" x14ac:dyDescent="0.25">
      <c r="A68" s="521">
        <v>574</v>
      </c>
      <c r="B68" s="521" t="s">
        <v>429</v>
      </c>
      <c r="C68" s="521" t="s">
        <v>430</v>
      </c>
      <c r="D68" s="517">
        <v>788.97264700000005</v>
      </c>
      <c r="E68" s="520" t="s">
        <v>364</v>
      </c>
      <c r="G68" s="416" t="str">
        <f>LEFT('Berechnung Nährstoffe und Lager'!$S$5,3)</f>
        <v>0</v>
      </c>
      <c r="H68" s="416" t="str">
        <f t="shared" si="6"/>
        <v>0</v>
      </c>
      <c r="I68" s="416">
        <f t="shared" si="7"/>
        <v>0</v>
      </c>
      <c r="J68" s="517">
        <f t="shared" si="5"/>
        <v>0</v>
      </c>
      <c r="K68">
        <f t="shared" si="8"/>
        <v>0</v>
      </c>
    </row>
    <row r="69" spans="1:11" ht="15" x14ac:dyDescent="0.25">
      <c r="A69" s="521">
        <v>575</v>
      </c>
      <c r="B69" s="521" t="s">
        <v>431</v>
      </c>
      <c r="C69" s="521" t="s">
        <v>431</v>
      </c>
      <c r="D69" s="517">
        <v>605.22147900000004</v>
      </c>
      <c r="E69" s="520" t="s">
        <v>364</v>
      </c>
      <c r="G69" s="416" t="str">
        <f>LEFT('Berechnung Nährstoffe und Lager'!$S$5,3)</f>
        <v>0</v>
      </c>
      <c r="H69" s="416" t="str">
        <f t="shared" si="6"/>
        <v>0</v>
      </c>
      <c r="I69" s="416">
        <f t="shared" si="7"/>
        <v>0</v>
      </c>
      <c r="J69" s="517">
        <f t="shared" si="5"/>
        <v>0</v>
      </c>
      <c r="K69">
        <f t="shared" si="8"/>
        <v>0</v>
      </c>
    </row>
    <row r="70" spans="1:11" ht="15" x14ac:dyDescent="0.25">
      <c r="A70" s="521">
        <v>576</v>
      </c>
      <c r="B70" s="521" t="s">
        <v>432</v>
      </c>
      <c r="C70" s="521" t="s">
        <v>432</v>
      </c>
      <c r="D70" s="517">
        <v>663.53083800000002</v>
      </c>
      <c r="E70" s="520" t="s">
        <v>364</v>
      </c>
      <c r="G70" s="416" t="str">
        <f>LEFT('Berechnung Nährstoffe und Lager'!$S$5,3)</f>
        <v>0</v>
      </c>
      <c r="H70" s="416" t="str">
        <f t="shared" si="6"/>
        <v>0</v>
      </c>
      <c r="I70" s="416">
        <f t="shared" si="7"/>
        <v>0</v>
      </c>
      <c r="J70" s="517">
        <f t="shared" si="5"/>
        <v>0</v>
      </c>
      <c r="K70">
        <f t="shared" si="8"/>
        <v>0</v>
      </c>
    </row>
    <row r="71" spans="1:11" ht="15" x14ac:dyDescent="0.25">
      <c r="A71" s="521">
        <v>577</v>
      </c>
      <c r="B71" s="521" t="s">
        <v>433</v>
      </c>
      <c r="C71" s="521" t="s">
        <v>434</v>
      </c>
      <c r="D71" s="517">
        <v>698.06765800000005</v>
      </c>
      <c r="E71" s="520" t="s">
        <v>364</v>
      </c>
      <c r="G71" s="416" t="str">
        <f>LEFT('Berechnung Nährstoffe und Lager'!$S$5,3)</f>
        <v>0</v>
      </c>
      <c r="H71" s="416" t="str">
        <f t="shared" si="6"/>
        <v>0</v>
      </c>
      <c r="I71" s="416">
        <f t="shared" si="7"/>
        <v>0</v>
      </c>
      <c r="J71" s="517">
        <f t="shared" si="5"/>
        <v>0</v>
      </c>
      <c r="K71">
        <f t="shared" si="8"/>
        <v>0</v>
      </c>
    </row>
    <row r="72" spans="1:11" ht="15" x14ac:dyDescent="0.25">
      <c r="A72" s="521">
        <v>661</v>
      </c>
      <c r="B72" s="521" t="s">
        <v>435</v>
      </c>
      <c r="C72" s="521" t="s">
        <v>435</v>
      </c>
      <c r="D72" s="517">
        <v>653.116129</v>
      </c>
      <c r="E72" s="520" t="s">
        <v>364</v>
      </c>
      <c r="G72" s="416" t="str">
        <f>LEFT('Berechnung Nährstoffe und Lager'!$S$5,3)</f>
        <v>0</v>
      </c>
      <c r="H72" s="416" t="str">
        <f t="shared" si="6"/>
        <v>0</v>
      </c>
      <c r="I72" s="416">
        <f t="shared" si="7"/>
        <v>0</v>
      </c>
      <c r="J72" s="517">
        <f t="shared" si="5"/>
        <v>0</v>
      </c>
      <c r="K72">
        <f t="shared" si="8"/>
        <v>0</v>
      </c>
    </row>
    <row r="73" spans="1:11" ht="15" x14ac:dyDescent="0.25">
      <c r="A73" s="521">
        <v>662</v>
      </c>
      <c r="B73" s="521" t="s">
        <v>436</v>
      </c>
      <c r="C73" s="521" t="s">
        <v>436</v>
      </c>
      <c r="D73" s="517">
        <v>550.47714299999996</v>
      </c>
      <c r="E73" s="520" t="s">
        <v>364</v>
      </c>
      <c r="G73" s="416" t="str">
        <f>LEFT('Berechnung Nährstoffe und Lager'!$S$5,3)</f>
        <v>0</v>
      </c>
      <c r="H73" s="416" t="str">
        <f t="shared" si="6"/>
        <v>0</v>
      </c>
      <c r="I73" s="416">
        <f t="shared" si="7"/>
        <v>0</v>
      </c>
      <c r="J73" s="517">
        <f t="shared" si="5"/>
        <v>0</v>
      </c>
      <c r="K73">
        <f t="shared" si="8"/>
        <v>0</v>
      </c>
    </row>
    <row r="74" spans="1:11" ht="15" x14ac:dyDescent="0.25">
      <c r="A74" s="521">
        <v>663</v>
      </c>
      <c r="B74" s="521" t="s">
        <v>437</v>
      </c>
      <c r="C74" s="521" t="s">
        <v>438</v>
      </c>
      <c r="D74" s="517">
        <v>571.78681500000005</v>
      </c>
      <c r="E74" s="520" t="s">
        <v>364</v>
      </c>
      <c r="G74" s="416" t="str">
        <f>LEFT('Berechnung Nährstoffe und Lager'!$S$5,3)</f>
        <v>0</v>
      </c>
      <c r="H74" s="416" t="str">
        <f t="shared" si="6"/>
        <v>0</v>
      </c>
      <c r="I74" s="416">
        <f t="shared" si="7"/>
        <v>0</v>
      </c>
      <c r="J74" s="517">
        <f t="shared" si="5"/>
        <v>0</v>
      </c>
      <c r="K74">
        <f t="shared" si="8"/>
        <v>0</v>
      </c>
    </row>
    <row r="75" spans="1:11" ht="15" x14ac:dyDescent="0.25">
      <c r="A75" s="521">
        <v>671</v>
      </c>
      <c r="B75" s="521" t="s">
        <v>435</v>
      </c>
      <c r="C75" s="521" t="s">
        <v>435</v>
      </c>
      <c r="D75" s="517">
        <v>796.91510900000003</v>
      </c>
      <c r="E75" s="520" t="s">
        <v>364</v>
      </c>
      <c r="G75" s="416" t="str">
        <f>LEFT('Berechnung Nährstoffe und Lager'!$S$5,3)</f>
        <v>0</v>
      </c>
      <c r="H75" s="416" t="str">
        <f t="shared" si="6"/>
        <v>0</v>
      </c>
      <c r="I75" s="416">
        <f t="shared" si="7"/>
        <v>0</v>
      </c>
      <c r="J75" s="517">
        <f t="shared" si="5"/>
        <v>0</v>
      </c>
      <c r="K75">
        <f t="shared" si="8"/>
        <v>0</v>
      </c>
    </row>
    <row r="76" spans="1:11" ht="15" x14ac:dyDescent="0.25">
      <c r="A76" s="521">
        <v>672</v>
      </c>
      <c r="B76" s="521" t="s">
        <v>439</v>
      </c>
      <c r="C76" s="521" t="s">
        <v>439</v>
      </c>
      <c r="D76" s="517">
        <v>690.65356199999997</v>
      </c>
      <c r="E76" s="520" t="s">
        <v>364</v>
      </c>
      <c r="G76" s="416" t="str">
        <f>LEFT('Berechnung Nährstoffe und Lager'!$S$5,3)</f>
        <v>0</v>
      </c>
      <c r="H76" s="416" t="str">
        <f t="shared" si="6"/>
        <v>0</v>
      </c>
      <c r="I76" s="416">
        <f t="shared" si="7"/>
        <v>0</v>
      </c>
      <c r="J76" s="517">
        <f t="shared" si="5"/>
        <v>0</v>
      </c>
      <c r="K76">
        <f t="shared" si="8"/>
        <v>0</v>
      </c>
    </row>
    <row r="77" spans="1:11" ht="15" x14ac:dyDescent="0.25">
      <c r="A77" s="521">
        <v>673</v>
      </c>
      <c r="B77" s="521" t="s">
        <v>440</v>
      </c>
      <c r="C77" s="521" t="s">
        <v>441</v>
      </c>
      <c r="D77" s="517">
        <v>675.03013499999997</v>
      </c>
      <c r="E77" s="520" t="s">
        <v>364</v>
      </c>
      <c r="G77" s="416" t="str">
        <f>LEFT('Berechnung Nährstoffe und Lager'!$S$5,3)</f>
        <v>0</v>
      </c>
      <c r="H77" s="416" t="str">
        <f t="shared" si="6"/>
        <v>0</v>
      </c>
      <c r="I77" s="416">
        <f t="shared" si="7"/>
        <v>0</v>
      </c>
      <c r="J77" s="517">
        <f t="shared" si="5"/>
        <v>0</v>
      </c>
      <c r="K77">
        <f t="shared" si="8"/>
        <v>0</v>
      </c>
    </row>
    <row r="78" spans="1:11" ht="15" x14ac:dyDescent="0.25">
      <c r="A78" s="521">
        <v>674</v>
      </c>
      <c r="B78" s="521" t="s">
        <v>442</v>
      </c>
      <c r="C78" s="521" t="s">
        <v>443</v>
      </c>
      <c r="D78" s="517">
        <v>636.13746000000003</v>
      </c>
      <c r="E78" s="520" t="s">
        <v>364</v>
      </c>
      <c r="G78" s="416" t="str">
        <f>LEFT('Berechnung Nährstoffe und Lager'!$S$5,3)</f>
        <v>0</v>
      </c>
      <c r="H78" s="416" t="str">
        <f t="shared" si="6"/>
        <v>0</v>
      </c>
      <c r="I78" s="416">
        <f t="shared" si="7"/>
        <v>0</v>
      </c>
      <c r="J78" s="517">
        <f t="shared" si="5"/>
        <v>0</v>
      </c>
      <c r="K78">
        <f t="shared" si="8"/>
        <v>0</v>
      </c>
    </row>
    <row r="79" spans="1:11" ht="15" x14ac:dyDescent="0.25">
      <c r="A79" s="521">
        <v>675</v>
      </c>
      <c r="B79" s="521" t="s">
        <v>444</v>
      </c>
      <c r="C79" s="521" t="s">
        <v>444</v>
      </c>
      <c r="D79" s="517">
        <v>578.59883300000001</v>
      </c>
      <c r="E79" s="520" t="s">
        <v>364</v>
      </c>
      <c r="G79" s="416" t="str">
        <f>LEFT('Berechnung Nährstoffe und Lager'!$S$5,3)</f>
        <v>0</v>
      </c>
      <c r="H79" s="416" t="str">
        <f t="shared" si="6"/>
        <v>0</v>
      </c>
      <c r="I79" s="416">
        <f t="shared" si="7"/>
        <v>0</v>
      </c>
      <c r="J79" s="517">
        <f t="shared" si="5"/>
        <v>0</v>
      </c>
      <c r="K79">
        <f t="shared" si="8"/>
        <v>0</v>
      </c>
    </row>
    <row r="80" spans="1:11" ht="15" x14ac:dyDescent="0.25">
      <c r="A80" s="521">
        <v>676</v>
      </c>
      <c r="B80" s="521" t="s">
        <v>445</v>
      </c>
      <c r="C80" s="521" t="s">
        <v>445</v>
      </c>
      <c r="D80" s="517">
        <v>708.85569499999997</v>
      </c>
      <c r="E80" s="520" t="s">
        <v>364</v>
      </c>
      <c r="G80" s="416" t="str">
        <f>LEFT('Berechnung Nährstoffe und Lager'!$S$5,3)</f>
        <v>0</v>
      </c>
      <c r="H80" s="416" t="str">
        <f t="shared" si="6"/>
        <v>0</v>
      </c>
      <c r="I80" s="416">
        <f t="shared" si="7"/>
        <v>0</v>
      </c>
      <c r="J80" s="517">
        <f t="shared" si="5"/>
        <v>0</v>
      </c>
      <c r="K80">
        <f t="shared" si="8"/>
        <v>0</v>
      </c>
    </row>
    <row r="81" spans="1:11" ht="15" x14ac:dyDescent="0.25">
      <c r="A81" s="521">
        <v>677</v>
      </c>
      <c r="B81" s="521" t="s">
        <v>446</v>
      </c>
      <c r="C81" s="521" t="s">
        <v>446</v>
      </c>
      <c r="D81" s="517">
        <v>714.86358199999995</v>
      </c>
      <c r="E81" s="520" t="s">
        <v>364</v>
      </c>
      <c r="G81" s="416" t="str">
        <f>LEFT('Berechnung Nährstoffe und Lager'!$S$5,3)</f>
        <v>0</v>
      </c>
      <c r="H81" s="416" t="str">
        <f t="shared" si="6"/>
        <v>0</v>
      </c>
      <c r="I81" s="416">
        <f t="shared" si="7"/>
        <v>0</v>
      </c>
      <c r="J81" s="517">
        <f t="shared" si="5"/>
        <v>0</v>
      </c>
      <c r="K81">
        <f t="shared" si="8"/>
        <v>0</v>
      </c>
    </row>
    <row r="82" spans="1:11" ht="15" x14ac:dyDescent="0.25">
      <c r="A82" s="521">
        <v>678</v>
      </c>
      <c r="B82" s="521" t="s">
        <v>436</v>
      </c>
      <c r="C82" s="521" t="s">
        <v>436</v>
      </c>
      <c r="D82" s="517">
        <v>593.07196199999998</v>
      </c>
      <c r="E82" s="520" t="s">
        <v>364</v>
      </c>
      <c r="G82" s="416" t="str">
        <f>LEFT('Berechnung Nährstoffe und Lager'!$S$5,3)</f>
        <v>0</v>
      </c>
      <c r="H82" s="416" t="str">
        <f t="shared" si="6"/>
        <v>0</v>
      </c>
      <c r="I82" s="416">
        <f t="shared" si="7"/>
        <v>0</v>
      </c>
      <c r="J82" s="517">
        <f t="shared" si="5"/>
        <v>0</v>
      </c>
      <c r="K82">
        <f t="shared" si="8"/>
        <v>0</v>
      </c>
    </row>
    <row r="83" spans="1:11" ht="15" x14ac:dyDescent="0.25">
      <c r="A83" s="521">
        <v>679</v>
      </c>
      <c r="B83" s="521" t="s">
        <v>437</v>
      </c>
      <c r="C83" s="521" t="s">
        <v>438</v>
      </c>
      <c r="D83" s="517">
        <v>596.123695</v>
      </c>
      <c r="E83" s="520" t="s">
        <v>364</v>
      </c>
      <c r="G83" s="416" t="str">
        <f>LEFT('Berechnung Nährstoffe und Lager'!$S$5,3)</f>
        <v>0</v>
      </c>
      <c r="H83" s="416" t="str">
        <f t="shared" si="6"/>
        <v>0</v>
      </c>
      <c r="I83" s="416">
        <f t="shared" si="7"/>
        <v>0</v>
      </c>
      <c r="J83" s="517">
        <f t="shared" si="5"/>
        <v>0</v>
      </c>
      <c r="K83">
        <f t="shared" si="8"/>
        <v>0</v>
      </c>
    </row>
    <row r="84" spans="1:11" ht="15" x14ac:dyDescent="0.25">
      <c r="A84" s="521">
        <v>761</v>
      </c>
      <c r="B84" s="521" t="s">
        <v>447</v>
      </c>
      <c r="C84" s="521" t="s">
        <v>447</v>
      </c>
      <c r="D84" s="517">
        <v>784.74589200000003</v>
      </c>
      <c r="E84" s="520" t="s">
        <v>364</v>
      </c>
      <c r="G84" s="416" t="str">
        <f>LEFT('Berechnung Nährstoffe und Lager'!$S$5,3)</f>
        <v>0</v>
      </c>
      <c r="H84" s="416" t="str">
        <f t="shared" si="6"/>
        <v>0</v>
      </c>
      <c r="I84" s="416">
        <f t="shared" si="7"/>
        <v>0</v>
      </c>
      <c r="J84" s="517">
        <f t="shared" si="5"/>
        <v>0</v>
      </c>
      <c r="K84">
        <f t="shared" si="8"/>
        <v>0</v>
      </c>
    </row>
    <row r="85" spans="1:11" ht="15" x14ac:dyDescent="0.25">
      <c r="A85" s="521">
        <v>762</v>
      </c>
      <c r="B85" s="521" t="s">
        <v>448</v>
      </c>
      <c r="C85" s="521" t="s">
        <v>448</v>
      </c>
      <c r="D85" s="517">
        <v>1070.4261980000001</v>
      </c>
      <c r="E85" s="520" t="s">
        <v>364</v>
      </c>
      <c r="G85" s="416" t="str">
        <f>LEFT('Berechnung Nährstoffe und Lager'!$S$5,3)</f>
        <v>0</v>
      </c>
      <c r="H85" s="416" t="str">
        <f t="shared" si="6"/>
        <v>0</v>
      </c>
      <c r="I85" s="416">
        <f t="shared" si="7"/>
        <v>0</v>
      </c>
      <c r="J85" s="517">
        <f t="shared" si="5"/>
        <v>0</v>
      </c>
      <c r="K85">
        <f t="shared" si="8"/>
        <v>0</v>
      </c>
    </row>
    <row r="86" spans="1:11" ht="15" x14ac:dyDescent="0.25">
      <c r="A86" s="521">
        <v>763</v>
      </c>
      <c r="B86" s="521" t="s">
        <v>449</v>
      </c>
      <c r="C86" s="521" t="s">
        <v>450</v>
      </c>
      <c r="D86" s="517">
        <v>1267.7194099999999</v>
      </c>
      <c r="E86" s="520" t="s">
        <v>364</v>
      </c>
      <c r="G86" s="416" t="str">
        <f>LEFT('Berechnung Nährstoffe und Lager'!$S$5,3)</f>
        <v>0</v>
      </c>
      <c r="H86" s="416" t="str">
        <f t="shared" si="6"/>
        <v>0</v>
      </c>
      <c r="I86" s="416">
        <f t="shared" si="7"/>
        <v>0</v>
      </c>
      <c r="J86" s="517">
        <f t="shared" si="5"/>
        <v>0</v>
      </c>
      <c r="K86">
        <f t="shared" si="8"/>
        <v>0</v>
      </c>
    </row>
    <row r="87" spans="1:11" ht="15" x14ac:dyDescent="0.25">
      <c r="A87" s="521">
        <v>764</v>
      </c>
      <c r="B87" s="521" t="s">
        <v>451</v>
      </c>
      <c r="C87" s="521" t="s">
        <v>451</v>
      </c>
      <c r="D87" s="517">
        <v>954.05857200000003</v>
      </c>
      <c r="E87" s="520" t="s">
        <v>364</v>
      </c>
      <c r="G87" s="416" t="str">
        <f>LEFT('Berechnung Nährstoffe und Lager'!$S$5,3)</f>
        <v>0</v>
      </c>
      <c r="H87" s="416" t="str">
        <f t="shared" si="6"/>
        <v>0</v>
      </c>
      <c r="I87" s="416">
        <f t="shared" si="7"/>
        <v>0</v>
      </c>
      <c r="J87" s="517">
        <f t="shared" si="5"/>
        <v>0</v>
      </c>
      <c r="K87">
        <f t="shared" si="8"/>
        <v>0</v>
      </c>
    </row>
    <row r="88" spans="1:11" ht="15" x14ac:dyDescent="0.25">
      <c r="A88" s="521">
        <v>771</v>
      </c>
      <c r="B88" s="521" t="s">
        <v>452</v>
      </c>
      <c r="C88" s="521" t="s">
        <v>452</v>
      </c>
      <c r="D88" s="517">
        <v>783.19884500000001</v>
      </c>
      <c r="E88" s="520" t="s">
        <v>364</v>
      </c>
      <c r="G88" s="416" t="str">
        <f>LEFT('Berechnung Nährstoffe und Lager'!$S$5,3)</f>
        <v>0</v>
      </c>
      <c r="H88" s="416" t="str">
        <f t="shared" si="6"/>
        <v>0</v>
      </c>
      <c r="I88" s="416">
        <f t="shared" si="7"/>
        <v>0</v>
      </c>
      <c r="J88" s="517">
        <f t="shared" si="5"/>
        <v>0</v>
      </c>
      <c r="K88">
        <f t="shared" si="8"/>
        <v>0</v>
      </c>
    </row>
    <row r="89" spans="1:11" ht="15" x14ac:dyDescent="0.25">
      <c r="A89" s="521">
        <v>772</v>
      </c>
      <c r="B89" s="521" t="s">
        <v>447</v>
      </c>
      <c r="C89" s="521" t="s">
        <v>447</v>
      </c>
      <c r="D89" s="517">
        <v>815.15079000000003</v>
      </c>
      <c r="E89" s="520" t="s">
        <v>364</v>
      </c>
      <c r="G89" s="416" t="str">
        <f>LEFT('Berechnung Nährstoffe und Lager'!$S$5,3)</f>
        <v>0</v>
      </c>
      <c r="H89" s="416" t="str">
        <f t="shared" si="6"/>
        <v>0</v>
      </c>
      <c r="I89" s="416">
        <f t="shared" si="7"/>
        <v>0</v>
      </c>
      <c r="J89" s="517">
        <f t="shared" si="5"/>
        <v>0</v>
      </c>
      <c r="K89">
        <f t="shared" si="8"/>
        <v>0</v>
      </c>
    </row>
    <row r="90" spans="1:11" ht="15" x14ac:dyDescent="0.25">
      <c r="A90" s="521">
        <v>773</v>
      </c>
      <c r="B90" s="521" t="s">
        <v>453</v>
      </c>
      <c r="C90" s="521" t="s">
        <v>453</v>
      </c>
      <c r="D90" s="517">
        <v>686.38991199999998</v>
      </c>
      <c r="E90" s="520" t="s">
        <v>364</v>
      </c>
      <c r="G90" s="416" t="str">
        <f>LEFT('Berechnung Nährstoffe und Lager'!$S$5,3)</f>
        <v>0</v>
      </c>
      <c r="H90" s="416" t="str">
        <f t="shared" si="6"/>
        <v>0</v>
      </c>
      <c r="I90" s="416">
        <f t="shared" si="7"/>
        <v>0</v>
      </c>
      <c r="J90" s="517">
        <f t="shared" si="5"/>
        <v>0</v>
      </c>
      <c r="K90">
        <f t="shared" si="8"/>
        <v>0</v>
      </c>
    </row>
    <row r="91" spans="1:11" ht="15" x14ac:dyDescent="0.25">
      <c r="A91" s="521">
        <v>774</v>
      </c>
      <c r="B91" s="521" t="s">
        <v>454</v>
      </c>
      <c r="C91" s="521" t="s">
        <v>455</v>
      </c>
      <c r="D91" s="517">
        <v>779.68375300000002</v>
      </c>
      <c r="E91" s="520" t="s">
        <v>364</v>
      </c>
      <c r="G91" s="416" t="str">
        <f>LEFT('Berechnung Nährstoffe und Lager'!$S$5,3)</f>
        <v>0</v>
      </c>
      <c r="H91" s="416" t="str">
        <f t="shared" si="6"/>
        <v>0</v>
      </c>
      <c r="I91" s="416">
        <f t="shared" si="7"/>
        <v>0</v>
      </c>
      <c r="J91" s="517">
        <f t="shared" si="5"/>
        <v>0</v>
      </c>
      <c r="K91">
        <f t="shared" si="8"/>
        <v>0</v>
      </c>
    </row>
    <row r="92" spans="1:11" ht="15" x14ac:dyDescent="0.25">
      <c r="A92" s="521">
        <v>775</v>
      </c>
      <c r="B92" s="521" t="s">
        <v>456</v>
      </c>
      <c r="C92" s="521" t="s">
        <v>456</v>
      </c>
      <c r="D92" s="517">
        <v>783.64961700000003</v>
      </c>
      <c r="E92" s="520" t="s">
        <v>364</v>
      </c>
      <c r="G92" s="416" t="str">
        <f>LEFT('Berechnung Nährstoffe und Lager'!$S$5,3)</f>
        <v>0</v>
      </c>
      <c r="H92" s="416" t="str">
        <f t="shared" si="6"/>
        <v>0</v>
      </c>
      <c r="I92" s="416">
        <f t="shared" si="7"/>
        <v>0</v>
      </c>
      <c r="J92" s="517">
        <f t="shared" si="5"/>
        <v>0</v>
      </c>
      <c r="K92">
        <f t="shared" si="8"/>
        <v>0</v>
      </c>
    </row>
    <row r="93" spans="1:11" ht="15" x14ac:dyDescent="0.25">
      <c r="A93" s="521">
        <v>776</v>
      </c>
      <c r="B93" s="521" t="s">
        <v>457</v>
      </c>
      <c r="C93" s="521" t="s">
        <v>457</v>
      </c>
      <c r="D93" s="517">
        <v>1552.55107</v>
      </c>
      <c r="E93" s="520" t="s">
        <v>364</v>
      </c>
      <c r="G93" s="416" t="str">
        <f>LEFT('Berechnung Nährstoffe und Lager'!$S$5,3)</f>
        <v>0</v>
      </c>
      <c r="H93" s="416" t="str">
        <f t="shared" si="6"/>
        <v>0</v>
      </c>
      <c r="I93" s="416">
        <f t="shared" si="7"/>
        <v>0</v>
      </c>
      <c r="J93" s="517">
        <f t="shared" si="5"/>
        <v>0</v>
      </c>
      <c r="K93">
        <f t="shared" si="8"/>
        <v>0</v>
      </c>
    </row>
    <row r="94" spans="1:11" ht="15" x14ac:dyDescent="0.25">
      <c r="A94" s="521">
        <v>777</v>
      </c>
      <c r="B94" s="521" t="s">
        <v>458</v>
      </c>
      <c r="C94" s="521" t="s">
        <v>459</v>
      </c>
      <c r="D94" s="517">
        <v>1239.5021609999999</v>
      </c>
      <c r="E94" s="520" t="s">
        <v>364</v>
      </c>
      <c r="G94" s="416" t="str">
        <f>LEFT('Berechnung Nährstoffe und Lager'!$S$5,3)</f>
        <v>0</v>
      </c>
      <c r="H94" s="416" t="str">
        <f t="shared" si="6"/>
        <v>0</v>
      </c>
      <c r="I94" s="416">
        <f t="shared" si="7"/>
        <v>0</v>
      </c>
      <c r="J94" s="517">
        <f t="shared" si="5"/>
        <v>0</v>
      </c>
      <c r="K94">
        <f t="shared" si="8"/>
        <v>0</v>
      </c>
    </row>
    <row r="95" spans="1:11" ht="15" x14ac:dyDescent="0.25">
      <c r="A95" s="521">
        <v>778</v>
      </c>
      <c r="B95" s="521" t="s">
        <v>460</v>
      </c>
      <c r="C95" s="521" t="s">
        <v>461</v>
      </c>
      <c r="D95" s="517">
        <v>957.17201999999997</v>
      </c>
      <c r="E95" s="520" t="s">
        <v>364</v>
      </c>
      <c r="G95" s="416" t="str">
        <f>LEFT('Berechnung Nährstoffe und Lager'!$S$5,3)</f>
        <v>0</v>
      </c>
      <c r="H95" s="416" t="str">
        <f t="shared" si="6"/>
        <v>0</v>
      </c>
      <c r="I95" s="416">
        <f t="shared" si="7"/>
        <v>0</v>
      </c>
      <c r="J95" s="517">
        <f t="shared" si="5"/>
        <v>0</v>
      </c>
      <c r="K95">
        <f t="shared" si="8"/>
        <v>0</v>
      </c>
    </row>
    <row r="96" spans="1:11" ht="15" x14ac:dyDescent="0.25">
      <c r="A96" s="521">
        <v>779</v>
      </c>
      <c r="B96" s="521" t="s">
        <v>462</v>
      </c>
      <c r="C96" s="521" t="s">
        <v>462</v>
      </c>
      <c r="D96" s="517">
        <v>684.44976599999995</v>
      </c>
      <c r="E96" s="520" t="s">
        <v>364</v>
      </c>
      <c r="G96" s="416" t="str">
        <f>LEFT('Berechnung Nährstoffe und Lager'!$S$5,3)</f>
        <v>0</v>
      </c>
      <c r="H96" s="416" t="str">
        <f t="shared" si="6"/>
        <v>0</v>
      </c>
      <c r="I96" s="416">
        <f t="shared" si="7"/>
        <v>0</v>
      </c>
      <c r="J96" s="517">
        <f t="shared" si="5"/>
        <v>0</v>
      </c>
      <c r="K96">
        <f t="shared" si="8"/>
        <v>0</v>
      </c>
    </row>
    <row r="97" spans="1:12" ht="15" x14ac:dyDescent="0.25">
      <c r="A97" s="521">
        <v>780</v>
      </c>
      <c r="B97" s="521" t="s">
        <v>463</v>
      </c>
      <c r="C97" s="521" t="s">
        <v>464</v>
      </c>
      <c r="D97" s="517">
        <v>1765.1118100000001</v>
      </c>
      <c r="E97" s="520" t="s">
        <v>364</v>
      </c>
      <c r="G97" s="416" t="str">
        <f>LEFT('Berechnung Nährstoffe und Lager'!$S$5,3)</f>
        <v>0</v>
      </c>
      <c r="H97" s="416" t="str">
        <f t="shared" si="6"/>
        <v>0</v>
      </c>
      <c r="I97" s="416">
        <f t="shared" si="7"/>
        <v>0</v>
      </c>
      <c r="J97" s="517">
        <f t="shared" si="5"/>
        <v>0</v>
      </c>
      <c r="K97">
        <f t="shared" si="8"/>
        <v>0</v>
      </c>
    </row>
    <row r="98" spans="1:12" x14ac:dyDescent="0.2">
      <c r="K98">
        <f>SUM(K2:K97)</f>
        <v>0</v>
      </c>
      <c r="L98">
        <f>IF(K98&gt;0,K98,0)</f>
        <v>0</v>
      </c>
    </row>
  </sheetData>
  <conditionalFormatting sqref="D2:D97">
    <cfRule type="cellIs" dxfId="8" priority="1" operator="lessThan">
      <formula>550</formula>
    </cfRule>
  </conditionalFormatting>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1"/>
  <dimension ref="A1:AP160"/>
  <sheetViews>
    <sheetView workbookViewId="0">
      <selection activeCell="K23" sqref="K23"/>
    </sheetView>
  </sheetViews>
  <sheetFormatPr baseColWidth="10" defaultRowHeight="12.75" x14ac:dyDescent="0.2"/>
  <cols>
    <col min="1" max="2" width="34" customWidth="1"/>
    <col min="3" max="3" width="28.7109375" style="625" customWidth="1"/>
    <col min="4" max="4" width="14.85546875" style="625" customWidth="1"/>
    <col min="5" max="5" width="7.85546875" style="596" customWidth="1"/>
    <col min="6" max="6" width="10.7109375" style="604" customWidth="1"/>
    <col min="7" max="7" width="10.85546875" style="596" customWidth="1"/>
    <col min="8" max="8" width="11.140625" style="596" customWidth="1"/>
    <col min="9" max="9" width="9.85546875" style="626" customWidth="1"/>
    <col min="10" max="10" width="9.140625" style="596" customWidth="1"/>
    <col min="11" max="11" width="13.85546875" style="625" customWidth="1"/>
    <col min="12" max="12" width="5.28515625" style="625" customWidth="1"/>
    <col min="13" max="13" width="5.140625" style="595" customWidth="1"/>
    <col min="14" max="17" width="5.7109375" style="595" customWidth="1"/>
    <col min="18" max="18" width="7.140625" style="625" customWidth="1"/>
    <col min="19" max="19" width="3" style="625" customWidth="1"/>
    <col min="20" max="20" width="7.85546875" style="629" customWidth="1"/>
    <col min="21" max="21" width="7.140625" style="625" customWidth="1"/>
    <col min="22" max="22" width="7.85546875" style="629" customWidth="1"/>
    <col min="26" max="29" width="11.42578125" style="596" customWidth="1"/>
    <col min="30" max="33" width="5.7109375" style="625" customWidth="1"/>
    <col min="36" max="37" width="9.140625" style="596" customWidth="1"/>
    <col min="38" max="38" width="11.28515625" style="629" customWidth="1"/>
  </cols>
  <sheetData>
    <row r="1" spans="1:42" ht="13.5" thickBot="1" x14ac:dyDescent="0.25">
      <c r="C1" s="583" t="s">
        <v>515</v>
      </c>
      <c r="D1" s="583" t="s">
        <v>516</v>
      </c>
      <c r="E1" s="584" t="s">
        <v>517</v>
      </c>
      <c r="F1" s="584" t="s">
        <v>518</v>
      </c>
      <c r="G1" s="584" t="s">
        <v>519</v>
      </c>
      <c r="H1" s="584" t="s">
        <v>520</v>
      </c>
      <c r="I1" s="583" t="s">
        <v>521</v>
      </c>
      <c r="J1" s="584" t="s">
        <v>522</v>
      </c>
      <c r="K1" s="583" t="s">
        <v>523</v>
      </c>
      <c r="L1" s="1070" t="s">
        <v>1041</v>
      </c>
      <c r="M1" s="583" t="s">
        <v>524</v>
      </c>
      <c r="N1" s="584" t="s">
        <v>525</v>
      </c>
      <c r="O1" s="584" t="s">
        <v>526</v>
      </c>
      <c r="P1" s="584" t="s">
        <v>527</v>
      </c>
      <c r="Q1" s="584" t="s">
        <v>1044</v>
      </c>
      <c r="R1" s="583" t="s">
        <v>528</v>
      </c>
      <c r="S1" s="1155" t="s">
        <v>1091</v>
      </c>
      <c r="T1" s="2363" t="s">
        <v>529</v>
      </c>
      <c r="U1" s="583"/>
      <c r="V1" s="2363" t="s">
        <v>530</v>
      </c>
      <c r="W1" s="2363" t="s">
        <v>531</v>
      </c>
      <c r="Y1" s="584" t="s">
        <v>8386</v>
      </c>
      <c r="Z1" s="585" t="s">
        <v>532</v>
      </c>
      <c r="AA1" s="584" t="s">
        <v>8427</v>
      </c>
      <c r="AB1" s="584" t="s">
        <v>8428</v>
      </c>
      <c r="AC1" s="2174" t="s">
        <v>8429</v>
      </c>
      <c r="AD1" s="3211" t="s">
        <v>1093</v>
      </c>
      <c r="AE1" s="3211"/>
      <c r="AF1" s="3211"/>
      <c r="AG1" s="3211"/>
      <c r="AH1" s="3211"/>
      <c r="AI1" s="1857"/>
      <c r="AJ1" s="584"/>
      <c r="AK1" s="584"/>
      <c r="AL1" s="627"/>
    </row>
    <row r="2" spans="1:42" ht="14.25" x14ac:dyDescent="0.2">
      <c r="C2" s="586"/>
      <c r="D2" s="587" t="s">
        <v>533</v>
      </c>
      <c r="E2" s="588" t="s">
        <v>534</v>
      </c>
      <c r="F2" s="589" t="s">
        <v>535</v>
      </c>
      <c r="G2" s="590" t="s">
        <v>536</v>
      </c>
      <c r="H2" s="591" t="s">
        <v>537</v>
      </c>
      <c r="I2" s="590" t="s">
        <v>538</v>
      </c>
      <c r="J2" s="592" t="s">
        <v>539</v>
      </c>
      <c r="K2" s="586"/>
      <c r="L2" s="3212" t="s">
        <v>1042</v>
      </c>
      <c r="M2" s="587" t="s">
        <v>215</v>
      </c>
      <c r="N2" s="1147" t="s">
        <v>1088</v>
      </c>
      <c r="O2" s="1148"/>
      <c r="P2" s="1148" t="s">
        <v>1089</v>
      </c>
      <c r="Q2" s="1148"/>
      <c r="R2" s="587" t="s">
        <v>541</v>
      </c>
      <c r="S2" s="1156"/>
      <c r="T2" s="2364"/>
      <c r="U2" s="1143"/>
      <c r="V2" s="1143" t="s">
        <v>543</v>
      </c>
      <c r="W2" s="2365" t="s">
        <v>544</v>
      </c>
      <c r="Y2" s="1966" t="s">
        <v>8387</v>
      </c>
      <c r="AD2" s="593" t="s">
        <v>540</v>
      </c>
      <c r="AE2" s="594"/>
      <c r="AF2" s="594"/>
      <c r="AG2" s="1071"/>
      <c r="AJ2" s="592"/>
      <c r="AK2" s="592"/>
      <c r="AL2" s="630" t="s">
        <v>544</v>
      </c>
    </row>
    <row r="3" spans="1:42" ht="43.5" x14ac:dyDescent="0.25">
      <c r="A3" s="1129" t="s">
        <v>8486</v>
      </c>
      <c r="B3" s="1129" t="s">
        <v>1218</v>
      </c>
      <c r="C3" s="597" t="s">
        <v>48</v>
      </c>
      <c r="D3" s="597" t="s">
        <v>99</v>
      </c>
      <c r="E3" s="588" t="s">
        <v>545</v>
      </c>
      <c r="F3" s="598" t="s">
        <v>546</v>
      </c>
      <c r="G3" s="591" t="s">
        <v>547</v>
      </c>
      <c r="H3" s="599"/>
      <c r="I3" s="600"/>
      <c r="J3" s="589" t="s">
        <v>548</v>
      </c>
      <c r="K3" s="597" t="s">
        <v>549</v>
      </c>
      <c r="L3" s="3213"/>
      <c r="M3" s="601" t="s">
        <v>216</v>
      </c>
      <c r="N3" s="1149" t="s">
        <v>1090</v>
      </c>
      <c r="O3" s="1150"/>
      <c r="P3" s="1150"/>
      <c r="Q3" s="1150"/>
      <c r="R3" s="602" t="s">
        <v>550</v>
      </c>
      <c r="S3" s="1157" t="s">
        <v>1092</v>
      </c>
      <c r="T3" s="2366" t="s">
        <v>551</v>
      </c>
      <c r="U3" s="1153" t="s">
        <v>1095</v>
      </c>
      <c r="V3" s="2367" t="s">
        <v>552</v>
      </c>
      <c r="W3" s="2368" t="s">
        <v>553</v>
      </c>
      <c r="X3" s="661" t="s">
        <v>723</v>
      </c>
      <c r="Y3" s="1967" t="s">
        <v>8388</v>
      </c>
      <c r="Z3" s="660" t="s">
        <v>554</v>
      </c>
      <c r="AA3" s="660"/>
      <c r="AB3" s="660"/>
      <c r="AC3" s="660"/>
      <c r="AD3" s="3215" t="s">
        <v>1094</v>
      </c>
      <c r="AE3" s="3216"/>
      <c r="AF3" s="3216"/>
      <c r="AG3" s="3217"/>
      <c r="AH3" s="697" t="s">
        <v>787</v>
      </c>
      <c r="AI3" s="2207" t="s">
        <v>8362</v>
      </c>
      <c r="AJ3" s="592" t="s">
        <v>1180</v>
      </c>
      <c r="AK3" s="592" t="s">
        <v>1181</v>
      </c>
      <c r="AL3" s="631" t="s">
        <v>553</v>
      </c>
      <c r="AM3" s="697" t="s">
        <v>466</v>
      </c>
    </row>
    <row r="4" spans="1:42" ht="15.75" thickBot="1" x14ac:dyDescent="0.3">
      <c r="C4" s="603"/>
      <c r="D4" s="603"/>
      <c r="I4" s="605"/>
      <c r="K4" s="603"/>
      <c r="L4" s="3214"/>
      <c r="M4" s="606" t="s">
        <v>2</v>
      </c>
      <c r="N4" s="1151" t="s">
        <v>4</v>
      </c>
      <c r="O4" s="1152" t="s">
        <v>239</v>
      </c>
      <c r="P4" s="1152" t="s">
        <v>240</v>
      </c>
      <c r="Q4" s="1152" t="s">
        <v>1043</v>
      </c>
      <c r="R4" s="606" t="s">
        <v>555</v>
      </c>
      <c r="S4" s="1158"/>
      <c r="T4" s="2369"/>
      <c r="U4" s="1144" t="s">
        <v>1096</v>
      </c>
      <c r="V4" s="2370" t="s">
        <v>556</v>
      </c>
      <c r="W4" s="2371" t="s">
        <v>36</v>
      </c>
      <c r="X4" s="28" t="s">
        <v>724</v>
      </c>
      <c r="Y4" s="1968" t="s">
        <v>8389</v>
      </c>
      <c r="AD4" s="1141" t="s">
        <v>4</v>
      </c>
      <c r="AE4" s="1142" t="s">
        <v>239</v>
      </c>
      <c r="AF4" s="1142" t="s">
        <v>240</v>
      </c>
      <c r="AG4" s="1142" t="s">
        <v>1043</v>
      </c>
      <c r="AI4" s="2208" t="s">
        <v>8364</v>
      </c>
      <c r="AJ4" s="626"/>
      <c r="AK4" s="626"/>
      <c r="AL4" s="632" t="s">
        <v>36</v>
      </c>
    </row>
    <row r="5" spans="1:42" ht="13.5" thickBot="1" x14ac:dyDescent="0.25">
      <c r="A5" s="609"/>
      <c r="B5" s="609">
        <f t="shared" ref="B5:B10" si="0">IFERROR(MATCH(A5,$C$5:$C$119,0),1)</f>
        <v>1</v>
      </c>
      <c r="C5" s="609"/>
      <c r="D5" s="609"/>
      <c r="E5" s="610"/>
      <c r="F5" s="610"/>
      <c r="G5" s="610"/>
      <c r="H5" s="609"/>
      <c r="I5" s="609"/>
      <c r="J5" s="610"/>
      <c r="K5" s="609"/>
      <c r="L5" s="609"/>
      <c r="M5" s="609">
        <v>0</v>
      </c>
      <c r="N5" s="609"/>
      <c r="O5" s="609"/>
      <c r="P5" s="609"/>
      <c r="Q5" s="609"/>
      <c r="R5" s="609"/>
      <c r="S5" s="609"/>
      <c r="T5" s="2372">
        <v>0</v>
      </c>
      <c r="U5" s="609"/>
      <c r="V5" s="2372">
        <v>0</v>
      </c>
      <c r="W5" s="296"/>
      <c r="X5">
        <v>0</v>
      </c>
      <c r="Y5" s="1654"/>
      <c r="Z5" s="611">
        <v>0</v>
      </c>
      <c r="AA5" s="611"/>
      <c r="AB5" s="611"/>
      <c r="AC5" s="611"/>
      <c r="AD5" s="609"/>
      <c r="AE5" s="609">
        <v>0</v>
      </c>
      <c r="AF5" s="609">
        <v>0</v>
      </c>
      <c r="AG5" s="609"/>
      <c r="AI5" s="296"/>
      <c r="AJ5" s="609"/>
      <c r="AK5" s="609"/>
      <c r="AL5" s="628">
        <v>0</v>
      </c>
      <c r="AM5">
        <v>0</v>
      </c>
    </row>
    <row r="6" spans="1:42" x14ac:dyDescent="0.2">
      <c r="A6" s="1643" t="str">
        <f>C6</f>
        <v xml:space="preserve"> +++Getreide/Körnermais+++</v>
      </c>
      <c r="B6" s="1643">
        <f t="shared" si="0"/>
        <v>2</v>
      </c>
      <c r="C6" s="1643" t="s">
        <v>8480</v>
      </c>
      <c r="D6" s="1643"/>
      <c r="F6" s="1644"/>
      <c r="G6" s="596">
        <v>1</v>
      </c>
      <c r="I6" s="596"/>
      <c r="K6" s="1645"/>
      <c r="L6" s="1646"/>
      <c r="M6" s="1647"/>
      <c r="N6" s="1648"/>
      <c r="O6" s="1649"/>
      <c r="P6" s="1649"/>
      <c r="Q6" s="1649" t="s">
        <v>214</v>
      </c>
      <c r="R6" s="1650"/>
      <c r="S6" s="1651"/>
      <c r="T6" s="1647"/>
      <c r="U6" s="1652"/>
      <c r="V6" s="1652"/>
      <c r="W6" s="1647"/>
      <c r="X6" s="1653"/>
      <c r="Y6" s="1654"/>
      <c r="Z6" s="596">
        <v>0</v>
      </c>
      <c r="AD6" s="612"/>
      <c r="AE6" s="613"/>
      <c r="AF6" s="613"/>
      <c r="AG6" s="613"/>
      <c r="AI6" s="296"/>
      <c r="AJ6" s="595"/>
      <c r="AK6" s="595"/>
      <c r="AL6" s="1647"/>
      <c r="AM6" s="1654"/>
      <c r="AO6" s="1654"/>
      <c r="AP6" s="1160"/>
    </row>
    <row r="7" spans="1:42" x14ac:dyDescent="0.2">
      <c r="A7" s="1655" t="str">
        <f t="shared" ref="A7:A72" si="1">C7</f>
        <v>Winterweizen C-Sorte</v>
      </c>
      <c r="B7" s="1655">
        <f t="shared" si="0"/>
        <v>3</v>
      </c>
      <c r="C7" s="1655" t="s">
        <v>558</v>
      </c>
      <c r="D7" s="1655" t="s">
        <v>559</v>
      </c>
      <c r="E7" s="596" t="s">
        <v>560</v>
      </c>
      <c r="F7" s="1656" t="s">
        <v>561</v>
      </c>
      <c r="G7" s="596">
        <v>1</v>
      </c>
      <c r="H7" s="596">
        <v>1</v>
      </c>
      <c r="I7" s="596">
        <v>2</v>
      </c>
      <c r="J7" s="596">
        <v>1</v>
      </c>
      <c r="K7" s="1657" t="s">
        <v>562</v>
      </c>
      <c r="L7" s="1658"/>
      <c r="M7" s="1659">
        <v>86</v>
      </c>
      <c r="N7" s="1660">
        <v>1.81</v>
      </c>
      <c r="O7" s="1661">
        <v>0.8</v>
      </c>
      <c r="P7" s="1662">
        <v>0.55000000000000004</v>
      </c>
      <c r="Q7" s="1662">
        <v>0.2</v>
      </c>
      <c r="R7" s="1663">
        <v>12</v>
      </c>
      <c r="S7" s="1664"/>
      <c r="T7" s="1665">
        <v>0.96</v>
      </c>
      <c r="U7" s="1666">
        <v>96</v>
      </c>
      <c r="V7" s="1666">
        <v>704</v>
      </c>
      <c r="W7" s="1667">
        <v>53</v>
      </c>
      <c r="X7" s="1668">
        <v>100</v>
      </c>
      <c r="Y7" s="1669">
        <v>55</v>
      </c>
      <c r="Z7" s="596">
        <v>0</v>
      </c>
      <c r="AC7" s="596">
        <v>8</v>
      </c>
      <c r="AD7" s="614">
        <f>N7*10</f>
        <v>18.100000000000001</v>
      </c>
      <c r="AE7" s="614">
        <f t="shared" ref="AE7:AG7" si="2">O7*10</f>
        <v>8</v>
      </c>
      <c r="AF7" s="614">
        <f t="shared" si="2"/>
        <v>5.5</v>
      </c>
      <c r="AG7" s="614">
        <f t="shared" si="2"/>
        <v>2</v>
      </c>
      <c r="AI7" s="296">
        <f>IF(AND(AA7="",AB7="",AC7=""),2,1)</f>
        <v>1</v>
      </c>
      <c r="AJ7" s="595">
        <f>IF(AC7&gt;0,AC7,AA7)</f>
        <v>8</v>
      </c>
      <c r="AK7" s="595">
        <f>AB7</f>
        <v>0</v>
      </c>
      <c r="AL7" s="1665">
        <f>W7/100</f>
        <v>0.53</v>
      </c>
      <c r="AM7" s="1950">
        <f>Y7/100</f>
        <v>0.55000000000000004</v>
      </c>
      <c r="AO7" s="1806"/>
      <c r="AP7" s="1160"/>
    </row>
    <row r="8" spans="1:42" x14ac:dyDescent="0.2">
      <c r="A8" s="1655" t="str">
        <f t="shared" si="1"/>
        <v>Winterweizen A/B-Sorte</v>
      </c>
      <c r="B8" s="1655">
        <f t="shared" si="0"/>
        <v>4</v>
      </c>
      <c r="C8" s="1655" t="s">
        <v>563</v>
      </c>
      <c r="D8" s="1655" t="s">
        <v>564</v>
      </c>
      <c r="E8" s="596" t="s">
        <v>560</v>
      </c>
      <c r="F8" s="1656" t="s">
        <v>561</v>
      </c>
      <c r="G8" s="596">
        <v>1</v>
      </c>
      <c r="H8" s="596">
        <v>1</v>
      </c>
      <c r="I8" s="596">
        <v>2</v>
      </c>
      <c r="J8" s="596">
        <v>1</v>
      </c>
      <c r="K8" s="1657" t="s">
        <v>562</v>
      </c>
      <c r="L8" s="1658"/>
      <c r="M8" s="1659">
        <v>86</v>
      </c>
      <c r="N8" s="1660">
        <v>2.11</v>
      </c>
      <c r="O8" s="1661">
        <v>0.8</v>
      </c>
      <c r="P8" s="1662">
        <v>0.55000000000000004</v>
      </c>
      <c r="Q8" s="1662">
        <v>0.2</v>
      </c>
      <c r="R8" s="1663">
        <v>14</v>
      </c>
      <c r="S8" s="1664"/>
      <c r="T8" s="1665">
        <v>0.98</v>
      </c>
      <c r="U8" s="1666">
        <v>98</v>
      </c>
      <c r="V8" s="1666">
        <v>701</v>
      </c>
      <c r="W8" s="1667">
        <v>53</v>
      </c>
      <c r="X8" s="1668">
        <v>100</v>
      </c>
      <c r="Y8" s="1669">
        <v>55</v>
      </c>
      <c r="Z8" s="596">
        <v>0</v>
      </c>
      <c r="AC8" s="596">
        <v>8</v>
      </c>
      <c r="AD8" s="614">
        <f t="shared" ref="AD8:AD80" si="3">N8*10</f>
        <v>21.099999999999998</v>
      </c>
      <c r="AE8" s="614">
        <f t="shared" ref="AE8:AE80" si="4">O8*10</f>
        <v>8</v>
      </c>
      <c r="AF8" s="614">
        <f t="shared" ref="AF8:AF80" si="5">P8*10</f>
        <v>5.5</v>
      </c>
      <c r="AG8" s="614">
        <f t="shared" ref="AG8:AG80" si="6">Q8*10</f>
        <v>2</v>
      </c>
      <c r="AI8" s="296">
        <f t="shared" ref="AI8:AI80" si="7">IF(AND(AA8="",AB8="",AC8=""),2,1)</f>
        <v>1</v>
      </c>
      <c r="AJ8" s="595">
        <f t="shared" ref="AJ8:AJ80" si="8">IF(AC8&gt;0,AC8,AA8)</f>
        <v>8</v>
      </c>
      <c r="AK8" s="595">
        <f t="shared" ref="AK8:AK80" si="9">AB8</f>
        <v>0</v>
      </c>
      <c r="AL8" s="1665">
        <f t="shared" ref="AL8:AL80" si="10">W8/100</f>
        <v>0.53</v>
      </c>
      <c r="AM8" s="1950">
        <f t="shared" ref="AM8:AM80" si="11">Y8/100</f>
        <v>0.55000000000000004</v>
      </c>
      <c r="AO8" s="1806"/>
      <c r="AP8" s="1160"/>
    </row>
    <row r="9" spans="1:42" x14ac:dyDescent="0.2">
      <c r="A9" s="1655" t="str">
        <f t="shared" si="1"/>
        <v>Winterweizen E-Sorte</v>
      </c>
      <c r="B9" s="1699">
        <f t="shared" si="0"/>
        <v>5</v>
      </c>
      <c r="C9" s="1699" t="s">
        <v>918</v>
      </c>
      <c r="D9" s="1699" t="s">
        <v>8463</v>
      </c>
      <c r="E9" s="596" t="s">
        <v>560</v>
      </c>
      <c r="F9" s="1656" t="s">
        <v>561</v>
      </c>
      <c r="G9" s="596">
        <v>1</v>
      </c>
      <c r="H9" s="596">
        <v>1</v>
      </c>
      <c r="I9" s="596">
        <v>2</v>
      </c>
      <c r="J9" s="596">
        <v>1</v>
      </c>
      <c r="K9" s="1657" t="s">
        <v>562</v>
      </c>
      <c r="L9" s="1658"/>
      <c r="M9" s="1659">
        <v>86</v>
      </c>
      <c r="N9" s="1660">
        <v>2.41</v>
      </c>
      <c r="O9" s="1661">
        <v>0.8</v>
      </c>
      <c r="P9" s="1662">
        <v>0.55000000000000004</v>
      </c>
      <c r="Q9" s="1662">
        <v>0.2</v>
      </c>
      <c r="R9" s="1663">
        <v>16</v>
      </c>
      <c r="S9" s="1664"/>
      <c r="T9" s="1665">
        <v>0.98</v>
      </c>
      <c r="U9" s="1666">
        <v>98</v>
      </c>
      <c r="V9" s="1666">
        <v>701</v>
      </c>
      <c r="W9" s="1667">
        <v>53</v>
      </c>
      <c r="X9" s="1668">
        <v>100</v>
      </c>
      <c r="Y9" s="1669">
        <v>55</v>
      </c>
      <c r="Z9" s="596">
        <v>0</v>
      </c>
      <c r="AC9" s="596">
        <v>8</v>
      </c>
      <c r="AD9" s="614">
        <f t="shared" si="3"/>
        <v>24.1</v>
      </c>
      <c r="AE9" s="614">
        <f t="shared" si="4"/>
        <v>8</v>
      </c>
      <c r="AF9" s="614">
        <f t="shared" si="5"/>
        <v>5.5</v>
      </c>
      <c r="AG9" s="614">
        <f t="shared" si="6"/>
        <v>2</v>
      </c>
      <c r="AI9" s="296">
        <f t="shared" si="7"/>
        <v>1</v>
      </c>
      <c r="AJ9" s="595">
        <f t="shared" si="8"/>
        <v>8</v>
      </c>
      <c r="AK9" s="595">
        <f t="shared" si="9"/>
        <v>0</v>
      </c>
      <c r="AL9" s="1665">
        <f t="shared" si="10"/>
        <v>0.53</v>
      </c>
      <c r="AM9" s="1950">
        <f t="shared" si="11"/>
        <v>0.55000000000000004</v>
      </c>
      <c r="AO9" s="1806"/>
      <c r="AP9" s="1160"/>
    </row>
    <row r="10" spans="1:42" x14ac:dyDescent="0.2">
      <c r="A10" s="1655" t="str">
        <f t="shared" si="1"/>
        <v>Sommerweizen</v>
      </c>
      <c r="B10" s="1655">
        <f t="shared" si="0"/>
        <v>6</v>
      </c>
      <c r="C10" s="1655" t="s">
        <v>565</v>
      </c>
      <c r="D10" s="1655" t="s">
        <v>566</v>
      </c>
      <c r="E10" s="596" t="s">
        <v>560</v>
      </c>
      <c r="F10" s="1656" t="s">
        <v>561</v>
      </c>
      <c r="G10" s="596">
        <v>1</v>
      </c>
      <c r="H10" s="596">
        <v>1</v>
      </c>
      <c r="I10" s="596">
        <v>2</v>
      </c>
      <c r="J10" s="596">
        <v>1</v>
      </c>
      <c r="K10" s="1657" t="s">
        <v>562</v>
      </c>
      <c r="L10" s="1658"/>
      <c r="M10" s="1659">
        <v>86</v>
      </c>
      <c r="N10" s="1660">
        <v>2.11</v>
      </c>
      <c r="O10" s="1662">
        <v>0.75</v>
      </c>
      <c r="P10" s="1662">
        <v>0.55000000000000004</v>
      </c>
      <c r="Q10" s="1662">
        <v>0.2</v>
      </c>
      <c r="R10" s="1663">
        <v>14</v>
      </c>
      <c r="S10" s="1664"/>
      <c r="T10" s="1665">
        <v>0.98</v>
      </c>
      <c r="U10" s="1666">
        <v>98</v>
      </c>
      <c r="V10" s="1666">
        <v>701</v>
      </c>
      <c r="W10" s="1667">
        <v>53</v>
      </c>
      <c r="X10" s="1668">
        <v>100</v>
      </c>
      <c r="Y10" s="1669">
        <v>55</v>
      </c>
      <c r="Z10" s="596">
        <v>0</v>
      </c>
      <c r="AC10" s="596">
        <v>7</v>
      </c>
      <c r="AD10" s="614">
        <f t="shared" si="3"/>
        <v>21.099999999999998</v>
      </c>
      <c r="AE10" s="614">
        <f t="shared" si="4"/>
        <v>7.5</v>
      </c>
      <c r="AF10" s="614">
        <f t="shared" si="5"/>
        <v>5.5</v>
      </c>
      <c r="AG10" s="614">
        <f t="shared" si="6"/>
        <v>2</v>
      </c>
      <c r="AI10" s="296">
        <f t="shared" si="7"/>
        <v>1</v>
      </c>
      <c r="AJ10" s="595">
        <f t="shared" si="8"/>
        <v>7</v>
      </c>
      <c r="AK10" s="595">
        <f t="shared" si="9"/>
        <v>0</v>
      </c>
      <c r="AL10" s="1665">
        <f t="shared" si="10"/>
        <v>0.53</v>
      </c>
      <c r="AM10" s="1950">
        <f t="shared" si="11"/>
        <v>0.55000000000000004</v>
      </c>
      <c r="AO10" s="1806"/>
      <c r="AP10" s="1160"/>
    </row>
    <row r="11" spans="1:42" x14ac:dyDescent="0.2">
      <c r="A11" s="1655" t="str">
        <f t="shared" si="1"/>
        <v>Weizenstroh</v>
      </c>
      <c r="B11" s="1655">
        <f t="shared" ref="B11:B12" si="12">IFERROR(MATCH(A11,$C$5:$C$119,0),1)</f>
        <v>7</v>
      </c>
      <c r="C11" s="1655" t="s">
        <v>920</v>
      </c>
      <c r="D11" s="1655" t="s">
        <v>8518</v>
      </c>
      <c r="E11" s="596" t="s">
        <v>560</v>
      </c>
      <c r="F11" s="1656" t="s">
        <v>561</v>
      </c>
      <c r="G11" s="596">
        <v>1</v>
      </c>
      <c r="H11" s="596">
        <v>2</v>
      </c>
      <c r="I11" s="596">
        <v>0</v>
      </c>
      <c r="J11" s="596">
        <v>16</v>
      </c>
      <c r="K11" s="1657" t="s">
        <v>259</v>
      </c>
      <c r="L11" s="1658"/>
      <c r="M11" s="1659">
        <v>86</v>
      </c>
      <c r="N11" s="1660">
        <v>0.5</v>
      </c>
      <c r="O11" s="1662">
        <v>0.3</v>
      </c>
      <c r="P11" s="1662">
        <v>1.4</v>
      </c>
      <c r="Q11" s="1662">
        <v>0.2</v>
      </c>
      <c r="R11" s="1663">
        <v>3.31</v>
      </c>
      <c r="S11" s="1664"/>
      <c r="T11" s="1665">
        <v>0.94</v>
      </c>
      <c r="U11" s="1666">
        <v>94</v>
      </c>
      <c r="V11" s="1666">
        <v>374</v>
      </c>
      <c r="W11" s="1667">
        <v>51</v>
      </c>
      <c r="X11" s="1668">
        <v>100</v>
      </c>
      <c r="Y11" s="1669">
        <v>55</v>
      </c>
      <c r="Z11" s="596">
        <v>0</v>
      </c>
      <c r="AC11" s="596">
        <v>8</v>
      </c>
      <c r="AD11" s="614">
        <f t="shared" ref="AD11:AD12" si="13">N11*10</f>
        <v>5</v>
      </c>
      <c r="AE11" s="614">
        <f t="shared" ref="AE11:AE12" si="14">O11*10</f>
        <v>3</v>
      </c>
      <c r="AF11" s="614">
        <f t="shared" ref="AF11:AF12" si="15">P11*10</f>
        <v>14</v>
      </c>
      <c r="AG11" s="614">
        <f t="shared" ref="AG11:AG12" si="16">Q11*10</f>
        <v>2</v>
      </c>
      <c r="AI11" s="296">
        <f t="shared" si="7"/>
        <v>1</v>
      </c>
      <c r="AJ11" s="595">
        <f t="shared" si="8"/>
        <v>8</v>
      </c>
      <c r="AK11" s="595">
        <f t="shared" si="9"/>
        <v>0</v>
      </c>
      <c r="AL11" s="1665">
        <f t="shared" si="10"/>
        <v>0.51</v>
      </c>
      <c r="AM11" s="1950">
        <f t="shared" si="11"/>
        <v>0.55000000000000004</v>
      </c>
      <c r="AO11" s="1806"/>
      <c r="AP11" s="1160"/>
    </row>
    <row r="12" spans="1:42" x14ac:dyDescent="0.2">
      <c r="A12" s="1655" t="str">
        <f t="shared" si="1"/>
        <v>Gerstenstroh</v>
      </c>
      <c r="B12" s="1655">
        <f t="shared" si="12"/>
        <v>8</v>
      </c>
      <c r="C12" s="1655" t="s">
        <v>921</v>
      </c>
      <c r="D12" s="1655" t="s">
        <v>8519</v>
      </c>
      <c r="E12" s="596" t="s">
        <v>560</v>
      </c>
      <c r="F12" s="1656" t="s">
        <v>561</v>
      </c>
      <c r="G12" s="596">
        <v>1</v>
      </c>
      <c r="H12" s="596">
        <v>2</v>
      </c>
      <c r="I12" s="596">
        <v>0</v>
      </c>
      <c r="J12" s="596">
        <v>16</v>
      </c>
      <c r="K12" s="1657" t="s">
        <v>259</v>
      </c>
      <c r="L12" s="1658"/>
      <c r="M12" s="1659">
        <v>86</v>
      </c>
      <c r="N12" s="1660">
        <v>0.5</v>
      </c>
      <c r="O12" s="1662">
        <v>0.3</v>
      </c>
      <c r="P12" s="1662">
        <v>1.7</v>
      </c>
      <c r="Q12" s="1662">
        <v>0.1</v>
      </c>
      <c r="R12" s="1663">
        <v>3.63</v>
      </c>
      <c r="S12" s="1664"/>
      <c r="T12" s="1665">
        <v>0.94</v>
      </c>
      <c r="U12" s="1666">
        <v>94</v>
      </c>
      <c r="V12" s="1666">
        <v>374</v>
      </c>
      <c r="W12" s="1667">
        <v>51</v>
      </c>
      <c r="X12" s="1668">
        <v>100</v>
      </c>
      <c r="Y12" s="1669">
        <v>55</v>
      </c>
      <c r="Z12" s="596">
        <v>0</v>
      </c>
      <c r="AC12" s="596">
        <v>8</v>
      </c>
      <c r="AD12" s="614">
        <f t="shared" si="13"/>
        <v>5</v>
      </c>
      <c r="AE12" s="614">
        <f t="shared" si="14"/>
        <v>3</v>
      </c>
      <c r="AF12" s="614">
        <f t="shared" si="15"/>
        <v>17</v>
      </c>
      <c r="AG12" s="614">
        <f t="shared" si="16"/>
        <v>1</v>
      </c>
      <c r="AI12" s="296">
        <f t="shared" si="7"/>
        <v>1</v>
      </c>
      <c r="AJ12" s="595">
        <f t="shared" si="8"/>
        <v>8</v>
      </c>
      <c r="AK12" s="595">
        <f t="shared" si="9"/>
        <v>0</v>
      </c>
      <c r="AL12" s="1665">
        <f t="shared" si="10"/>
        <v>0.51</v>
      </c>
      <c r="AM12" s="1950">
        <f t="shared" si="11"/>
        <v>0.55000000000000004</v>
      </c>
      <c r="AO12" s="1806"/>
      <c r="AP12" s="1160"/>
    </row>
    <row r="13" spans="1:42" x14ac:dyDescent="0.2">
      <c r="A13" s="1655" t="str">
        <f t="shared" si="1"/>
        <v xml:space="preserve">Wintergerste </v>
      </c>
      <c r="B13" s="1655">
        <f t="shared" ref="B13:B44" si="17">IFERROR(MATCH(A13,$C$5:$C$119,0),1)</f>
        <v>9</v>
      </c>
      <c r="C13" s="1655" t="s">
        <v>568</v>
      </c>
      <c r="D13" s="1655" t="s">
        <v>569</v>
      </c>
      <c r="E13" s="596" t="s">
        <v>560</v>
      </c>
      <c r="F13" s="1656" t="s">
        <v>561</v>
      </c>
      <c r="G13" s="596">
        <v>1</v>
      </c>
      <c r="H13" s="596">
        <v>1</v>
      </c>
      <c r="I13" s="596">
        <v>2</v>
      </c>
      <c r="J13" s="596">
        <v>1</v>
      </c>
      <c r="K13" s="1657" t="s">
        <v>562</v>
      </c>
      <c r="L13" s="1658"/>
      <c r="M13" s="1659">
        <v>86</v>
      </c>
      <c r="N13" s="1660">
        <v>1.65</v>
      </c>
      <c r="O13" s="1661">
        <v>0.8</v>
      </c>
      <c r="P13" s="1662">
        <v>0.6</v>
      </c>
      <c r="Q13" s="1662">
        <v>0.2</v>
      </c>
      <c r="R13" s="1663">
        <v>12</v>
      </c>
      <c r="S13" s="1664"/>
      <c r="T13" s="1665">
        <v>0.98</v>
      </c>
      <c r="U13" s="1666">
        <v>98</v>
      </c>
      <c r="V13" s="1666">
        <v>684</v>
      </c>
      <c r="W13" s="1667">
        <v>53</v>
      </c>
      <c r="X13" s="1668">
        <v>100</v>
      </c>
      <c r="Y13" s="1669">
        <v>55</v>
      </c>
      <c r="Z13" s="596">
        <v>0</v>
      </c>
      <c r="AC13" s="596">
        <v>8</v>
      </c>
      <c r="AD13" s="614">
        <f t="shared" si="3"/>
        <v>16.5</v>
      </c>
      <c r="AE13" s="614">
        <f t="shared" si="4"/>
        <v>8</v>
      </c>
      <c r="AF13" s="614">
        <f t="shared" si="5"/>
        <v>6</v>
      </c>
      <c r="AG13" s="614">
        <f t="shared" si="6"/>
        <v>2</v>
      </c>
      <c r="AI13" s="296">
        <f t="shared" si="7"/>
        <v>1</v>
      </c>
      <c r="AJ13" s="595">
        <f t="shared" si="8"/>
        <v>8</v>
      </c>
      <c r="AK13" s="595">
        <f t="shared" si="9"/>
        <v>0</v>
      </c>
      <c r="AL13" s="1665">
        <f t="shared" si="10"/>
        <v>0.53</v>
      </c>
      <c r="AM13" s="1950">
        <f t="shared" si="11"/>
        <v>0.55000000000000004</v>
      </c>
      <c r="AO13" s="1806"/>
      <c r="AP13" s="1160"/>
    </row>
    <row r="14" spans="1:42" x14ac:dyDescent="0.2">
      <c r="A14" s="1655" t="str">
        <f t="shared" si="1"/>
        <v>Sommerfuttergerste</v>
      </c>
      <c r="B14" s="1655">
        <f t="shared" si="17"/>
        <v>10</v>
      </c>
      <c r="C14" s="1655" t="s">
        <v>570</v>
      </c>
      <c r="D14" s="1655" t="s">
        <v>571</v>
      </c>
      <c r="E14" s="596" t="s">
        <v>560</v>
      </c>
      <c r="F14" s="1656" t="s">
        <v>561</v>
      </c>
      <c r="G14" s="596">
        <v>1</v>
      </c>
      <c r="H14" s="596">
        <v>1</v>
      </c>
      <c r="I14" s="596">
        <v>2</v>
      </c>
      <c r="J14" s="596">
        <v>1</v>
      </c>
      <c r="K14" s="1657" t="s">
        <v>562</v>
      </c>
      <c r="L14" s="1658"/>
      <c r="M14" s="1659">
        <v>86</v>
      </c>
      <c r="N14" s="1660">
        <v>1.65</v>
      </c>
      <c r="O14" s="1661">
        <v>0.8</v>
      </c>
      <c r="P14" s="1662">
        <v>0.6</v>
      </c>
      <c r="Q14" s="1662">
        <v>0.2</v>
      </c>
      <c r="R14" s="1663">
        <v>12</v>
      </c>
      <c r="S14" s="1664"/>
      <c r="T14" s="1665">
        <v>0.98</v>
      </c>
      <c r="U14" s="1666">
        <v>98</v>
      </c>
      <c r="V14" s="1666">
        <v>680</v>
      </c>
      <c r="W14" s="1667">
        <v>53</v>
      </c>
      <c r="X14" s="1668">
        <v>100</v>
      </c>
      <c r="Y14" s="1669">
        <v>55</v>
      </c>
      <c r="Z14" s="596">
        <v>0</v>
      </c>
      <c r="AC14" s="596">
        <v>8</v>
      </c>
      <c r="AD14" s="614">
        <f t="shared" si="3"/>
        <v>16.5</v>
      </c>
      <c r="AE14" s="614">
        <f t="shared" si="4"/>
        <v>8</v>
      </c>
      <c r="AF14" s="614">
        <f t="shared" si="5"/>
        <v>6</v>
      </c>
      <c r="AG14" s="614">
        <f t="shared" si="6"/>
        <v>2</v>
      </c>
      <c r="AI14" s="296">
        <f t="shared" si="7"/>
        <v>1</v>
      </c>
      <c r="AJ14" s="595">
        <f t="shared" si="8"/>
        <v>8</v>
      </c>
      <c r="AK14" s="595">
        <f t="shared" si="9"/>
        <v>0</v>
      </c>
      <c r="AL14" s="1665">
        <f t="shared" si="10"/>
        <v>0.53</v>
      </c>
      <c r="AM14" s="1950">
        <f t="shared" si="11"/>
        <v>0.55000000000000004</v>
      </c>
      <c r="AO14" s="1806"/>
      <c r="AP14" s="1160"/>
    </row>
    <row r="15" spans="1:42" x14ac:dyDescent="0.2">
      <c r="A15" s="1655" t="str">
        <f t="shared" si="1"/>
        <v>Sommerbraugerste</v>
      </c>
      <c r="B15" s="1655">
        <f t="shared" si="17"/>
        <v>11</v>
      </c>
      <c r="C15" s="1655" t="s">
        <v>923</v>
      </c>
      <c r="D15" s="1655" t="s">
        <v>8464</v>
      </c>
      <c r="E15" s="596" t="s">
        <v>560</v>
      </c>
      <c r="F15" s="1656" t="s">
        <v>561</v>
      </c>
      <c r="G15" s="596">
        <v>1</v>
      </c>
      <c r="H15" s="596">
        <v>1</v>
      </c>
      <c r="I15" s="596">
        <v>2</v>
      </c>
      <c r="J15" s="596">
        <v>1</v>
      </c>
      <c r="K15" s="1657" t="s">
        <v>562</v>
      </c>
      <c r="L15" s="1658"/>
      <c r="M15" s="1659">
        <v>86</v>
      </c>
      <c r="N15" s="1660">
        <v>1.38</v>
      </c>
      <c r="O15" s="1661">
        <v>0.8</v>
      </c>
      <c r="P15" s="1662">
        <v>0.6</v>
      </c>
      <c r="Q15" s="1662">
        <v>0.2</v>
      </c>
      <c r="R15" s="1663">
        <v>10</v>
      </c>
      <c r="S15" s="1664"/>
      <c r="T15" s="1665">
        <v>0.98</v>
      </c>
      <c r="U15" s="1666">
        <v>98</v>
      </c>
      <c r="V15" s="1666">
        <v>684</v>
      </c>
      <c r="W15" s="1667">
        <v>53</v>
      </c>
      <c r="X15" s="1668">
        <v>100</v>
      </c>
      <c r="Y15" s="1669">
        <v>55</v>
      </c>
      <c r="Z15" s="596">
        <v>0</v>
      </c>
      <c r="AC15" s="596">
        <v>8</v>
      </c>
      <c r="AD15" s="614">
        <f t="shared" si="3"/>
        <v>13.799999999999999</v>
      </c>
      <c r="AE15" s="614">
        <f t="shared" si="4"/>
        <v>8</v>
      </c>
      <c r="AF15" s="614">
        <f t="shared" si="5"/>
        <v>6</v>
      </c>
      <c r="AG15" s="614">
        <f t="shared" si="6"/>
        <v>2</v>
      </c>
      <c r="AI15" s="296">
        <f t="shared" si="7"/>
        <v>1</v>
      </c>
      <c r="AJ15" s="595">
        <f t="shared" si="8"/>
        <v>8</v>
      </c>
      <c r="AK15" s="595">
        <f t="shared" si="9"/>
        <v>0</v>
      </c>
      <c r="AL15" s="1665">
        <f t="shared" si="10"/>
        <v>0.53</v>
      </c>
      <c r="AM15" s="1950">
        <f t="shared" si="11"/>
        <v>0.55000000000000004</v>
      </c>
      <c r="AO15" s="1806"/>
      <c r="AP15" s="1160"/>
    </row>
    <row r="16" spans="1:42" x14ac:dyDescent="0.2">
      <c r="A16" s="1655" t="str">
        <f t="shared" si="1"/>
        <v>Winterroggen</v>
      </c>
      <c r="B16" s="1655">
        <f t="shared" si="17"/>
        <v>12</v>
      </c>
      <c r="C16" s="1655" t="s">
        <v>572</v>
      </c>
      <c r="D16" s="1655" t="s">
        <v>573</v>
      </c>
      <c r="E16" s="596" t="s">
        <v>560</v>
      </c>
      <c r="F16" s="1656" t="s">
        <v>561</v>
      </c>
      <c r="G16" s="596">
        <v>1</v>
      </c>
      <c r="H16" s="596">
        <v>1</v>
      </c>
      <c r="I16" s="596">
        <v>2</v>
      </c>
      <c r="J16" s="596">
        <v>1</v>
      </c>
      <c r="K16" s="1657" t="s">
        <v>562</v>
      </c>
      <c r="L16" s="1658"/>
      <c r="M16" s="1659">
        <v>86</v>
      </c>
      <c r="N16" s="1660">
        <v>1.51</v>
      </c>
      <c r="O16" s="1661">
        <v>0.8</v>
      </c>
      <c r="P16" s="1662">
        <v>0.6</v>
      </c>
      <c r="Q16" s="1662">
        <v>0.1</v>
      </c>
      <c r="R16" s="1663">
        <v>11</v>
      </c>
      <c r="S16" s="1664"/>
      <c r="T16" s="1665">
        <v>0.98</v>
      </c>
      <c r="U16" s="1666">
        <v>98</v>
      </c>
      <c r="V16" s="1666">
        <v>706</v>
      </c>
      <c r="W16" s="1667">
        <v>52</v>
      </c>
      <c r="X16" s="1668">
        <v>100</v>
      </c>
      <c r="Y16" s="1669">
        <v>55</v>
      </c>
      <c r="Z16" s="596">
        <v>0</v>
      </c>
      <c r="AC16" s="596">
        <v>8</v>
      </c>
      <c r="AD16" s="614">
        <f t="shared" si="3"/>
        <v>15.1</v>
      </c>
      <c r="AE16" s="614">
        <f t="shared" si="4"/>
        <v>8</v>
      </c>
      <c r="AF16" s="614">
        <f t="shared" si="5"/>
        <v>6</v>
      </c>
      <c r="AG16" s="614">
        <f t="shared" si="6"/>
        <v>1</v>
      </c>
      <c r="AI16" s="296">
        <f t="shared" si="7"/>
        <v>1</v>
      </c>
      <c r="AJ16" s="595">
        <f t="shared" si="8"/>
        <v>8</v>
      </c>
      <c r="AK16" s="595">
        <f t="shared" si="9"/>
        <v>0</v>
      </c>
      <c r="AL16" s="1665">
        <f t="shared" si="10"/>
        <v>0.52</v>
      </c>
      <c r="AM16" s="1950">
        <f t="shared" si="11"/>
        <v>0.55000000000000004</v>
      </c>
      <c r="AO16" s="1806"/>
      <c r="AP16" s="1160"/>
    </row>
    <row r="17" spans="1:42" x14ac:dyDescent="0.2">
      <c r="A17" s="1655" t="str">
        <f t="shared" si="1"/>
        <v>Hafer</v>
      </c>
      <c r="B17" s="1655">
        <f t="shared" si="17"/>
        <v>13</v>
      </c>
      <c r="C17" s="1655" t="s">
        <v>574</v>
      </c>
      <c r="D17" s="1655" t="s">
        <v>575</v>
      </c>
      <c r="E17" s="596" t="s">
        <v>560</v>
      </c>
      <c r="F17" s="1656" t="s">
        <v>561</v>
      </c>
      <c r="G17" s="596">
        <v>1</v>
      </c>
      <c r="H17" s="596">
        <v>1</v>
      </c>
      <c r="I17" s="596">
        <v>2</v>
      </c>
      <c r="J17" s="596">
        <v>1</v>
      </c>
      <c r="K17" s="1657" t="s">
        <v>562</v>
      </c>
      <c r="L17" s="1658"/>
      <c r="M17" s="1659">
        <v>86</v>
      </c>
      <c r="N17" s="1660">
        <v>1.51</v>
      </c>
      <c r="O17" s="1661">
        <v>0.8</v>
      </c>
      <c r="P17" s="1662">
        <v>0.6</v>
      </c>
      <c r="Q17" s="1662">
        <v>0.2</v>
      </c>
      <c r="R17" s="1663">
        <v>11</v>
      </c>
      <c r="S17" s="1664"/>
      <c r="T17" s="1665">
        <v>0.97</v>
      </c>
      <c r="U17" s="1666">
        <v>97</v>
      </c>
      <c r="V17" s="1666">
        <v>596</v>
      </c>
      <c r="W17" s="1667">
        <v>54</v>
      </c>
      <c r="X17" s="1668">
        <v>100</v>
      </c>
      <c r="Y17" s="1669">
        <v>55</v>
      </c>
      <c r="Z17" s="596">
        <v>0</v>
      </c>
      <c r="AC17" s="596">
        <v>8</v>
      </c>
      <c r="AD17" s="614">
        <f t="shared" si="3"/>
        <v>15.1</v>
      </c>
      <c r="AE17" s="614">
        <f t="shared" si="4"/>
        <v>8</v>
      </c>
      <c r="AF17" s="614">
        <f t="shared" si="5"/>
        <v>6</v>
      </c>
      <c r="AG17" s="614">
        <f t="shared" si="6"/>
        <v>2</v>
      </c>
      <c r="AI17" s="296">
        <f t="shared" si="7"/>
        <v>1</v>
      </c>
      <c r="AJ17" s="595">
        <f t="shared" si="8"/>
        <v>8</v>
      </c>
      <c r="AK17" s="595">
        <f t="shared" si="9"/>
        <v>0</v>
      </c>
      <c r="AL17" s="1665">
        <f t="shared" si="10"/>
        <v>0.54</v>
      </c>
      <c r="AM17" s="1950">
        <f t="shared" si="11"/>
        <v>0.55000000000000004</v>
      </c>
      <c r="AO17" s="1806"/>
      <c r="AP17" s="1160"/>
    </row>
    <row r="18" spans="1:42" x14ac:dyDescent="0.2">
      <c r="A18" s="1655" t="str">
        <f t="shared" si="1"/>
        <v>Triticale</v>
      </c>
      <c r="B18" s="1655">
        <f t="shared" si="17"/>
        <v>14</v>
      </c>
      <c r="C18" s="1655" t="s">
        <v>576</v>
      </c>
      <c r="D18" s="1655" t="s">
        <v>577</v>
      </c>
      <c r="E18" s="596" t="s">
        <v>560</v>
      </c>
      <c r="F18" s="1656" t="s">
        <v>561</v>
      </c>
      <c r="G18" s="596">
        <v>1</v>
      </c>
      <c r="H18" s="596">
        <v>1</v>
      </c>
      <c r="I18" s="596">
        <v>2</v>
      </c>
      <c r="J18" s="596">
        <v>1</v>
      </c>
      <c r="K18" s="1657" t="s">
        <v>562</v>
      </c>
      <c r="L18" s="1658"/>
      <c r="M18" s="1659">
        <v>86</v>
      </c>
      <c r="N18" s="1660">
        <v>1.65</v>
      </c>
      <c r="O18" s="1661">
        <v>0.8</v>
      </c>
      <c r="P18" s="1662">
        <v>0.6</v>
      </c>
      <c r="Q18" s="1662">
        <v>0.2</v>
      </c>
      <c r="R18" s="1663">
        <v>12</v>
      </c>
      <c r="S18" s="1664"/>
      <c r="T18" s="1665">
        <v>0.98</v>
      </c>
      <c r="U18" s="1666">
        <v>98</v>
      </c>
      <c r="V18" s="1666">
        <v>695</v>
      </c>
      <c r="W18" s="1667">
        <v>52</v>
      </c>
      <c r="X18" s="1668">
        <v>100</v>
      </c>
      <c r="Y18" s="1669">
        <v>55</v>
      </c>
      <c r="Z18" s="596">
        <v>0</v>
      </c>
      <c r="AD18" s="614">
        <f t="shared" ref="AD18:AD31" si="18">N18*10</f>
        <v>16.5</v>
      </c>
      <c r="AE18" s="614">
        <f t="shared" ref="AE18:AE31" si="19">O18*10</f>
        <v>8</v>
      </c>
      <c r="AF18" s="614">
        <f t="shared" ref="AF18:AF31" si="20">P18*10</f>
        <v>6</v>
      </c>
      <c r="AG18" s="614">
        <f t="shared" ref="AG18:AG31" si="21">Q18*10</f>
        <v>2</v>
      </c>
      <c r="AI18" s="296">
        <f t="shared" si="7"/>
        <v>2</v>
      </c>
      <c r="AJ18" s="595">
        <f t="shared" ref="AJ18:AJ31" si="22">IF(AC18&gt;0,AC18,AA18)</f>
        <v>0</v>
      </c>
      <c r="AK18" s="595">
        <f t="shared" ref="AK18:AK31" si="23">AB18</f>
        <v>0</v>
      </c>
      <c r="AL18" s="1665">
        <f t="shared" si="10"/>
        <v>0.52</v>
      </c>
      <c r="AM18" s="1950">
        <f t="shared" si="11"/>
        <v>0.55000000000000004</v>
      </c>
      <c r="AO18" s="1806"/>
      <c r="AP18" s="1160"/>
    </row>
    <row r="19" spans="1:42" x14ac:dyDescent="0.2">
      <c r="A19" s="1655" t="str">
        <f t="shared" si="1"/>
        <v>Dinkel</v>
      </c>
      <c r="B19" s="1655">
        <f t="shared" si="17"/>
        <v>15</v>
      </c>
      <c r="C19" s="1655" t="s">
        <v>578</v>
      </c>
      <c r="D19" s="1655" t="s">
        <v>579</v>
      </c>
      <c r="E19" s="596" t="s">
        <v>560</v>
      </c>
      <c r="F19" s="1656" t="s">
        <v>561</v>
      </c>
      <c r="G19" s="596">
        <v>1</v>
      </c>
      <c r="H19" s="596">
        <v>1</v>
      </c>
      <c r="I19" s="596">
        <v>2</v>
      </c>
      <c r="J19" s="596">
        <v>1</v>
      </c>
      <c r="K19" s="1657" t="s">
        <v>562</v>
      </c>
      <c r="L19" s="1658"/>
      <c r="M19" s="1670">
        <v>86</v>
      </c>
      <c r="N19" s="1671">
        <v>1.65</v>
      </c>
      <c r="O19" s="1662">
        <v>0.8</v>
      </c>
      <c r="P19" s="1662">
        <v>0.8</v>
      </c>
      <c r="Q19" s="1662">
        <v>0.2</v>
      </c>
      <c r="R19" s="1672">
        <v>12</v>
      </c>
      <c r="S19" s="1664"/>
      <c r="T19" s="1665">
        <v>0.97</v>
      </c>
      <c r="U19" s="1666">
        <v>97</v>
      </c>
      <c r="V19" s="1666">
        <v>596</v>
      </c>
      <c r="W19" s="1667">
        <v>54</v>
      </c>
      <c r="X19" s="1668">
        <v>100</v>
      </c>
      <c r="Y19" s="1669">
        <v>55</v>
      </c>
      <c r="Z19" s="596">
        <v>0</v>
      </c>
      <c r="AD19" s="614">
        <f t="shared" si="18"/>
        <v>16.5</v>
      </c>
      <c r="AE19" s="614">
        <f t="shared" si="19"/>
        <v>8</v>
      </c>
      <c r="AF19" s="614">
        <f t="shared" si="20"/>
        <v>8</v>
      </c>
      <c r="AG19" s="614">
        <f t="shared" si="21"/>
        <v>2</v>
      </c>
      <c r="AI19" s="296">
        <f t="shared" si="7"/>
        <v>2</v>
      </c>
      <c r="AJ19" s="595">
        <f t="shared" si="22"/>
        <v>0</v>
      </c>
      <c r="AK19" s="595">
        <f t="shared" si="23"/>
        <v>0</v>
      </c>
      <c r="AL19" s="1665">
        <f t="shared" si="10"/>
        <v>0.54</v>
      </c>
      <c r="AM19" s="1950">
        <f t="shared" si="11"/>
        <v>0.55000000000000004</v>
      </c>
      <c r="AO19" s="1806"/>
      <c r="AP19" s="1160"/>
    </row>
    <row r="20" spans="1:42" x14ac:dyDescent="0.2">
      <c r="A20" s="1655" t="str">
        <f t="shared" si="1"/>
        <v>Hartweizen (Durum)</v>
      </c>
      <c r="B20" s="1655">
        <f t="shared" si="17"/>
        <v>16</v>
      </c>
      <c r="C20" s="1655" t="s">
        <v>928</v>
      </c>
      <c r="D20" s="1655" t="s">
        <v>8465</v>
      </c>
      <c r="E20" s="596" t="s">
        <v>560</v>
      </c>
      <c r="F20" s="1656" t="s">
        <v>561</v>
      </c>
      <c r="G20" s="596">
        <v>1</v>
      </c>
      <c r="H20" s="596">
        <v>1</v>
      </c>
      <c r="I20" s="596">
        <v>2</v>
      </c>
      <c r="J20" s="596">
        <v>1</v>
      </c>
      <c r="K20" s="1657" t="s">
        <v>562</v>
      </c>
      <c r="L20" s="1658"/>
      <c r="M20" s="1670">
        <v>86</v>
      </c>
      <c r="N20" s="1671">
        <v>1.81</v>
      </c>
      <c r="O20" s="1662">
        <v>0.8</v>
      </c>
      <c r="P20" s="1662">
        <v>0.6</v>
      </c>
      <c r="Q20" s="1662">
        <v>0.2</v>
      </c>
      <c r="R20" s="1672">
        <v>12</v>
      </c>
      <c r="S20" s="1664"/>
      <c r="T20" s="1665">
        <v>0.98</v>
      </c>
      <c r="U20" s="1666">
        <v>98</v>
      </c>
      <c r="V20" s="1666">
        <v>701</v>
      </c>
      <c r="W20" s="1667">
        <v>53</v>
      </c>
      <c r="X20" s="1668">
        <v>100</v>
      </c>
      <c r="Y20" s="1669">
        <v>55</v>
      </c>
      <c r="Z20" s="596">
        <v>0</v>
      </c>
      <c r="AD20" s="614">
        <f t="shared" si="18"/>
        <v>18.100000000000001</v>
      </c>
      <c r="AE20" s="614">
        <f t="shared" si="19"/>
        <v>8</v>
      </c>
      <c r="AF20" s="614">
        <f t="shared" si="20"/>
        <v>6</v>
      </c>
      <c r="AG20" s="614">
        <f t="shared" si="21"/>
        <v>2</v>
      </c>
      <c r="AI20" s="296">
        <f t="shared" si="7"/>
        <v>2</v>
      </c>
      <c r="AJ20" s="595">
        <f t="shared" si="22"/>
        <v>0</v>
      </c>
      <c r="AK20" s="595">
        <f t="shared" si="23"/>
        <v>0</v>
      </c>
      <c r="AL20" s="1665">
        <f t="shared" si="10"/>
        <v>0.53</v>
      </c>
      <c r="AM20" s="1950">
        <f t="shared" si="11"/>
        <v>0.55000000000000004</v>
      </c>
      <c r="AO20" s="1806"/>
      <c r="AP20" s="1160"/>
    </row>
    <row r="21" spans="1:42" x14ac:dyDescent="0.2">
      <c r="A21" s="1673" t="str">
        <f t="shared" si="1"/>
        <v>Körnermaisstroh</v>
      </c>
      <c r="B21" s="1673">
        <f t="shared" si="17"/>
        <v>17</v>
      </c>
      <c r="C21" s="1673" t="s">
        <v>580</v>
      </c>
      <c r="D21" s="1673" t="s">
        <v>581</v>
      </c>
      <c r="E21" s="596" t="s">
        <v>560</v>
      </c>
      <c r="F21" s="1656" t="s">
        <v>561</v>
      </c>
      <c r="G21" s="596">
        <v>16</v>
      </c>
      <c r="H21" s="596">
        <v>2</v>
      </c>
      <c r="I21" s="2309">
        <v>0</v>
      </c>
      <c r="J21" s="596">
        <v>16</v>
      </c>
      <c r="K21" s="1674" t="s">
        <v>259</v>
      </c>
      <c r="L21" s="1675"/>
      <c r="M21" s="1676">
        <v>86</v>
      </c>
      <c r="N21" s="1677">
        <v>0.9</v>
      </c>
      <c r="O21" s="1678">
        <v>0.2</v>
      </c>
      <c r="P21" s="1679">
        <v>2</v>
      </c>
      <c r="Q21" s="1679">
        <v>0.4</v>
      </c>
      <c r="R21" s="1680">
        <v>6.54</v>
      </c>
      <c r="S21" s="1681"/>
      <c r="T21" s="1682">
        <v>0.96</v>
      </c>
      <c r="U21" s="1683">
        <v>96</v>
      </c>
      <c r="V21" s="1684">
        <v>619</v>
      </c>
      <c r="W21" s="1685">
        <v>53</v>
      </c>
      <c r="X21" s="1686">
        <v>100</v>
      </c>
      <c r="Y21" s="1687">
        <v>55</v>
      </c>
      <c r="Z21" s="596">
        <v>0</v>
      </c>
      <c r="AC21" s="596">
        <v>10</v>
      </c>
      <c r="AD21" s="614">
        <f t="shared" si="18"/>
        <v>9</v>
      </c>
      <c r="AE21" s="614">
        <f t="shared" si="19"/>
        <v>2</v>
      </c>
      <c r="AF21" s="614">
        <f t="shared" si="20"/>
        <v>20</v>
      </c>
      <c r="AG21" s="614">
        <f t="shared" si="21"/>
        <v>4</v>
      </c>
      <c r="AI21" s="296">
        <f t="shared" si="7"/>
        <v>1</v>
      </c>
      <c r="AJ21" s="595">
        <f t="shared" si="22"/>
        <v>10</v>
      </c>
      <c r="AK21" s="595">
        <f t="shared" si="23"/>
        <v>0</v>
      </c>
      <c r="AL21" s="1665">
        <f t="shared" si="10"/>
        <v>0.53</v>
      </c>
      <c r="AM21" s="1950">
        <f t="shared" si="11"/>
        <v>0.55000000000000004</v>
      </c>
      <c r="AO21" s="1961"/>
      <c r="AP21" s="1160"/>
    </row>
    <row r="22" spans="1:42" x14ac:dyDescent="0.2">
      <c r="A22" s="1655" t="str">
        <f t="shared" si="1"/>
        <v xml:space="preserve">Körnermais </v>
      </c>
      <c r="B22" s="1655">
        <f t="shared" si="17"/>
        <v>18</v>
      </c>
      <c r="C22" s="1655" t="s">
        <v>582</v>
      </c>
      <c r="D22" s="1655" t="s">
        <v>583</v>
      </c>
      <c r="E22" s="596" t="s">
        <v>560</v>
      </c>
      <c r="F22" s="1656" t="s">
        <v>561</v>
      </c>
      <c r="G22" s="596">
        <v>16</v>
      </c>
      <c r="H22" s="596">
        <v>1</v>
      </c>
      <c r="I22" s="596">
        <v>2</v>
      </c>
      <c r="J22" s="596">
        <v>1</v>
      </c>
      <c r="K22" s="1657" t="s">
        <v>562</v>
      </c>
      <c r="L22" s="1658"/>
      <c r="M22" s="1659">
        <v>86</v>
      </c>
      <c r="N22" s="1660">
        <v>1.38</v>
      </c>
      <c r="O22" s="1661">
        <v>0.8</v>
      </c>
      <c r="P22" s="1662">
        <v>0.5</v>
      </c>
      <c r="Q22" s="1662">
        <v>0.2</v>
      </c>
      <c r="R22" s="1663">
        <v>10</v>
      </c>
      <c r="S22" s="1664"/>
      <c r="T22" s="1665">
        <v>0.98</v>
      </c>
      <c r="U22" s="1666">
        <v>98</v>
      </c>
      <c r="V22" s="1666">
        <v>691</v>
      </c>
      <c r="W22" s="1667">
        <v>53</v>
      </c>
      <c r="X22" s="1668">
        <v>100</v>
      </c>
      <c r="Y22" s="1669">
        <v>55</v>
      </c>
      <c r="Z22" s="596">
        <v>0</v>
      </c>
      <c r="AC22" s="596">
        <v>10</v>
      </c>
      <c r="AD22" s="614">
        <f t="shared" si="18"/>
        <v>13.799999999999999</v>
      </c>
      <c r="AE22" s="614">
        <f t="shared" si="19"/>
        <v>8</v>
      </c>
      <c r="AF22" s="614">
        <f t="shared" si="20"/>
        <v>5</v>
      </c>
      <c r="AG22" s="614">
        <f t="shared" si="21"/>
        <v>2</v>
      </c>
      <c r="AI22" s="296">
        <f t="shared" si="7"/>
        <v>1</v>
      </c>
      <c r="AJ22" s="595">
        <f t="shared" si="22"/>
        <v>10</v>
      </c>
      <c r="AK22" s="595">
        <f t="shared" si="23"/>
        <v>0</v>
      </c>
      <c r="AL22" s="1665">
        <f t="shared" si="10"/>
        <v>0.53</v>
      </c>
      <c r="AM22" s="1950">
        <f t="shared" si="11"/>
        <v>0.55000000000000004</v>
      </c>
      <c r="AO22" s="1806"/>
      <c r="AP22" s="1160"/>
    </row>
    <row r="23" spans="1:42" x14ac:dyDescent="0.2">
      <c r="A23" s="1655" t="str">
        <f t="shared" si="1"/>
        <v xml:space="preserve"> +++Körnerleguminosen+++</v>
      </c>
      <c r="B23" s="1655">
        <f t="shared" si="17"/>
        <v>19</v>
      </c>
      <c r="C23" s="1688" t="s">
        <v>929</v>
      </c>
      <c r="D23" s="1688"/>
      <c r="E23" s="596" t="s">
        <v>560</v>
      </c>
      <c r="F23" s="1656" t="s">
        <v>561</v>
      </c>
      <c r="G23" s="596">
        <v>2</v>
      </c>
      <c r="I23" s="596">
        <v>0</v>
      </c>
      <c r="J23" s="596">
        <v>2</v>
      </c>
      <c r="K23" s="1674"/>
      <c r="L23" s="1675"/>
      <c r="M23" s="1689"/>
      <c r="N23" s="1763"/>
      <c r="O23" s="1679"/>
      <c r="P23" s="1679"/>
      <c r="Q23" s="1679" t="s">
        <v>214</v>
      </c>
      <c r="R23" s="1689"/>
      <c r="S23" s="2225"/>
      <c r="T23" s="1692" t="s">
        <v>567</v>
      </c>
      <c r="U23" s="1693"/>
      <c r="V23" s="1693" t="s">
        <v>567</v>
      </c>
      <c r="W23" s="1694" t="s">
        <v>567</v>
      </c>
      <c r="X23" s="1695"/>
      <c r="Y23" s="1696"/>
      <c r="Z23" s="596">
        <v>0</v>
      </c>
      <c r="AD23" s="614">
        <f t="shared" si="18"/>
        <v>0</v>
      </c>
      <c r="AE23" s="614">
        <f t="shared" si="19"/>
        <v>0</v>
      </c>
      <c r="AF23" s="614">
        <f t="shared" si="20"/>
        <v>0</v>
      </c>
      <c r="AG23" s="614">
        <v>0</v>
      </c>
      <c r="AI23" s="296">
        <f t="shared" si="7"/>
        <v>2</v>
      </c>
      <c r="AJ23" s="595">
        <f t="shared" si="22"/>
        <v>0</v>
      </c>
      <c r="AK23" s="595">
        <f t="shared" si="23"/>
        <v>0</v>
      </c>
      <c r="AL23" s="1665"/>
      <c r="AM23" s="1950">
        <f t="shared" si="11"/>
        <v>0</v>
      </c>
      <c r="AO23" s="1806"/>
      <c r="AP23" s="1160"/>
    </row>
    <row r="24" spans="1:42" x14ac:dyDescent="0.2">
      <c r="A24" s="1655" t="str">
        <f t="shared" si="1"/>
        <v>Ackerbohnen</v>
      </c>
      <c r="B24" s="1655">
        <f t="shared" si="17"/>
        <v>20</v>
      </c>
      <c r="C24" s="1655" t="s">
        <v>930</v>
      </c>
      <c r="D24" s="1655" t="s">
        <v>8466</v>
      </c>
      <c r="E24" s="596" t="s">
        <v>560</v>
      </c>
      <c r="F24" s="1656" t="s">
        <v>561</v>
      </c>
      <c r="G24" s="596">
        <v>2</v>
      </c>
      <c r="H24" s="596">
        <v>1</v>
      </c>
      <c r="I24" s="596">
        <v>2</v>
      </c>
      <c r="J24" s="596">
        <v>2</v>
      </c>
      <c r="K24" s="1657" t="s">
        <v>562</v>
      </c>
      <c r="L24" s="1658"/>
      <c r="M24" s="1659">
        <v>86</v>
      </c>
      <c r="N24" s="1660">
        <v>4.0999999999999996</v>
      </c>
      <c r="O24" s="1661">
        <v>1.2</v>
      </c>
      <c r="P24" s="1662">
        <v>1.4</v>
      </c>
      <c r="Q24" s="1662">
        <v>0.2</v>
      </c>
      <c r="R24" s="2226">
        <v>29.8</v>
      </c>
      <c r="S24" s="1664"/>
      <c r="T24" s="1665">
        <v>0.96</v>
      </c>
      <c r="U24" s="1666">
        <v>96</v>
      </c>
      <c r="V24" s="1666">
        <v>697</v>
      </c>
      <c r="W24" s="1667">
        <v>56.000000000000007</v>
      </c>
      <c r="X24" s="1668">
        <v>100</v>
      </c>
      <c r="Y24" s="1669">
        <v>55</v>
      </c>
      <c r="Z24" s="596">
        <v>0</v>
      </c>
      <c r="AD24" s="614">
        <f t="shared" si="18"/>
        <v>41</v>
      </c>
      <c r="AE24" s="614">
        <f t="shared" si="19"/>
        <v>12</v>
      </c>
      <c r="AF24" s="614">
        <f t="shared" si="20"/>
        <v>14</v>
      </c>
      <c r="AG24" s="614">
        <f t="shared" si="21"/>
        <v>2</v>
      </c>
      <c r="AI24" s="296">
        <f t="shared" si="7"/>
        <v>2</v>
      </c>
      <c r="AJ24" s="595">
        <f t="shared" si="22"/>
        <v>0</v>
      </c>
      <c r="AK24" s="595">
        <f t="shared" si="23"/>
        <v>0</v>
      </c>
      <c r="AL24" s="1665">
        <f t="shared" si="10"/>
        <v>0.56000000000000005</v>
      </c>
      <c r="AM24" s="1950">
        <f t="shared" si="11"/>
        <v>0.55000000000000004</v>
      </c>
      <c r="AO24" s="1806"/>
      <c r="AP24" s="1160"/>
    </row>
    <row r="25" spans="1:42" x14ac:dyDescent="0.2">
      <c r="A25" s="1655" t="str">
        <f t="shared" si="1"/>
        <v>Erbsen</v>
      </c>
      <c r="B25" s="1655">
        <f t="shared" si="17"/>
        <v>21</v>
      </c>
      <c r="C25" s="1655" t="s">
        <v>931</v>
      </c>
      <c r="D25" s="1655" t="s">
        <v>8467</v>
      </c>
      <c r="E25" s="596" t="s">
        <v>560</v>
      </c>
      <c r="F25" s="1656" t="s">
        <v>561</v>
      </c>
      <c r="G25" s="596">
        <v>2</v>
      </c>
      <c r="H25" s="596">
        <v>1</v>
      </c>
      <c r="I25" s="596">
        <v>2</v>
      </c>
      <c r="J25" s="596">
        <v>2</v>
      </c>
      <c r="K25" s="1657" t="s">
        <v>562</v>
      </c>
      <c r="L25" s="1658"/>
      <c r="M25" s="1659">
        <v>86</v>
      </c>
      <c r="N25" s="1660">
        <v>3.6</v>
      </c>
      <c r="O25" s="1661">
        <v>1.1000000000000001</v>
      </c>
      <c r="P25" s="1662">
        <v>1.4</v>
      </c>
      <c r="Q25" s="1662">
        <v>0.2</v>
      </c>
      <c r="R25" s="1663">
        <v>26</v>
      </c>
      <c r="S25" s="1664"/>
      <c r="T25" s="1665">
        <v>0.96</v>
      </c>
      <c r="U25" s="1666">
        <v>96</v>
      </c>
      <c r="V25" s="1666">
        <v>699</v>
      </c>
      <c r="W25" s="1667">
        <v>55.000000000000007</v>
      </c>
      <c r="X25" s="1668">
        <v>100</v>
      </c>
      <c r="Y25" s="1669">
        <v>55</v>
      </c>
      <c r="Z25" s="596">
        <v>0</v>
      </c>
      <c r="AD25" s="614">
        <f t="shared" si="18"/>
        <v>36</v>
      </c>
      <c r="AE25" s="614">
        <f t="shared" si="19"/>
        <v>11</v>
      </c>
      <c r="AF25" s="614">
        <f t="shared" si="20"/>
        <v>14</v>
      </c>
      <c r="AG25" s="614">
        <f t="shared" si="21"/>
        <v>2</v>
      </c>
      <c r="AI25" s="296">
        <f t="shared" si="7"/>
        <v>2</v>
      </c>
      <c r="AJ25" s="595">
        <f t="shared" si="22"/>
        <v>0</v>
      </c>
      <c r="AK25" s="595">
        <f t="shared" si="23"/>
        <v>0</v>
      </c>
      <c r="AL25" s="1665">
        <f t="shared" si="10"/>
        <v>0.55000000000000004</v>
      </c>
      <c r="AM25" s="1950">
        <f t="shared" si="11"/>
        <v>0.55000000000000004</v>
      </c>
      <c r="AO25" s="1806"/>
      <c r="AP25" s="1160"/>
    </row>
    <row r="26" spans="1:42" x14ac:dyDescent="0.2">
      <c r="A26" s="1655" t="str">
        <f t="shared" si="1"/>
        <v>Lupinen blau</v>
      </c>
      <c r="B26" s="1655">
        <f t="shared" si="17"/>
        <v>22</v>
      </c>
      <c r="C26" s="1655" t="s">
        <v>932</v>
      </c>
      <c r="D26" s="1655" t="s">
        <v>8468</v>
      </c>
      <c r="E26" s="596" t="s">
        <v>560</v>
      </c>
      <c r="F26" s="1656" t="s">
        <v>561</v>
      </c>
      <c r="G26" s="596">
        <v>2</v>
      </c>
      <c r="H26" s="596">
        <v>1</v>
      </c>
      <c r="I26" s="596">
        <v>2</v>
      </c>
      <c r="J26" s="596">
        <v>2</v>
      </c>
      <c r="K26" s="1657" t="s">
        <v>562</v>
      </c>
      <c r="L26" s="1658"/>
      <c r="M26" s="1659">
        <v>86</v>
      </c>
      <c r="N26" s="1660">
        <v>4.4800000000000004</v>
      </c>
      <c r="O26" s="1661">
        <v>1.02</v>
      </c>
      <c r="P26" s="1662">
        <v>0.99</v>
      </c>
      <c r="Q26" s="1662">
        <v>0.2</v>
      </c>
      <c r="R26" s="1663">
        <v>33</v>
      </c>
      <c r="S26" s="1664"/>
      <c r="T26" s="1665">
        <v>0.96</v>
      </c>
      <c r="U26" s="1666">
        <v>96</v>
      </c>
      <c r="V26" s="1666">
        <v>717</v>
      </c>
      <c r="W26" s="1667">
        <v>60</v>
      </c>
      <c r="X26" s="1668">
        <v>100</v>
      </c>
      <c r="Y26" s="1669">
        <v>55</v>
      </c>
      <c r="Z26" s="596">
        <v>0</v>
      </c>
      <c r="AD26" s="614">
        <f t="shared" si="18"/>
        <v>44.800000000000004</v>
      </c>
      <c r="AE26" s="614">
        <f t="shared" si="19"/>
        <v>10.199999999999999</v>
      </c>
      <c r="AF26" s="614">
        <f t="shared" si="20"/>
        <v>9.9</v>
      </c>
      <c r="AG26" s="614">
        <f t="shared" si="21"/>
        <v>2</v>
      </c>
      <c r="AI26" s="296">
        <f t="shared" si="7"/>
        <v>2</v>
      </c>
      <c r="AJ26" s="595">
        <f t="shared" si="22"/>
        <v>0</v>
      </c>
      <c r="AK26" s="595">
        <f t="shared" si="23"/>
        <v>0</v>
      </c>
      <c r="AL26" s="1665">
        <f t="shared" si="10"/>
        <v>0.6</v>
      </c>
      <c r="AM26" s="1950">
        <f t="shared" si="11"/>
        <v>0.55000000000000004</v>
      </c>
      <c r="AO26" s="1806"/>
      <c r="AP26" s="1160"/>
    </row>
    <row r="27" spans="1:42" x14ac:dyDescent="0.2">
      <c r="A27" s="1655" t="str">
        <f t="shared" si="1"/>
        <v>Sojabohnen</v>
      </c>
      <c r="B27" s="1699">
        <f t="shared" si="17"/>
        <v>23</v>
      </c>
      <c r="C27" s="1699" t="s">
        <v>933</v>
      </c>
      <c r="D27" s="1699" t="s">
        <v>8469</v>
      </c>
      <c r="E27" s="596" t="s">
        <v>560</v>
      </c>
      <c r="F27" s="1656" t="s">
        <v>561</v>
      </c>
      <c r="G27" s="596">
        <v>2</v>
      </c>
      <c r="H27" s="596">
        <v>1</v>
      </c>
      <c r="I27" s="596">
        <v>2</v>
      </c>
      <c r="J27" s="596">
        <v>2</v>
      </c>
      <c r="K27" s="1657" t="s">
        <v>562</v>
      </c>
      <c r="L27" s="1700"/>
      <c r="M27" s="1709">
        <v>86</v>
      </c>
      <c r="N27" s="2227">
        <v>4.4000000000000004</v>
      </c>
      <c r="O27" s="1711">
        <v>1.5</v>
      </c>
      <c r="P27" s="1703">
        <v>1.7</v>
      </c>
      <c r="Q27" s="1703">
        <v>0.5</v>
      </c>
      <c r="R27" s="2228">
        <v>32</v>
      </c>
      <c r="S27" s="1705"/>
      <c r="T27" s="1682">
        <v>0.95</v>
      </c>
      <c r="U27" s="1683">
        <v>95</v>
      </c>
      <c r="V27" s="1683">
        <v>734</v>
      </c>
      <c r="W27" s="1706">
        <v>64</v>
      </c>
      <c r="X27" s="1707">
        <v>100</v>
      </c>
      <c r="Y27" s="1708">
        <v>55</v>
      </c>
      <c r="Z27" s="596">
        <v>0</v>
      </c>
      <c r="AD27" s="614">
        <f t="shared" si="18"/>
        <v>44</v>
      </c>
      <c r="AE27" s="614">
        <f t="shared" si="19"/>
        <v>15</v>
      </c>
      <c r="AF27" s="614">
        <f t="shared" si="20"/>
        <v>17</v>
      </c>
      <c r="AG27" s="614">
        <f t="shared" si="21"/>
        <v>5</v>
      </c>
      <c r="AI27" s="296">
        <f t="shared" si="7"/>
        <v>2</v>
      </c>
      <c r="AJ27" s="595">
        <f t="shared" si="22"/>
        <v>0</v>
      </c>
      <c r="AK27" s="595">
        <f t="shared" si="23"/>
        <v>0</v>
      </c>
      <c r="AL27" s="1665">
        <f t="shared" si="10"/>
        <v>0.64</v>
      </c>
      <c r="AM27" s="1950">
        <f t="shared" si="11"/>
        <v>0.55000000000000004</v>
      </c>
      <c r="AO27" s="1806"/>
      <c r="AP27" s="1160"/>
    </row>
    <row r="28" spans="1:42" x14ac:dyDescent="0.2">
      <c r="A28" s="1655" t="str">
        <f t="shared" si="1"/>
        <v xml:space="preserve"> +++Ölfrüchte+++</v>
      </c>
      <c r="B28" s="1655">
        <f t="shared" si="17"/>
        <v>24</v>
      </c>
      <c r="C28" s="1688" t="s">
        <v>934</v>
      </c>
      <c r="D28" s="1688"/>
      <c r="F28" s="1656" t="s">
        <v>561</v>
      </c>
      <c r="I28" s="596"/>
      <c r="K28" s="2229"/>
      <c r="L28" s="2230"/>
      <c r="M28" s="2231"/>
      <c r="N28" s="2232"/>
      <c r="O28" s="2233"/>
      <c r="P28" s="2232"/>
      <c r="Q28" s="2233"/>
      <c r="R28" s="2234"/>
      <c r="S28" s="2235"/>
      <c r="T28" s="2236"/>
      <c r="U28" s="2237"/>
      <c r="V28" s="2237"/>
      <c r="W28" s="2238"/>
      <c r="X28" s="2237"/>
      <c r="Y28" s="2237"/>
      <c r="Z28" s="596">
        <v>0</v>
      </c>
      <c r="AD28" s="614">
        <f t="shared" si="18"/>
        <v>0</v>
      </c>
      <c r="AE28" s="614">
        <f t="shared" si="19"/>
        <v>0</v>
      </c>
      <c r="AF28" s="614">
        <f t="shared" si="20"/>
        <v>0</v>
      </c>
      <c r="AG28" s="614">
        <f t="shared" si="21"/>
        <v>0</v>
      </c>
      <c r="AI28" s="296">
        <f t="shared" si="7"/>
        <v>2</v>
      </c>
      <c r="AJ28" s="595">
        <f t="shared" si="22"/>
        <v>0</v>
      </c>
      <c r="AK28" s="595">
        <f t="shared" si="23"/>
        <v>0</v>
      </c>
      <c r="AL28" s="1665">
        <f t="shared" si="10"/>
        <v>0</v>
      </c>
      <c r="AM28" s="1950">
        <f t="shared" si="11"/>
        <v>0</v>
      </c>
      <c r="AO28" s="1806"/>
      <c r="AP28" s="1160"/>
    </row>
    <row r="29" spans="1:42" x14ac:dyDescent="0.2">
      <c r="A29" s="1655" t="str">
        <f t="shared" si="1"/>
        <v>Winterraps</v>
      </c>
      <c r="B29" s="1655">
        <f t="shared" si="17"/>
        <v>25</v>
      </c>
      <c r="C29" s="1655" t="s">
        <v>935</v>
      </c>
      <c r="D29" s="1655" t="s">
        <v>8470</v>
      </c>
      <c r="E29" s="596" t="s">
        <v>560</v>
      </c>
      <c r="F29" s="1656" t="s">
        <v>561</v>
      </c>
      <c r="G29" s="596">
        <v>3</v>
      </c>
      <c r="H29" s="596">
        <v>1</v>
      </c>
      <c r="I29" s="596">
        <v>2</v>
      </c>
      <c r="J29" s="596">
        <v>3</v>
      </c>
      <c r="K29" s="1657" t="s">
        <v>562</v>
      </c>
      <c r="L29" s="1658"/>
      <c r="M29" s="1659">
        <v>91</v>
      </c>
      <c r="N29" s="1697">
        <v>3.35</v>
      </c>
      <c r="O29" s="1661">
        <v>1.8</v>
      </c>
      <c r="P29" s="1698">
        <v>1</v>
      </c>
      <c r="Q29" s="1662">
        <v>0.5</v>
      </c>
      <c r="R29" s="1663">
        <v>23</v>
      </c>
      <c r="S29" s="1664"/>
      <c r="T29" s="1665">
        <v>0.96</v>
      </c>
      <c r="U29" s="1666">
        <v>96</v>
      </c>
      <c r="V29" s="1666">
        <v>767</v>
      </c>
      <c r="W29" s="1667">
        <v>66</v>
      </c>
      <c r="X29" s="1668">
        <v>100</v>
      </c>
      <c r="Y29" s="1669">
        <v>55</v>
      </c>
      <c r="Z29" s="596">
        <v>0</v>
      </c>
      <c r="AD29" s="614">
        <f t="shared" si="18"/>
        <v>33.5</v>
      </c>
      <c r="AE29" s="614">
        <f t="shared" si="19"/>
        <v>18</v>
      </c>
      <c r="AF29" s="614">
        <f t="shared" si="20"/>
        <v>10</v>
      </c>
      <c r="AG29" s="614">
        <f t="shared" si="21"/>
        <v>5</v>
      </c>
      <c r="AI29" s="296">
        <f t="shared" si="7"/>
        <v>2</v>
      </c>
      <c r="AJ29" s="595">
        <f t="shared" si="22"/>
        <v>0</v>
      </c>
      <c r="AK29" s="595">
        <f t="shared" si="23"/>
        <v>0</v>
      </c>
      <c r="AL29" s="1665">
        <f t="shared" si="10"/>
        <v>0.66</v>
      </c>
      <c r="AM29" s="1950">
        <f t="shared" si="11"/>
        <v>0.55000000000000004</v>
      </c>
      <c r="AO29" s="1806"/>
      <c r="AP29" s="1160"/>
    </row>
    <row r="30" spans="1:42" x14ac:dyDescent="0.2">
      <c r="A30" s="1655" t="str">
        <f t="shared" si="1"/>
        <v xml:space="preserve">Sonnenblumen </v>
      </c>
      <c r="B30" s="1655">
        <f t="shared" si="17"/>
        <v>26</v>
      </c>
      <c r="C30" s="1655" t="s">
        <v>938</v>
      </c>
      <c r="D30" s="1655" t="s">
        <v>8471</v>
      </c>
      <c r="E30" s="596" t="s">
        <v>560</v>
      </c>
      <c r="F30" s="1656" t="s">
        <v>561</v>
      </c>
      <c r="G30" s="596">
        <v>3</v>
      </c>
      <c r="H30" s="596">
        <v>1</v>
      </c>
      <c r="I30" s="596">
        <v>2</v>
      </c>
      <c r="J30" s="596">
        <v>3</v>
      </c>
      <c r="K30" s="1657" t="s">
        <v>562</v>
      </c>
      <c r="L30" s="1658"/>
      <c r="M30" s="1659">
        <v>91</v>
      </c>
      <c r="N30" s="1697">
        <v>2.91</v>
      </c>
      <c r="O30" s="1661">
        <v>1.6</v>
      </c>
      <c r="P30" s="1698">
        <v>2.4</v>
      </c>
      <c r="Q30" s="1662">
        <v>0.6</v>
      </c>
      <c r="R30" s="1663">
        <v>20</v>
      </c>
      <c r="S30" s="1664"/>
      <c r="T30" s="1665">
        <v>0.97</v>
      </c>
      <c r="U30" s="1666">
        <v>97</v>
      </c>
      <c r="V30" s="1666">
        <v>699</v>
      </c>
      <c r="W30" s="1667">
        <v>64</v>
      </c>
      <c r="X30" s="1668">
        <v>100</v>
      </c>
      <c r="Y30" s="1669">
        <v>55</v>
      </c>
      <c r="Z30" s="596">
        <v>0</v>
      </c>
      <c r="AD30" s="614">
        <f t="shared" si="18"/>
        <v>29.1</v>
      </c>
      <c r="AE30" s="614">
        <f t="shared" si="19"/>
        <v>16</v>
      </c>
      <c r="AF30" s="614">
        <f t="shared" si="20"/>
        <v>24</v>
      </c>
      <c r="AG30" s="614">
        <f t="shared" si="21"/>
        <v>6</v>
      </c>
      <c r="AI30" s="296">
        <f t="shared" si="7"/>
        <v>2</v>
      </c>
      <c r="AJ30" s="595">
        <f t="shared" si="22"/>
        <v>0</v>
      </c>
      <c r="AK30" s="595">
        <f t="shared" si="23"/>
        <v>0</v>
      </c>
      <c r="AL30" s="1665">
        <f t="shared" si="10"/>
        <v>0.64</v>
      </c>
      <c r="AM30" s="1950">
        <f t="shared" si="11"/>
        <v>0.55000000000000004</v>
      </c>
      <c r="AO30" s="1806"/>
      <c r="AP30" s="1160"/>
    </row>
    <row r="31" spans="1:42" x14ac:dyDescent="0.2">
      <c r="A31" s="1655" t="str">
        <f t="shared" si="1"/>
        <v xml:space="preserve">Öllein, Faserflachs </v>
      </c>
      <c r="B31" s="1655">
        <f t="shared" si="17"/>
        <v>27</v>
      </c>
      <c r="C31" s="1655" t="s">
        <v>939</v>
      </c>
      <c r="D31" s="1655" t="s">
        <v>8472</v>
      </c>
      <c r="E31" s="596" t="s">
        <v>560</v>
      </c>
      <c r="F31" s="1656" t="s">
        <v>561</v>
      </c>
      <c r="G31" s="596">
        <v>3</v>
      </c>
      <c r="H31" s="596">
        <v>1</v>
      </c>
      <c r="I31" s="596">
        <v>2</v>
      </c>
      <c r="J31" s="596">
        <v>3</v>
      </c>
      <c r="K31" s="1657" t="s">
        <v>562</v>
      </c>
      <c r="L31" s="1658"/>
      <c r="M31" s="1659">
        <v>91</v>
      </c>
      <c r="N31" s="1697">
        <v>3.5</v>
      </c>
      <c r="O31" s="1661">
        <v>1.2</v>
      </c>
      <c r="P31" s="1698">
        <v>1</v>
      </c>
      <c r="Q31" s="1662">
        <v>0.8</v>
      </c>
      <c r="R31" s="1672">
        <v>24</v>
      </c>
      <c r="S31" s="1705"/>
      <c r="T31" s="1682">
        <v>0.95</v>
      </c>
      <c r="U31" s="1683">
        <v>95</v>
      </c>
      <c r="V31" s="1683">
        <v>785</v>
      </c>
      <c r="W31" s="1706">
        <v>64</v>
      </c>
      <c r="X31" s="1707">
        <v>100</v>
      </c>
      <c r="Y31" s="1708">
        <v>55</v>
      </c>
      <c r="Z31" s="596">
        <v>0</v>
      </c>
      <c r="AD31" s="614">
        <f t="shared" si="18"/>
        <v>35</v>
      </c>
      <c r="AE31" s="614">
        <f t="shared" si="19"/>
        <v>12</v>
      </c>
      <c r="AF31" s="614">
        <f t="shared" si="20"/>
        <v>10</v>
      </c>
      <c r="AG31" s="614">
        <f t="shared" si="21"/>
        <v>8</v>
      </c>
      <c r="AI31" s="296">
        <f t="shared" si="7"/>
        <v>2</v>
      </c>
      <c r="AJ31" s="595">
        <f t="shared" si="22"/>
        <v>0</v>
      </c>
      <c r="AK31" s="595">
        <f t="shared" si="23"/>
        <v>0</v>
      </c>
      <c r="AL31" s="1665">
        <f t="shared" si="10"/>
        <v>0.64</v>
      </c>
      <c r="AM31" s="1950">
        <f t="shared" si="11"/>
        <v>0.55000000000000004</v>
      </c>
      <c r="AO31" s="1806"/>
      <c r="AP31" s="1160"/>
    </row>
    <row r="32" spans="1:42" x14ac:dyDescent="0.2">
      <c r="A32" s="1688" t="str">
        <f t="shared" si="1"/>
        <v xml:space="preserve"> +++Hackfrüchte+++</v>
      </c>
      <c r="B32" s="1688">
        <f t="shared" si="17"/>
        <v>28</v>
      </c>
      <c r="C32" s="1688" t="s">
        <v>585</v>
      </c>
      <c r="D32" s="1688"/>
      <c r="E32" s="596" t="s">
        <v>560</v>
      </c>
      <c r="F32" s="1656" t="s">
        <v>561</v>
      </c>
      <c r="G32" s="596">
        <v>5</v>
      </c>
      <c r="I32" s="596">
        <v>0</v>
      </c>
      <c r="J32" s="596">
        <v>4</v>
      </c>
      <c r="K32" s="1674"/>
      <c r="L32" s="1675"/>
      <c r="M32" s="1689"/>
      <c r="N32" s="1690"/>
      <c r="O32" s="1679"/>
      <c r="P32" s="1690"/>
      <c r="Q32" s="1679" t="s">
        <v>214</v>
      </c>
      <c r="R32" s="1691"/>
      <c r="S32" s="1681"/>
      <c r="T32" s="1692" t="s">
        <v>567</v>
      </c>
      <c r="U32" s="1693"/>
      <c r="V32" s="1693" t="s">
        <v>567</v>
      </c>
      <c r="W32" s="1694" t="s">
        <v>567</v>
      </c>
      <c r="X32" s="1695"/>
      <c r="Y32" s="1696"/>
      <c r="Z32" s="596">
        <v>0</v>
      </c>
      <c r="AD32" s="614">
        <f t="shared" si="3"/>
        <v>0</v>
      </c>
      <c r="AE32" s="614">
        <f t="shared" si="4"/>
        <v>0</v>
      </c>
      <c r="AF32" s="614">
        <f t="shared" si="5"/>
        <v>0</v>
      </c>
      <c r="AG32" s="614">
        <v>0</v>
      </c>
      <c r="AI32" s="296">
        <f t="shared" si="7"/>
        <v>2</v>
      </c>
      <c r="AJ32" s="595">
        <f t="shared" si="8"/>
        <v>0</v>
      </c>
      <c r="AK32" s="595">
        <f t="shared" si="9"/>
        <v>0</v>
      </c>
      <c r="AL32" s="1665"/>
      <c r="AM32" s="1950">
        <f t="shared" si="11"/>
        <v>0</v>
      </c>
      <c r="AO32" s="1806"/>
      <c r="AP32" s="1160"/>
    </row>
    <row r="33" spans="1:42" x14ac:dyDescent="0.2">
      <c r="A33" s="1655" t="str">
        <f t="shared" si="1"/>
        <v>Kartoffel</v>
      </c>
      <c r="B33" s="1655">
        <f t="shared" si="17"/>
        <v>29</v>
      </c>
      <c r="C33" s="2239" t="s">
        <v>670</v>
      </c>
      <c r="D33" s="1655" t="s">
        <v>586</v>
      </c>
      <c r="E33" s="596" t="s">
        <v>560</v>
      </c>
      <c r="F33" s="1656" t="s">
        <v>561</v>
      </c>
      <c r="G33" s="596">
        <v>5</v>
      </c>
      <c r="H33" s="596">
        <v>1</v>
      </c>
      <c r="I33" s="596">
        <v>2</v>
      </c>
      <c r="J33" s="596">
        <v>4</v>
      </c>
      <c r="K33" s="1657" t="s">
        <v>587</v>
      </c>
      <c r="L33" s="1658"/>
      <c r="M33" s="1659">
        <v>22</v>
      </c>
      <c r="N33" s="1697">
        <v>0.35</v>
      </c>
      <c r="O33" s="1661">
        <v>0.14000000000000001</v>
      </c>
      <c r="P33" s="1698">
        <v>0.6</v>
      </c>
      <c r="Q33" s="1662">
        <v>0.04</v>
      </c>
      <c r="R33" s="1672"/>
      <c r="S33" s="1664"/>
      <c r="T33" s="1665">
        <v>0.94</v>
      </c>
      <c r="U33" s="1666">
        <v>94</v>
      </c>
      <c r="V33" s="1666">
        <v>728</v>
      </c>
      <c r="W33" s="1667">
        <v>52</v>
      </c>
      <c r="X33" s="1668">
        <v>100</v>
      </c>
      <c r="Y33" s="1669">
        <v>55</v>
      </c>
      <c r="Z33" s="596">
        <v>0</v>
      </c>
      <c r="AC33" s="596">
        <v>9</v>
      </c>
      <c r="AD33" s="614">
        <f t="shared" si="3"/>
        <v>3.5</v>
      </c>
      <c r="AE33" s="614">
        <f t="shared" si="4"/>
        <v>1.4000000000000001</v>
      </c>
      <c r="AF33" s="614">
        <f t="shared" si="5"/>
        <v>6</v>
      </c>
      <c r="AG33" s="614">
        <f t="shared" si="6"/>
        <v>0.4</v>
      </c>
      <c r="AI33" s="296">
        <f t="shared" si="7"/>
        <v>1</v>
      </c>
      <c r="AJ33" s="595">
        <f t="shared" si="8"/>
        <v>9</v>
      </c>
      <c r="AK33" s="595">
        <f t="shared" si="9"/>
        <v>0</v>
      </c>
      <c r="AL33" s="1665">
        <f t="shared" si="10"/>
        <v>0.52</v>
      </c>
      <c r="AM33" s="1950">
        <f t="shared" si="11"/>
        <v>0.55000000000000004</v>
      </c>
      <c r="AO33" s="1806"/>
      <c r="AP33" s="1160"/>
    </row>
    <row r="34" spans="1:42" x14ac:dyDescent="0.2">
      <c r="A34" s="1655" t="str">
        <f t="shared" si="1"/>
        <v>Zuckerrüben</v>
      </c>
      <c r="B34" s="1655">
        <f t="shared" si="17"/>
        <v>30</v>
      </c>
      <c r="C34" s="1655" t="s">
        <v>588</v>
      </c>
      <c r="D34" s="1655" t="s">
        <v>589</v>
      </c>
      <c r="E34" s="596" t="s">
        <v>560</v>
      </c>
      <c r="F34" s="1656" t="s">
        <v>561</v>
      </c>
      <c r="G34" s="596">
        <v>5</v>
      </c>
      <c r="H34" s="596">
        <v>1</v>
      </c>
      <c r="I34" s="596">
        <v>2</v>
      </c>
      <c r="J34" s="596">
        <v>4</v>
      </c>
      <c r="K34" s="1657" t="s">
        <v>590</v>
      </c>
      <c r="L34" s="1658"/>
      <c r="M34" s="1659">
        <v>23</v>
      </c>
      <c r="N34" s="1697">
        <v>0.18</v>
      </c>
      <c r="O34" s="1661">
        <v>0.1</v>
      </c>
      <c r="P34" s="1698">
        <v>0.25</v>
      </c>
      <c r="Q34" s="1662">
        <v>0.08</v>
      </c>
      <c r="R34" s="1672"/>
      <c r="S34" s="1664"/>
      <c r="T34" s="1665">
        <v>0.92</v>
      </c>
      <c r="U34" s="1666">
        <v>92</v>
      </c>
      <c r="V34" s="1666">
        <v>679</v>
      </c>
      <c r="W34" s="1667">
        <v>51</v>
      </c>
      <c r="X34" s="1668">
        <v>40</v>
      </c>
      <c r="Y34" s="1669">
        <v>55</v>
      </c>
      <c r="Z34" s="596">
        <v>0</v>
      </c>
      <c r="AC34" s="596">
        <v>10</v>
      </c>
      <c r="AD34" s="614">
        <f t="shared" si="3"/>
        <v>1.7999999999999998</v>
      </c>
      <c r="AE34" s="614">
        <f t="shared" si="4"/>
        <v>1</v>
      </c>
      <c r="AF34" s="614">
        <f t="shared" si="5"/>
        <v>2.5</v>
      </c>
      <c r="AG34" s="614">
        <f t="shared" si="6"/>
        <v>0.8</v>
      </c>
      <c r="AI34" s="296">
        <f t="shared" si="7"/>
        <v>1</v>
      </c>
      <c r="AJ34" s="595">
        <f t="shared" si="8"/>
        <v>10</v>
      </c>
      <c r="AK34" s="595">
        <f t="shared" si="9"/>
        <v>0</v>
      </c>
      <c r="AL34" s="1665">
        <f t="shared" si="10"/>
        <v>0.51</v>
      </c>
      <c r="AM34" s="1950">
        <f t="shared" si="11"/>
        <v>0.55000000000000004</v>
      </c>
      <c r="AO34" s="1806"/>
      <c r="AP34" s="1160"/>
    </row>
    <row r="35" spans="1:42" x14ac:dyDescent="0.2">
      <c r="A35" s="1655" t="str">
        <f t="shared" si="1"/>
        <v>Futter-, Runkelrüben</v>
      </c>
      <c r="B35" s="1655">
        <f t="shared" si="17"/>
        <v>31</v>
      </c>
      <c r="C35" s="1655" t="s">
        <v>591</v>
      </c>
      <c r="D35" s="1655" t="s">
        <v>592</v>
      </c>
      <c r="E35" s="596" t="s">
        <v>560</v>
      </c>
      <c r="F35" s="1656" t="s">
        <v>561</v>
      </c>
      <c r="G35" s="596">
        <v>5</v>
      </c>
      <c r="H35" s="596">
        <v>1</v>
      </c>
      <c r="I35" s="596">
        <v>2</v>
      </c>
      <c r="J35" s="596">
        <v>4</v>
      </c>
      <c r="K35" s="1657" t="s">
        <v>590</v>
      </c>
      <c r="L35" s="1658"/>
      <c r="M35" s="1659">
        <v>15</v>
      </c>
      <c r="N35" s="1697">
        <v>0.18</v>
      </c>
      <c r="O35" s="1661">
        <v>0.09</v>
      </c>
      <c r="P35" s="1698">
        <v>0.5</v>
      </c>
      <c r="Q35" s="1662">
        <v>0.05</v>
      </c>
      <c r="R35" s="1672"/>
      <c r="S35" s="1664"/>
      <c r="T35" s="1665">
        <v>0.91</v>
      </c>
      <c r="U35" s="1666">
        <v>91</v>
      </c>
      <c r="V35" s="1666">
        <v>685</v>
      </c>
      <c r="W35" s="1667">
        <v>51</v>
      </c>
      <c r="X35" s="1668">
        <v>40</v>
      </c>
      <c r="Y35" s="1669">
        <v>55</v>
      </c>
      <c r="Z35" s="596">
        <v>0</v>
      </c>
      <c r="AC35" s="596">
        <v>10</v>
      </c>
      <c r="AD35" s="614">
        <f t="shared" si="3"/>
        <v>1.7999999999999998</v>
      </c>
      <c r="AE35" s="614">
        <f t="shared" si="4"/>
        <v>0.89999999999999991</v>
      </c>
      <c r="AF35" s="614">
        <f t="shared" si="5"/>
        <v>5</v>
      </c>
      <c r="AG35" s="614">
        <f t="shared" si="6"/>
        <v>0.5</v>
      </c>
      <c r="AI35" s="296">
        <f t="shared" si="7"/>
        <v>1</v>
      </c>
      <c r="AJ35" s="595">
        <f t="shared" si="8"/>
        <v>10</v>
      </c>
      <c r="AK35" s="595">
        <f t="shared" si="9"/>
        <v>0</v>
      </c>
      <c r="AL35" s="1665">
        <f t="shared" si="10"/>
        <v>0.51</v>
      </c>
      <c r="AM35" s="1950">
        <f t="shared" si="11"/>
        <v>0.55000000000000004</v>
      </c>
      <c r="AO35" s="1806"/>
      <c r="AP35" s="1160"/>
    </row>
    <row r="36" spans="1:42" x14ac:dyDescent="0.2">
      <c r="A36" s="1688" t="str">
        <f t="shared" si="1"/>
        <v xml:space="preserve"> +++Mehrschnittiger Feldfutterbau +++</v>
      </c>
      <c r="B36" s="1688">
        <f t="shared" si="17"/>
        <v>32</v>
      </c>
      <c r="C36" s="1688" t="s">
        <v>593</v>
      </c>
      <c r="D36" s="1688"/>
      <c r="E36" s="596" t="s">
        <v>560</v>
      </c>
      <c r="F36" s="1656" t="s">
        <v>561</v>
      </c>
      <c r="G36" s="596">
        <v>6</v>
      </c>
      <c r="I36" s="596">
        <v>0</v>
      </c>
      <c r="J36" s="596">
        <v>5</v>
      </c>
      <c r="K36" s="1674"/>
      <c r="L36" s="1675"/>
      <c r="M36" s="1689"/>
      <c r="N36" s="1690"/>
      <c r="O36" s="1679"/>
      <c r="P36" s="1690"/>
      <c r="Q36" s="1679"/>
      <c r="R36" s="1691"/>
      <c r="S36" s="1681"/>
      <c r="T36" s="1692" t="s">
        <v>567</v>
      </c>
      <c r="U36" s="1693"/>
      <c r="V36" s="1693" t="s">
        <v>567</v>
      </c>
      <c r="W36" s="1694" t="s">
        <v>567</v>
      </c>
      <c r="X36" s="1695"/>
      <c r="Y36" s="1696"/>
      <c r="Z36" s="596">
        <v>0</v>
      </c>
      <c r="AD36" s="614">
        <f t="shared" si="3"/>
        <v>0</v>
      </c>
      <c r="AE36" s="614">
        <f t="shared" si="4"/>
        <v>0</v>
      </c>
      <c r="AF36" s="614">
        <f t="shared" si="5"/>
        <v>0</v>
      </c>
      <c r="AG36" s="614">
        <f t="shared" si="6"/>
        <v>0</v>
      </c>
      <c r="AI36" s="296">
        <f t="shared" si="7"/>
        <v>2</v>
      </c>
      <c r="AJ36" s="595">
        <f t="shared" si="8"/>
        <v>0</v>
      </c>
      <c r="AK36" s="595">
        <f t="shared" si="9"/>
        <v>0</v>
      </c>
      <c r="AL36" s="1692"/>
      <c r="AM36" s="1951">
        <f t="shared" si="11"/>
        <v>0</v>
      </c>
      <c r="AO36" s="1806"/>
      <c r="AP36" s="1160"/>
    </row>
    <row r="37" spans="1:42" x14ac:dyDescent="0.2">
      <c r="A37" s="1699" t="str">
        <f t="shared" si="1"/>
        <v xml:space="preserve">Ackergras 3-4 Schnitte/Jahr </v>
      </c>
      <c r="B37" s="1699">
        <f t="shared" si="17"/>
        <v>33</v>
      </c>
      <c r="C37" s="1699" t="s">
        <v>594</v>
      </c>
      <c r="D37" s="1699" t="s">
        <v>595</v>
      </c>
      <c r="E37" s="596" t="s">
        <v>560</v>
      </c>
      <c r="F37" s="1656" t="s">
        <v>561</v>
      </c>
      <c r="G37" s="596">
        <v>6</v>
      </c>
      <c r="H37" s="596">
        <v>3</v>
      </c>
      <c r="I37" s="596">
        <v>1</v>
      </c>
      <c r="J37" s="596">
        <v>5</v>
      </c>
      <c r="K37" s="604" t="s">
        <v>584</v>
      </c>
      <c r="L37" s="1700"/>
      <c r="M37" s="1701">
        <v>20</v>
      </c>
      <c r="N37" s="1702">
        <v>0.52</v>
      </c>
      <c r="O37" s="1703">
        <v>0.16</v>
      </c>
      <c r="P37" s="1702">
        <v>0.65</v>
      </c>
      <c r="Q37" s="1703">
        <v>0.08</v>
      </c>
      <c r="R37" s="1704">
        <v>16.2</v>
      </c>
      <c r="S37" s="1705"/>
      <c r="T37" s="1682">
        <v>0.87</v>
      </c>
      <c r="U37" s="1683">
        <v>87</v>
      </c>
      <c r="V37" s="1683">
        <v>596</v>
      </c>
      <c r="W37" s="1706">
        <v>55.000000000000007</v>
      </c>
      <c r="X37" s="1707">
        <v>100</v>
      </c>
      <c r="Y37" s="1708">
        <v>55</v>
      </c>
      <c r="Z37" s="596">
        <v>0</v>
      </c>
      <c r="AD37" s="614">
        <f t="shared" si="3"/>
        <v>5.2</v>
      </c>
      <c r="AE37" s="614">
        <f t="shared" si="4"/>
        <v>1.6</v>
      </c>
      <c r="AF37" s="614">
        <f t="shared" si="5"/>
        <v>6.5</v>
      </c>
      <c r="AG37" s="614">
        <f t="shared" si="6"/>
        <v>0.8</v>
      </c>
      <c r="AI37" s="296">
        <f t="shared" si="7"/>
        <v>2</v>
      </c>
      <c r="AJ37" s="595">
        <f t="shared" si="8"/>
        <v>0</v>
      </c>
      <c r="AK37" s="595">
        <f t="shared" si="9"/>
        <v>0</v>
      </c>
      <c r="AL37" s="1682">
        <f t="shared" si="10"/>
        <v>0.55000000000000004</v>
      </c>
      <c r="AM37" s="1952">
        <f t="shared" si="11"/>
        <v>0.55000000000000004</v>
      </c>
      <c r="AO37" s="1806"/>
      <c r="AP37" s="1160"/>
    </row>
    <row r="38" spans="1:42" x14ac:dyDescent="0.2">
      <c r="A38" s="1699" t="str">
        <f t="shared" si="1"/>
        <v>Ackergras 5 Schnitte/Jahr</v>
      </c>
      <c r="B38" s="1699">
        <f t="shared" si="17"/>
        <v>34</v>
      </c>
      <c r="C38" s="1699" t="s">
        <v>596</v>
      </c>
      <c r="D38" s="1699" t="s">
        <v>597</v>
      </c>
      <c r="E38" s="596" t="s">
        <v>560</v>
      </c>
      <c r="F38" s="1656" t="s">
        <v>561</v>
      </c>
      <c r="G38" s="596">
        <v>6</v>
      </c>
      <c r="H38" s="596">
        <v>3</v>
      </c>
      <c r="I38" s="596">
        <v>1</v>
      </c>
      <c r="J38" s="596">
        <v>5</v>
      </c>
      <c r="K38" s="604" t="s">
        <v>584</v>
      </c>
      <c r="L38" s="1700"/>
      <c r="M38" s="1709">
        <v>20</v>
      </c>
      <c r="N38" s="1710">
        <v>0.53</v>
      </c>
      <c r="O38" s="1711">
        <v>0.16</v>
      </c>
      <c r="P38" s="1702">
        <v>0.72</v>
      </c>
      <c r="Q38" s="1703">
        <v>0.08</v>
      </c>
      <c r="R38" s="1704">
        <v>16.600000000000001</v>
      </c>
      <c r="S38" s="1705"/>
      <c r="T38" s="1682">
        <v>0.87</v>
      </c>
      <c r="U38" s="1683">
        <v>87</v>
      </c>
      <c r="V38" s="1683">
        <v>596</v>
      </c>
      <c r="W38" s="1706">
        <v>55.000000000000007</v>
      </c>
      <c r="X38" s="1707">
        <v>100</v>
      </c>
      <c r="Y38" s="1708">
        <v>55</v>
      </c>
      <c r="Z38" s="596">
        <v>0</v>
      </c>
      <c r="AA38" s="596">
        <v>4</v>
      </c>
      <c r="AB38" s="596">
        <v>10</v>
      </c>
      <c r="AD38" s="614">
        <f t="shared" si="3"/>
        <v>5.3000000000000007</v>
      </c>
      <c r="AE38" s="614">
        <f t="shared" si="4"/>
        <v>1.6</v>
      </c>
      <c r="AF38" s="614">
        <f t="shared" si="5"/>
        <v>7.1999999999999993</v>
      </c>
      <c r="AG38" s="614">
        <f t="shared" si="6"/>
        <v>0.8</v>
      </c>
      <c r="AI38" s="296">
        <f t="shared" si="7"/>
        <v>1</v>
      </c>
      <c r="AJ38" s="595">
        <f t="shared" si="8"/>
        <v>4</v>
      </c>
      <c r="AK38" s="595">
        <f t="shared" si="9"/>
        <v>10</v>
      </c>
      <c r="AL38" s="1682">
        <f t="shared" si="10"/>
        <v>0.55000000000000004</v>
      </c>
      <c r="AM38" s="1952">
        <f t="shared" si="11"/>
        <v>0.55000000000000004</v>
      </c>
      <c r="AO38" s="1806"/>
      <c r="AP38" s="1160"/>
    </row>
    <row r="39" spans="1:42" x14ac:dyDescent="0.2">
      <c r="A39" s="1699" t="str">
        <f t="shared" si="1"/>
        <v>Kleegras (Kleeanteil 30 %)</v>
      </c>
      <c r="B39" s="1699">
        <f t="shared" si="17"/>
        <v>35</v>
      </c>
      <c r="C39" s="1699" t="s">
        <v>598</v>
      </c>
      <c r="D39" s="1699" t="s">
        <v>599</v>
      </c>
      <c r="E39" s="596" t="s">
        <v>560</v>
      </c>
      <c r="F39" s="1656" t="s">
        <v>561</v>
      </c>
      <c r="G39" s="596">
        <v>6</v>
      </c>
      <c r="H39" s="596">
        <v>3</v>
      </c>
      <c r="I39" s="596">
        <v>1</v>
      </c>
      <c r="J39" s="596">
        <v>5</v>
      </c>
      <c r="K39" s="604" t="s">
        <v>584</v>
      </c>
      <c r="L39" s="1700"/>
      <c r="M39" s="1709">
        <v>20</v>
      </c>
      <c r="N39" s="1702">
        <v>0.56000000000000005</v>
      </c>
      <c r="O39" s="1703">
        <v>0.15</v>
      </c>
      <c r="P39" s="1702">
        <v>0.67</v>
      </c>
      <c r="Q39" s="1703">
        <v>0.08</v>
      </c>
      <c r="R39" s="1712">
        <v>17.600000000000001</v>
      </c>
      <c r="S39" s="1705"/>
      <c r="T39" s="1682">
        <v>0.87</v>
      </c>
      <c r="U39" s="1683">
        <v>87</v>
      </c>
      <c r="V39" s="1683">
        <v>574</v>
      </c>
      <c r="W39" s="1706">
        <v>55.000000000000007</v>
      </c>
      <c r="X39" s="1707">
        <v>100</v>
      </c>
      <c r="Y39" s="1708">
        <v>55</v>
      </c>
      <c r="Z39" s="596">
        <v>0</v>
      </c>
      <c r="AA39" s="596">
        <v>4</v>
      </c>
      <c r="AB39" s="596">
        <v>10</v>
      </c>
      <c r="AD39" s="614">
        <f t="shared" si="3"/>
        <v>5.6000000000000005</v>
      </c>
      <c r="AE39" s="614">
        <f t="shared" si="4"/>
        <v>1.5</v>
      </c>
      <c r="AF39" s="614">
        <f t="shared" si="5"/>
        <v>6.7</v>
      </c>
      <c r="AG39" s="614">
        <f t="shared" si="6"/>
        <v>0.8</v>
      </c>
      <c r="AI39" s="296">
        <f t="shared" si="7"/>
        <v>1</v>
      </c>
      <c r="AJ39" s="595">
        <f t="shared" si="8"/>
        <v>4</v>
      </c>
      <c r="AK39" s="595">
        <f t="shared" si="9"/>
        <v>10</v>
      </c>
      <c r="AL39" s="1682">
        <f t="shared" si="10"/>
        <v>0.55000000000000004</v>
      </c>
      <c r="AM39" s="1952">
        <f t="shared" si="11"/>
        <v>0.55000000000000004</v>
      </c>
      <c r="AO39" s="1806"/>
      <c r="AP39" s="1160"/>
    </row>
    <row r="40" spans="1:42" x14ac:dyDescent="0.2">
      <c r="A40" s="1699" t="str">
        <f t="shared" si="1"/>
        <v>Kleegras (Kleeanteil 50 %)</v>
      </c>
      <c r="B40" s="1699">
        <f t="shared" si="17"/>
        <v>36</v>
      </c>
      <c r="C40" s="1699" t="s">
        <v>600</v>
      </c>
      <c r="D40" s="1699" t="s">
        <v>601</v>
      </c>
      <c r="E40" s="596" t="s">
        <v>560</v>
      </c>
      <c r="F40" s="2224" t="s">
        <v>561</v>
      </c>
      <c r="G40" s="596">
        <v>6</v>
      </c>
      <c r="H40" s="596">
        <v>3</v>
      </c>
      <c r="I40" s="596">
        <v>1</v>
      </c>
      <c r="J40" s="596">
        <v>5</v>
      </c>
      <c r="K40" s="604" t="s">
        <v>584</v>
      </c>
      <c r="L40" s="1700"/>
      <c r="M40" s="1709">
        <v>20</v>
      </c>
      <c r="N40" s="1710">
        <v>0.57999999999999996</v>
      </c>
      <c r="O40" s="1711">
        <v>0.14000000000000001</v>
      </c>
      <c r="P40" s="1702">
        <v>0.65</v>
      </c>
      <c r="Q40" s="1703">
        <v>0.09</v>
      </c>
      <c r="R40" s="1704">
        <v>18.2</v>
      </c>
      <c r="S40" s="1705"/>
      <c r="T40" s="1682">
        <v>0.87</v>
      </c>
      <c r="U40" s="1683">
        <v>87</v>
      </c>
      <c r="V40" s="1683">
        <v>574</v>
      </c>
      <c r="W40" s="1706">
        <v>55.000000000000007</v>
      </c>
      <c r="X40" s="1707">
        <v>100</v>
      </c>
      <c r="Y40" s="1708">
        <v>55</v>
      </c>
      <c r="Z40" s="596">
        <v>0</v>
      </c>
      <c r="AA40" s="596">
        <v>4</v>
      </c>
      <c r="AB40" s="596">
        <v>10</v>
      </c>
      <c r="AD40" s="614">
        <f t="shared" si="3"/>
        <v>5.8</v>
      </c>
      <c r="AE40" s="614">
        <f t="shared" si="4"/>
        <v>1.4000000000000001</v>
      </c>
      <c r="AF40" s="614">
        <f t="shared" si="5"/>
        <v>6.5</v>
      </c>
      <c r="AG40" s="614">
        <f t="shared" si="6"/>
        <v>0.89999999999999991</v>
      </c>
      <c r="AI40" s="296">
        <f t="shared" si="7"/>
        <v>1</v>
      </c>
      <c r="AJ40" s="595">
        <f t="shared" si="8"/>
        <v>4</v>
      </c>
      <c r="AK40" s="595">
        <f t="shared" si="9"/>
        <v>10</v>
      </c>
      <c r="AL40" s="1682">
        <f t="shared" si="10"/>
        <v>0.55000000000000004</v>
      </c>
      <c r="AM40" s="1952">
        <f t="shared" si="11"/>
        <v>0.55000000000000004</v>
      </c>
      <c r="AO40" s="1806"/>
      <c r="AP40" s="1160"/>
    </row>
    <row r="41" spans="1:42" x14ac:dyDescent="0.2">
      <c r="A41" s="1699" t="str">
        <f t="shared" si="1"/>
        <v>Kleegras (Kleeanteil 70 %)</v>
      </c>
      <c r="B41" s="1699">
        <f t="shared" si="17"/>
        <v>37</v>
      </c>
      <c r="C41" s="1699" t="s">
        <v>602</v>
      </c>
      <c r="D41" s="1699" t="s">
        <v>603</v>
      </c>
      <c r="E41" s="596" t="s">
        <v>560</v>
      </c>
      <c r="F41" s="1656" t="s">
        <v>561</v>
      </c>
      <c r="G41" s="596">
        <v>6</v>
      </c>
      <c r="H41" s="596">
        <v>3</v>
      </c>
      <c r="I41" s="596">
        <v>1</v>
      </c>
      <c r="J41" s="596">
        <v>5</v>
      </c>
      <c r="K41" s="604" t="s">
        <v>584</v>
      </c>
      <c r="L41" s="1700"/>
      <c r="M41" s="1709">
        <v>20</v>
      </c>
      <c r="N41" s="1702">
        <v>0.61</v>
      </c>
      <c r="O41" s="1703">
        <v>0.14000000000000001</v>
      </c>
      <c r="P41" s="1702">
        <v>0.65</v>
      </c>
      <c r="Q41" s="1703">
        <v>0.09</v>
      </c>
      <c r="R41" s="1712">
        <v>19.2</v>
      </c>
      <c r="S41" s="1705"/>
      <c r="T41" s="1682">
        <v>0.87</v>
      </c>
      <c r="U41" s="1683">
        <v>87</v>
      </c>
      <c r="V41" s="1683">
        <v>574</v>
      </c>
      <c r="W41" s="1706">
        <v>55.000000000000007</v>
      </c>
      <c r="X41" s="1707">
        <v>100</v>
      </c>
      <c r="Y41" s="1708">
        <v>55</v>
      </c>
      <c r="Z41" s="596">
        <v>0</v>
      </c>
      <c r="AA41" s="596">
        <v>4</v>
      </c>
      <c r="AB41" s="596">
        <v>10</v>
      </c>
      <c r="AD41" s="614">
        <f t="shared" si="3"/>
        <v>6.1</v>
      </c>
      <c r="AE41" s="614">
        <f t="shared" si="4"/>
        <v>1.4000000000000001</v>
      </c>
      <c r="AF41" s="614">
        <f t="shared" si="5"/>
        <v>6.5</v>
      </c>
      <c r="AG41" s="614">
        <f t="shared" si="6"/>
        <v>0.89999999999999991</v>
      </c>
      <c r="AI41" s="296">
        <f t="shared" si="7"/>
        <v>1</v>
      </c>
      <c r="AJ41" s="595">
        <f t="shared" si="8"/>
        <v>4</v>
      </c>
      <c r="AK41" s="595">
        <f t="shared" si="9"/>
        <v>10</v>
      </c>
      <c r="AL41" s="1682">
        <f t="shared" si="10"/>
        <v>0.55000000000000004</v>
      </c>
      <c r="AM41" s="1952">
        <f t="shared" si="11"/>
        <v>0.55000000000000004</v>
      </c>
      <c r="AO41" s="1806"/>
      <c r="AP41" s="1160"/>
    </row>
    <row r="42" spans="1:42" x14ac:dyDescent="0.2">
      <c r="A42" s="1699" t="str">
        <f t="shared" si="1"/>
        <v>Luzernegras (Luz.anteil 30 %)</v>
      </c>
      <c r="B42" s="1699">
        <f t="shared" si="17"/>
        <v>38</v>
      </c>
      <c r="C42" s="1699" t="s">
        <v>604</v>
      </c>
      <c r="D42" s="1699" t="s">
        <v>605</v>
      </c>
      <c r="E42" s="596" t="s">
        <v>560</v>
      </c>
      <c r="F42" s="1656" t="s">
        <v>561</v>
      </c>
      <c r="G42" s="596">
        <v>6</v>
      </c>
      <c r="H42" s="596">
        <v>3</v>
      </c>
      <c r="I42" s="596">
        <v>1</v>
      </c>
      <c r="J42" s="596">
        <v>5</v>
      </c>
      <c r="K42" s="604" t="s">
        <v>584</v>
      </c>
      <c r="L42" s="1700"/>
      <c r="M42" s="1709">
        <v>20</v>
      </c>
      <c r="N42" s="1702">
        <v>0.56000000000000005</v>
      </c>
      <c r="O42" s="1703">
        <v>0.15</v>
      </c>
      <c r="P42" s="1702">
        <v>0.65</v>
      </c>
      <c r="Q42" s="1703">
        <v>0.08</v>
      </c>
      <c r="R42" s="1712">
        <v>17.600000000000001</v>
      </c>
      <c r="S42" s="1705"/>
      <c r="T42" s="1682">
        <v>0.89</v>
      </c>
      <c r="U42" s="1683">
        <v>89</v>
      </c>
      <c r="V42" s="1683">
        <v>493</v>
      </c>
      <c r="W42" s="1706">
        <v>55.000000000000007</v>
      </c>
      <c r="X42" s="1707">
        <v>100</v>
      </c>
      <c r="Y42" s="1708">
        <v>55</v>
      </c>
      <c r="Z42" s="596">
        <v>0</v>
      </c>
      <c r="AA42" s="596">
        <v>4</v>
      </c>
      <c r="AB42" s="596">
        <v>10</v>
      </c>
      <c r="AD42" s="614">
        <f t="shared" si="3"/>
        <v>5.6000000000000005</v>
      </c>
      <c r="AE42" s="614">
        <f t="shared" si="4"/>
        <v>1.5</v>
      </c>
      <c r="AF42" s="614">
        <f t="shared" si="5"/>
        <v>6.5</v>
      </c>
      <c r="AG42" s="614">
        <f t="shared" si="6"/>
        <v>0.8</v>
      </c>
      <c r="AI42" s="296">
        <f t="shared" si="7"/>
        <v>1</v>
      </c>
      <c r="AJ42" s="595">
        <f t="shared" si="8"/>
        <v>4</v>
      </c>
      <c r="AK42" s="595">
        <f t="shared" si="9"/>
        <v>10</v>
      </c>
      <c r="AL42" s="1682">
        <f t="shared" si="10"/>
        <v>0.55000000000000004</v>
      </c>
      <c r="AM42" s="1952">
        <f t="shared" si="11"/>
        <v>0.55000000000000004</v>
      </c>
      <c r="AO42" s="1806"/>
      <c r="AP42" s="1160"/>
    </row>
    <row r="43" spans="1:42" x14ac:dyDescent="0.2">
      <c r="A43" s="1699" t="str">
        <f t="shared" si="1"/>
        <v>Luzernegras (Luz.anteil 50 %)</v>
      </c>
      <c r="B43" s="1699">
        <f t="shared" si="17"/>
        <v>39</v>
      </c>
      <c r="C43" s="1699" t="s">
        <v>606</v>
      </c>
      <c r="D43" s="1699" t="s">
        <v>607</v>
      </c>
      <c r="E43" s="596" t="s">
        <v>560</v>
      </c>
      <c r="F43" s="1656" t="s">
        <v>561</v>
      </c>
      <c r="G43" s="596">
        <v>6</v>
      </c>
      <c r="H43" s="596">
        <v>3</v>
      </c>
      <c r="I43" s="596">
        <v>1</v>
      </c>
      <c r="J43" s="596">
        <v>5</v>
      </c>
      <c r="K43" s="604" t="s">
        <v>584</v>
      </c>
      <c r="L43" s="1700"/>
      <c r="M43" s="1709">
        <v>20</v>
      </c>
      <c r="N43" s="1710">
        <v>0.57999999999999996</v>
      </c>
      <c r="O43" s="1711">
        <v>0.15</v>
      </c>
      <c r="P43" s="1702">
        <v>0.65</v>
      </c>
      <c r="Q43" s="1703">
        <v>0.09</v>
      </c>
      <c r="R43" s="1704">
        <v>18.2</v>
      </c>
      <c r="S43" s="1705"/>
      <c r="T43" s="1682">
        <v>0.89</v>
      </c>
      <c r="U43" s="1683">
        <v>89</v>
      </c>
      <c r="V43" s="1683">
        <v>493</v>
      </c>
      <c r="W43" s="1706">
        <v>55.000000000000007</v>
      </c>
      <c r="X43" s="1707">
        <v>100</v>
      </c>
      <c r="Y43" s="1708">
        <v>55</v>
      </c>
      <c r="Z43" s="596">
        <v>0</v>
      </c>
      <c r="AA43" s="596">
        <v>4</v>
      </c>
      <c r="AB43" s="596">
        <v>10</v>
      </c>
      <c r="AD43" s="614">
        <f t="shared" si="3"/>
        <v>5.8</v>
      </c>
      <c r="AE43" s="614">
        <f t="shared" si="4"/>
        <v>1.5</v>
      </c>
      <c r="AF43" s="614">
        <f t="shared" si="5"/>
        <v>6.5</v>
      </c>
      <c r="AG43" s="614">
        <f t="shared" si="6"/>
        <v>0.89999999999999991</v>
      </c>
      <c r="AI43" s="296">
        <f t="shared" si="7"/>
        <v>1</v>
      </c>
      <c r="AJ43" s="595">
        <f t="shared" si="8"/>
        <v>4</v>
      </c>
      <c r="AK43" s="595">
        <f t="shared" si="9"/>
        <v>10</v>
      </c>
      <c r="AL43" s="1682">
        <f t="shared" si="10"/>
        <v>0.55000000000000004</v>
      </c>
      <c r="AM43" s="1952">
        <f t="shared" si="11"/>
        <v>0.55000000000000004</v>
      </c>
      <c r="AO43" s="1806"/>
      <c r="AP43" s="1160"/>
    </row>
    <row r="44" spans="1:42" x14ac:dyDescent="0.2">
      <c r="A44" s="1699" t="str">
        <f t="shared" si="1"/>
        <v>Luzernegras (Luz.anteil 70 %)</v>
      </c>
      <c r="B44" s="1699">
        <f t="shared" si="17"/>
        <v>40</v>
      </c>
      <c r="C44" s="1699" t="s">
        <v>608</v>
      </c>
      <c r="D44" s="1699" t="s">
        <v>609</v>
      </c>
      <c r="E44" s="596" t="s">
        <v>560</v>
      </c>
      <c r="F44" s="1656" t="s">
        <v>561</v>
      </c>
      <c r="G44" s="596">
        <v>6</v>
      </c>
      <c r="H44" s="596">
        <v>3</v>
      </c>
      <c r="I44" s="596">
        <v>1</v>
      </c>
      <c r="J44" s="596">
        <v>5</v>
      </c>
      <c r="K44" s="604" t="s">
        <v>584</v>
      </c>
      <c r="L44" s="1700"/>
      <c r="M44" s="1709">
        <v>20</v>
      </c>
      <c r="N44" s="1702">
        <v>0.61</v>
      </c>
      <c r="O44" s="1703">
        <v>0.14000000000000001</v>
      </c>
      <c r="P44" s="1702">
        <v>0.65</v>
      </c>
      <c r="Q44" s="1703">
        <v>0.09</v>
      </c>
      <c r="R44" s="1712">
        <v>19.2</v>
      </c>
      <c r="S44" s="1705"/>
      <c r="T44" s="1682">
        <v>0.89</v>
      </c>
      <c r="U44" s="1683">
        <v>89</v>
      </c>
      <c r="V44" s="1683">
        <v>493</v>
      </c>
      <c r="W44" s="1706">
        <v>55.000000000000007</v>
      </c>
      <c r="X44" s="1707">
        <v>100</v>
      </c>
      <c r="Y44" s="1708">
        <v>55</v>
      </c>
      <c r="Z44" s="596">
        <v>0</v>
      </c>
      <c r="AA44" s="596">
        <v>4</v>
      </c>
      <c r="AB44" s="596">
        <v>10</v>
      </c>
      <c r="AD44" s="614">
        <f t="shared" si="3"/>
        <v>6.1</v>
      </c>
      <c r="AE44" s="614">
        <f t="shared" si="4"/>
        <v>1.4000000000000001</v>
      </c>
      <c r="AF44" s="614">
        <f t="shared" si="5"/>
        <v>6.5</v>
      </c>
      <c r="AG44" s="614">
        <f t="shared" si="6"/>
        <v>0.89999999999999991</v>
      </c>
      <c r="AI44" s="296">
        <f t="shared" si="7"/>
        <v>1</v>
      </c>
      <c r="AJ44" s="595">
        <f t="shared" si="8"/>
        <v>4</v>
      </c>
      <c r="AK44" s="595">
        <f t="shared" si="9"/>
        <v>10</v>
      </c>
      <c r="AL44" s="1682">
        <f t="shared" si="10"/>
        <v>0.55000000000000004</v>
      </c>
      <c r="AM44" s="1952">
        <f t="shared" si="11"/>
        <v>0.55000000000000004</v>
      </c>
      <c r="AO44" s="1806"/>
      <c r="AP44" s="1160"/>
    </row>
    <row r="45" spans="1:42" x14ac:dyDescent="0.2">
      <c r="A45" s="1699" t="str">
        <f t="shared" si="1"/>
        <v>Klee (Reinkultur)</v>
      </c>
      <c r="B45" s="1699">
        <f t="shared" ref="B45:B76" si="24">IFERROR(MATCH(A45,$C$5:$C$119,0),1)</f>
        <v>41</v>
      </c>
      <c r="C45" s="1699" t="s">
        <v>610</v>
      </c>
      <c r="D45" s="1699" t="s">
        <v>611</v>
      </c>
      <c r="E45" s="596" t="s">
        <v>560</v>
      </c>
      <c r="F45" s="1656" t="s">
        <v>561</v>
      </c>
      <c r="G45" s="596">
        <v>6</v>
      </c>
      <c r="H45" s="596">
        <v>3</v>
      </c>
      <c r="I45" s="596">
        <v>1</v>
      </c>
      <c r="J45" s="596">
        <v>5</v>
      </c>
      <c r="K45" s="604" t="s">
        <v>584</v>
      </c>
      <c r="L45" s="1700"/>
      <c r="M45" s="1709">
        <v>20</v>
      </c>
      <c r="N45" s="1710">
        <v>0.65</v>
      </c>
      <c r="O45" s="1711">
        <v>0.13</v>
      </c>
      <c r="P45" s="1702">
        <v>0.65</v>
      </c>
      <c r="Q45" s="1703">
        <v>0.1</v>
      </c>
      <c r="R45" s="1713">
        <v>20.46</v>
      </c>
      <c r="S45" s="1705"/>
      <c r="T45" s="1682">
        <v>0.89</v>
      </c>
      <c r="U45" s="1683">
        <v>89</v>
      </c>
      <c r="V45" s="1683">
        <v>517</v>
      </c>
      <c r="W45" s="1706">
        <v>55.000000000000007</v>
      </c>
      <c r="X45" s="1707">
        <v>100</v>
      </c>
      <c r="Y45" s="1708">
        <v>55</v>
      </c>
      <c r="Z45" s="596">
        <v>0</v>
      </c>
      <c r="AA45" s="596">
        <v>4</v>
      </c>
      <c r="AB45" s="596">
        <v>10</v>
      </c>
      <c r="AD45" s="614">
        <f t="shared" si="3"/>
        <v>6.5</v>
      </c>
      <c r="AE45" s="614">
        <f t="shared" si="4"/>
        <v>1.3</v>
      </c>
      <c r="AF45" s="614">
        <f t="shared" si="5"/>
        <v>6.5</v>
      </c>
      <c r="AG45" s="614">
        <f t="shared" si="6"/>
        <v>1</v>
      </c>
      <c r="AI45" s="296">
        <f t="shared" si="7"/>
        <v>1</v>
      </c>
      <c r="AJ45" s="595">
        <f t="shared" si="8"/>
        <v>4</v>
      </c>
      <c r="AK45" s="595">
        <f t="shared" si="9"/>
        <v>10</v>
      </c>
      <c r="AL45" s="1682">
        <f t="shared" si="10"/>
        <v>0.55000000000000004</v>
      </c>
      <c r="AM45" s="1952">
        <f t="shared" si="11"/>
        <v>0.55000000000000004</v>
      </c>
      <c r="AO45" s="1806"/>
      <c r="AP45" s="1160"/>
    </row>
    <row r="46" spans="1:42" x14ac:dyDescent="0.2">
      <c r="A46" s="1699" t="str">
        <f t="shared" si="1"/>
        <v>Luzerne (Reinkultur)</v>
      </c>
      <c r="B46" s="1699">
        <f t="shared" si="24"/>
        <v>42</v>
      </c>
      <c r="C46" s="1699" t="s">
        <v>612</v>
      </c>
      <c r="D46" s="1699" t="s">
        <v>613</v>
      </c>
      <c r="E46" s="596" t="s">
        <v>560</v>
      </c>
      <c r="F46" s="1656" t="s">
        <v>561</v>
      </c>
      <c r="G46" s="596">
        <v>6</v>
      </c>
      <c r="H46" s="596">
        <v>3</v>
      </c>
      <c r="I46" s="596">
        <v>1</v>
      </c>
      <c r="J46" s="596">
        <v>5</v>
      </c>
      <c r="K46" s="604" t="s">
        <v>584</v>
      </c>
      <c r="L46" s="1700"/>
      <c r="M46" s="1709">
        <v>20</v>
      </c>
      <c r="N46" s="1710">
        <v>0.65</v>
      </c>
      <c r="O46" s="1711">
        <v>0.14000000000000001</v>
      </c>
      <c r="P46" s="1702">
        <v>0.65</v>
      </c>
      <c r="Q46" s="1703">
        <v>0.09</v>
      </c>
      <c r="R46" s="1713">
        <v>20.46</v>
      </c>
      <c r="S46" s="1705"/>
      <c r="T46" s="1682">
        <v>0.89</v>
      </c>
      <c r="U46" s="1683">
        <v>89</v>
      </c>
      <c r="V46" s="1683">
        <v>459</v>
      </c>
      <c r="W46" s="1706">
        <v>55.000000000000007</v>
      </c>
      <c r="X46" s="1707">
        <v>100</v>
      </c>
      <c r="Y46" s="1708">
        <v>55</v>
      </c>
      <c r="Z46" s="596">
        <v>0</v>
      </c>
      <c r="AA46" s="596">
        <v>4</v>
      </c>
      <c r="AB46" s="596">
        <v>10</v>
      </c>
      <c r="AD46" s="614">
        <f t="shared" si="3"/>
        <v>6.5</v>
      </c>
      <c r="AE46" s="614">
        <f t="shared" si="4"/>
        <v>1.4000000000000001</v>
      </c>
      <c r="AF46" s="614">
        <f t="shared" si="5"/>
        <v>6.5</v>
      </c>
      <c r="AG46" s="614">
        <f t="shared" si="6"/>
        <v>0.89999999999999991</v>
      </c>
      <c r="AI46" s="296">
        <f t="shared" si="7"/>
        <v>1</v>
      </c>
      <c r="AJ46" s="595">
        <f t="shared" si="8"/>
        <v>4</v>
      </c>
      <c r="AK46" s="595">
        <f t="shared" si="9"/>
        <v>10</v>
      </c>
      <c r="AL46" s="1682">
        <f t="shared" si="10"/>
        <v>0.55000000000000004</v>
      </c>
      <c r="AM46" s="1952">
        <f t="shared" si="11"/>
        <v>0.55000000000000004</v>
      </c>
      <c r="AO46" s="1806"/>
      <c r="AP46" s="1160"/>
    </row>
    <row r="47" spans="1:42" x14ac:dyDescent="0.2">
      <c r="A47" s="1688" t="str">
        <f t="shared" si="1"/>
        <v xml:space="preserve"> +++Futterpflanzen+++</v>
      </c>
      <c r="B47" s="1688">
        <f t="shared" si="24"/>
        <v>43</v>
      </c>
      <c r="C47" s="1688" t="s">
        <v>614</v>
      </c>
      <c r="D47" s="1688"/>
      <c r="E47" s="596" t="s">
        <v>560</v>
      </c>
      <c r="F47" s="1656" t="s">
        <v>561</v>
      </c>
      <c r="G47" s="596">
        <v>7</v>
      </c>
      <c r="I47" s="596">
        <v>0</v>
      </c>
      <c r="J47" s="596">
        <v>5</v>
      </c>
      <c r="K47" s="1674"/>
      <c r="L47" s="1675"/>
      <c r="M47" s="1689"/>
      <c r="N47" s="1690"/>
      <c r="O47" s="1679"/>
      <c r="P47" s="1679"/>
      <c r="Q47" s="1679" t="s">
        <v>214</v>
      </c>
      <c r="R47" s="1691"/>
      <c r="S47" s="1681"/>
      <c r="T47" s="1692" t="s">
        <v>567</v>
      </c>
      <c r="U47" s="1693"/>
      <c r="V47" s="1693" t="s">
        <v>567</v>
      </c>
      <c r="W47" s="1694" t="s">
        <v>567</v>
      </c>
      <c r="X47" s="1695"/>
      <c r="Y47" s="1696"/>
      <c r="Z47" s="596">
        <v>0</v>
      </c>
      <c r="AD47" s="614">
        <f t="shared" si="3"/>
        <v>0</v>
      </c>
      <c r="AE47" s="614">
        <f t="shared" si="4"/>
        <v>0</v>
      </c>
      <c r="AF47" s="614">
        <f t="shared" si="5"/>
        <v>0</v>
      </c>
      <c r="AG47" s="614">
        <v>0</v>
      </c>
      <c r="AI47" s="296">
        <f t="shared" si="7"/>
        <v>2</v>
      </c>
      <c r="AJ47" s="595">
        <f t="shared" si="8"/>
        <v>0</v>
      </c>
      <c r="AK47" s="595">
        <f t="shared" si="9"/>
        <v>0</v>
      </c>
      <c r="AL47" s="1692"/>
      <c r="AM47" s="1951">
        <f t="shared" si="11"/>
        <v>0</v>
      </c>
      <c r="AO47" s="1806"/>
      <c r="AP47" s="1160"/>
    </row>
    <row r="48" spans="1:42" x14ac:dyDescent="0.2">
      <c r="A48" s="1699" t="str">
        <f t="shared" si="1"/>
        <v>Silomais (32 % TM)</v>
      </c>
      <c r="B48" s="1699">
        <f t="shared" si="24"/>
        <v>44</v>
      </c>
      <c r="C48" s="1699" t="s">
        <v>946</v>
      </c>
      <c r="D48" s="1699" t="s">
        <v>288</v>
      </c>
      <c r="E48" s="596" t="s">
        <v>560</v>
      </c>
      <c r="F48" s="1656" t="s">
        <v>561</v>
      </c>
      <c r="G48" s="596">
        <v>7</v>
      </c>
      <c r="H48" s="596">
        <v>3</v>
      </c>
      <c r="I48" s="596">
        <v>1</v>
      </c>
      <c r="J48" s="596">
        <v>5</v>
      </c>
      <c r="K48" s="604" t="s">
        <v>584</v>
      </c>
      <c r="L48" s="1700"/>
      <c r="M48" s="1701">
        <v>32</v>
      </c>
      <c r="N48" s="1702">
        <v>0.43</v>
      </c>
      <c r="O48" s="1714">
        <v>0.16</v>
      </c>
      <c r="P48" s="1703">
        <v>0.51</v>
      </c>
      <c r="Q48" s="1703">
        <v>0.9</v>
      </c>
      <c r="R48" s="1712"/>
      <c r="S48" s="1705"/>
      <c r="T48" s="1682">
        <v>0.96</v>
      </c>
      <c r="U48" s="1683">
        <v>96</v>
      </c>
      <c r="V48" s="1683">
        <v>589</v>
      </c>
      <c r="W48" s="1706">
        <v>52</v>
      </c>
      <c r="X48" s="1707">
        <v>100</v>
      </c>
      <c r="Y48" s="1708">
        <v>55</v>
      </c>
      <c r="Z48" s="596">
        <v>0</v>
      </c>
      <c r="AC48" s="596">
        <v>10</v>
      </c>
      <c r="AD48" s="614">
        <f t="shared" si="3"/>
        <v>4.3</v>
      </c>
      <c r="AE48" s="614">
        <f t="shared" si="4"/>
        <v>1.6</v>
      </c>
      <c r="AF48" s="614">
        <f t="shared" si="5"/>
        <v>5.0999999999999996</v>
      </c>
      <c r="AG48" s="614">
        <f t="shared" si="6"/>
        <v>9</v>
      </c>
      <c r="AI48" s="296">
        <f t="shared" si="7"/>
        <v>1</v>
      </c>
      <c r="AJ48" s="595">
        <f>IF(AC48&gt;0,AC48,AA48)</f>
        <v>10</v>
      </c>
      <c r="AK48" s="595">
        <f t="shared" si="9"/>
        <v>0</v>
      </c>
      <c r="AL48" s="1682">
        <f t="shared" si="10"/>
        <v>0.52</v>
      </c>
      <c r="AM48" s="1952">
        <f t="shared" si="11"/>
        <v>0.55000000000000004</v>
      </c>
      <c r="AO48" s="1806"/>
      <c r="AP48" s="1160"/>
    </row>
    <row r="49" spans="1:42" x14ac:dyDescent="0.2">
      <c r="A49" s="1699" t="str">
        <f t="shared" si="1"/>
        <v>Corn-Cop-Mix (CCM)</v>
      </c>
      <c r="B49" s="1699">
        <f t="shared" si="24"/>
        <v>45</v>
      </c>
      <c r="C49" s="1699" t="s">
        <v>615</v>
      </c>
      <c r="D49" s="1699" t="s">
        <v>616</v>
      </c>
      <c r="E49" s="596" t="s">
        <v>560</v>
      </c>
      <c r="F49" s="1656" t="s">
        <v>561</v>
      </c>
      <c r="G49" s="596">
        <v>7</v>
      </c>
      <c r="H49" s="596">
        <v>3</v>
      </c>
      <c r="I49" s="596">
        <v>2</v>
      </c>
      <c r="J49" s="596">
        <v>5</v>
      </c>
      <c r="K49" s="604" t="s">
        <v>617</v>
      </c>
      <c r="L49" s="1700"/>
      <c r="M49" s="1709">
        <v>60</v>
      </c>
      <c r="N49" s="1710">
        <v>1.01</v>
      </c>
      <c r="O49" s="1711">
        <v>0.41</v>
      </c>
      <c r="P49" s="1702">
        <v>0.36</v>
      </c>
      <c r="Q49" s="1703">
        <v>0.1</v>
      </c>
      <c r="R49" s="1712">
        <v>10.5</v>
      </c>
      <c r="S49" s="1705"/>
      <c r="T49" s="1682">
        <v>0.98</v>
      </c>
      <c r="U49" s="1683">
        <v>98</v>
      </c>
      <c r="V49" s="1683">
        <v>666</v>
      </c>
      <c r="W49" s="1706">
        <v>53</v>
      </c>
      <c r="X49" s="1707">
        <v>100</v>
      </c>
      <c r="Y49" s="1708">
        <v>55</v>
      </c>
      <c r="Z49" s="596">
        <v>0</v>
      </c>
      <c r="AC49" s="596">
        <v>10</v>
      </c>
      <c r="AD49" s="614">
        <f t="shared" si="3"/>
        <v>10.1</v>
      </c>
      <c r="AE49" s="614">
        <f t="shared" si="4"/>
        <v>4.0999999999999996</v>
      </c>
      <c r="AF49" s="614">
        <f t="shared" si="5"/>
        <v>3.5999999999999996</v>
      </c>
      <c r="AG49" s="614">
        <f t="shared" si="6"/>
        <v>1</v>
      </c>
      <c r="AI49" s="296">
        <f t="shared" si="7"/>
        <v>1</v>
      </c>
      <c r="AJ49" s="595">
        <f t="shared" si="8"/>
        <v>10</v>
      </c>
      <c r="AK49" s="595">
        <f t="shared" si="9"/>
        <v>0</v>
      </c>
      <c r="AL49" s="1682">
        <f t="shared" si="10"/>
        <v>0.53</v>
      </c>
      <c r="AM49" s="1952">
        <f t="shared" si="11"/>
        <v>0.55000000000000004</v>
      </c>
      <c r="AO49" s="1806"/>
      <c r="AP49" s="1160"/>
    </row>
    <row r="50" spans="1:42" x14ac:dyDescent="0.2">
      <c r="A50" s="1699" t="str">
        <f t="shared" si="1"/>
        <v>Lieschkolbensilage</v>
      </c>
      <c r="B50" s="1699">
        <f t="shared" si="24"/>
        <v>46</v>
      </c>
      <c r="C50" s="1699" t="s">
        <v>947</v>
      </c>
      <c r="D50" s="1699" t="s">
        <v>8473</v>
      </c>
      <c r="E50" s="596" t="s">
        <v>560</v>
      </c>
      <c r="F50" s="1656" t="s">
        <v>561</v>
      </c>
      <c r="G50" s="596">
        <v>7</v>
      </c>
      <c r="H50" s="596">
        <v>3</v>
      </c>
      <c r="I50" s="596">
        <v>2</v>
      </c>
      <c r="J50" s="596">
        <v>5</v>
      </c>
      <c r="K50" s="604" t="s">
        <v>948</v>
      </c>
      <c r="L50" s="1700"/>
      <c r="M50" s="1709">
        <v>50</v>
      </c>
      <c r="N50" s="1710">
        <v>0.76</v>
      </c>
      <c r="O50" s="1711">
        <v>0.32</v>
      </c>
      <c r="P50" s="1702">
        <v>0.36</v>
      </c>
      <c r="Q50" s="1703">
        <v>0.1</v>
      </c>
      <c r="R50" s="1712"/>
      <c r="S50" s="1705"/>
      <c r="T50" s="1682">
        <v>0.97</v>
      </c>
      <c r="U50" s="1683">
        <v>97</v>
      </c>
      <c r="V50" s="1683">
        <v>644</v>
      </c>
      <c r="W50" s="1706">
        <v>53</v>
      </c>
      <c r="X50" s="1707">
        <v>100</v>
      </c>
      <c r="Y50" s="1708">
        <v>55</v>
      </c>
      <c r="Z50" s="596">
        <v>0</v>
      </c>
      <c r="AD50" s="614">
        <f t="shared" ref="AD50" si="25">N50*10</f>
        <v>7.6</v>
      </c>
      <c r="AE50" s="614">
        <f t="shared" ref="AE50" si="26">O50*10</f>
        <v>3.2</v>
      </c>
      <c r="AF50" s="614">
        <f t="shared" ref="AF50" si="27">P50*10</f>
        <v>3.5999999999999996</v>
      </c>
      <c r="AG50" s="614">
        <f t="shared" ref="AG50" si="28">Q50*10</f>
        <v>1</v>
      </c>
      <c r="AI50" s="296">
        <f t="shared" ref="AI50" si="29">IF(AND(AA50="",AB50="",AC50=""),2,1)</f>
        <v>2</v>
      </c>
      <c r="AJ50" s="595">
        <f t="shared" ref="AJ50" si="30">IF(AC50&gt;0,AC50,AA50)</f>
        <v>0</v>
      </c>
      <c r="AK50" s="595">
        <f t="shared" ref="AK50" si="31">AB50</f>
        <v>0</v>
      </c>
      <c r="AL50" s="1682">
        <f t="shared" si="10"/>
        <v>0.53</v>
      </c>
      <c r="AM50" s="1952">
        <f t="shared" si="11"/>
        <v>0.55000000000000004</v>
      </c>
      <c r="AO50" s="1806"/>
      <c r="AP50" s="1160"/>
    </row>
    <row r="51" spans="1:42" x14ac:dyDescent="0.2">
      <c r="A51" s="1699" t="str">
        <f t="shared" si="1"/>
        <v>GPS Weizen</v>
      </c>
      <c r="B51" s="1699">
        <f t="shared" si="24"/>
        <v>47</v>
      </c>
      <c r="C51" s="1699" t="s">
        <v>618</v>
      </c>
      <c r="D51" s="1699" t="s">
        <v>619</v>
      </c>
      <c r="E51" s="596" t="s">
        <v>560</v>
      </c>
      <c r="F51" s="1656" t="s">
        <v>561</v>
      </c>
      <c r="G51" s="596">
        <v>7</v>
      </c>
      <c r="H51" s="596">
        <v>3</v>
      </c>
      <c r="I51" s="596">
        <v>1</v>
      </c>
      <c r="J51" s="596">
        <v>5</v>
      </c>
      <c r="K51" s="604" t="s">
        <v>620</v>
      </c>
      <c r="L51" s="1700"/>
      <c r="M51" s="1701">
        <v>35</v>
      </c>
      <c r="N51" s="1702">
        <v>0.56000000000000005</v>
      </c>
      <c r="O51" s="1703">
        <v>0.23</v>
      </c>
      <c r="P51" s="1703">
        <v>0.47</v>
      </c>
      <c r="Q51" s="1703">
        <v>0.1</v>
      </c>
      <c r="R51" s="1715">
        <v>10</v>
      </c>
      <c r="S51" s="1705"/>
      <c r="T51" s="1682">
        <v>0.95</v>
      </c>
      <c r="U51" s="1683">
        <v>95</v>
      </c>
      <c r="V51" s="1683">
        <v>504</v>
      </c>
      <c r="W51" s="1706">
        <v>52</v>
      </c>
      <c r="X51" s="1707">
        <v>100</v>
      </c>
      <c r="Y51" s="1708">
        <v>55</v>
      </c>
      <c r="Z51" s="596">
        <v>0</v>
      </c>
      <c r="AC51" s="596">
        <v>7</v>
      </c>
      <c r="AD51" s="614">
        <f t="shared" si="3"/>
        <v>5.6000000000000005</v>
      </c>
      <c r="AE51" s="614">
        <f t="shared" si="4"/>
        <v>2.3000000000000003</v>
      </c>
      <c r="AF51" s="614">
        <f t="shared" si="5"/>
        <v>4.6999999999999993</v>
      </c>
      <c r="AG51" s="614">
        <f t="shared" si="6"/>
        <v>1</v>
      </c>
      <c r="AI51" s="296">
        <f t="shared" si="7"/>
        <v>1</v>
      </c>
      <c r="AJ51" s="595">
        <f t="shared" si="8"/>
        <v>7</v>
      </c>
      <c r="AK51" s="595">
        <f t="shared" si="9"/>
        <v>0</v>
      </c>
      <c r="AL51" s="1682">
        <f t="shared" si="10"/>
        <v>0.52</v>
      </c>
      <c r="AM51" s="1952">
        <f t="shared" si="11"/>
        <v>0.55000000000000004</v>
      </c>
      <c r="AO51" s="1806"/>
      <c r="AP51" s="1160"/>
    </row>
    <row r="52" spans="1:42" x14ac:dyDescent="0.2">
      <c r="A52" s="1716" t="str">
        <f t="shared" si="1"/>
        <v>GPS Wintergerste</v>
      </c>
      <c r="B52" s="1716">
        <f t="shared" si="24"/>
        <v>48</v>
      </c>
      <c r="C52" s="1716" t="s">
        <v>8332</v>
      </c>
      <c r="D52" s="1699" t="s">
        <v>621</v>
      </c>
      <c r="E52" s="596" t="s">
        <v>560</v>
      </c>
      <c r="F52" s="1656" t="s">
        <v>561</v>
      </c>
      <c r="G52" s="596">
        <v>7</v>
      </c>
      <c r="H52" s="596">
        <v>3</v>
      </c>
      <c r="I52" s="596">
        <v>1</v>
      </c>
      <c r="J52" s="596">
        <v>5</v>
      </c>
      <c r="K52" s="604" t="s">
        <v>620</v>
      </c>
      <c r="L52" s="1700"/>
      <c r="M52" s="1701">
        <v>35</v>
      </c>
      <c r="N52" s="1702">
        <v>0.56000000000000005</v>
      </c>
      <c r="O52" s="1703">
        <v>0.23</v>
      </c>
      <c r="P52" s="1703">
        <v>0.47</v>
      </c>
      <c r="Q52" s="1703">
        <v>0.1</v>
      </c>
      <c r="R52" s="1715">
        <v>10</v>
      </c>
      <c r="S52" s="1705"/>
      <c r="T52" s="1682">
        <v>0.94</v>
      </c>
      <c r="U52" s="1683">
        <v>94</v>
      </c>
      <c r="V52" s="1683">
        <v>515</v>
      </c>
      <c r="W52" s="1706">
        <v>52</v>
      </c>
      <c r="X52" s="1707">
        <v>100</v>
      </c>
      <c r="Y52" s="1708">
        <v>55</v>
      </c>
      <c r="Z52" s="596">
        <v>0</v>
      </c>
      <c r="AC52" s="596">
        <v>6</v>
      </c>
      <c r="AD52" s="614">
        <f t="shared" si="3"/>
        <v>5.6000000000000005</v>
      </c>
      <c r="AE52" s="614">
        <f t="shared" si="4"/>
        <v>2.3000000000000003</v>
      </c>
      <c r="AF52" s="614">
        <f t="shared" si="5"/>
        <v>4.6999999999999993</v>
      </c>
      <c r="AG52" s="614">
        <f t="shared" si="6"/>
        <v>1</v>
      </c>
      <c r="AI52" s="296">
        <f t="shared" si="7"/>
        <v>1</v>
      </c>
      <c r="AJ52" s="595">
        <f t="shared" si="8"/>
        <v>6</v>
      </c>
      <c r="AK52" s="595">
        <f t="shared" si="9"/>
        <v>0</v>
      </c>
      <c r="AL52" s="1682">
        <f t="shared" si="10"/>
        <v>0.52</v>
      </c>
      <c r="AM52" s="1952">
        <f t="shared" si="11"/>
        <v>0.55000000000000004</v>
      </c>
      <c r="AO52" s="1806"/>
      <c r="AP52" s="1160"/>
    </row>
    <row r="53" spans="1:42" x14ac:dyDescent="0.2">
      <c r="A53" s="1716" t="str">
        <f t="shared" si="1"/>
        <v>GPS Sommergerste</v>
      </c>
      <c r="B53" s="1716">
        <f t="shared" si="24"/>
        <v>49</v>
      </c>
      <c r="C53" s="1716" t="s">
        <v>8333</v>
      </c>
      <c r="D53" s="1699" t="s">
        <v>8334</v>
      </c>
      <c r="E53" s="596" t="s">
        <v>560</v>
      </c>
      <c r="F53" s="1656" t="s">
        <v>561</v>
      </c>
      <c r="G53" s="596">
        <v>7</v>
      </c>
      <c r="H53" s="596">
        <v>3</v>
      </c>
      <c r="I53" s="596">
        <v>1</v>
      </c>
      <c r="J53" s="596">
        <v>5</v>
      </c>
      <c r="K53" s="604" t="s">
        <v>620</v>
      </c>
      <c r="L53" s="1700"/>
      <c r="M53" s="1701">
        <v>35</v>
      </c>
      <c r="N53" s="1702">
        <v>0.56000000000000005</v>
      </c>
      <c r="O53" s="1703">
        <v>0.23</v>
      </c>
      <c r="P53" s="1703">
        <v>0.47</v>
      </c>
      <c r="Q53" s="1703">
        <v>0.1</v>
      </c>
      <c r="R53" s="1715">
        <v>10</v>
      </c>
      <c r="S53" s="1705"/>
      <c r="T53" s="1682">
        <v>0.95</v>
      </c>
      <c r="U53" s="1683">
        <v>95</v>
      </c>
      <c r="V53" s="1683">
        <v>506</v>
      </c>
      <c r="W53" s="1706">
        <v>52</v>
      </c>
      <c r="X53" s="1707">
        <v>100</v>
      </c>
      <c r="Y53" s="1708">
        <v>55</v>
      </c>
      <c r="Z53" s="596">
        <v>0</v>
      </c>
      <c r="AC53" s="596">
        <v>7</v>
      </c>
      <c r="AD53" s="614">
        <f t="shared" si="3"/>
        <v>5.6000000000000005</v>
      </c>
      <c r="AE53" s="614">
        <f t="shared" si="4"/>
        <v>2.3000000000000003</v>
      </c>
      <c r="AF53" s="614">
        <f t="shared" si="5"/>
        <v>4.6999999999999993</v>
      </c>
      <c r="AG53" s="614">
        <f t="shared" si="6"/>
        <v>1</v>
      </c>
      <c r="AI53" s="296">
        <f t="shared" si="7"/>
        <v>1</v>
      </c>
      <c r="AJ53" s="595">
        <f t="shared" si="8"/>
        <v>7</v>
      </c>
      <c r="AK53" s="595">
        <f t="shared" si="9"/>
        <v>0</v>
      </c>
      <c r="AL53" s="1682">
        <f t="shared" si="10"/>
        <v>0.52</v>
      </c>
      <c r="AM53" s="1952">
        <f t="shared" si="11"/>
        <v>0.55000000000000004</v>
      </c>
      <c r="AO53" s="1806"/>
      <c r="AP53" s="1160"/>
    </row>
    <row r="54" spans="1:42" x14ac:dyDescent="0.2">
      <c r="A54" s="1699" t="str">
        <f t="shared" si="1"/>
        <v>GPS Triticale</v>
      </c>
      <c r="B54" s="1699">
        <f t="shared" si="24"/>
        <v>50</v>
      </c>
      <c r="C54" s="1699" t="s">
        <v>8335</v>
      </c>
      <c r="D54" s="1699" t="s">
        <v>622</v>
      </c>
      <c r="E54" s="596" t="s">
        <v>560</v>
      </c>
      <c r="F54" s="1656" t="s">
        <v>561</v>
      </c>
      <c r="G54" s="596">
        <v>7</v>
      </c>
      <c r="H54" s="596">
        <v>3</v>
      </c>
      <c r="I54" s="596">
        <v>1</v>
      </c>
      <c r="J54" s="596">
        <v>5</v>
      </c>
      <c r="K54" s="604" t="s">
        <v>620</v>
      </c>
      <c r="L54" s="1700"/>
      <c r="M54" s="1701">
        <v>35</v>
      </c>
      <c r="N54" s="1702">
        <v>0.56000000000000005</v>
      </c>
      <c r="O54" s="1703">
        <v>0.23</v>
      </c>
      <c r="P54" s="1703">
        <v>0.47</v>
      </c>
      <c r="Q54" s="1703">
        <v>0.1</v>
      </c>
      <c r="R54" s="1715">
        <v>10</v>
      </c>
      <c r="S54" s="1705"/>
      <c r="T54" s="1682">
        <v>0.95</v>
      </c>
      <c r="U54" s="1683">
        <v>95</v>
      </c>
      <c r="V54" s="1683">
        <v>506</v>
      </c>
      <c r="W54" s="1706">
        <v>52</v>
      </c>
      <c r="X54" s="1707">
        <v>100</v>
      </c>
      <c r="Y54" s="1708">
        <v>55</v>
      </c>
      <c r="Z54" s="596">
        <v>0</v>
      </c>
      <c r="AC54" s="596">
        <v>7</v>
      </c>
      <c r="AD54" s="614">
        <f t="shared" si="3"/>
        <v>5.6000000000000005</v>
      </c>
      <c r="AE54" s="614">
        <f t="shared" si="4"/>
        <v>2.3000000000000003</v>
      </c>
      <c r="AF54" s="614">
        <f t="shared" si="5"/>
        <v>4.6999999999999993</v>
      </c>
      <c r="AG54" s="614">
        <f t="shared" si="6"/>
        <v>1</v>
      </c>
      <c r="AI54" s="296">
        <f t="shared" si="7"/>
        <v>1</v>
      </c>
      <c r="AJ54" s="595">
        <f t="shared" si="8"/>
        <v>7</v>
      </c>
      <c r="AK54" s="595">
        <f t="shared" si="9"/>
        <v>0</v>
      </c>
      <c r="AL54" s="1682">
        <f t="shared" si="10"/>
        <v>0.52</v>
      </c>
      <c r="AM54" s="1952">
        <f t="shared" si="11"/>
        <v>0.55000000000000004</v>
      </c>
      <c r="AO54" s="1806"/>
      <c r="AP54" s="1160"/>
    </row>
    <row r="55" spans="1:42" x14ac:dyDescent="0.2">
      <c r="A55" s="1699" t="str">
        <f t="shared" si="1"/>
        <v>GPS Roggen</v>
      </c>
      <c r="B55" s="1699">
        <f t="shared" si="24"/>
        <v>51</v>
      </c>
      <c r="C55" s="1699" t="s">
        <v>623</v>
      </c>
      <c r="D55" s="1699" t="s">
        <v>624</v>
      </c>
      <c r="E55" s="596" t="s">
        <v>560</v>
      </c>
      <c r="F55" s="1656" t="s">
        <v>561</v>
      </c>
      <c r="G55" s="596">
        <v>7</v>
      </c>
      <c r="H55" s="596">
        <v>3</v>
      </c>
      <c r="I55" s="596">
        <v>1</v>
      </c>
      <c r="J55" s="596">
        <v>5</v>
      </c>
      <c r="K55" s="604" t="s">
        <v>620</v>
      </c>
      <c r="L55" s="1700"/>
      <c r="M55" s="1701">
        <v>35</v>
      </c>
      <c r="N55" s="1702">
        <v>0.56000000000000005</v>
      </c>
      <c r="O55" s="1703">
        <v>0.23</v>
      </c>
      <c r="P55" s="1703">
        <v>0.47</v>
      </c>
      <c r="Q55" s="1703">
        <v>0.1</v>
      </c>
      <c r="R55" s="1715">
        <v>10</v>
      </c>
      <c r="S55" s="1705"/>
      <c r="T55" s="1682">
        <v>0.95</v>
      </c>
      <c r="U55" s="1683">
        <v>95</v>
      </c>
      <c r="V55" s="1683">
        <v>506</v>
      </c>
      <c r="W55" s="1706">
        <v>52</v>
      </c>
      <c r="X55" s="1707">
        <v>100</v>
      </c>
      <c r="Y55" s="1708">
        <v>55</v>
      </c>
      <c r="Z55" s="596">
        <v>0</v>
      </c>
      <c r="AC55" s="596">
        <v>7</v>
      </c>
      <c r="AD55" s="614">
        <f t="shared" si="3"/>
        <v>5.6000000000000005</v>
      </c>
      <c r="AE55" s="614">
        <f t="shared" si="4"/>
        <v>2.3000000000000003</v>
      </c>
      <c r="AF55" s="614">
        <f t="shared" si="5"/>
        <v>4.6999999999999993</v>
      </c>
      <c r="AG55" s="614">
        <f t="shared" si="6"/>
        <v>1</v>
      </c>
      <c r="AI55" s="296">
        <f t="shared" si="7"/>
        <v>1</v>
      </c>
      <c r="AJ55" s="595">
        <f t="shared" si="8"/>
        <v>7</v>
      </c>
      <c r="AK55" s="595">
        <f t="shared" si="9"/>
        <v>0</v>
      </c>
      <c r="AL55" s="1682">
        <f t="shared" si="10"/>
        <v>0.52</v>
      </c>
      <c r="AM55" s="1952">
        <f t="shared" si="11"/>
        <v>0.55000000000000004</v>
      </c>
      <c r="AO55" s="1806"/>
      <c r="AP55" s="1160"/>
    </row>
    <row r="56" spans="1:42" x14ac:dyDescent="0.2">
      <c r="A56" s="1699" t="str">
        <f t="shared" si="1"/>
        <v>GPS Hafer</v>
      </c>
      <c r="B56" s="1699">
        <f t="shared" si="24"/>
        <v>52</v>
      </c>
      <c r="C56" s="1699" t="s">
        <v>625</v>
      </c>
      <c r="D56" s="1699" t="s">
        <v>626</v>
      </c>
      <c r="E56" s="596" t="s">
        <v>560</v>
      </c>
      <c r="F56" s="1656" t="s">
        <v>561</v>
      </c>
      <c r="G56" s="596">
        <v>7</v>
      </c>
      <c r="H56" s="596">
        <v>3</v>
      </c>
      <c r="I56" s="596">
        <v>1</v>
      </c>
      <c r="J56" s="596">
        <v>5</v>
      </c>
      <c r="K56" s="604" t="s">
        <v>620</v>
      </c>
      <c r="L56" s="1700"/>
      <c r="M56" s="1701">
        <v>35</v>
      </c>
      <c r="N56" s="1702">
        <v>0.56000000000000005</v>
      </c>
      <c r="O56" s="1703">
        <v>0.23</v>
      </c>
      <c r="P56" s="1703">
        <v>0.47</v>
      </c>
      <c r="Q56" s="1703">
        <v>0.1</v>
      </c>
      <c r="R56" s="1715">
        <v>10</v>
      </c>
      <c r="S56" s="1705"/>
      <c r="T56" s="1682">
        <v>0.95</v>
      </c>
      <c r="U56" s="1683">
        <v>95</v>
      </c>
      <c r="V56" s="1683">
        <v>506</v>
      </c>
      <c r="W56" s="1706">
        <v>52</v>
      </c>
      <c r="X56" s="1707">
        <v>100</v>
      </c>
      <c r="Y56" s="1708">
        <v>55</v>
      </c>
      <c r="Z56" s="596">
        <v>0</v>
      </c>
      <c r="AC56" s="596">
        <v>7</v>
      </c>
      <c r="AD56" s="614">
        <f t="shared" si="3"/>
        <v>5.6000000000000005</v>
      </c>
      <c r="AE56" s="614">
        <f t="shared" si="4"/>
        <v>2.3000000000000003</v>
      </c>
      <c r="AF56" s="614">
        <f t="shared" si="5"/>
        <v>4.6999999999999993</v>
      </c>
      <c r="AG56" s="614">
        <f t="shared" si="6"/>
        <v>1</v>
      </c>
      <c r="AI56" s="296">
        <f t="shared" si="7"/>
        <v>1</v>
      </c>
      <c r="AJ56" s="595">
        <f t="shared" si="8"/>
        <v>7</v>
      </c>
      <c r="AK56" s="595">
        <f t="shared" si="9"/>
        <v>0</v>
      </c>
      <c r="AL56" s="1682">
        <f t="shared" si="10"/>
        <v>0.52</v>
      </c>
      <c r="AM56" s="1952">
        <f t="shared" si="11"/>
        <v>0.55000000000000004</v>
      </c>
      <c r="AO56" s="1806"/>
      <c r="AP56" s="1160"/>
    </row>
    <row r="57" spans="1:42" s="296" customFormat="1" x14ac:dyDescent="0.2">
      <c r="A57" s="1688" t="str">
        <f t="shared" si="1"/>
        <v xml:space="preserve"> +++Energiepflanzen+++</v>
      </c>
      <c r="B57" s="1688">
        <f t="shared" si="24"/>
        <v>53</v>
      </c>
      <c r="C57" s="1688" t="s">
        <v>627</v>
      </c>
      <c r="D57" s="1688"/>
      <c r="E57" s="596" t="s">
        <v>560</v>
      </c>
      <c r="F57" s="1656" t="s">
        <v>561</v>
      </c>
      <c r="G57" s="596">
        <v>8</v>
      </c>
      <c r="H57" s="596"/>
      <c r="I57" s="596">
        <v>0</v>
      </c>
      <c r="J57" s="596">
        <v>7</v>
      </c>
      <c r="K57" s="1674"/>
      <c r="L57" s="1675"/>
      <c r="M57" s="1689"/>
      <c r="N57" s="1690"/>
      <c r="O57" s="1679"/>
      <c r="P57" s="1690"/>
      <c r="Q57" s="1679"/>
      <c r="R57" s="1691"/>
      <c r="S57" s="1681"/>
      <c r="T57" s="1692" t="s">
        <v>567</v>
      </c>
      <c r="U57" s="1693"/>
      <c r="V57" s="1693" t="s">
        <v>567</v>
      </c>
      <c r="W57" s="1694" t="s">
        <v>567</v>
      </c>
      <c r="X57" s="1695"/>
      <c r="Y57" s="1696"/>
      <c r="Z57" s="596">
        <v>0</v>
      </c>
      <c r="AA57" s="596"/>
      <c r="AB57" s="596"/>
      <c r="AC57" s="596"/>
      <c r="AD57" s="614">
        <f t="shared" si="3"/>
        <v>0</v>
      </c>
      <c r="AE57" s="614">
        <f t="shared" si="4"/>
        <v>0</v>
      </c>
      <c r="AF57" s="614">
        <f t="shared" si="5"/>
        <v>0</v>
      </c>
      <c r="AG57" s="614">
        <f t="shared" si="6"/>
        <v>0</v>
      </c>
      <c r="AI57" s="296">
        <f t="shared" si="7"/>
        <v>2</v>
      </c>
      <c r="AJ57" s="595">
        <f t="shared" si="8"/>
        <v>0</v>
      </c>
      <c r="AK57" s="595">
        <f t="shared" si="9"/>
        <v>0</v>
      </c>
      <c r="AL57" s="1692"/>
      <c r="AM57" s="1951">
        <f t="shared" si="11"/>
        <v>0</v>
      </c>
      <c r="AO57" s="1806"/>
      <c r="AP57" s="1160"/>
    </row>
    <row r="58" spans="1:42" x14ac:dyDescent="0.2">
      <c r="A58" s="1716" t="str">
        <f t="shared" si="1"/>
        <v>Silphie</v>
      </c>
      <c r="B58" s="1716">
        <f t="shared" si="24"/>
        <v>54</v>
      </c>
      <c r="C58" s="1716" t="s">
        <v>8360</v>
      </c>
      <c r="D58" s="1699" t="s">
        <v>8336</v>
      </c>
      <c r="E58" s="596" t="s">
        <v>560</v>
      </c>
      <c r="F58" s="1656" t="s">
        <v>561</v>
      </c>
      <c r="G58" s="596">
        <v>8</v>
      </c>
      <c r="H58" s="596">
        <v>3</v>
      </c>
      <c r="I58" s="596">
        <v>1</v>
      </c>
      <c r="J58" s="596">
        <v>7</v>
      </c>
      <c r="K58" s="1717" t="s">
        <v>584</v>
      </c>
      <c r="L58" s="1718"/>
      <c r="M58" s="1719">
        <v>25</v>
      </c>
      <c r="N58" s="1720">
        <v>0.25</v>
      </c>
      <c r="O58" s="1714">
        <v>0.12</v>
      </c>
      <c r="P58" s="1720">
        <v>0.56999999999999995</v>
      </c>
      <c r="Q58" s="1714">
        <v>0.16</v>
      </c>
      <c r="R58" s="1712"/>
      <c r="S58" s="1705"/>
      <c r="T58" s="1682">
        <v>0.91</v>
      </c>
      <c r="U58" s="1683">
        <v>91</v>
      </c>
      <c r="V58" s="1721">
        <v>456</v>
      </c>
      <c r="W58" s="1722">
        <v>54</v>
      </c>
      <c r="X58" s="1723">
        <v>100</v>
      </c>
      <c r="Y58" s="1724">
        <v>55</v>
      </c>
      <c r="Z58" s="596">
        <v>0</v>
      </c>
      <c r="AC58" s="596">
        <v>9</v>
      </c>
      <c r="AD58" s="614">
        <f t="shared" si="3"/>
        <v>2.5</v>
      </c>
      <c r="AE58" s="614">
        <f t="shared" si="4"/>
        <v>1.2</v>
      </c>
      <c r="AF58" s="614">
        <f t="shared" si="5"/>
        <v>5.6999999999999993</v>
      </c>
      <c r="AG58" s="614">
        <f t="shared" si="6"/>
        <v>1.6</v>
      </c>
      <c r="AI58" s="296">
        <f t="shared" si="7"/>
        <v>1</v>
      </c>
      <c r="AJ58" s="595">
        <f t="shared" si="8"/>
        <v>9</v>
      </c>
      <c r="AK58" s="595">
        <f t="shared" si="9"/>
        <v>0</v>
      </c>
      <c r="AL58" s="1939">
        <f t="shared" si="10"/>
        <v>0.54</v>
      </c>
      <c r="AM58" s="1953">
        <f t="shared" si="11"/>
        <v>0.55000000000000004</v>
      </c>
      <c r="AO58" s="1962"/>
      <c r="AP58" s="1160"/>
    </row>
    <row r="59" spans="1:42" x14ac:dyDescent="0.2">
      <c r="A59" s="1725" t="str">
        <f t="shared" si="1"/>
        <v>Sorgumhirse</v>
      </c>
      <c r="B59" s="1725">
        <f t="shared" si="24"/>
        <v>55</v>
      </c>
      <c r="C59" s="1725" t="s">
        <v>628</v>
      </c>
      <c r="D59" s="1725" t="s">
        <v>629</v>
      </c>
      <c r="E59" s="596" t="s">
        <v>560</v>
      </c>
      <c r="F59" s="1656" t="s">
        <v>561</v>
      </c>
      <c r="G59" s="596">
        <v>8</v>
      </c>
      <c r="H59" s="596">
        <v>3</v>
      </c>
      <c r="I59" s="596">
        <v>1</v>
      </c>
      <c r="J59" s="596">
        <v>7</v>
      </c>
      <c r="K59" s="604" t="s">
        <v>620</v>
      </c>
      <c r="L59" s="1700"/>
      <c r="M59" s="1701">
        <v>28</v>
      </c>
      <c r="N59" s="1702">
        <v>0.41</v>
      </c>
      <c r="O59" s="1703">
        <v>0.18</v>
      </c>
      <c r="P59" s="1703">
        <v>0.48</v>
      </c>
      <c r="Q59" s="1703">
        <v>0.04</v>
      </c>
      <c r="R59" s="1712" t="s">
        <v>214</v>
      </c>
      <c r="S59" s="1705"/>
      <c r="T59" s="1682">
        <v>0.93</v>
      </c>
      <c r="U59" s="1683">
        <v>93</v>
      </c>
      <c r="V59" s="1683">
        <v>498</v>
      </c>
      <c r="W59" s="1706">
        <v>53</v>
      </c>
      <c r="X59" s="1707">
        <v>100</v>
      </c>
      <c r="Y59" s="1708">
        <v>55</v>
      </c>
      <c r="Z59" s="596">
        <v>0</v>
      </c>
      <c r="AC59" s="596">
        <v>10</v>
      </c>
      <c r="AD59" s="614">
        <f t="shared" si="3"/>
        <v>4.0999999999999996</v>
      </c>
      <c r="AE59" s="614">
        <f t="shared" si="4"/>
        <v>1.7999999999999998</v>
      </c>
      <c r="AF59" s="614">
        <f t="shared" si="5"/>
        <v>4.8</v>
      </c>
      <c r="AG59" s="614">
        <f t="shared" si="6"/>
        <v>0.4</v>
      </c>
      <c r="AI59" s="296">
        <f t="shared" si="7"/>
        <v>1</v>
      </c>
      <c r="AJ59" s="595">
        <f t="shared" si="8"/>
        <v>10</v>
      </c>
      <c r="AK59" s="595">
        <f t="shared" si="9"/>
        <v>0</v>
      </c>
      <c r="AL59" s="1682">
        <f t="shared" si="10"/>
        <v>0.53</v>
      </c>
      <c r="AM59" s="1952">
        <f t="shared" si="11"/>
        <v>0.55000000000000004</v>
      </c>
      <c r="AO59" s="1806"/>
      <c r="AP59" s="1160"/>
    </row>
    <row r="60" spans="1:42" s="296" customFormat="1" ht="13.5" thickBot="1" x14ac:dyDescent="0.25">
      <c r="A60" s="1699" t="str">
        <f t="shared" si="1"/>
        <v>Riesenweizengras (Szarvasi)</v>
      </c>
      <c r="B60" s="1699">
        <f t="shared" si="24"/>
        <v>56</v>
      </c>
      <c r="C60" s="1699" t="s">
        <v>957</v>
      </c>
      <c r="D60" s="1699" t="s">
        <v>8337</v>
      </c>
      <c r="E60" s="596" t="s">
        <v>560</v>
      </c>
      <c r="F60" s="1656" t="s">
        <v>561</v>
      </c>
      <c r="G60" s="596">
        <v>8</v>
      </c>
      <c r="H60" s="596">
        <v>3</v>
      </c>
      <c r="I60" s="596">
        <v>1</v>
      </c>
      <c r="J60" s="596">
        <v>7</v>
      </c>
      <c r="K60" s="604" t="s">
        <v>620</v>
      </c>
      <c r="L60" s="1700"/>
      <c r="M60" s="1701">
        <v>28</v>
      </c>
      <c r="N60" s="1726">
        <v>0.33</v>
      </c>
      <c r="O60" s="1727">
        <v>0.11</v>
      </c>
      <c r="P60" s="1727">
        <v>0.53</v>
      </c>
      <c r="Q60" s="1727">
        <v>0.04</v>
      </c>
      <c r="R60" s="1728"/>
      <c r="S60" s="1705"/>
      <c r="T60" s="1682">
        <v>0.93</v>
      </c>
      <c r="U60" s="1683">
        <v>93</v>
      </c>
      <c r="V60" s="1721">
        <v>575</v>
      </c>
      <c r="W60" s="1722">
        <v>53</v>
      </c>
      <c r="X60" s="1723">
        <v>100</v>
      </c>
      <c r="Y60" s="1724">
        <v>55</v>
      </c>
      <c r="Z60" s="589">
        <v>0</v>
      </c>
      <c r="AA60" s="596"/>
      <c r="AB60" s="596"/>
      <c r="AC60" s="596">
        <v>10</v>
      </c>
      <c r="AD60" s="614">
        <f t="shared" si="3"/>
        <v>3.3000000000000003</v>
      </c>
      <c r="AE60" s="614">
        <f t="shared" si="4"/>
        <v>1.1000000000000001</v>
      </c>
      <c r="AF60" s="614">
        <f t="shared" si="5"/>
        <v>5.3000000000000007</v>
      </c>
      <c r="AG60" s="614">
        <f t="shared" si="6"/>
        <v>0.4</v>
      </c>
      <c r="AI60" s="296">
        <f t="shared" si="7"/>
        <v>1</v>
      </c>
      <c r="AJ60" s="595">
        <f t="shared" si="8"/>
        <v>10</v>
      </c>
      <c r="AK60" s="595">
        <f t="shared" si="9"/>
        <v>0</v>
      </c>
      <c r="AL60" s="1939">
        <f t="shared" si="10"/>
        <v>0.53</v>
      </c>
      <c r="AM60" s="1953">
        <f t="shared" si="11"/>
        <v>0.55000000000000004</v>
      </c>
      <c r="AO60" s="1962"/>
      <c r="AP60" s="1160"/>
    </row>
    <row r="61" spans="1:42" x14ac:dyDescent="0.2">
      <c r="A61" s="1729" t="str">
        <f t="shared" si="1"/>
        <v xml:space="preserve"> +++Zweitfrucht (2. Hauptfrucht)+++</v>
      </c>
      <c r="B61" s="1729">
        <f t="shared" si="24"/>
        <v>57</v>
      </c>
      <c r="C61" s="1729" t="s">
        <v>630</v>
      </c>
      <c r="D61" s="1729"/>
      <c r="E61" s="1730" t="s">
        <v>560</v>
      </c>
      <c r="F61" s="1731"/>
      <c r="G61" s="1730"/>
      <c r="H61" s="1731"/>
      <c r="I61" s="1730"/>
      <c r="J61" s="1731"/>
      <c r="K61" s="1732"/>
      <c r="L61" s="1733"/>
      <c r="M61" s="1734"/>
      <c r="N61" s="1735"/>
      <c r="O61" s="1736"/>
      <c r="P61" s="1737"/>
      <c r="Q61" s="1736"/>
      <c r="R61" s="1738"/>
      <c r="S61" s="1739"/>
      <c r="T61" s="1682"/>
      <c r="U61" s="1683"/>
      <c r="V61" s="1683"/>
      <c r="W61" s="1706"/>
      <c r="X61" s="1708"/>
      <c r="Y61" s="1708"/>
      <c r="Z61" s="1263">
        <v>0</v>
      </c>
      <c r="AD61" s="614">
        <f t="shared" si="3"/>
        <v>0</v>
      </c>
      <c r="AE61" s="614">
        <f t="shared" si="4"/>
        <v>0</v>
      </c>
      <c r="AF61" s="614">
        <f t="shared" si="5"/>
        <v>0</v>
      </c>
      <c r="AG61" s="614">
        <f t="shared" si="6"/>
        <v>0</v>
      </c>
      <c r="AI61" s="296">
        <f t="shared" si="7"/>
        <v>2</v>
      </c>
      <c r="AJ61" s="595">
        <f t="shared" si="8"/>
        <v>0</v>
      </c>
      <c r="AK61" s="595">
        <f t="shared" si="9"/>
        <v>0</v>
      </c>
      <c r="AL61" s="1682">
        <f t="shared" si="10"/>
        <v>0</v>
      </c>
      <c r="AM61" s="1952">
        <f t="shared" si="11"/>
        <v>0</v>
      </c>
      <c r="AO61" s="1806"/>
      <c r="AP61" s="1160"/>
    </row>
    <row r="62" spans="1:42" x14ac:dyDescent="0.2">
      <c r="A62" s="1740" t="str">
        <f t="shared" si="1"/>
        <v xml:space="preserve">Weidelgras </v>
      </c>
      <c r="B62" s="1740">
        <f t="shared" si="24"/>
        <v>58</v>
      </c>
      <c r="C62" s="1740" t="s">
        <v>631</v>
      </c>
      <c r="D62" s="1740" t="s">
        <v>632</v>
      </c>
      <c r="E62" s="1263" t="s">
        <v>560</v>
      </c>
      <c r="F62" s="1263" t="s">
        <v>633</v>
      </c>
      <c r="G62" s="1263">
        <v>6</v>
      </c>
      <c r="H62" s="1263">
        <v>3</v>
      </c>
      <c r="I62" s="1263">
        <v>1</v>
      </c>
      <c r="J62" s="1263">
        <v>5</v>
      </c>
      <c r="K62" s="1741" t="s">
        <v>584</v>
      </c>
      <c r="L62" s="1700"/>
      <c r="M62" s="1742">
        <v>20</v>
      </c>
      <c r="N62" s="1702">
        <v>0.53</v>
      </c>
      <c r="O62" s="1703">
        <v>0.16</v>
      </c>
      <c r="P62" s="1702">
        <v>0.72</v>
      </c>
      <c r="Q62" s="1703">
        <v>0.08</v>
      </c>
      <c r="R62" s="1743"/>
      <c r="S62" s="1744"/>
      <c r="T62" s="1745">
        <v>0.87</v>
      </c>
      <c r="U62" s="1746">
        <v>87</v>
      </c>
      <c r="V62" s="1666">
        <v>596</v>
      </c>
      <c r="W62" s="1747">
        <v>55.000000000000007</v>
      </c>
      <c r="X62" s="1748">
        <v>100</v>
      </c>
      <c r="Y62" s="1749">
        <v>55</v>
      </c>
      <c r="Z62" s="1263">
        <v>0</v>
      </c>
      <c r="AD62" s="614">
        <f t="shared" si="3"/>
        <v>5.3000000000000007</v>
      </c>
      <c r="AE62" s="614">
        <f t="shared" si="4"/>
        <v>1.6</v>
      </c>
      <c r="AF62" s="614">
        <f t="shared" si="5"/>
        <v>7.1999999999999993</v>
      </c>
      <c r="AG62" s="614">
        <f t="shared" si="6"/>
        <v>0.8</v>
      </c>
      <c r="AI62" s="296">
        <f t="shared" si="7"/>
        <v>2</v>
      </c>
      <c r="AJ62" s="595">
        <f t="shared" si="8"/>
        <v>0</v>
      </c>
      <c r="AK62" s="595">
        <f t="shared" si="9"/>
        <v>0</v>
      </c>
      <c r="AL62" s="1940">
        <f t="shared" si="10"/>
        <v>0.55000000000000004</v>
      </c>
      <c r="AM62" s="1954">
        <f t="shared" si="11"/>
        <v>0.55000000000000004</v>
      </c>
      <c r="AO62" s="1749"/>
      <c r="AP62" s="1160"/>
    </row>
    <row r="63" spans="1:42" x14ac:dyDescent="0.2">
      <c r="A63" s="1740" t="str">
        <f t="shared" si="1"/>
        <v>Alexandrinerklee</v>
      </c>
      <c r="B63" s="1740">
        <f t="shared" si="24"/>
        <v>59</v>
      </c>
      <c r="C63" s="1740" t="s">
        <v>634</v>
      </c>
      <c r="D63" s="1740" t="s">
        <v>635</v>
      </c>
      <c r="E63" s="1263" t="s">
        <v>560</v>
      </c>
      <c r="F63" s="1263" t="s">
        <v>633</v>
      </c>
      <c r="G63" s="1263">
        <v>6</v>
      </c>
      <c r="H63" s="1263">
        <v>3</v>
      </c>
      <c r="I63" s="1263">
        <v>1</v>
      </c>
      <c r="J63" s="1263">
        <v>5</v>
      </c>
      <c r="K63" s="1741" t="s">
        <v>584</v>
      </c>
      <c r="L63" s="1700"/>
      <c r="M63" s="1701">
        <v>20</v>
      </c>
      <c r="N63" s="1750">
        <v>0.46</v>
      </c>
      <c r="O63" s="1751">
        <v>0.14000000000000001</v>
      </c>
      <c r="P63" s="1752">
        <v>0.5</v>
      </c>
      <c r="Q63" s="1751">
        <v>0.05</v>
      </c>
      <c r="R63" s="1753"/>
      <c r="S63" s="1744"/>
      <c r="T63" s="1754">
        <v>0.86</v>
      </c>
      <c r="U63" s="1755">
        <v>86</v>
      </c>
      <c r="V63" s="1683">
        <v>545</v>
      </c>
      <c r="W63" s="1756">
        <v>56.000000000000007</v>
      </c>
      <c r="X63" s="1757">
        <v>100</v>
      </c>
      <c r="Y63" s="1749">
        <v>55</v>
      </c>
      <c r="Z63" s="1263">
        <v>0</v>
      </c>
      <c r="AD63" s="614">
        <f t="shared" ref="AD63:AG68" si="32">N63*10</f>
        <v>4.6000000000000005</v>
      </c>
      <c r="AE63" s="614">
        <f t="shared" si="32"/>
        <v>1.4000000000000001</v>
      </c>
      <c r="AF63" s="614">
        <f t="shared" si="32"/>
        <v>5</v>
      </c>
      <c r="AG63" s="614">
        <f t="shared" si="32"/>
        <v>0.5</v>
      </c>
      <c r="AI63" s="296">
        <f t="shared" si="7"/>
        <v>2</v>
      </c>
      <c r="AJ63" s="595">
        <f t="shared" si="8"/>
        <v>0</v>
      </c>
      <c r="AK63" s="595">
        <f t="shared" si="9"/>
        <v>0</v>
      </c>
      <c r="AL63" s="1941">
        <f t="shared" si="10"/>
        <v>0.56000000000000005</v>
      </c>
      <c r="AM63" s="1954">
        <f t="shared" si="11"/>
        <v>0.55000000000000004</v>
      </c>
      <c r="AO63" s="1749"/>
      <c r="AP63" s="1160"/>
    </row>
    <row r="64" spans="1:42" x14ac:dyDescent="0.2">
      <c r="A64" s="1740" t="str">
        <f t="shared" si="1"/>
        <v>GPS Sommerraps</v>
      </c>
      <c r="B64" s="1740">
        <f t="shared" si="24"/>
        <v>60</v>
      </c>
      <c r="C64" s="1740" t="s">
        <v>636</v>
      </c>
      <c r="D64" s="1740" t="s">
        <v>637</v>
      </c>
      <c r="E64" s="1263" t="s">
        <v>560</v>
      </c>
      <c r="F64" s="1263" t="s">
        <v>633</v>
      </c>
      <c r="G64" s="1263">
        <v>7</v>
      </c>
      <c r="H64" s="1263">
        <v>3</v>
      </c>
      <c r="I64" s="1263">
        <v>1</v>
      </c>
      <c r="J64" s="1263">
        <v>5</v>
      </c>
      <c r="K64" s="1741" t="s">
        <v>584</v>
      </c>
      <c r="L64" s="1700"/>
      <c r="M64" s="1701">
        <v>20</v>
      </c>
      <c r="N64" s="1750">
        <v>0.46</v>
      </c>
      <c r="O64" s="1751">
        <v>0.14000000000000001</v>
      </c>
      <c r="P64" s="1752">
        <v>0.5</v>
      </c>
      <c r="Q64" s="1751">
        <v>0.05</v>
      </c>
      <c r="R64" s="1743"/>
      <c r="S64" s="1744"/>
      <c r="T64" s="1754">
        <v>0.82</v>
      </c>
      <c r="U64" s="1755">
        <v>82</v>
      </c>
      <c r="V64" s="1683">
        <v>661</v>
      </c>
      <c r="W64" s="1756">
        <v>56.000000000000007</v>
      </c>
      <c r="X64" s="1757">
        <v>100</v>
      </c>
      <c r="Y64" s="1749">
        <v>55</v>
      </c>
      <c r="Z64" s="1263">
        <v>0</v>
      </c>
      <c r="AD64" s="614">
        <f t="shared" si="32"/>
        <v>4.6000000000000005</v>
      </c>
      <c r="AE64" s="614">
        <f t="shared" si="32"/>
        <v>1.4000000000000001</v>
      </c>
      <c r="AF64" s="614">
        <f t="shared" si="32"/>
        <v>5</v>
      </c>
      <c r="AG64" s="614">
        <f t="shared" si="32"/>
        <v>0.5</v>
      </c>
      <c r="AI64" s="296">
        <f t="shared" si="7"/>
        <v>2</v>
      </c>
      <c r="AJ64" s="595">
        <f t="shared" si="8"/>
        <v>0</v>
      </c>
      <c r="AK64" s="595">
        <f t="shared" si="9"/>
        <v>0</v>
      </c>
      <c r="AL64" s="1941">
        <f t="shared" si="10"/>
        <v>0.56000000000000005</v>
      </c>
      <c r="AM64" s="1954">
        <f t="shared" si="11"/>
        <v>0.55000000000000004</v>
      </c>
      <c r="AO64" s="1749"/>
      <c r="AP64" s="1160"/>
    </row>
    <row r="65" spans="1:42" x14ac:dyDescent="0.2">
      <c r="A65" s="1740" t="str">
        <f t="shared" si="1"/>
        <v>GPS Winterraps</v>
      </c>
      <c r="B65" s="1740">
        <f t="shared" si="24"/>
        <v>61</v>
      </c>
      <c r="C65" s="1740" t="s">
        <v>638</v>
      </c>
      <c r="D65" s="1740" t="s">
        <v>639</v>
      </c>
      <c r="E65" s="1263" t="s">
        <v>560</v>
      </c>
      <c r="F65" s="1263" t="s">
        <v>633</v>
      </c>
      <c r="G65" s="1263">
        <v>7</v>
      </c>
      <c r="H65" s="1263">
        <v>3</v>
      </c>
      <c r="I65" s="1263">
        <v>1</v>
      </c>
      <c r="J65" s="1263">
        <v>5</v>
      </c>
      <c r="K65" s="1741" t="s">
        <v>584</v>
      </c>
      <c r="L65" s="1700"/>
      <c r="M65" s="1701">
        <v>20</v>
      </c>
      <c r="N65" s="1750">
        <v>0.46</v>
      </c>
      <c r="O65" s="1751">
        <v>0.14000000000000001</v>
      </c>
      <c r="P65" s="1752">
        <v>0.5</v>
      </c>
      <c r="Q65" s="1751">
        <v>0.05</v>
      </c>
      <c r="R65" s="1743"/>
      <c r="S65" s="1744"/>
      <c r="T65" s="1754">
        <v>0.82</v>
      </c>
      <c r="U65" s="1755">
        <v>82</v>
      </c>
      <c r="V65" s="1683">
        <v>661</v>
      </c>
      <c r="W65" s="1756">
        <v>56.000000000000007</v>
      </c>
      <c r="X65" s="1757">
        <v>100</v>
      </c>
      <c r="Y65" s="1749">
        <v>55</v>
      </c>
      <c r="Z65" s="1263">
        <v>0</v>
      </c>
      <c r="AD65" s="614">
        <f t="shared" si="32"/>
        <v>4.6000000000000005</v>
      </c>
      <c r="AE65" s="614">
        <f t="shared" si="32"/>
        <v>1.4000000000000001</v>
      </c>
      <c r="AF65" s="614">
        <f t="shared" si="32"/>
        <v>5</v>
      </c>
      <c r="AG65" s="614">
        <f t="shared" si="32"/>
        <v>0.5</v>
      </c>
      <c r="AI65" s="296">
        <f t="shared" si="7"/>
        <v>2</v>
      </c>
      <c r="AJ65" s="595">
        <f t="shared" si="8"/>
        <v>0</v>
      </c>
      <c r="AK65" s="595">
        <f t="shared" si="9"/>
        <v>0</v>
      </c>
      <c r="AL65" s="1941">
        <f t="shared" si="10"/>
        <v>0.56000000000000005</v>
      </c>
      <c r="AM65" s="1954">
        <f t="shared" si="11"/>
        <v>0.55000000000000004</v>
      </c>
      <c r="AO65" s="1749"/>
      <c r="AP65" s="1160"/>
    </row>
    <row r="66" spans="1:42" x14ac:dyDescent="0.2">
      <c r="A66" s="1740" t="str">
        <f t="shared" si="1"/>
        <v>GPS Winterrübsen</v>
      </c>
      <c r="B66" s="1740">
        <f t="shared" si="24"/>
        <v>62</v>
      </c>
      <c r="C66" s="1740" t="s">
        <v>640</v>
      </c>
      <c r="D66" s="1740" t="s">
        <v>641</v>
      </c>
      <c r="E66" s="1263" t="s">
        <v>560</v>
      </c>
      <c r="F66" s="1263" t="s">
        <v>633</v>
      </c>
      <c r="G66" s="1263">
        <v>7</v>
      </c>
      <c r="H66" s="1263">
        <v>3</v>
      </c>
      <c r="I66" s="1263">
        <v>1</v>
      </c>
      <c r="J66" s="1263">
        <v>5</v>
      </c>
      <c r="K66" s="1741" t="s">
        <v>584</v>
      </c>
      <c r="L66" s="1700"/>
      <c r="M66" s="1701">
        <v>20</v>
      </c>
      <c r="N66" s="1750">
        <v>0.46</v>
      </c>
      <c r="O66" s="1751">
        <v>0.14000000000000001</v>
      </c>
      <c r="P66" s="1752">
        <v>0.5</v>
      </c>
      <c r="Q66" s="1751">
        <v>0.05</v>
      </c>
      <c r="R66" s="1743"/>
      <c r="S66" s="1744"/>
      <c r="T66" s="1754">
        <v>0.85</v>
      </c>
      <c r="U66" s="1755">
        <v>85</v>
      </c>
      <c r="V66" s="1683">
        <v>675</v>
      </c>
      <c r="W66" s="1756">
        <v>54</v>
      </c>
      <c r="X66" s="1757">
        <v>100</v>
      </c>
      <c r="Y66" s="1749">
        <v>55</v>
      </c>
      <c r="Z66" s="1263">
        <v>0</v>
      </c>
      <c r="AD66" s="614">
        <f t="shared" si="32"/>
        <v>4.6000000000000005</v>
      </c>
      <c r="AE66" s="614">
        <f t="shared" si="32"/>
        <v>1.4000000000000001</v>
      </c>
      <c r="AF66" s="614">
        <f t="shared" si="32"/>
        <v>5</v>
      </c>
      <c r="AG66" s="614">
        <f t="shared" si="32"/>
        <v>0.5</v>
      </c>
      <c r="AI66" s="296">
        <f t="shared" si="7"/>
        <v>2</v>
      </c>
      <c r="AJ66" s="595">
        <f t="shared" si="8"/>
        <v>0</v>
      </c>
      <c r="AK66" s="595">
        <f t="shared" si="9"/>
        <v>0</v>
      </c>
      <c r="AL66" s="1941">
        <f t="shared" si="10"/>
        <v>0.54</v>
      </c>
      <c r="AM66" s="1954">
        <f t="shared" si="11"/>
        <v>0.55000000000000004</v>
      </c>
      <c r="AO66" s="1749"/>
      <c r="AP66" s="1160"/>
    </row>
    <row r="67" spans="1:42" x14ac:dyDescent="0.2">
      <c r="A67" s="1740" t="str">
        <f t="shared" si="1"/>
        <v>GPS Senf weiß/gelb</v>
      </c>
      <c r="B67" s="1740">
        <f t="shared" si="24"/>
        <v>63</v>
      </c>
      <c r="C67" s="1740" t="s">
        <v>642</v>
      </c>
      <c r="D67" s="1740" t="s">
        <v>643</v>
      </c>
      <c r="E67" s="1263" t="s">
        <v>560</v>
      </c>
      <c r="F67" s="1263" t="s">
        <v>633</v>
      </c>
      <c r="G67" s="1263">
        <v>7</v>
      </c>
      <c r="H67" s="1263">
        <v>3</v>
      </c>
      <c r="I67" s="1263">
        <v>1</v>
      </c>
      <c r="J67" s="1263">
        <v>5</v>
      </c>
      <c r="K67" s="1741" t="s">
        <v>584</v>
      </c>
      <c r="L67" s="1700"/>
      <c r="M67" s="1701">
        <v>20</v>
      </c>
      <c r="N67" s="1750">
        <v>0.46</v>
      </c>
      <c r="O67" s="1751">
        <v>0.14000000000000001</v>
      </c>
      <c r="P67" s="1752">
        <v>0.5</v>
      </c>
      <c r="Q67" s="1751">
        <v>0.05</v>
      </c>
      <c r="R67" s="1706"/>
      <c r="S67" s="1744"/>
      <c r="T67" s="1754">
        <v>0.84</v>
      </c>
      <c r="U67" s="1755">
        <v>84</v>
      </c>
      <c r="V67" s="1683">
        <v>566</v>
      </c>
      <c r="W67" s="1756">
        <v>56.000000000000007</v>
      </c>
      <c r="X67" s="1757">
        <v>100</v>
      </c>
      <c r="Y67" s="1749">
        <v>55</v>
      </c>
      <c r="Z67" s="1263">
        <v>0</v>
      </c>
      <c r="AD67" s="614">
        <f t="shared" si="32"/>
        <v>4.6000000000000005</v>
      </c>
      <c r="AE67" s="614">
        <f t="shared" si="32"/>
        <v>1.4000000000000001</v>
      </c>
      <c r="AF67" s="614">
        <f t="shared" si="32"/>
        <v>5</v>
      </c>
      <c r="AG67" s="614">
        <f t="shared" si="32"/>
        <v>0.5</v>
      </c>
      <c r="AI67" s="296">
        <f t="shared" si="7"/>
        <v>2</v>
      </c>
      <c r="AJ67" s="595">
        <f t="shared" si="8"/>
        <v>0</v>
      </c>
      <c r="AK67" s="595">
        <f t="shared" si="9"/>
        <v>0</v>
      </c>
      <c r="AL67" s="1941">
        <f t="shared" si="10"/>
        <v>0.56000000000000005</v>
      </c>
      <c r="AM67" s="1954">
        <f t="shared" si="11"/>
        <v>0.55000000000000004</v>
      </c>
      <c r="AO67" s="1749"/>
      <c r="AP67" s="1160"/>
    </row>
    <row r="68" spans="1:42" x14ac:dyDescent="0.2">
      <c r="A68" s="1740" t="str">
        <f t="shared" si="1"/>
        <v>GPS Winterroggen/Grünroggen</v>
      </c>
      <c r="B68" s="1740">
        <f t="shared" si="24"/>
        <v>64</v>
      </c>
      <c r="C68" s="1740" t="s">
        <v>644</v>
      </c>
      <c r="D68" s="1740" t="s">
        <v>645</v>
      </c>
      <c r="E68" s="1263" t="s">
        <v>560</v>
      </c>
      <c r="F68" s="1263" t="s">
        <v>633</v>
      </c>
      <c r="G68" s="1263">
        <v>7</v>
      </c>
      <c r="H68" s="1263">
        <v>3</v>
      </c>
      <c r="I68" s="1263">
        <v>1</v>
      </c>
      <c r="J68" s="1263">
        <v>5</v>
      </c>
      <c r="K68" s="1741" t="s">
        <v>584</v>
      </c>
      <c r="L68" s="1700"/>
      <c r="M68" s="1742">
        <v>30</v>
      </c>
      <c r="N68" s="1758">
        <v>0.48</v>
      </c>
      <c r="O68" s="1752">
        <v>0.2</v>
      </c>
      <c r="P68" s="1752">
        <v>0.4</v>
      </c>
      <c r="Q68" s="1752">
        <v>0.09</v>
      </c>
      <c r="R68" s="1743"/>
      <c r="S68" s="1744"/>
      <c r="T68" s="1754">
        <v>0.89</v>
      </c>
      <c r="U68" s="1755">
        <v>89</v>
      </c>
      <c r="V68" s="1683">
        <v>589</v>
      </c>
      <c r="W68" s="1756">
        <v>54</v>
      </c>
      <c r="X68" s="1757">
        <v>100</v>
      </c>
      <c r="Y68" s="1749">
        <v>55</v>
      </c>
      <c r="Z68" s="1263">
        <v>0</v>
      </c>
      <c r="AA68" s="596">
        <v>6</v>
      </c>
      <c r="AB68" s="596">
        <v>6</v>
      </c>
      <c r="AD68" s="614">
        <f t="shared" si="32"/>
        <v>4.8</v>
      </c>
      <c r="AE68" s="614">
        <f t="shared" si="32"/>
        <v>2</v>
      </c>
      <c r="AF68" s="614">
        <f t="shared" si="32"/>
        <v>4</v>
      </c>
      <c r="AG68" s="614">
        <f t="shared" si="32"/>
        <v>0.89999999999999991</v>
      </c>
      <c r="AI68" s="296">
        <f t="shared" si="7"/>
        <v>1</v>
      </c>
      <c r="AJ68" s="595">
        <f t="shared" si="8"/>
        <v>6</v>
      </c>
      <c r="AK68" s="595">
        <f t="shared" si="9"/>
        <v>6</v>
      </c>
      <c r="AL68" s="1941">
        <f t="shared" si="10"/>
        <v>0.54</v>
      </c>
      <c r="AM68" s="1954">
        <f t="shared" si="11"/>
        <v>0.55000000000000004</v>
      </c>
      <c r="AO68" s="1749"/>
      <c r="AP68" s="1160"/>
    </row>
    <row r="69" spans="1:42" x14ac:dyDescent="0.2">
      <c r="A69" s="1740" t="str">
        <f t="shared" si="1"/>
        <v>GPS Sorghumhirse</v>
      </c>
      <c r="B69" s="1740">
        <f t="shared" si="24"/>
        <v>65</v>
      </c>
      <c r="C69" s="1740" t="s">
        <v>646</v>
      </c>
      <c r="D69" s="1740" t="s">
        <v>647</v>
      </c>
      <c r="E69" s="1263" t="s">
        <v>560</v>
      </c>
      <c r="F69" s="1263" t="s">
        <v>633</v>
      </c>
      <c r="G69" s="1263">
        <v>8</v>
      </c>
      <c r="H69" s="1263">
        <v>3</v>
      </c>
      <c r="I69" s="1263">
        <v>1</v>
      </c>
      <c r="J69" s="1263">
        <v>5</v>
      </c>
      <c r="K69" s="1741" t="s">
        <v>584</v>
      </c>
      <c r="L69" s="1700"/>
      <c r="M69" s="1742">
        <v>28</v>
      </c>
      <c r="N69" s="1759">
        <v>0.41</v>
      </c>
      <c r="O69" s="1703">
        <v>0.18</v>
      </c>
      <c r="P69" s="1703">
        <v>0.48</v>
      </c>
      <c r="Q69" s="1703">
        <v>0.04</v>
      </c>
      <c r="R69" s="1706"/>
      <c r="S69" s="1744"/>
      <c r="T69" s="1754">
        <v>0.92</v>
      </c>
      <c r="U69" s="1755">
        <v>92</v>
      </c>
      <c r="V69" s="1683">
        <v>531</v>
      </c>
      <c r="W69" s="1756">
        <v>52</v>
      </c>
      <c r="X69" s="1757">
        <v>100</v>
      </c>
      <c r="Y69" s="1749">
        <v>55</v>
      </c>
      <c r="Z69" s="1263">
        <v>0</v>
      </c>
      <c r="AA69" s="596">
        <v>9</v>
      </c>
      <c r="AB69" s="596">
        <v>10</v>
      </c>
      <c r="AD69" s="614">
        <f t="shared" ref="AD69:AD70" si="33">N69*10</f>
        <v>4.0999999999999996</v>
      </c>
      <c r="AE69" s="614">
        <f t="shared" ref="AE69:AE70" si="34">O69*10</f>
        <v>1.7999999999999998</v>
      </c>
      <c r="AF69" s="614">
        <f t="shared" ref="AF69:AF70" si="35">P69*10</f>
        <v>4.8</v>
      </c>
      <c r="AG69" s="614">
        <f t="shared" ref="AG69:AG70" si="36">Q69*10</f>
        <v>0.4</v>
      </c>
      <c r="AI69" s="296">
        <f t="shared" si="7"/>
        <v>1</v>
      </c>
      <c r="AJ69" s="595">
        <f t="shared" si="8"/>
        <v>9</v>
      </c>
      <c r="AK69" s="595">
        <f t="shared" si="9"/>
        <v>10</v>
      </c>
      <c r="AL69" s="1941">
        <f t="shared" si="10"/>
        <v>0.52</v>
      </c>
      <c r="AM69" s="1954">
        <f t="shared" si="11"/>
        <v>0.55000000000000004</v>
      </c>
      <c r="AO69" s="1749"/>
      <c r="AP69" s="1160"/>
    </row>
    <row r="70" spans="1:42" x14ac:dyDescent="0.2">
      <c r="A70" s="1760" t="str">
        <f t="shared" si="1"/>
        <v xml:space="preserve"> +++Zwischenfrucht+++</v>
      </c>
      <c r="B70" s="1760">
        <f t="shared" si="24"/>
        <v>66</v>
      </c>
      <c r="C70" s="1760" t="s">
        <v>648</v>
      </c>
      <c r="D70" s="1760"/>
      <c r="E70" s="1263" t="s">
        <v>560</v>
      </c>
      <c r="F70" s="1263" t="s">
        <v>633</v>
      </c>
      <c r="G70" s="1263"/>
      <c r="H70" s="1263"/>
      <c r="I70" s="1263"/>
      <c r="J70" s="1263"/>
      <c r="K70" s="1761"/>
      <c r="L70" s="1675"/>
      <c r="M70" s="1762"/>
      <c r="N70" s="1763"/>
      <c r="O70" s="1679"/>
      <c r="P70" s="1679"/>
      <c r="Q70" s="1679"/>
      <c r="R70" s="1694"/>
      <c r="S70" s="1764"/>
      <c r="T70" s="1765" t="s">
        <v>567</v>
      </c>
      <c r="U70" s="1766"/>
      <c r="V70" s="1693" t="s">
        <v>567</v>
      </c>
      <c r="W70" s="1767" t="s">
        <v>567</v>
      </c>
      <c r="X70" s="1768"/>
      <c r="Y70" s="1769"/>
      <c r="Z70" s="1263">
        <v>0</v>
      </c>
      <c r="AD70" s="614">
        <f t="shared" si="33"/>
        <v>0</v>
      </c>
      <c r="AE70" s="614">
        <f t="shared" si="34"/>
        <v>0</v>
      </c>
      <c r="AF70" s="614">
        <f t="shared" si="35"/>
        <v>0</v>
      </c>
      <c r="AG70" s="614">
        <f t="shared" si="36"/>
        <v>0</v>
      </c>
      <c r="AI70" s="296">
        <f t="shared" si="7"/>
        <v>2</v>
      </c>
      <c r="AJ70" s="595">
        <f t="shared" si="8"/>
        <v>0</v>
      </c>
      <c r="AK70" s="595">
        <f t="shared" si="9"/>
        <v>0</v>
      </c>
      <c r="AL70" s="1942"/>
      <c r="AM70" s="1955">
        <f t="shared" si="11"/>
        <v>0</v>
      </c>
      <c r="AO70" s="1749"/>
      <c r="AP70" s="1160"/>
    </row>
    <row r="71" spans="1:42" x14ac:dyDescent="0.2">
      <c r="A71" s="1740" t="str">
        <f t="shared" si="1"/>
        <v>Zwischenfrucht 0 - 25 % Leg.</v>
      </c>
      <c r="B71" s="1740">
        <f t="shared" si="24"/>
        <v>67</v>
      </c>
      <c r="C71" s="1740" t="s">
        <v>8475</v>
      </c>
      <c r="D71" s="1740" t="s">
        <v>650</v>
      </c>
      <c r="E71" s="1263" t="s">
        <v>560</v>
      </c>
      <c r="F71" s="1263" t="s">
        <v>633</v>
      </c>
      <c r="G71" s="1263">
        <v>7</v>
      </c>
      <c r="H71" s="1263">
        <v>3</v>
      </c>
      <c r="I71" s="1263">
        <v>1</v>
      </c>
      <c r="J71" s="1263">
        <v>5</v>
      </c>
      <c r="K71" s="1770" t="s">
        <v>584</v>
      </c>
      <c r="L71" s="1771"/>
      <c r="M71" s="1772">
        <v>16</v>
      </c>
      <c r="N71" s="1773">
        <v>0.46</v>
      </c>
      <c r="O71" s="1774">
        <v>0.14000000000000001</v>
      </c>
      <c r="P71" s="1775">
        <v>0.5</v>
      </c>
      <c r="Q71" s="1776">
        <v>0.05</v>
      </c>
      <c r="R71" s="1777"/>
      <c r="S71" s="1778"/>
      <c r="T71" s="1754">
        <v>0.87</v>
      </c>
      <c r="U71" s="1755">
        <v>87</v>
      </c>
      <c r="V71" s="1683">
        <v>560</v>
      </c>
      <c r="W71" s="1756">
        <v>54</v>
      </c>
      <c r="X71" s="1757">
        <v>100</v>
      </c>
      <c r="Y71" s="1749">
        <v>55</v>
      </c>
      <c r="Z71" s="621">
        <v>0</v>
      </c>
      <c r="AA71" s="596">
        <v>9</v>
      </c>
      <c r="AB71" s="596">
        <v>10</v>
      </c>
      <c r="AD71" s="614">
        <f t="shared" si="3"/>
        <v>4.6000000000000005</v>
      </c>
      <c r="AE71" s="614">
        <f t="shared" si="4"/>
        <v>1.4000000000000001</v>
      </c>
      <c r="AF71" s="614">
        <f t="shared" si="5"/>
        <v>5</v>
      </c>
      <c r="AG71" s="614">
        <f t="shared" si="6"/>
        <v>0.5</v>
      </c>
      <c r="AI71" s="296">
        <f t="shared" si="7"/>
        <v>1</v>
      </c>
      <c r="AJ71" s="595">
        <f t="shared" si="8"/>
        <v>9</v>
      </c>
      <c r="AK71" s="595">
        <f t="shared" si="9"/>
        <v>10</v>
      </c>
      <c r="AL71" s="1941">
        <f t="shared" si="10"/>
        <v>0.54</v>
      </c>
      <c r="AM71" s="1954">
        <f t="shared" si="11"/>
        <v>0.55000000000000004</v>
      </c>
      <c r="AO71" s="1749"/>
      <c r="AP71" s="1160"/>
    </row>
    <row r="72" spans="1:42" x14ac:dyDescent="0.2">
      <c r="A72" s="1740" t="str">
        <f t="shared" si="1"/>
        <v>Zwischenfrucht 25 - 75 % Leg.</v>
      </c>
      <c r="B72" s="1740">
        <f t="shared" si="24"/>
        <v>68</v>
      </c>
      <c r="C72" s="1740" t="s">
        <v>8476</v>
      </c>
      <c r="D72" s="1740" t="s">
        <v>652</v>
      </c>
      <c r="E72" s="1263" t="s">
        <v>560</v>
      </c>
      <c r="F72" s="1263" t="s">
        <v>633</v>
      </c>
      <c r="G72" s="1263">
        <v>7</v>
      </c>
      <c r="H72" s="1263">
        <v>3</v>
      </c>
      <c r="I72" s="1263">
        <v>1</v>
      </c>
      <c r="J72" s="1263">
        <v>5</v>
      </c>
      <c r="K72" s="1770" t="s">
        <v>584</v>
      </c>
      <c r="L72" s="1771"/>
      <c r="M72" s="1772">
        <v>16</v>
      </c>
      <c r="N72" s="1773">
        <v>0.46</v>
      </c>
      <c r="O72" s="1779">
        <v>0.14000000000000001</v>
      </c>
      <c r="P72" s="1775">
        <v>0.5</v>
      </c>
      <c r="Q72" s="1780">
        <v>0.05</v>
      </c>
      <c r="R72" s="1777"/>
      <c r="S72" s="1778"/>
      <c r="T72" s="1781">
        <v>0.87</v>
      </c>
      <c r="U72" s="1782">
        <v>87</v>
      </c>
      <c r="V72" s="1683">
        <v>560</v>
      </c>
      <c r="W72" s="1756">
        <v>54</v>
      </c>
      <c r="X72" s="1757">
        <v>100</v>
      </c>
      <c r="Y72" s="1749">
        <v>55</v>
      </c>
      <c r="Z72" s="621">
        <v>0</v>
      </c>
      <c r="AA72" s="596">
        <v>9</v>
      </c>
      <c r="AB72" s="596">
        <v>10</v>
      </c>
      <c r="AD72" s="614">
        <f t="shared" si="3"/>
        <v>4.6000000000000005</v>
      </c>
      <c r="AE72" s="614">
        <f t="shared" si="4"/>
        <v>1.4000000000000001</v>
      </c>
      <c r="AF72" s="614">
        <f t="shared" si="5"/>
        <v>5</v>
      </c>
      <c r="AG72" s="614">
        <f t="shared" si="6"/>
        <v>0.5</v>
      </c>
      <c r="AI72" s="296">
        <f t="shared" si="7"/>
        <v>1</v>
      </c>
      <c r="AJ72" s="595">
        <f t="shared" si="8"/>
        <v>9</v>
      </c>
      <c r="AK72" s="595">
        <f t="shared" si="9"/>
        <v>10</v>
      </c>
      <c r="AL72" s="1941">
        <f t="shared" si="10"/>
        <v>0.54</v>
      </c>
      <c r="AM72" s="1954">
        <f t="shared" si="11"/>
        <v>0.55000000000000004</v>
      </c>
      <c r="AO72" s="1749"/>
      <c r="AP72" s="1160"/>
    </row>
    <row r="73" spans="1:42" ht="13.5" thickBot="1" x14ac:dyDescent="0.25">
      <c r="A73" s="1740" t="str">
        <f t="shared" ref="A73:A80" si="37">C73</f>
        <v>Zwischenfrucht über 75 % Leg.</v>
      </c>
      <c r="B73" s="1740">
        <f t="shared" si="24"/>
        <v>69</v>
      </c>
      <c r="C73" s="1740" t="s">
        <v>8477</v>
      </c>
      <c r="D73" s="1740" t="s">
        <v>653</v>
      </c>
      <c r="E73" s="1263" t="s">
        <v>560</v>
      </c>
      <c r="F73" s="1263" t="s">
        <v>633</v>
      </c>
      <c r="G73" s="1263">
        <v>7</v>
      </c>
      <c r="H73" s="1263">
        <v>3</v>
      </c>
      <c r="I73" s="1263">
        <v>1</v>
      </c>
      <c r="J73" s="1263">
        <v>5</v>
      </c>
      <c r="K73" s="1770" t="s">
        <v>584</v>
      </c>
      <c r="L73" s="1771"/>
      <c r="M73" s="1772">
        <v>16</v>
      </c>
      <c r="N73" s="1773">
        <v>0.46</v>
      </c>
      <c r="O73" s="1774">
        <v>0.14000000000000001</v>
      </c>
      <c r="P73" s="1775">
        <v>0.5</v>
      </c>
      <c r="Q73" s="1776">
        <v>0.05</v>
      </c>
      <c r="R73" s="1777"/>
      <c r="S73" s="1778"/>
      <c r="T73" s="1781">
        <v>0.87</v>
      </c>
      <c r="U73" s="1782">
        <v>87</v>
      </c>
      <c r="V73" s="1683">
        <v>560</v>
      </c>
      <c r="W73" s="1756">
        <v>54</v>
      </c>
      <c r="X73" s="1749">
        <v>100</v>
      </c>
      <c r="Y73" s="1749">
        <v>55</v>
      </c>
      <c r="Z73" s="621">
        <v>0</v>
      </c>
      <c r="AA73" s="596">
        <v>9</v>
      </c>
      <c r="AB73" s="596">
        <v>10</v>
      </c>
      <c r="AD73" s="614">
        <f t="shared" si="3"/>
        <v>4.6000000000000005</v>
      </c>
      <c r="AE73" s="614">
        <f t="shared" si="4"/>
        <v>1.4000000000000001</v>
      </c>
      <c r="AF73" s="614">
        <f t="shared" si="5"/>
        <v>5</v>
      </c>
      <c r="AG73" s="614">
        <f t="shared" si="6"/>
        <v>0.5</v>
      </c>
      <c r="AI73" s="296">
        <f t="shared" si="7"/>
        <v>1</v>
      </c>
      <c r="AJ73" s="595">
        <f t="shared" si="8"/>
        <v>9</v>
      </c>
      <c r="AK73" s="595">
        <f t="shared" si="9"/>
        <v>10</v>
      </c>
      <c r="AL73" s="1941">
        <f t="shared" si="10"/>
        <v>0.54</v>
      </c>
      <c r="AM73" s="1954">
        <f t="shared" si="11"/>
        <v>0.55000000000000004</v>
      </c>
      <c r="AO73" s="1749"/>
      <c r="AP73" s="1160"/>
    </row>
    <row r="74" spans="1:42" x14ac:dyDescent="0.2">
      <c r="A74" s="1792" t="str">
        <f t="shared" si="37"/>
        <v xml:space="preserve"> +++Grünland+++</v>
      </c>
      <c r="B74" s="1792">
        <f t="shared" si="24"/>
        <v>70</v>
      </c>
      <c r="C74" s="1792" t="s">
        <v>654</v>
      </c>
      <c r="D74" s="1792" t="s">
        <v>655</v>
      </c>
      <c r="E74" s="596" t="s">
        <v>656</v>
      </c>
      <c r="G74" s="596">
        <v>13</v>
      </c>
      <c r="I74" s="596"/>
      <c r="J74" s="596">
        <v>6</v>
      </c>
      <c r="K74" s="1793"/>
      <c r="L74" s="1794"/>
      <c r="M74" s="1795"/>
      <c r="N74" s="1796"/>
      <c r="O74" s="1797"/>
      <c r="P74" s="1797"/>
      <c r="Q74" s="1797" t="s">
        <v>214</v>
      </c>
      <c r="R74" s="1795"/>
      <c r="S74" s="1156"/>
      <c r="T74" s="1647"/>
      <c r="U74" s="1652"/>
      <c r="V74" s="1652"/>
      <c r="W74" s="1798"/>
      <c r="X74" s="1653"/>
      <c r="Y74" s="1653"/>
      <c r="Z74" s="596">
        <v>0</v>
      </c>
      <c r="AD74" s="614">
        <f t="shared" si="3"/>
        <v>0</v>
      </c>
      <c r="AE74" s="614">
        <f t="shared" si="4"/>
        <v>0</v>
      </c>
      <c r="AF74" s="614">
        <f t="shared" si="5"/>
        <v>0</v>
      </c>
      <c r="AG74" s="614">
        <v>0</v>
      </c>
      <c r="AI74" s="296">
        <f t="shared" si="7"/>
        <v>2</v>
      </c>
      <c r="AJ74" s="595">
        <f t="shared" si="8"/>
        <v>0</v>
      </c>
      <c r="AK74" s="595">
        <f t="shared" si="9"/>
        <v>0</v>
      </c>
      <c r="AL74" s="1798">
        <f t="shared" si="10"/>
        <v>0</v>
      </c>
      <c r="AM74" s="1956">
        <f t="shared" si="11"/>
        <v>0</v>
      </c>
      <c r="AO74" s="1963"/>
      <c r="AP74" s="1160"/>
    </row>
    <row r="75" spans="1:42" x14ac:dyDescent="0.2">
      <c r="A75" s="624" t="str">
        <f t="shared" si="37"/>
        <v>1 Schnittnutzung</v>
      </c>
      <c r="B75" s="624">
        <f t="shared" si="24"/>
        <v>71</v>
      </c>
      <c r="C75" s="624" t="s">
        <v>967</v>
      </c>
      <c r="D75" s="624" t="s">
        <v>8339</v>
      </c>
      <c r="E75" s="596" t="s">
        <v>656</v>
      </c>
      <c r="F75" s="596" t="s">
        <v>655</v>
      </c>
      <c r="G75" s="596">
        <v>13</v>
      </c>
      <c r="H75" s="596">
        <v>3</v>
      </c>
      <c r="I75" s="596">
        <v>1</v>
      </c>
      <c r="J75" s="596">
        <v>6</v>
      </c>
      <c r="K75" s="1783"/>
      <c r="L75" s="1784"/>
      <c r="M75" s="1683">
        <v>100</v>
      </c>
      <c r="N75" s="1785">
        <v>1.38</v>
      </c>
      <c r="O75" s="1786">
        <v>0.5</v>
      </c>
      <c r="P75" s="1752">
        <v>1.93</v>
      </c>
      <c r="Q75" s="1752">
        <v>0.35</v>
      </c>
      <c r="R75" s="1787">
        <v>8.6</v>
      </c>
      <c r="S75" s="1788"/>
      <c r="T75" s="1682">
        <v>0.9</v>
      </c>
      <c r="U75" s="1683">
        <v>90</v>
      </c>
      <c r="V75" s="1683">
        <v>480</v>
      </c>
      <c r="W75" s="1789">
        <v>52</v>
      </c>
      <c r="X75" s="1782">
        <v>100</v>
      </c>
      <c r="Y75" s="1790">
        <v>55</v>
      </c>
      <c r="Z75" s="596">
        <v>0</v>
      </c>
      <c r="AD75" s="614">
        <f t="shared" si="3"/>
        <v>13.799999999999999</v>
      </c>
      <c r="AE75" s="614">
        <f t="shared" si="4"/>
        <v>5</v>
      </c>
      <c r="AF75" s="614">
        <f t="shared" si="5"/>
        <v>19.3</v>
      </c>
      <c r="AG75" s="614">
        <f t="shared" si="6"/>
        <v>3.5</v>
      </c>
      <c r="AI75" s="296">
        <f t="shared" si="7"/>
        <v>2</v>
      </c>
      <c r="AJ75" s="595">
        <f t="shared" si="8"/>
        <v>0</v>
      </c>
      <c r="AK75" s="595">
        <f t="shared" si="9"/>
        <v>0</v>
      </c>
      <c r="AL75" s="1943">
        <f t="shared" si="10"/>
        <v>0.52</v>
      </c>
      <c r="AM75" s="1944">
        <f t="shared" si="11"/>
        <v>0.55000000000000004</v>
      </c>
      <c r="AO75" s="1790"/>
      <c r="AP75" s="1160"/>
    </row>
    <row r="76" spans="1:42" x14ac:dyDescent="0.2">
      <c r="A76" s="624" t="str">
        <f t="shared" si="37"/>
        <v>2 Schnittnutzungen</v>
      </c>
      <c r="B76" s="624">
        <f t="shared" si="24"/>
        <v>72</v>
      </c>
      <c r="C76" s="624" t="s">
        <v>657</v>
      </c>
      <c r="D76" s="624" t="s">
        <v>658</v>
      </c>
      <c r="E76" s="596" t="s">
        <v>656</v>
      </c>
      <c r="F76" s="596" t="s">
        <v>655</v>
      </c>
      <c r="G76" s="596">
        <v>13</v>
      </c>
      <c r="H76" s="596">
        <v>3</v>
      </c>
      <c r="I76" s="596">
        <v>1</v>
      </c>
      <c r="J76" s="596">
        <v>6</v>
      </c>
      <c r="K76" s="1783"/>
      <c r="L76" s="1784"/>
      <c r="M76" s="1683">
        <v>100</v>
      </c>
      <c r="N76" s="1785">
        <v>1.82</v>
      </c>
      <c r="O76" s="1786">
        <v>0.65</v>
      </c>
      <c r="P76" s="1752">
        <v>2.41</v>
      </c>
      <c r="Q76" s="1752">
        <v>0.4</v>
      </c>
      <c r="R76" s="1787">
        <v>11.4</v>
      </c>
      <c r="S76" s="1788"/>
      <c r="T76" s="1682">
        <v>0.89</v>
      </c>
      <c r="U76" s="1683">
        <v>89</v>
      </c>
      <c r="V76" s="1683">
        <v>546</v>
      </c>
      <c r="W76" s="1789">
        <v>54</v>
      </c>
      <c r="X76" s="1782">
        <v>100</v>
      </c>
      <c r="Y76" s="1790">
        <v>55</v>
      </c>
      <c r="Z76" s="596">
        <v>0</v>
      </c>
      <c r="AD76" s="614">
        <f t="shared" si="3"/>
        <v>18.2</v>
      </c>
      <c r="AE76" s="614">
        <f t="shared" si="4"/>
        <v>6.5</v>
      </c>
      <c r="AF76" s="614">
        <f t="shared" si="5"/>
        <v>24.1</v>
      </c>
      <c r="AG76" s="614">
        <f t="shared" si="6"/>
        <v>4</v>
      </c>
      <c r="AI76" s="296">
        <f t="shared" si="7"/>
        <v>2</v>
      </c>
      <c r="AJ76" s="595">
        <f t="shared" si="8"/>
        <v>0</v>
      </c>
      <c r="AK76" s="595">
        <f t="shared" si="9"/>
        <v>0</v>
      </c>
      <c r="AL76" s="1943">
        <f t="shared" si="10"/>
        <v>0.54</v>
      </c>
      <c r="AM76" s="1944">
        <f t="shared" si="11"/>
        <v>0.55000000000000004</v>
      </c>
      <c r="AO76" s="1790"/>
      <c r="AP76" s="1160"/>
    </row>
    <row r="77" spans="1:42" x14ac:dyDescent="0.2">
      <c r="A77" s="624" t="str">
        <f t="shared" si="37"/>
        <v>3 Schnittnutzungen</v>
      </c>
      <c r="B77" s="624">
        <f t="shared" ref="B77:B108" si="38">IFERROR(MATCH(A77,$C$5:$C$119,0),1)</f>
        <v>73</v>
      </c>
      <c r="C77" s="624" t="s">
        <v>659</v>
      </c>
      <c r="D77" s="624" t="s">
        <v>660</v>
      </c>
      <c r="E77" s="596" t="s">
        <v>656</v>
      </c>
      <c r="F77" s="596" t="s">
        <v>655</v>
      </c>
      <c r="G77" s="596">
        <v>13</v>
      </c>
      <c r="H77" s="596">
        <v>3</v>
      </c>
      <c r="I77" s="596">
        <v>1</v>
      </c>
      <c r="J77" s="596">
        <v>6</v>
      </c>
      <c r="K77" s="1783"/>
      <c r="L77" s="1784"/>
      <c r="M77" s="1683">
        <v>100</v>
      </c>
      <c r="N77" s="1785">
        <v>2.4</v>
      </c>
      <c r="O77" s="1786">
        <v>0.71</v>
      </c>
      <c r="P77" s="1752">
        <v>2.89</v>
      </c>
      <c r="Q77" s="1752">
        <v>0.41</v>
      </c>
      <c r="R77" s="1787">
        <v>15</v>
      </c>
      <c r="S77" s="1788"/>
      <c r="T77" s="1682">
        <v>0.89</v>
      </c>
      <c r="U77" s="1683">
        <v>89</v>
      </c>
      <c r="V77" s="1683">
        <v>560</v>
      </c>
      <c r="W77" s="1789">
        <v>55</v>
      </c>
      <c r="X77" s="1782">
        <v>100</v>
      </c>
      <c r="Y77" s="1790">
        <v>55</v>
      </c>
      <c r="Z77" s="596">
        <v>0</v>
      </c>
      <c r="AA77" s="596">
        <v>4</v>
      </c>
      <c r="AB77" s="596">
        <v>10</v>
      </c>
      <c r="AD77" s="614">
        <f t="shared" si="3"/>
        <v>24</v>
      </c>
      <c r="AE77" s="614">
        <f t="shared" si="4"/>
        <v>7.1</v>
      </c>
      <c r="AF77" s="614">
        <f t="shared" si="5"/>
        <v>28.900000000000002</v>
      </c>
      <c r="AG77" s="614">
        <f t="shared" si="6"/>
        <v>4.0999999999999996</v>
      </c>
      <c r="AI77" s="296">
        <f t="shared" si="7"/>
        <v>1</v>
      </c>
      <c r="AJ77" s="595">
        <f t="shared" si="8"/>
        <v>4</v>
      </c>
      <c r="AK77" s="595">
        <f t="shared" si="9"/>
        <v>10</v>
      </c>
      <c r="AL77" s="1943">
        <f t="shared" si="10"/>
        <v>0.55000000000000004</v>
      </c>
      <c r="AM77" s="1944">
        <f t="shared" si="11"/>
        <v>0.55000000000000004</v>
      </c>
      <c r="AO77" s="1790"/>
      <c r="AP77" s="1160"/>
    </row>
    <row r="78" spans="1:42" x14ac:dyDescent="0.2">
      <c r="A78" s="624" t="str">
        <f t="shared" si="37"/>
        <v>4 Schnittnutzungen</v>
      </c>
      <c r="B78" s="624">
        <f t="shared" si="38"/>
        <v>74</v>
      </c>
      <c r="C78" s="624" t="s">
        <v>661</v>
      </c>
      <c r="D78" s="624" t="s">
        <v>662</v>
      </c>
      <c r="E78" s="596" t="s">
        <v>656</v>
      </c>
      <c r="F78" s="596" t="s">
        <v>655</v>
      </c>
      <c r="G78" s="596">
        <v>13</v>
      </c>
      <c r="H78" s="596">
        <v>3</v>
      </c>
      <c r="I78" s="596">
        <v>1</v>
      </c>
      <c r="J78" s="596">
        <v>6</v>
      </c>
      <c r="K78" s="1783"/>
      <c r="L78" s="1784"/>
      <c r="M78" s="1683">
        <v>100</v>
      </c>
      <c r="N78" s="1785">
        <v>2.72</v>
      </c>
      <c r="O78" s="1786">
        <v>0.81</v>
      </c>
      <c r="P78" s="1752">
        <v>3.13</v>
      </c>
      <c r="Q78" s="1752">
        <v>0.45</v>
      </c>
      <c r="R78" s="1787">
        <v>17</v>
      </c>
      <c r="S78" s="1788"/>
      <c r="T78" s="1682">
        <v>0.89</v>
      </c>
      <c r="U78" s="1683">
        <v>89</v>
      </c>
      <c r="V78" s="1683">
        <v>576</v>
      </c>
      <c r="W78" s="1789">
        <v>54</v>
      </c>
      <c r="X78" s="1782">
        <v>100</v>
      </c>
      <c r="Y78" s="1790">
        <v>55</v>
      </c>
      <c r="Z78" s="596">
        <v>0</v>
      </c>
      <c r="AA78" s="596">
        <v>4</v>
      </c>
      <c r="AB78" s="596">
        <v>10</v>
      </c>
      <c r="AD78" s="614">
        <f t="shared" si="3"/>
        <v>27.200000000000003</v>
      </c>
      <c r="AE78" s="614">
        <f t="shared" si="4"/>
        <v>8.1000000000000014</v>
      </c>
      <c r="AF78" s="614">
        <f t="shared" si="5"/>
        <v>31.299999999999997</v>
      </c>
      <c r="AG78" s="614">
        <f t="shared" si="6"/>
        <v>4.5</v>
      </c>
      <c r="AI78" s="296">
        <f t="shared" si="7"/>
        <v>1</v>
      </c>
      <c r="AJ78" s="595">
        <f t="shared" si="8"/>
        <v>4</v>
      </c>
      <c r="AK78" s="595">
        <f t="shared" si="9"/>
        <v>10</v>
      </c>
      <c r="AL78" s="1943">
        <f t="shared" si="10"/>
        <v>0.54</v>
      </c>
      <c r="AM78" s="1944">
        <f t="shared" si="11"/>
        <v>0.55000000000000004</v>
      </c>
      <c r="AO78" s="1790"/>
      <c r="AP78" s="1160"/>
    </row>
    <row r="79" spans="1:42" x14ac:dyDescent="0.2">
      <c r="A79" s="624" t="str">
        <f t="shared" si="37"/>
        <v>5 Schnittnutzungen</v>
      </c>
      <c r="B79" s="624">
        <f t="shared" si="38"/>
        <v>75</v>
      </c>
      <c r="C79" s="624" t="s">
        <v>663</v>
      </c>
      <c r="D79" s="624" t="s">
        <v>664</v>
      </c>
      <c r="E79" s="596" t="s">
        <v>656</v>
      </c>
      <c r="F79" s="596" t="s">
        <v>655</v>
      </c>
      <c r="G79" s="596">
        <v>13</v>
      </c>
      <c r="H79" s="596">
        <v>3</v>
      </c>
      <c r="I79" s="596">
        <v>1</v>
      </c>
      <c r="J79" s="596">
        <v>6</v>
      </c>
      <c r="K79" s="1783"/>
      <c r="L79" s="1784"/>
      <c r="M79" s="1683">
        <v>100</v>
      </c>
      <c r="N79" s="1785">
        <v>2.8</v>
      </c>
      <c r="O79" s="1786">
        <v>0.87</v>
      </c>
      <c r="P79" s="1752">
        <v>3.25</v>
      </c>
      <c r="Q79" s="1752">
        <v>0.45</v>
      </c>
      <c r="R79" s="1787">
        <v>17.5</v>
      </c>
      <c r="S79" s="1788"/>
      <c r="T79" s="1682">
        <v>0.89</v>
      </c>
      <c r="U79" s="1683">
        <v>89</v>
      </c>
      <c r="V79" s="1683">
        <v>576</v>
      </c>
      <c r="W79" s="1789">
        <v>54</v>
      </c>
      <c r="X79" s="1782">
        <v>100</v>
      </c>
      <c r="Y79" s="1790">
        <v>55</v>
      </c>
      <c r="Z79" s="596">
        <v>0</v>
      </c>
      <c r="AA79" s="596">
        <v>4</v>
      </c>
      <c r="AB79" s="596">
        <v>10</v>
      </c>
      <c r="AD79" s="614">
        <f t="shared" si="3"/>
        <v>28</v>
      </c>
      <c r="AE79" s="614">
        <f t="shared" si="4"/>
        <v>8.6999999999999993</v>
      </c>
      <c r="AF79" s="614">
        <f t="shared" si="5"/>
        <v>32.5</v>
      </c>
      <c r="AG79" s="614">
        <f t="shared" si="6"/>
        <v>4.5</v>
      </c>
      <c r="AI79" s="296">
        <f t="shared" si="7"/>
        <v>1</v>
      </c>
      <c r="AJ79" s="595">
        <f t="shared" si="8"/>
        <v>4</v>
      </c>
      <c r="AK79" s="595">
        <f t="shared" si="9"/>
        <v>10</v>
      </c>
      <c r="AL79" s="1943">
        <f t="shared" si="10"/>
        <v>0.54</v>
      </c>
      <c r="AM79" s="1944">
        <f t="shared" si="11"/>
        <v>0.55000000000000004</v>
      </c>
      <c r="AO79" s="1790"/>
      <c r="AP79" s="1160"/>
    </row>
    <row r="80" spans="1:42" x14ac:dyDescent="0.2">
      <c r="A80" s="624" t="str">
        <f t="shared" si="37"/>
        <v>6 Schnittnutzungen</v>
      </c>
      <c r="B80" s="624">
        <f t="shared" si="38"/>
        <v>76</v>
      </c>
      <c r="C80" s="624" t="s">
        <v>665</v>
      </c>
      <c r="D80" s="624" t="s">
        <v>666</v>
      </c>
      <c r="E80" s="596" t="s">
        <v>656</v>
      </c>
      <c r="F80" s="596" t="s">
        <v>655</v>
      </c>
      <c r="G80" s="596">
        <v>13</v>
      </c>
      <c r="H80" s="596">
        <v>3</v>
      </c>
      <c r="I80" s="596">
        <v>1</v>
      </c>
      <c r="J80" s="596">
        <v>6</v>
      </c>
      <c r="K80" s="1783"/>
      <c r="L80" s="1784"/>
      <c r="M80" s="1683">
        <v>100</v>
      </c>
      <c r="N80" s="1758">
        <v>2.91</v>
      </c>
      <c r="O80" s="1752">
        <v>0.89</v>
      </c>
      <c r="P80" s="1752">
        <v>3.37</v>
      </c>
      <c r="Q80" s="1752">
        <v>0.45</v>
      </c>
      <c r="R80" s="1787">
        <v>18.2</v>
      </c>
      <c r="S80" s="1791"/>
      <c r="T80" s="1682">
        <v>0.89</v>
      </c>
      <c r="U80" s="1683">
        <v>89</v>
      </c>
      <c r="V80" s="1683">
        <v>576</v>
      </c>
      <c r="W80" s="1789">
        <v>54</v>
      </c>
      <c r="X80" s="1782">
        <v>100</v>
      </c>
      <c r="Y80" s="1790">
        <v>55</v>
      </c>
      <c r="Z80" s="596">
        <v>0</v>
      </c>
      <c r="AA80" s="596">
        <v>4</v>
      </c>
      <c r="AB80" s="596">
        <v>10</v>
      </c>
      <c r="AD80" s="614">
        <f t="shared" si="3"/>
        <v>29.1</v>
      </c>
      <c r="AE80" s="614">
        <f t="shared" si="4"/>
        <v>8.9</v>
      </c>
      <c r="AF80" s="614">
        <f t="shared" si="5"/>
        <v>33.700000000000003</v>
      </c>
      <c r="AG80" s="614">
        <f t="shared" si="6"/>
        <v>4.5</v>
      </c>
      <c r="AI80" s="296">
        <f t="shared" si="7"/>
        <v>1</v>
      </c>
      <c r="AJ80" s="595">
        <f t="shared" si="8"/>
        <v>4</v>
      </c>
      <c r="AK80" s="595">
        <f t="shared" si="9"/>
        <v>10</v>
      </c>
      <c r="AL80" s="1943">
        <f t="shared" si="10"/>
        <v>0.54</v>
      </c>
      <c r="AM80" s="1944">
        <f t="shared" si="11"/>
        <v>0.55000000000000004</v>
      </c>
      <c r="AO80" s="1790"/>
      <c r="AP80" s="1160"/>
    </row>
    <row r="81" spans="1:42" ht="13.5" thickBot="1" x14ac:dyDescent="0.25">
      <c r="A81" s="1860" t="s">
        <v>8423</v>
      </c>
      <c r="B81" s="1860">
        <f t="shared" si="38"/>
        <v>108</v>
      </c>
      <c r="C81" s="624"/>
      <c r="D81" s="1799"/>
      <c r="F81" s="596"/>
      <c r="I81" s="596"/>
      <c r="K81" s="1783"/>
      <c r="L81" s="1800"/>
      <c r="M81" s="1683"/>
      <c r="N81" s="1801"/>
      <c r="O81" s="1802"/>
      <c r="P81" s="1802"/>
      <c r="Q81" s="1802"/>
      <c r="R81" s="1803"/>
      <c r="S81" s="1804"/>
      <c r="T81" s="1805"/>
      <c r="U81" s="1806"/>
      <c r="V81" s="1806"/>
      <c r="X81" s="1790"/>
      <c r="Y81" s="1952"/>
      <c r="AD81" s="1807"/>
      <c r="AE81" s="1808"/>
      <c r="AF81" s="1808"/>
      <c r="AG81" s="809"/>
      <c r="AI81" s="296"/>
      <c r="AJ81" s="2209"/>
      <c r="AK81" s="2209"/>
      <c r="AL81" s="1944"/>
      <c r="AM81" s="1944"/>
      <c r="AO81" s="1790"/>
      <c r="AP81" s="1160"/>
    </row>
    <row r="82" spans="1:42" ht="13.5" thickBot="1" x14ac:dyDescent="0.25">
      <c r="A82" s="1861" t="s">
        <v>8384</v>
      </c>
      <c r="B82" s="1861">
        <f t="shared" si="38"/>
        <v>109</v>
      </c>
      <c r="C82" s="622" t="s">
        <v>1196</v>
      </c>
      <c r="D82" s="622"/>
      <c r="E82" s="113"/>
      <c r="F82" s="113"/>
      <c r="G82" s="696"/>
      <c r="M82" s="114"/>
      <c r="N82" s="1146"/>
      <c r="O82" s="1146"/>
      <c r="P82" s="1146"/>
      <c r="Q82" s="1146"/>
      <c r="R82" s="1154"/>
      <c r="S82" s="1154"/>
      <c r="U82" s="1154"/>
      <c r="X82" s="662"/>
      <c r="Y82" s="1952"/>
      <c r="AD82" s="115"/>
      <c r="AE82" s="741"/>
      <c r="AF82" s="741"/>
      <c r="AH82">
        <v>1</v>
      </c>
      <c r="AI82" s="296">
        <v>3</v>
      </c>
      <c r="AJ82" s="626"/>
      <c r="AK82" s="626"/>
      <c r="AL82" s="1945"/>
      <c r="AM82" s="615"/>
      <c r="AO82" s="615"/>
      <c r="AP82" s="1160"/>
    </row>
    <row r="83" spans="1:42" x14ac:dyDescent="0.2">
      <c r="A83" s="1861" t="s">
        <v>8383</v>
      </c>
      <c r="B83" s="1861">
        <f t="shared" si="38"/>
        <v>110</v>
      </c>
      <c r="C83" s="1809" t="s">
        <v>8357</v>
      </c>
      <c r="D83" s="1809"/>
      <c r="E83" s="1810"/>
      <c r="F83" s="1811"/>
      <c r="G83" s="1811"/>
      <c r="H83" s="116"/>
      <c r="I83" s="116"/>
      <c r="J83" s="116"/>
      <c r="K83" s="116"/>
      <c r="L83" s="116"/>
      <c r="M83" s="116"/>
      <c r="N83" s="1812"/>
      <c r="O83" s="1813"/>
      <c r="P83" s="1813"/>
      <c r="Q83" s="116"/>
      <c r="R83" s="116"/>
      <c r="S83" s="1814"/>
      <c r="T83" s="1815"/>
      <c r="U83" s="1815"/>
      <c r="V83" s="1816"/>
      <c r="W83" s="1817"/>
      <c r="X83" s="1815"/>
      <c r="Y83" s="596"/>
      <c r="AD83" s="1812"/>
      <c r="AE83" s="1813"/>
      <c r="AF83" s="116"/>
      <c r="AH83">
        <v>1</v>
      </c>
      <c r="AI83" s="296">
        <v>3</v>
      </c>
      <c r="AJ83" s="626"/>
      <c r="AK83" s="626"/>
      <c r="AL83" s="1946"/>
      <c r="AM83" s="1957"/>
      <c r="AO83" s="1964"/>
      <c r="AP83" s="1160"/>
    </row>
    <row r="84" spans="1:42" ht="14.25" x14ac:dyDescent="0.2">
      <c r="A84" s="1861" t="s">
        <v>8424</v>
      </c>
      <c r="B84" s="1861">
        <f t="shared" si="38"/>
        <v>111</v>
      </c>
      <c r="C84" s="1827" t="s">
        <v>868</v>
      </c>
      <c r="D84" s="1827"/>
      <c r="E84" s="1819">
        <v>1</v>
      </c>
      <c r="F84" s="117">
        <v>1</v>
      </c>
      <c r="G84" s="117" t="s">
        <v>8340</v>
      </c>
      <c r="H84" s="1814"/>
      <c r="I84" s="1814"/>
      <c r="J84" s="1814"/>
      <c r="K84" s="1814"/>
      <c r="L84" s="1814"/>
      <c r="M84" s="1814">
        <v>7.5</v>
      </c>
      <c r="N84" s="1820"/>
      <c r="O84" s="1821"/>
      <c r="P84" s="1821"/>
      <c r="Q84" s="1822"/>
      <c r="R84" s="1822"/>
      <c r="S84" s="1822"/>
      <c r="T84" s="1823">
        <v>0.85</v>
      </c>
      <c r="U84" s="1326">
        <v>85</v>
      </c>
      <c r="V84" s="1824">
        <v>350</v>
      </c>
      <c r="W84" s="1825">
        <v>55</v>
      </c>
      <c r="X84" s="1326">
        <v>40</v>
      </c>
      <c r="Y84" s="1826">
        <v>50</v>
      </c>
      <c r="AD84" s="1326">
        <v>4.0999999999999996</v>
      </c>
      <c r="AE84" s="1821">
        <v>1.7</v>
      </c>
      <c r="AF84" s="1821">
        <v>5.3</v>
      </c>
      <c r="AG84" s="1822">
        <v>1.3</v>
      </c>
      <c r="AH84">
        <v>1</v>
      </c>
      <c r="AI84" s="296">
        <v>3</v>
      </c>
      <c r="AJ84" s="626"/>
      <c r="AK84" s="626"/>
      <c r="AL84" s="1947">
        <f>W84/100</f>
        <v>0.55000000000000004</v>
      </c>
      <c r="AM84" s="1958">
        <v>0.5</v>
      </c>
      <c r="AO84" s="1965"/>
      <c r="AP84" s="1160"/>
    </row>
    <row r="85" spans="1:42" ht="15" thickBot="1" x14ac:dyDescent="0.25">
      <c r="A85" s="624"/>
      <c r="B85" s="1861">
        <f t="shared" si="38"/>
        <v>1</v>
      </c>
      <c r="C85" s="1827" t="s">
        <v>869</v>
      </c>
      <c r="D85" s="1827"/>
      <c r="E85" s="1819">
        <v>1</v>
      </c>
      <c r="F85" s="117">
        <v>1</v>
      </c>
      <c r="G85" s="117" t="s">
        <v>8340</v>
      </c>
      <c r="H85" s="1814"/>
      <c r="I85" s="1814"/>
      <c r="J85" s="1814"/>
      <c r="K85" s="1814"/>
      <c r="L85" s="1814"/>
      <c r="M85" s="1814">
        <v>7.5</v>
      </c>
      <c r="N85" s="1820"/>
      <c r="O85" s="1821"/>
      <c r="P85" s="1821"/>
      <c r="Q85" s="1822"/>
      <c r="R85" s="1822"/>
      <c r="S85" s="1822"/>
      <c r="T85" s="1823">
        <v>0.85</v>
      </c>
      <c r="U85" s="1326">
        <v>85</v>
      </c>
      <c r="V85" s="1824">
        <v>350</v>
      </c>
      <c r="W85" s="1825">
        <v>55</v>
      </c>
      <c r="X85" s="1326">
        <v>40</v>
      </c>
      <c r="Y85" s="1826">
        <v>50</v>
      </c>
      <c r="AD85" s="1326">
        <v>3.9</v>
      </c>
      <c r="AE85" s="1821">
        <v>1.7</v>
      </c>
      <c r="AF85" s="1821">
        <v>4.7</v>
      </c>
      <c r="AG85" s="1822">
        <v>1.2</v>
      </c>
      <c r="AH85">
        <v>1</v>
      </c>
      <c r="AI85" s="296">
        <v>3</v>
      </c>
      <c r="AJ85" s="626"/>
      <c r="AK85" s="626"/>
      <c r="AL85" s="1947">
        <f t="shared" ref="AL85:AL109" si="39">W85/100</f>
        <v>0.55000000000000004</v>
      </c>
      <c r="AM85" s="1958">
        <v>0.5</v>
      </c>
      <c r="AO85" s="1965"/>
      <c r="AP85" s="1160"/>
    </row>
    <row r="86" spans="1:42" ht="15" thickBot="1" x14ac:dyDescent="0.25">
      <c r="A86" s="622" t="str">
        <f t="shared" ref="A86:A93" si="40">C82</f>
        <v xml:space="preserve"> +++Zukauf org. Dünger+++</v>
      </c>
      <c r="B86" s="2244">
        <f t="shared" si="38"/>
        <v>78</v>
      </c>
      <c r="C86" s="1827" t="s">
        <v>8342</v>
      </c>
      <c r="D86" s="1827"/>
      <c r="E86" s="1819">
        <v>1</v>
      </c>
      <c r="F86" s="117">
        <v>1</v>
      </c>
      <c r="G86" s="117" t="s">
        <v>8340</v>
      </c>
      <c r="H86" s="1814"/>
      <c r="I86" s="1814"/>
      <c r="J86" s="1814"/>
      <c r="K86" s="1814"/>
      <c r="L86" s="1814"/>
      <c r="M86" s="1814">
        <v>7.5</v>
      </c>
      <c r="N86" s="1820"/>
      <c r="O86" s="1821"/>
      <c r="P86" s="1821"/>
      <c r="Q86" s="1822"/>
      <c r="R86" s="1822"/>
      <c r="S86" s="1822"/>
      <c r="T86" s="1823">
        <v>0.85</v>
      </c>
      <c r="U86" s="1326">
        <v>85</v>
      </c>
      <c r="V86" s="1824">
        <v>350</v>
      </c>
      <c r="W86" s="1825">
        <v>55</v>
      </c>
      <c r="X86" s="1326">
        <v>40</v>
      </c>
      <c r="Y86" s="1826">
        <v>50</v>
      </c>
      <c r="AD86" s="1326">
        <v>4.0999999999999996</v>
      </c>
      <c r="AE86" s="1821">
        <v>1.9</v>
      </c>
      <c r="AF86" s="1821">
        <v>4</v>
      </c>
      <c r="AG86" s="1822">
        <v>1</v>
      </c>
      <c r="AH86">
        <v>1</v>
      </c>
      <c r="AI86" s="296">
        <v>3</v>
      </c>
      <c r="AJ86" s="626"/>
      <c r="AK86" s="626"/>
      <c r="AL86" s="1947">
        <f t="shared" si="39"/>
        <v>0.55000000000000004</v>
      </c>
      <c r="AM86" s="1958">
        <v>0.5</v>
      </c>
      <c r="AO86" s="1965"/>
      <c r="AP86" s="1160"/>
    </row>
    <row r="87" spans="1:42" x14ac:dyDescent="0.2">
      <c r="A87" s="1809" t="str">
        <f t="shared" si="40"/>
        <v xml:space="preserve"> +++Rind, nur Zukauf+++</v>
      </c>
      <c r="B87" s="2245">
        <f t="shared" si="38"/>
        <v>79</v>
      </c>
      <c r="C87" s="1827" t="s">
        <v>8343</v>
      </c>
      <c r="D87" s="1827"/>
      <c r="E87" s="1819">
        <v>1</v>
      </c>
      <c r="F87" s="117">
        <v>2</v>
      </c>
      <c r="G87" s="117" t="s">
        <v>40</v>
      </c>
      <c r="H87" s="1814"/>
      <c r="I87" s="1814"/>
      <c r="J87" s="1814"/>
      <c r="K87" s="1814"/>
      <c r="L87" s="1814"/>
      <c r="M87" s="1814">
        <v>18.5</v>
      </c>
      <c r="N87" s="1820"/>
      <c r="O87" s="1821"/>
      <c r="P87" s="1821"/>
      <c r="Q87" s="1822"/>
      <c r="R87" s="1822"/>
      <c r="S87" s="1822"/>
      <c r="T87" s="1823">
        <v>0.8</v>
      </c>
      <c r="U87" s="1326">
        <v>80</v>
      </c>
      <c r="V87" s="1824">
        <v>450</v>
      </c>
      <c r="W87" s="1825">
        <v>55</v>
      </c>
      <c r="X87" s="1326">
        <v>100</v>
      </c>
      <c r="Y87" s="1826">
        <v>10</v>
      </c>
      <c r="AD87" s="1326">
        <v>3.6999999999999997</v>
      </c>
      <c r="AE87" s="1821">
        <v>2.5</v>
      </c>
      <c r="AF87" s="1821">
        <v>5.9</v>
      </c>
      <c r="AG87" s="1822">
        <v>1.9</v>
      </c>
      <c r="AH87">
        <v>1</v>
      </c>
      <c r="AI87" s="296">
        <v>3</v>
      </c>
      <c r="AJ87" s="626"/>
      <c r="AK87" s="626"/>
      <c r="AL87" s="1947">
        <f t="shared" si="39"/>
        <v>0.55000000000000004</v>
      </c>
      <c r="AM87" s="1958">
        <v>0.1</v>
      </c>
      <c r="AO87" s="1965"/>
      <c r="AP87" s="1160"/>
    </row>
    <row r="88" spans="1:42" x14ac:dyDescent="0.2">
      <c r="A88" s="1827" t="str">
        <f t="shared" si="40"/>
        <v>Milchviehgülle (Grünland)</v>
      </c>
      <c r="B88" s="1827">
        <f t="shared" si="38"/>
        <v>80</v>
      </c>
      <c r="C88" s="1827" t="s">
        <v>8344</v>
      </c>
      <c r="D88" s="1827"/>
      <c r="E88" s="1819">
        <v>1</v>
      </c>
      <c r="F88" s="117">
        <v>2</v>
      </c>
      <c r="G88" s="117" t="s">
        <v>40</v>
      </c>
      <c r="H88" s="1814"/>
      <c r="I88" s="1814"/>
      <c r="J88" s="1814"/>
      <c r="K88" s="1814"/>
      <c r="L88" s="1814"/>
      <c r="M88" s="1814">
        <v>23</v>
      </c>
      <c r="N88" s="1820"/>
      <c r="O88" s="1821"/>
      <c r="P88" s="1821"/>
      <c r="Q88" s="1822"/>
      <c r="R88" s="1822"/>
      <c r="S88" s="1822"/>
      <c r="T88" s="1823">
        <v>0.8</v>
      </c>
      <c r="U88" s="1326">
        <v>80</v>
      </c>
      <c r="V88" s="1824">
        <v>450</v>
      </c>
      <c r="W88" s="1825">
        <v>55</v>
      </c>
      <c r="X88" s="1326">
        <v>100</v>
      </c>
      <c r="Y88" s="1826">
        <v>10</v>
      </c>
      <c r="AD88" s="1326">
        <v>4.0999999999999996</v>
      </c>
      <c r="AE88" s="1821">
        <v>2.1</v>
      </c>
      <c r="AF88" s="1821">
        <v>8.1</v>
      </c>
      <c r="AG88" s="1822">
        <v>1.7</v>
      </c>
      <c r="AH88">
        <v>1</v>
      </c>
      <c r="AI88" s="296">
        <v>3</v>
      </c>
      <c r="AJ88" s="626"/>
      <c r="AK88" s="626"/>
      <c r="AL88" s="1947">
        <f t="shared" si="39"/>
        <v>0.55000000000000004</v>
      </c>
      <c r="AM88" s="1958">
        <v>0.1</v>
      </c>
      <c r="AO88" s="1965"/>
      <c r="AP88" s="1160"/>
    </row>
    <row r="89" spans="1:42" ht="14.25" x14ac:dyDescent="0.2">
      <c r="A89" s="1827" t="str">
        <f t="shared" si="40"/>
        <v>Milchviehgülle (Acker)</v>
      </c>
      <c r="B89" s="1827">
        <f t="shared" si="38"/>
        <v>81</v>
      </c>
      <c r="C89" s="1818" t="s">
        <v>870</v>
      </c>
      <c r="D89" s="1818"/>
      <c r="E89" s="1819">
        <v>1</v>
      </c>
      <c r="F89" s="117">
        <v>1</v>
      </c>
      <c r="G89" s="117" t="s">
        <v>8340</v>
      </c>
      <c r="H89" s="1814"/>
      <c r="I89" s="1814"/>
      <c r="J89" s="1814"/>
      <c r="K89" s="1814"/>
      <c r="L89" s="1814"/>
      <c r="M89" s="1856">
        <v>1.8</v>
      </c>
      <c r="N89" s="1820"/>
      <c r="O89" s="1821"/>
      <c r="P89" s="1821"/>
      <c r="Q89" s="1822"/>
      <c r="R89" s="1822"/>
      <c r="S89" s="1822"/>
      <c r="T89" s="1823">
        <v>0.85</v>
      </c>
      <c r="U89" s="1326">
        <v>85</v>
      </c>
      <c r="V89" s="1824">
        <v>350</v>
      </c>
      <c r="W89" s="1825">
        <v>55</v>
      </c>
      <c r="X89" s="1326">
        <v>40</v>
      </c>
      <c r="Y89" s="1826">
        <v>90</v>
      </c>
      <c r="AD89" s="1326">
        <v>3.2</v>
      </c>
      <c r="AE89" s="1821">
        <v>0.2</v>
      </c>
      <c r="AF89" s="1821">
        <v>7.9</v>
      </c>
      <c r="AG89" s="1822">
        <v>0.2</v>
      </c>
      <c r="AH89">
        <v>1</v>
      </c>
      <c r="AI89" s="296">
        <v>3</v>
      </c>
      <c r="AJ89" s="626"/>
      <c r="AK89" s="626"/>
      <c r="AL89" s="1947">
        <f t="shared" si="39"/>
        <v>0.55000000000000004</v>
      </c>
      <c r="AM89" s="1958">
        <v>0.9</v>
      </c>
      <c r="AO89" s="1965"/>
      <c r="AP89" s="1160"/>
    </row>
    <row r="90" spans="1:42" x14ac:dyDescent="0.2">
      <c r="A90" s="1827" t="str">
        <f t="shared" si="40"/>
        <v>Mastbullengülle</v>
      </c>
      <c r="B90" s="1827">
        <f t="shared" si="38"/>
        <v>82</v>
      </c>
      <c r="C90" s="1828" t="s">
        <v>8422</v>
      </c>
      <c r="D90" s="1828"/>
      <c r="E90" s="1829"/>
      <c r="F90" s="118"/>
      <c r="G90" s="118"/>
      <c r="H90" s="119"/>
      <c r="I90" s="119"/>
      <c r="J90" s="119"/>
      <c r="K90" s="119"/>
      <c r="L90" s="119"/>
      <c r="M90" s="119"/>
      <c r="N90" s="1831"/>
      <c r="O90" s="1832"/>
      <c r="P90" s="1832"/>
      <c r="Q90" s="1833"/>
      <c r="R90" s="1833"/>
      <c r="S90" s="1833"/>
      <c r="T90" s="1834"/>
      <c r="U90" s="1834"/>
      <c r="V90" s="1835"/>
      <c r="W90" s="1836"/>
      <c r="X90" s="1834"/>
      <c r="Y90" s="1837"/>
      <c r="AD90" s="1830"/>
      <c r="AE90" s="1832"/>
      <c r="AF90" s="1833"/>
      <c r="AH90">
        <v>1</v>
      </c>
      <c r="AI90" s="296">
        <v>3</v>
      </c>
      <c r="AJ90" s="626"/>
      <c r="AK90" s="626"/>
      <c r="AL90" s="1947">
        <f t="shared" si="39"/>
        <v>0</v>
      </c>
      <c r="AM90" s="1959"/>
      <c r="AO90" s="1964"/>
      <c r="AP90" s="1160"/>
    </row>
    <row r="91" spans="1:42" ht="25.5" x14ac:dyDescent="0.2">
      <c r="A91" s="1827" t="str">
        <f t="shared" si="40"/>
        <v xml:space="preserve">Rindermist, geringe Einstreu </v>
      </c>
      <c r="B91" s="1827">
        <f t="shared" si="38"/>
        <v>83</v>
      </c>
      <c r="C91" s="1838" t="s">
        <v>8345</v>
      </c>
      <c r="D91" s="1838"/>
      <c r="E91" s="1839">
        <v>2</v>
      </c>
      <c r="F91" s="1840">
        <v>1</v>
      </c>
      <c r="G91" s="117" t="s">
        <v>8340</v>
      </c>
      <c r="H91" s="1814"/>
      <c r="I91" s="1814"/>
      <c r="J91" s="1814"/>
      <c r="K91" s="1814"/>
      <c r="L91" s="1814"/>
      <c r="M91" s="1814">
        <v>5</v>
      </c>
      <c r="N91" s="1820"/>
      <c r="O91" s="1821"/>
      <c r="P91" s="1821"/>
      <c r="Q91" s="1841"/>
      <c r="R91" s="1822"/>
      <c r="S91" s="1822"/>
      <c r="T91" s="1823">
        <v>0.85</v>
      </c>
      <c r="U91" s="1326">
        <v>85</v>
      </c>
      <c r="V91" s="1824">
        <v>400</v>
      </c>
      <c r="W91" s="1825">
        <v>60</v>
      </c>
      <c r="X91" s="1326">
        <v>40</v>
      </c>
      <c r="Y91" s="1826">
        <v>60</v>
      </c>
      <c r="AD91" s="1326">
        <v>5.7</v>
      </c>
      <c r="AE91" s="1821">
        <v>3</v>
      </c>
      <c r="AF91" s="1821">
        <v>3.5</v>
      </c>
      <c r="AG91" s="1841">
        <v>1.3</v>
      </c>
      <c r="AH91">
        <v>1</v>
      </c>
      <c r="AI91" s="296">
        <v>3</v>
      </c>
      <c r="AJ91" s="626"/>
      <c r="AK91" s="626"/>
      <c r="AL91" s="1947">
        <f t="shared" si="39"/>
        <v>0.6</v>
      </c>
      <c r="AM91" s="1958">
        <v>0.6</v>
      </c>
      <c r="AO91" s="1965"/>
      <c r="AP91" s="1160"/>
    </row>
    <row r="92" spans="1:42" ht="25.5" x14ac:dyDescent="0.2">
      <c r="A92" s="1827" t="str">
        <f t="shared" si="40"/>
        <v xml:space="preserve">Rindermist, hohe Einstreu </v>
      </c>
      <c r="B92" s="1827">
        <f t="shared" si="38"/>
        <v>84</v>
      </c>
      <c r="C92" s="1838" t="s">
        <v>871</v>
      </c>
      <c r="D92" s="1838"/>
      <c r="E92" s="1839">
        <v>2</v>
      </c>
      <c r="F92" s="1840">
        <v>1</v>
      </c>
      <c r="G92" s="117" t="s">
        <v>8340</v>
      </c>
      <c r="H92" s="1814"/>
      <c r="I92" s="1814"/>
      <c r="J92" s="1814"/>
      <c r="K92" s="1814"/>
      <c r="L92" s="1814"/>
      <c r="M92" s="1814">
        <v>5</v>
      </c>
      <c r="N92" s="1820"/>
      <c r="O92" s="1821"/>
      <c r="P92" s="1821"/>
      <c r="Q92" s="1841"/>
      <c r="R92" s="1822"/>
      <c r="S92" s="1822"/>
      <c r="T92" s="1842">
        <v>0.85</v>
      </c>
      <c r="U92" s="1843">
        <v>85</v>
      </c>
      <c r="V92" s="1824">
        <v>400</v>
      </c>
      <c r="W92" s="1825">
        <v>60</v>
      </c>
      <c r="X92" s="1843">
        <v>40</v>
      </c>
      <c r="Y92" s="1826">
        <v>60</v>
      </c>
      <c r="AD92" s="1326">
        <v>5.5</v>
      </c>
      <c r="AE92" s="1821">
        <v>2.6</v>
      </c>
      <c r="AF92" s="1821">
        <v>3.4</v>
      </c>
      <c r="AG92" s="1841">
        <v>1.2</v>
      </c>
      <c r="AH92">
        <v>1</v>
      </c>
      <c r="AI92" s="296">
        <v>3</v>
      </c>
      <c r="AJ92" s="626"/>
      <c r="AK92" s="626"/>
      <c r="AL92" s="1947">
        <f t="shared" si="39"/>
        <v>0.6</v>
      </c>
      <c r="AM92" s="1958">
        <v>0.6</v>
      </c>
      <c r="AO92" s="1965"/>
      <c r="AP92" s="1160"/>
    </row>
    <row r="93" spans="1:42" ht="25.5" x14ac:dyDescent="0.2">
      <c r="A93" s="1818" t="str">
        <f t="shared" si="40"/>
        <v xml:space="preserve">Rinderjauche </v>
      </c>
      <c r="B93" s="1818">
        <f t="shared" si="38"/>
        <v>85</v>
      </c>
      <c r="C93" s="1844" t="s">
        <v>8346</v>
      </c>
      <c r="D93" s="1838"/>
      <c r="E93" s="1839">
        <v>2</v>
      </c>
      <c r="F93" s="1840">
        <v>1</v>
      </c>
      <c r="G93" s="117" t="s">
        <v>8341</v>
      </c>
      <c r="H93" s="1814"/>
      <c r="I93" s="1814"/>
      <c r="J93" s="1814"/>
      <c r="K93" s="1814"/>
      <c r="L93" s="1814"/>
      <c r="M93" s="1814">
        <v>5</v>
      </c>
      <c r="N93" s="1820"/>
      <c r="O93" s="1821"/>
      <c r="P93" s="1821"/>
      <c r="Q93" s="1841"/>
      <c r="R93" s="1822"/>
      <c r="S93" s="1822"/>
      <c r="T93" s="1842">
        <v>0.85</v>
      </c>
      <c r="U93" s="1843">
        <v>85</v>
      </c>
      <c r="V93" s="1815">
        <v>400</v>
      </c>
      <c r="W93" s="1825">
        <v>60</v>
      </c>
      <c r="X93" s="1843">
        <v>40</v>
      </c>
      <c r="Y93" s="1845">
        <v>60</v>
      </c>
      <c r="AD93" s="1326">
        <v>5</v>
      </c>
      <c r="AE93" s="1821">
        <v>2.4</v>
      </c>
      <c r="AF93" s="1821">
        <v>3.3</v>
      </c>
      <c r="AG93" s="1841">
        <v>1.2</v>
      </c>
      <c r="AH93">
        <v>1</v>
      </c>
      <c r="AI93" s="296">
        <v>3</v>
      </c>
      <c r="AJ93" s="626"/>
      <c r="AK93" s="626"/>
      <c r="AL93" s="1947">
        <f t="shared" si="39"/>
        <v>0.6</v>
      </c>
      <c r="AM93" s="1960">
        <v>0.6</v>
      </c>
      <c r="AO93" s="1964"/>
      <c r="AP93" s="1160"/>
    </row>
    <row r="94" spans="1:42" ht="14.25" x14ac:dyDescent="0.2">
      <c r="A94" s="2240" t="str">
        <f>C116</f>
        <v>Sonstige Wirtschaftsdünger - Rind</v>
      </c>
      <c r="B94" s="2240">
        <f t="shared" si="38"/>
        <v>112</v>
      </c>
      <c r="C94" s="1838" t="s">
        <v>8347</v>
      </c>
      <c r="D94" s="1838"/>
      <c r="E94" s="1839">
        <v>2</v>
      </c>
      <c r="F94" s="1840">
        <v>1</v>
      </c>
      <c r="G94" s="117" t="s">
        <v>8341</v>
      </c>
      <c r="H94" s="1814"/>
      <c r="I94" s="1814"/>
      <c r="J94" s="1814"/>
      <c r="K94" s="1814"/>
      <c r="L94" s="1814"/>
      <c r="M94" s="1814">
        <v>5</v>
      </c>
      <c r="N94" s="1820"/>
      <c r="O94" s="1821"/>
      <c r="P94" s="1821"/>
      <c r="Q94" s="1841"/>
      <c r="R94" s="1822"/>
      <c r="S94" s="1822"/>
      <c r="T94" s="1842">
        <v>0.85</v>
      </c>
      <c r="U94" s="1843">
        <v>85</v>
      </c>
      <c r="V94" s="1815">
        <v>400</v>
      </c>
      <c r="W94" s="1825">
        <v>60</v>
      </c>
      <c r="X94" s="1843">
        <v>40</v>
      </c>
      <c r="Y94" s="1826">
        <v>60</v>
      </c>
      <c r="AD94" s="1326">
        <v>4.5999999999999996</v>
      </c>
      <c r="AE94" s="1821">
        <v>2.5</v>
      </c>
      <c r="AF94" s="1821">
        <v>2.9</v>
      </c>
      <c r="AG94" s="1841">
        <v>1</v>
      </c>
      <c r="AH94">
        <v>1</v>
      </c>
      <c r="AI94" s="296">
        <v>3</v>
      </c>
      <c r="AJ94" s="626"/>
      <c r="AK94" s="626"/>
      <c r="AL94" s="1947">
        <f t="shared" si="39"/>
        <v>0.6</v>
      </c>
      <c r="AM94" s="1958">
        <v>0.6</v>
      </c>
      <c r="AO94" s="1965"/>
      <c r="AP94" s="1160"/>
    </row>
    <row r="95" spans="1:42" ht="25.5" x14ac:dyDescent="0.2">
      <c r="A95" s="1828" t="str">
        <f t="shared" ref="A95:A104" si="41">C90</f>
        <v xml:space="preserve"> +++Schwein, nur Zukauf+++</v>
      </c>
      <c r="B95" s="2246">
        <f t="shared" si="38"/>
        <v>86</v>
      </c>
      <c r="C95" s="1838" t="s">
        <v>8348</v>
      </c>
      <c r="D95" s="1838"/>
      <c r="E95" s="1839">
        <v>2</v>
      </c>
      <c r="F95" s="1840">
        <v>1</v>
      </c>
      <c r="G95" s="117" t="s">
        <v>8341</v>
      </c>
      <c r="H95" s="1814"/>
      <c r="I95" s="1814"/>
      <c r="J95" s="1814"/>
      <c r="K95" s="1814"/>
      <c r="L95" s="1814"/>
      <c r="M95" s="1814">
        <v>5</v>
      </c>
      <c r="N95" s="1820"/>
      <c r="O95" s="1821"/>
      <c r="P95" s="1821"/>
      <c r="Q95" s="1841"/>
      <c r="R95" s="1822"/>
      <c r="S95" s="1822"/>
      <c r="T95" s="1842">
        <v>0.85</v>
      </c>
      <c r="U95" s="1843">
        <v>85</v>
      </c>
      <c r="V95" s="1815">
        <v>400</v>
      </c>
      <c r="W95" s="1825">
        <v>60</v>
      </c>
      <c r="X95" s="1843">
        <v>40</v>
      </c>
      <c r="Y95" s="1826">
        <v>60</v>
      </c>
      <c r="AD95" s="1326">
        <v>4.0999999999999996</v>
      </c>
      <c r="AE95" s="1821">
        <v>2.2000000000000002</v>
      </c>
      <c r="AF95" s="1821">
        <v>2.7</v>
      </c>
      <c r="AG95" s="1841">
        <v>1</v>
      </c>
      <c r="AH95">
        <v>1</v>
      </c>
      <c r="AI95" s="296">
        <v>3</v>
      </c>
      <c r="AJ95" s="626"/>
      <c r="AK95" s="626"/>
      <c r="AL95" s="1947">
        <f t="shared" si="39"/>
        <v>0.6</v>
      </c>
      <c r="AM95" s="1958">
        <v>0.6</v>
      </c>
      <c r="AO95" s="1965"/>
      <c r="AP95" s="1160"/>
    </row>
    <row r="96" spans="1:42" ht="25.5" x14ac:dyDescent="0.2">
      <c r="A96" s="1838" t="str">
        <f t="shared" si="41"/>
        <v xml:space="preserve">Mastschweinegülle, Standardfutter </v>
      </c>
      <c r="B96" s="1838">
        <f t="shared" si="38"/>
        <v>87</v>
      </c>
      <c r="C96" s="1844" t="s">
        <v>8349</v>
      </c>
      <c r="D96" s="1838"/>
      <c r="E96" s="1839">
        <v>2</v>
      </c>
      <c r="F96" s="1840">
        <v>1</v>
      </c>
      <c r="G96" s="117" t="s">
        <v>8341</v>
      </c>
      <c r="H96" s="1814"/>
      <c r="I96" s="1814"/>
      <c r="J96" s="1814"/>
      <c r="K96" s="1814"/>
      <c r="L96" s="1814"/>
      <c r="M96" s="1814">
        <v>5</v>
      </c>
      <c r="N96" s="1820"/>
      <c r="O96" s="1821"/>
      <c r="P96" s="1821"/>
      <c r="Q96" s="1822"/>
      <c r="R96" s="1822"/>
      <c r="S96" s="1822"/>
      <c r="T96" s="1842">
        <v>0.85</v>
      </c>
      <c r="U96" s="1843">
        <v>85</v>
      </c>
      <c r="V96" s="1815">
        <v>400</v>
      </c>
      <c r="W96" s="1825">
        <v>60</v>
      </c>
      <c r="X96" s="1843">
        <v>40</v>
      </c>
      <c r="Y96" s="1845">
        <v>60</v>
      </c>
      <c r="AD96" s="1326">
        <v>3.9</v>
      </c>
      <c r="AE96" s="1821">
        <v>2.1</v>
      </c>
      <c r="AF96" s="1821">
        <v>2.7</v>
      </c>
      <c r="AG96" s="1822">
        <v>1</v>
      </c>
      <c r="AH96">
        <v>1</v>
      </c>
      <c r="AI96" s="296">
        <v>3</v>
      </c>
      <c r="AJ96" s="626"/>
      <c r="AK96" s="626"/>
      <c r="AL96" s="1947">
        <f t="shared" si="39"/>
        <v>0.6</v>
      </c>
      <c r="AM96" s="1960">
        <v>0.6</v>
      </c>
      <c r="AO96" s="1964"/>
      <c r="AP96" s="1160"/>
    </row>
    <row r="97" spans="1:42" ht="25.5" x14ac:dyDescent="0.2">
      <c r="A97" s="1838" t="str">
        <f t="shared" si="41"/>
        <v>Mastschweinegülle, N-/P-red. Fütterung</v>
      </c>
      <c r="B97" s="1838">
        <f t="shared" si="38"/>
        <v>88</v>
      </c>
      <c r="C97" s="1818" t="s">
        <v>8350</v>
      </c>
      <c r="D97" s="1818"/>
      <c r="E97" s="1819">
        <v>2</v>
      </c>
      <c r="F97" s="117">
        <v>2</v>
      </c>
      <c r="G97" s="117" t="s">
        <v>40</v>
      </c>
      <c r="H97" s="1814"/>
      <c r="I97" s="1814"/>
      <c r="J97" s="1814"/>
      <c r="K97" s="1814"/>
      <c r="L97" s="1814"/>
      <c r="M97" s="1814">
        <v>21</v>
      </c>
      <c r="N97" s="1820"/>
      <c r="O97" s="1821"/>
      <c r="P97" s="1821"/>
      <c r="Q97" s="1822"/>
      <c r="R97" s="1822"/>
      <c r="S97" s="1822"/>
      <c r="T97" s="1823">
        <v>0.82</v>
      </c>
      <c r="U97" s="1326">
        <v>82</v>
      </c>
      <c r="V97" s="1815">
        <v>400</v>
      </c>
      <c r="W97" s="1825">
        <v>60</v>
      </c>
      <c r="X97" s="1326">
        <v>100</v>
      </c>
      <c r="Y97" s="1826">
        <v>10</v>
      </c>
      <c r="AD97" s="1326">
        <v>6</v>
      </c>
      <c r="AE97" s="1821">
        <v>4.3</v>
      </c>
      <c r="AF97" s="1821">
        <v>6.2</v>
      </c>
      <c r="AG97" s="1822">
        <v>2</v>
      </c>
      <c r="AH97">
        <v>1</v>
      </c>
      <c r="AI97" s="296">
        <v>3</v>
      </c>
      <c r="AJ97" s="626"/>
      <c r="AK97" s="626"/>
      <c r="AL97" s="1947">
        <f t="shared" si="39"/>
        <v>0.6</v>
      </c>
      <c r="AM97" s="1958">
        <v>0.1</v>
      </c>
      <c r="AO97" s="1965"/>
      <c r="AP97" s="1160"/>
    </row>
    <row r="98" spans="1:42" ht="25.5" x14ac:dyDescent="0.2">
      <c r="A98" s="1844" t="str">
        <f t="shared" si="41"/>
        <v>Mastschweinegülle, stark N-/P-red. Fütterung</v>
      </c>
      <c r="B98" s="1844">
        <f t="shared" si="38"/>
        <v>89</v>
      </c>
      <c r="C98" s="1846" t="s">
        <v>8351</v>
      </c>
      <c r="D98" s="1818"/>
      <c r="E98" s="1819">
        <v>2</v>
      </c>
      <c r="F98" s="117">
        <v>2</v>
      </c>
      <c r="G98" s="117" t="s">
        <v>40</v>
      </c>
      <c r="H98" s="1814"/>
      <c r="I98" s="1814"/>
      <c r="J98" s="1814"/>
      <c r="K98" s="1814"/>
      <c r="L98" s="1814"/>
      <c r="M98" s="1814">
        <v>25</v>
      </c>
      <c r="N98" s="1820"/>
      <c r="O98" s="1821"/>
      <c r="P98" s="1821"/>
      <c r="Q98" s="1822"/>
      <c r="R98" s="1822"/>
      <c r="S98" s="1822"/>
      <c r="T98" s="1823">
        <v>0.82</v>
      </c>
      <c r="U98" s="1326">
        <v>82</v>
      </c>
      <c r="V98" s="1815">
        <v>400</v>
      </c>
      <c r="W98" s="1825">
        <v>60</v>
      </c>
      <c r="X98" s="1326">
        <v>100</v>
      </c>
      <c r="Y98" s="1826">
        <v>10</v>
      </c>
      <c r="AD98" s="1326">
        <v>5.2</v>
      </c>
      <c r="AE98" s="1821">
        <v>2.9</v>
      </c>
      <c r="AF98" s="1821">
        <v>7</v>
      </c>
      <c r="AG98" s="1822">
        <v>1.5</v>
      </c>
      <c r="AH98">
        <v>1</v>
      </c>
      <c r="AI98" s="296">
        <v>3</v>
      </c>
      <c r="AJ98" s="626"/>
      <c r="AK98" s="626"/>
      <c r="AL98" s="1947">
        <f t="shared" si="39"/>
        <v>0.6</v>
      </c>
      <c r="AM98" s="1958">
        <v>0.1</v>
      </c>
      <c r="AO98" s="1965"/>
      <c r="AP98" s="1160"/>
    </row>
    <row r="99" spans="1:42" ht="14.25" x14ac:dyDescent="0.2">
      <c r="A99" s="1838" t="str">
        <f t="shared" si="41"/>
        <v>Zuchtsauengülle, Standardfutter</v>
      </c>
      <c r="B99" s="1838">
        <f t="shared" si="38"/>
        <v>90</v>
      </c>
      <c r="C99" s="1818" t="s">
        <v>872</v>
      </c>
      <c r="D99" s="1818"/>
      <c r="E99" s="1819">
        <v>2</v>
      </c>
      <c r="F99" s="117">
        <v>1</v>
      </c>
      <c r="G99" s="117" t="s">
        <v>8340</v>
      </c>
      <c r="H99" s="1814"/>
      <c r="I99" s="1814"/>
      <c r="J99" s="1814"/>
      <c r="K99" s="1814"/>
      <c r="L99" s="1814"/>
      <c r="M99" s="1856">
        <v>1.8</v>
      </c>
      <c r="N99" s="1820"/>
      <c r="O99" s="1821"/>
      <c r="P99" s="1821"/>
      <c r="Q99" s="1822"/>
      <c r="R99" s="1822"/>
      <c r="S99" s="1822"/>
      <c r="T99" s="1842">
        <v>0.85</v>
      </c>
      <c r="U99" s="1843">
        <v>85</v>
      </c>
      <c r="V99" s="1815">
        <v>400</v>
      </c>
      <c r="W99" s="1825">
        <v>60</v>
      </c>
      <c r="X99" s="1843">
        <v>40</v>
      </c>
      <c r="Y99" s="1826">
        <v>90</v>
      </c>
      <c r="AD99" s="1326">
        <v>3.3</v>
      </c>
      <c r="AE99" s="1821">
        <v>0.2</v>
      </c>
      <c r="AF99" s="1821">
        <v>3.1</v>
      </c>
      <c r="AG99" s="1822">
        <v>0.2</v>
      </c>
      <c r="AH99">
        <v>1</v>
      </c>
      <c r="AI99" s="296">
        <v>3</v>
      </c>
      <c r="AJ99" s="626"/>
      <c r="AK99" s="626"/>
      <c r="AL99" s="1947">
        <f t="shared" si="39"/>
        <v>0.6</v>
      </c>
      <c r="AM99" s="1958">
        <v>0.9</v>
      </c>
      <c r="AO99" s="1965"/>
      <c r="AP99" s="1160"/>
    </row>
    <row r="100" spans="1:42" x14ac:dyDescent="0.2">
      <c r="A100" s="1838" t="str">
        <f t="shared" si="41"/>
        <v>Zuchtsauengülle, N-/P-red. Fütterung</v>
      </c>
      <c r="B100" s="1838">
        <f t="shared" si="38"/>
        <v>91</v>
      </c>
      <c r="C100" s="1847" t="s">
        <v>8358</v>
      </c>
      <c r="D100" s="1847"/>
      <c r="E100" s="1848"/>
      <c r="F100" s="1849"/>
      <c r="G100" s="118"/>
      <c r="H100" s="119"/>
      <c r="I100" s="119"/>
      <c r="J100" s="119"/>
      <c r="K100" s="119"/>
      <c r="L100" s="119"/>
      <c r="M100" s="119"/>
      <c r="N100" s="1831"/>
      <c r="O100" s="1832"/>
      <c r="P100" s="1832"/>
      <c r="Q100" s="1833"/>
      <c r="R100" s="1833"/>
      <c r="S100" s="1833"/>
      <c r="T100" s="1834"/>
      <c r="U100" s="1850"/>
      <c r="V100" s="1835"/>
      <c r="W100" s="1836"/>
      <c r="X100" s="1850"/>
      <c r="Y100" s="1837"/>
      <c r="AD100" s="1830"/>
      <c r="AE100" s="1832"/>
      <c r="AF100" s="1833"/>
      <c r="AH100">
        <v>1</v>
      </c>
      <c r="AI100" s="296">
        <v>3</v>
      </c>
      <c r="AJ100" s="626"/>
      <c r="AK100" s="626"/>
      <c r="AL100" s="1947">
        <f t="shared" si="39"/>
        <v>0</v>
      </c>
      <c r="AM100" s="1959"/>
      <c r="AO100" s="1964"/>
      <c r="AP100" s="1160"/>
    </row>
    <row r="101" spans="1:42" ht="25.5" x14ac:dyDescent="0.2">
      <c r="A101" s="1844" t="str">
        <f t="shared" si="41"/>
        <v>Zuchtsauengülle, stark N-/P-red. Fütterung</v>
      </c>
      <c r="B101" s="1844">
        <f t="shared" si="38"/>
        <v>92</v>
      </c>
      <c r="C101" s="1827" t="s">
        <v>8352</v>
      </c>
      <c r="D101" s="1827"/>
      <c r="E101" s="1819">
        <v>3</v>
      </c>
      <c r="F101" s="117">
        <v>2</v>
      </c>
      <c r="G101" s="117" t="s">
        <v>40</v>
      </c>
      <c r="H101" s="1814"/>
      <c r="I101" s="1814"/>
      <c r="J101" s="1814"/>
      <c r="K101" s="1814"/>
      <c r="L101" s="1814"/>
      <c r="M101" s="1814">
        <v>50</v>
      </c>
      <c r="N101" s="1820"/>
      <c r="O101" s="1821"/>
      <c r="P101" s="1821"/>
      <c r="Q101" s="1822"/>
      <c r="R101" s="1822"/>
      <c r="S101" s="1822"/>
      <c r="T101" s="1842">
        <v>0.75</v>
      </c>
      <c r="U101" s="1843">
        <v>75</v>
      </c>
      <c r="V101" s="1824">
        <v>500</v>
      </c>
      <c r="W101" s="1825">
        <v>55</v>
      </c>
      <c r="X101" s="1843">
        <v>100</v>
      </c>
      <c r="Y101" s="1826">
        <v>45</v>
      </c>
      <c r="AD101" s="1326">
        <v>20.3</v>
      </c>
      <c r="AE101" s="1821">
        <v>16</v>
      </c>
      <c r="AF101" s="1821">
        <v>18</v>
      </c>
      <c r="AG101" s="1822">
        <v>6.9</v>
      </c>
      <c r="AH101">
        <v>1</v>
      </c>
      <c r="AI101" s="296">
        <v>3</v>
      </c>
      <c r="AJ101" s="626"/>
      <c r="AK101" s="626"/>
      <c r="AL101" s="1947">
        <f t="shared" si="39"/>
        <v>0.55000000000000004</v>
      </c>
      <c r="AM101" s="1958">
        <v>0.45</v>
      </c>
      <c r="AO101" s="1965"/>
      <c r="AP101" s="1160"/>
    </row>
    <row r="102" spans="1:42" x14ac:dyDescent="0.2">
      <c r="A102" s="1818" t="str">
        <f t="shared" si="41"/>
        <v>Schweinemist, geringe Einstreu</v>
      </c>
      <c r="B102" s="1818">
        <f t="shared" si="38"/>
        <v>93</v>
      </c>
      <c r="C102" s="1827" t="s">
        <v>8353</v>
      </c>
      <c r="D102" s="1827"/>
      <c r="E102" s="1819">
        <v>3</v>
      </c>
      <c r="F102" s="117">
        <v>2</v>
      </c>
      <c r="G102" s="117" t="s">
        <v>40</v>
      </c>
      <c r="H102" s="1814"/>
      <c r="I102" s="1814"/>
      <c r="J102" s="1814"/>
      <c r="K102" s="1814"/>
      <c r="L102" s="1814"/>
      <c r="M102" s="1814">
        <v>50</v>
      </c>
      <c r="N102" s="1820"/>
      <c r="O102" s="1821"/>
      <c r="P102" s="1821"/>
      <c r="Q102" s="1822"/>
      <c r="R102" s="1822"/>
      <c r="S102" s="1822"/>
      <c r="T102" s="1823">
        <v>0.74</v>
      </c>
      <c r="U102" s="1326">
        <v>74</v>
      </c>
      <c r="V102" s="1824">
        <v>500</v>
      </c>
      <c r="W102" s="1825">
        <v>58</v>
      </c>
      <c r="X102" s="1326">
        <v>100</v>
      </c>
      <c r="Y102" s="1826">
        <v>45</v>
      </c>
      <c r="AD102" s="1326">
        <v>22.1</v>
      </c>
      <c r="AE102" s="1821">
        <v>17.5</v>
      </c>
      <c r="AF102" s="1821">
        <v>18.899999999999999</v>
      </c>
      <c r="AG102" s="1822">
        <v>7.5</v>
      </c>
      <c r="AH102">
        <v>1</v>
      </c>
      <c r="AI102" s="296">
        <v>3</v>
      </c>
      <c r="AJ102" s="626"/>
      <c r="AK102" s="626"/>
      <c r="AL102" s="1947">
        <f t="shared" si="39"/>
        <v>0.57999999999999996</v>
      </c>
      <c r="AM102" s="1958">
        <v>0.45</v>
      </c>
      <c r="AO102" s="1965"/>
      <c r="AP102" s="1160"/>
    </row>
    <row r="103" spans="1:42" x14ac:dyDescent="0.2">
      <c r="A103" s="1846" t="str">
        <f t="shared" si="41"/>
        <v>Schweinemist, hohe Einstreu</v>
      </c>
      <c r="B103" s="1846">
        <f t="shared" si="38"/>
        <v>94</v>
      </c>
      <c r="C103" s="1827" t="s">
        <v>873</v>
      </c>
      <c r="D103" s="1827"/>
      <c r="E103" s="1819">
        <v>3</v>
      </c>
      <c r="F103" s="117">
        <v>2</v>
      </c>
      <c r="G103" s="117" t="s">
        <v>40</v>
      </c>
      <c r="H103" s="1814"/>
      <c r="I103" s="1814"/>
      <c r="J103" s="1814"/>
      <c r="K103" s="1814"/>
      <c r="L103" s="1814"/>
      <c r="M103" s="1814">
        <v>50</v>
      </c>
      <c r="N103" s="1820"/>
      <c r="O103" s="1821"/>
      <c r="P103" s="1821"/>
      <c r="Q103" s="1822"/>
      <c r="R103" s="1822"/>
      <c r="S103" s="1822"/>
      <c r="T103" s="1823">
        <v>0.75</v>
      </c>
      <c r="U103" s="1326">
        <v>75</v>
      </c>
      <c r="V103" s="1824">
        <v>500</v>
      </c>
      <c r="W103" s="1825">
        <v>65</v>
      </c>
      <c r="X103" s="1326">
        <v>100</v>
      </c>
      <c r="Y103" s="1826">
        <v>45</v>
      </c>
      <c r="AD103" s="1326">
        <v>20.6</v>
      </c>
      <c r="AE103" s="1821">
        <v>19</v>
      </c>
      <c r="AF103" s="1821">
        <v>13.6</v>
      </c>
      <c r="AG103" s="1822">
        <v>5</v>
      </c>
      <c r="AH103">
        <v>1</v>
      </c>
      <c r="AI103" s="296">
        <v>3</v>
      </c>
      <c r="AJ103" s="626"/>
      <c r="AK103" s="626"/>
      <c r="AL103" s="1947">
        <f t="shared" si="39"/>
        <v>0.65</v>
      </c>
      <c r="AM103" s="1958">
        <v>0.45</v>
      </c>
      <c r="AO103" s="1965"/>
      <c r="AP103" s="1160"/>
    </row>
    <row r="104" spans="1:42" x14ac:dyDescent="0.2">
      <c r="A104" s="1818" t="str">
        <f t="shared" si="41"/>
        <v>Schweinejauche</v>
      </c>
      <c r="B104" s="1818">
        <f t="shared" si="38"/>
        <v>95</v>
      </c>
      <c r="C104" s="1827" t="s">
        <v>8354</v>
      </c>
      <c r="D104" s="1827"/>
      <c r="E104" s="1839">
        <v>3</v>
      </c>
      <c r="F104" s="1840">
        <v>2</v>
      </c>
      <c r="G104" s="117" t="s">
        <v>40</v>
      </c>
      <c r="H104" s="1814"/>
      <c r="I104" s="1814"/>
      <c r="J104" s="1814"/>
      <c r="K104" s="1814"/>
      <c r="L104" s="1814"/>
      <c r="M104" s="1814">
        <v>60</v>
      </c>
      <c r="N104" s="1820"/>
      <c r="O104" s="1821"/>
      <c r="P104" s="1821"/>
      <c r="Q104" s="1841"/>
      <c r="R104" s="1822"/>
      <c r="S104" s="1822"/>
      <c r="T104" s="1823">
        <v>0.75</v>
      </c>
      <c r="U104" s="1326">
        <v>75</v>
      </c>
      <c r="V104" s="1824">
        <v>500</v>
      </c>
      <c r="W104" s="1825">
        <v>55</v>
      </c>
      <c r="X104" s="1326">
        <v>100</v>
      </c>
      <c r="Y104" s="1826">
        <v>45</v>
      </c>
      <c r="AD104" s="1326">
        <v>19.7</v>
      </c>
      <c r="AE104" s="1821">
        <v>15.7</v>
      </c>
      <c r="AF104" s="1821">
        <v>19.7</v>
      </c>
      <c r="AG104" s="1841">
        <v>7.5</v>
      </c>
      <c r="AH104">
        <v>1</v>
      </c>
      <c r="AI104" s="296">
        <v>3</v>
      </c>
      <c r="AJ104" s="626"/>
      <c r="AK104" s="626"/>
      <c r="AL104" s="1947">
        <f t="shared" si="39"/>
        <v>0.55000000000000004</v>
      </c>
      <c r="AM104" s="1958">
        <v>0.45</v>
      </c>
      <c r="AO104" s="1965"/>
      <c r="AP104" s="1160"/>
    </row>
    <row r="105" spans="1:42" x14ac:dyDescent="0.2">
      <c r="A105" s="2240" t="str">
        <f>C117</f>
        <v>Sonstige Wirtschaftsdünger - Schwein</v>
      </c>
      <c r="B105" s="2240">
        <f t="shared" si="38"/>
        <v>113</v>
      </c>
      <c r="C105" s="1818" t="s">
        <v>8355</v>
      </c>
      <c r="D105" s="1818"/>
      <c r="E105" s="1839">
        <v>3</v>
      </c>
      <c r="F105" s="1840">
        <v>2</v>
      </c>
      <c r="G105" s="117" t="s">
        <v>40</v>
      </c>
      <c r="H105" s="1814"/>
      <c r="I105" s="1814"/>
      <c r="J105" s="1814"/>
      <c r="K105" s="1814"/>
      <c r="L105" s="1814"/>
      <c r="M105" s="1814">
        <v>30</v>
      </c>
      <c r="N105" s="1820"/>
      <c r="O105" s="1821"/>
      <c r="P105" s="1821"/>
      <c r="Q105" s="1841"/>
      <c r="R105" s="1822"/>
      <c r="S105" s="1822"/>
      <c r="T105" s="1823">
        <v>0.75</v>
      </c>
      <c r="U105" s="1326">
        <v>75</v>
      </c>
      <c r="V105" s="1824">
        <v>500</v>
      </c>
      <c r="W105" s="1825">
        <v>55</v>
      </c>
      <c r="X105" s="1326">
        <v>100</v>
      </c>
      <c r="Y105" s="1826">
        <v>45.1</v>
      </c>
      <c r="AD105" s="1326">
        <v>6.5</v>
      </c>
      <c r="AE105" s="1821">
        <v>6</v>
      </c>
      <c r="AF105" s="1821">
        <v>6.2</v>
      </c>
      <c r="AG105" s="1841">
        <v>2.2999999999999998</v>
      </c>
      <c r="AH105">
        <v>1</v>
      </c>
      <c r="AI105" s="296">
        <v>3</v>
      </c>
      <c r="AJ105" s="626"/>
      <c r="AK105" s="626"/>
      <c r="AL105" s="1947">
        <f t="shared" si="39"/>
        <v>0.55000000000000004</v>
      </c>
      <c r="AM105" s="1958">
        <v>0.45100000000000001</v>
      </c>
      <c r="AO105" s="1965"/>
      <c r="AP105" s="1160"/>
    </row>
    <row r="106" spans="1:42" x14ac:dyDescent="0.2">
      <c r="A106" s="1847" t="str">
        <f t="shared" ref="A106:A112" si="42">C100</f>
        <v xml:space="preserve"> +++Geflügel, nur Zukauf+++</v>
      </c>
      <c r="B106" s="2247">
        <f t="shared" si="38"/>
        <v>96</v>
      </c>
      <c r="C106" s="1827" t="s">
        <v>874</v>
      </c>
      <c r="D106" s="1827"/>
      <c r="E106" s="1839">
        <v>3</v>
      </c>
      <c r="F106" s="1840">
        <v>2</v>
      </c>
      <c r="G106" s="117" t="s">
        <v>40</v>
      </c>
      <c r="H106" s="1814"/>
      <c r="I106" s="1814"/>
      <c r="J106" s="1814"/>
      <c r="K106" s="1814"/>
      <c r="L106" s="1814"/>
      <c r="M106" s="1814">
        <v>30</v>
      </c>
      <c r="N106" s="1820"/>
      <c r="O106" s="1821"/>
      <c r="P106" s="1821"/>
      <c r="Q106" s="1841"/>
      <c r="R106" s="1822"/>
      <c r="S106" s="1822"/>
      <c r="T106" s="1823">
        <v>0.75</v>
      </c>
      <c r="U106" s="1326">
        <v>75</v>
      </c>
      <c r="V106" s="1824">
        <v>500</v>
      </c>
      <c r="W106" s="1825">
        <v>55</v>
      </c>
      <c r="X106" s="1326">
        <v>100</v>
      </c>
      <c r="Y106" s="1826">
        <v>45</v>
      </c>
      <c r="AD106" s="1326">
        <v>7.8</v>
      </c>
      <c r="AE106" s="1821">
        <v>8.1</v>
      </c>
      <c r="AF106" s="1821">
        <v>6.9</v>
      </c>
      <c r="AG106" s="1841">
        <v>2.5</v>
      </c>
      <c r="AH106">
        <v>1</v>
      </c>
      <c r="AI106" s="296">
        <v>3</v>
      </c>
      <c r="AJ106" s="626"/>
      <c r="AK106" s="626"/>
      <c r="AL106" s="1947">
        <f t="shared" si="39"/>
        <v>0.55000000000000004</v>
      </c>
      <c r="AM106" s="1958">
        <v>0.45</v>
      </c>
      <c r="AO106" s="1965"/>
      <c r="AP106" s="1160"/>
    </row>
    <row r="107" spans="1:42" ht="25.5" x14ac:dyDescent="0.2">
      <c r="A107" s="1827" t="str">
        <f t="shared" si="42"/>
        <v>Hühnermist</v>
      </c>
      <c r="B107" s="1827">
        <f t="shared" si="38"/>
        <v>97</v>
      </c>
      <c r="C107" s="1828" t="s">
        <v>8359</v>
      </c>
      <c r="D107" s="1828"/>
      <c r="E107" s="1829"/>
      <c r="F107" s="118"/>
      <c r="G107" s="118"/>
      <c r="H107" s="119"/>
      <c r="I107" s="119"/>
      <c r="J107" s="119"/>
      <c r="K107" s="119"/>
      <c r="L107" s="119"/>
      <c r="M107" s="1830"/>
      <c r="N107" s="1831"/>
      <c r="O107" s="1832"/>
      <c r="P107" s="1832"/>
      <c r="Q107" s="1833"/>
      <c r="R107" s="1833"/>
      <c r="S107" s="1833"/>
      <c r="T107" s="1834"/>
      <c r="U107" s="1834"/>
      <c r="V107" s="1851"/>
      <c r="W107" s="1836"/>
      <c r="X107" s="1834"/>
      <c r="Y107" s="1837"/>
      <c r="AD107" s="1830"/>
      <c r="AE107" s="1832"/>
      <c r="AF107" s="1833"/>
      <c r="AH107">
        <v>1</v>
      </c>
      <c r="AI107" s="296">
        <v>3</v>
      </c>
      <c r="AJ107" s="626"/>
      <c r="AK107" s="626"/>
      <c r="AL107" s="1947">
        <f t="shared" si="39"/>
        <v>0</v>
      </c>
      <c r="AM107" s="1959"/>
      <c r="AO107" s="1964"/>
      <c r="AP107" s="1160"/>
    </row>
    <row r="108" spans="1:42" x14ac:dyDescent="0.2">
      <c r="A108" s="1827" t="str">
        <f t="shared" si="42"/>
        <v>Hühnerkot</v>
      </c>
      <c r="B108" s="1827">
        <f t="shared" si="38"/>
        <v>98</v>
      </c>
      <c r="C108" s="1827" t="s">
        <v>875</v>
      </c>
      <c r="D108" s="1827"/>
      <c r="E108" s="1819">
        <v>4</v>
      </c>
      <c r="F108" s="117">
        <v>2</v>
      </c>
      <c r="G108" s="117" t="s">
        <v>40</v>
      </c>
      <c r="H108" s="1814"/>
      <c r="I108" s="1814"/>
      <c r="J108" s="1814"/>
      <c r="K108" s="1814"/>
      <c r="L108" s="1814"/>
      <c r="M108" s="1814">
        <v>30</v>
      </c>
      <c r="N108" s="1820"/>
      <c r="O108" s="1821"/>
      <c r="P108" s="1821"/>
      <c r="Q108" s="1822"/>
      <c r="R108" s="1822"/>
      <c r="S108" s="1822"/>
      <c r="T108" s="1823">
        <v>0.75</v>
      </c>
      <c r="U108" s="1326">
        <v>75</v>
      </c>
      <c r="V108" s="1852">
        <v>300</v>
      </c>
      <c r="W108" s="1825">
        <v>55</v>
      </c>
      <c r="X108" s="1326">
        <v>100</v>
      </c>
      <c r="Y108" s="1826">
        <v>10</v>
      </c>
      <c r="AD108" s="1326">
        <v>3.6</v>
      </c>
      <c r="AE108" s="1821">
        <v>2.7</v>
      </c>
      <c r="AF108" s="1821">
        <v>9.3000000000000007</v>
      </c>
      <c r="AG108" s="1822">
        <v>1.9</v>
      </c>
      <c r="AH108">
        <v>1</v>
      </c>
      <c r="AI108" s="296">
        <v>3</v>
      </c>
      <c r="AJ108" s="626"/>
      <c r="AK108" s="626"/>
      <c r="AL108" s="1947">
        <f t="shared" si="39"/>
        <v>0.55000000000000004</v>
      </c>
      <c r="AM108" s="1958">
        <v>0.1</v>
      </c>
      <c r="AO108" s="1965"/>
      <c r="AP108" s="1160"/>
    </row>
    <row r="109" spans="1:42" ht="25.5" x14ac:dyDescent="0.2">
      <c r="A109" s="1827" t="str">
        <f t="shared" si="42"/>
        <v>Putenmist</v>
      </c>
      <c r="B109" s="1827">
        <f t="shared" ref="B109:B117" si="43">IFERROR(MATCH(A109,$C$5:$C$119,0),1)</f>
        <v>99</v>
      </c>
      <c r="C109" s="1818" t="s">
        <v>8356</v>
      </c>
      <c r="D109" s="1818"/>
      <c r="E109" s="1819">
        <v>4</v>
      </c>
      <c r="F109" s="117">
        <v>2</v>
      </c>
      <c r="G109" s="117" t="s">
        <v>40</v>
      </c>
      <c r="H109" s="1814"/>
      <c r="I109" s="1814"/>
      <c r="J109" s="1814"/>
      <c r="K109" s="1814"/>
      <c r="L109" s="1814"/>
      <c r="M109" s="1814">
        <v>30</v>
      </c>
      <c r="N109" s="1820"/>
      <c r="O109" s="1821"/>
      <c r="P109" s="1821"/>
      <c r="Q109" s="1822"/>
      <c r="R109" s="1822"/>
      <c r="S109" s="1822"/>
      <c r="T109" s="1823">
        <v>0.8</v>
      </c>
      <c r="U109" s="1326">
        <v>80</v>
      </c>
      <c r="V109" s="1852">
        <v>450</v>
      </c>
      <c r="W109" s="1825">
        <v>55</v>
      </c>
      <c r="X109" s="1326">
        <v>100</v>
      </c>
      <c r="Y109" s="1826">
        <v>10</v>
      </c>
      <c r="AD109" s="1326">
        <v>5.9</v>
      </c>
      <c r="AE109" s="1821">
        <v>3.1</v>
      </c>
      <c r="AF109" s="1821">
        <v>11.3</v>
      </c>
      <c r="AG109" s="1822">
        <v>2.6</v>
      </c>
      <c r="AH109">
        <v>1</v>
      </c>
      <c r="AI109" s="296">
        <v>3</v>
      </c>
      <c r="AJ109" s="626"/>
      <c r="AK109" s="626"/>
      <c r="AL109" s="1947">
        <f t="shared" si="39"/>
        <v>0.55000000000000004</v>
      </c>
      <c r="AM109" s="1958">
        <v>0.1</v>
      </c>
      <c r="AO109" s="1965"/>
      <c r="AP109" s="1160"/>
    </row>
    <row r="110" spans="1:42" x14ac:dyDescent="0.2">
      <c r="A110" s="1827" t="str">
        <f t="shared" si="42"/>
        <v>Masthähnchenmist</v>
      </c>
      <c r="B110" s="1827">
        <f t="shared" si="43"/>
        <v>100</v>
      </c>
      <c r="C110" s="1827"/>
      <c r="D110" s="1827"/>
      <c r="E110" s="1839"/>
      <c r="F110" s="1840"/>
      <c r="G110" s="117"/>
      <c r="H110" s="1814"/>
      <c r="I110" s="1814"/>
      <c r="J110" s="1814"/>
      <c r="K110" s="1814"/>
      <c r="L110" s="1814"/>
      <c r="M110" s="1814"/>
      <c r="N110" s="1820"/>
      <c r="O110" s="1821"/>
      <c r="P110" s="1821"/>
      <c r="Q110" s="1841"/>
      <c r="R110" s="1822"/>
      <c r="S110" s="1822"/>
      <c r="T110" s="1823"/>
      <c r="U110" s="1326"/>
      <c r="V110" s="1824"/>
      <c r="W110" s="1855"/>
      <c r="X110" s="1326"/>
      <c r="Y110" s="1826"/>
      <c r="AD110" s="1326"/>
      <c r="AE110" s="1853"/>
      <c r="AF110" s="1853"/>
      <c r="AG110" s="1854"/>
      <c r="AH110">
        <v>1</v>
      </c>
      <c r="AI110" s="296"/>
      <c r="AJ110" s="626"/>
      <c r="AK110" s="626"/>
      <c r="AL110" s="1825"/>
      <c r="AM110" s="1826"/>
      <c r="AO110" s="1965"/>
      <c r="AP110" s="1160"/>
    </row>
    <row r="111" spans="1:42" ht="25.5" x14ac:dyDescent="0.2">
      <c r="A111" s="1818" t="str">
        <f t="shared" si="42"/>
        <v>Pekingenten- und Gänsemist</v>
      </c>
      <c r="B111" s="1818">
        <f t="shared" si="43"/>
        <v>101</v>
      </c>
      <c r="C111" s="1828" t="s">
        <v>8478</v>
      </c>
      <c r="D111" s="1828"/>
      <c r="E111" s="1829"/>
      <c r="F111" s="118"/>
      <c r="G111" s="118"/>
      <c r="H111" s="119"/>
      <c r="I111" s="119"/>
      <c r="J111" s="119"/>
      <c r="K111" s="119"/>
      <c r="L111" s="119"/>
      <c r="M111" s="1830"/>
      <c r="N111" s="1831"/>
      <c r="O111" s="1832"/>
      <c r="P111" s="1832"/>
      <c r="Q111" s="1833"/>
      <c r="R111" s="1833"/>
      <c r="S111" s="1833"/>
      <c r="T111" s="1834"/>
      <c r="U111" s="1834"/>
      <c r="V111" s="1851"/>
      <c r="X111" s="1834"/>
      <c r="Y111" s="596"/>
      <c r="AD111" s="1830"/>
      <c r="AE111" s="1832"/>
      <c r="AF111" s="1833"/>
      <c r="AH111">
        <v>1</v>
      </c>
      <c r="AL111" s="1836"/>
      <c r="AM111" s="1837"/>
      <c r="AO111" s="1964"/>
      <c r="AP111" s="1160"/>
    </row>
    <row r="112" spans="1:42" x14ac:dyDescent="0.2">
      <c r="A112" s="1827" t="str">
        <f t="shared" si="42"/>
        <v>Flugentenmist</v>
      </c>
      <c r="B112" s="1254">
        <f t="shared" si="43"/>
        <v>102</v>
      </c>
      <c r="C112" s="1860" t="s">
        <v>8423</v>
      </c>
      <c r="D112" s="1858"/>
      <c r="E112" s="619"/>
      <c r="F112" s="1865"/>
      <c r="G112" s="619"/>
      <c r="H112" s="619"/>
      <c r="I112" s="619"/>
      <c r="J112" s="619"/>
      <c r="K112" s="1865"/>
      <c r="L112" s="1865"/>
      <c r="M112" s="620"/>
      <c r="N112" s="620"/>
      <c r="O112" s="1145"/>
      <c r="P112" s="1145"/>
      <c r="Q112" s="1145"/>
      <c r="R112" s="1145"/>
      <c r="S112" s="1145"/>
      <c r="T112" s="1859"/>
      <c r="U112" s="1859"/>
      <c r="V112" s="1863"/>
      <c r="W112" s="1859"/>
      <c r="X112" s="662"/>
      <c r="Y112" s="1864"/>
      <c r="Z112" s="662"/>
      <c r="AD112" s="615"/>
      <c r="AE112" s="621"/>
      <c r="AF112" s="809"/>
      <c r="AG112" s="809"/>
      <c r="AH112">
        <v>1</v>
      </c>
      <c r="AI112" s="296">
        <f t="shared" ref="AI112:AI115" si="44">IF(AND(AA112="",AB112="",AC112=""),2,1)</f>
        <v>2</v>
      </c>
      <c r="AJ112" s="595">
        <f t="shared" ref="AJ112:AJ115" si="45">IF(AC112&gt;0,AC112,AA112)</f>
        <v>0</v>
      </c>
      <c r="AK112" s="595">
        <f t="shared" ref="AK112:AK115" si="46">AB112</f>
        <v>0</v>
      </c>
      <c r="AL112" s="1825"/>
      <c r="AM112" s="1826"/>
      <c r="AO112" s="1965"/>
      <c r="AP112" s="1160"/>
    </row>
    <row r="113" spans="1:42" x14ac:dyDescent="0.2">
      <c r="A113" s="2241" t="str">
        <f>C118</f>
        <v>Sonstige Wirtschaftsdünger - Geflügel</v>
      </c>
      <c r="B113" s="1862">
        <f t="shared" si="43"/>
        <v>114</v>
      </c>
      <c r="C113" s="1861" t="s">
        <v>8384</v>
      </c>
      <c r="F113" s="1656" t="s">
        <v>561</v>
      </c>
      <c r="I113" s="626">
        <v>1</v>
      </c>
      <c r="K113" s="1866"/>
      <c r="L113" s="1866"/>
      <c r="M113" s="625"/>
      <c r="N113" s="625"/>
      <c r="R113" s="595"/>
      <c r="S113" s="595"/>
      <c r="T113" s="1154"/>
      <c r="U113" s="1154"/>
      <c r="V113" s="618"/>
      <c r="W113" s="1154"/>
      <c r="X113" s="618"/>
      <c r="Y113" s="618"/>
      <c r="Z113" s="662"/>
      <c r="AD113" s="615"/>
      <c r="AE113" s="596"/>
      <c r="AH113">
        <v>1</v>
      </c>
      <c r="AI113" s="296">
        <f t="shared" si="44"/>
        <v>2</v>
      </c>
      <c r="AJ113" s="595">
        <f t="shared" si="45"/>
        <v>0</v>
      </c>
      <c r="AK113" s="595">
        <f t="shared" si="46"/>
        <v>0</v>
      </c>
      <c r="AL113" s="1825"/>
      <c r="AM113" s="1826"/>
      <c r="AO113" s="1948"/>
      <c r="AP113" s="1160"/>
    </row>
    <row r="114" spans="1:42" ht="25.5" x14ac:dyDescent="0.2">
      <c r="A114" s="1828" t="str">
        <f>C107</f>
        <v xml:space="preserve"> +++sonstige tierische Herkunft, nur Zukauf+++</v>
      </c>
      <c r="B114" s="2248">
        <f t="shared" si="43"/>
        <v>103</v>
      </c>
      <c r="C114" s="1861" t="s">
        <v>8383</v>
      </c>
      <c r="F114" s="1656" t="s">
        <v>561</v>
      </c>
      <c r="I114" s="626">
        <v>2</v>
      </c>
      <c r="K114" s="1866"/>
      <c r="L114" s="1866"/>
      <c r="M114" s="625"/>
      <c r="N114" s="625"/>
      <c r="R114" s="595"/>
      <c r="S114" s="595"/>
      <c r="T114" s="1154"/>
      <c r="U114" s="1154"/>
      <c r="V114" s="618"/>
      <c r="W114" s="1154"/>
      <c r="X114" s="618"/>
      <c r="Y114" s="618"/>
      <c r="Z114" s="662"/>
      <c r="AD114" s="615"/>
      <c r="AE114" s="596"/>
      <c r="AH114">
        <v>1</v>
      </c>
      <c r="AI114" s="296">
        <f t="shared" si="44"/>
        <v>2</v>
      </c>
      <c r="AJ114" s="595">
        <f t="shared" si="45"/>
        <v>0</v>
      </c>
      <c r="AK114" s="595">
        <f t="shared" si="46"/>
        <v>0</v>
      </c>
      <c r="AL114" s="1855"/>
      <c r="AM114" s="1826"/>
      <c r="AO114" s="1949"/>
      <c r="AP114" s="1160"/>
    </row>
    <row r="115" spans="1:42" x14ac:dyDescent="0.2">
      <c r="A115" s="1827" t="str">
        <f>C108</f>
        <v>Pferdemist</v>
      </c>
      <c r="B115" s="1254">
        <f t="shared" si="43"/>
        <v>104</v>
      </c>
      <c r="C115" s="1861" t="s">
        <v>8424</v>
      </c>
      <c r="F115" s="1656" t="s">
        <v>561</v>
      </c>
      <c r="K115" s="1866"/>
      <c r="L115" s="1866"/>
      <c r="M115" s="625"/>
      <c r="N115" s="625"/>
      <c r="R115" s="595"/>
      <c r="S115" s="595"/>
      <c r="T115" s="1154"/>
      <c r="U115" s="1154"/>
      <c r="V115" s="618"/>
      <c r="W115" s="1154"/>
      <c r="X115" s="618"/>
      <c r="Y115" s="618"/>
      <c r="Z115" s="662"/>
      <c r="AD115" s="615"/>
      <c r="AE115" s="596"/>
      <c r="AH115">
        <v>1</v>
      </c>
      <c r="AI115" s="296">
        <f t="shared" si="44"/>
        <v>2</v>
      </c>
      <c r="AJ115" s="595">
        <f t="shared" si="45"/>
        <v>0</v>
      </c>
      <c r="AK115" s="595">
        <f t="shared" si="46"/>
        <v>0</v>
      </c>
      <c r="AO115" s="1160"/>
      <c r="AP115" s="1160"/>
    </row>
    <row r="116" spans="1:42" x14ac:dyDescent="0.2">
      <c r="A116" s="1818" t="str">
        <f>C109</f>
        <v>Schaf-, Lama-, Alpaka- und Ziegenmist</v>
      </c>
      <c r="B116" s="2249">
        <f t="shared" si="43"/>
        <v>105</v>
      </c>
      <c r="C116" s="625" t="s">
        <v>1167</v>
      </c>
      <c r="D116" s="596"/>
      <c r="E116" s="604">
        <v>1</v>
      </c>
      <c r="F116" s="596">
        <v>1</v>
      </c>
      <c r="G116" s="596" t="s">
        <v>8479</v>
      </c>
      <c r="H116" s="626"/>
      <c r="I116" s="596"/>
      <c r="J116" s="625"/>
      <c r="L116" s="809"/>
      <c r="M116" s="809"/>
      <c r="N116" s="809"/>
      <c r="O116" s="809"/>
      <c r="P116" s="809"/>
      <c r="Q116" s="625"/>
      <c r="S116" s="629"/>
      <c r="T116" s="625"/>
      <c r="U116" s="629"/>
      <c r="V116" s="1855"/>
      <c r="X116" s="596"/>
      <c r="Y116" s="596"/>
      <c r="AC116" s="809"/>
      <c r="AD116" s="809"/>
      <c r="AE116" s="615"/>
      <c r="AF116" s="616"/>
      <c r="AG116"/>
      <c r="AH116">
        <v>1</v>
      </c>
      <c r="AI116" s="596">
        <v>3</v>
      </c>
      <c r="AK116" s="629"/>
      <c r="AO116" s="1160"/>
      <c r="AP116" s="1160"/>
    </row>
    <row r="117" spans="1:42" x14ac:dyDescent="0.2">
      <c r="A117" s="2242" t="str">
        <f>C119</f>
        <v>Sonstige Wirtschaftsdünger - sonstige Tiere</v>
      </c>
      <c r="B117" s="2242">
        <f t="shared" si="43"/>
        <v>115</v>
      </c>
      <c r="C117" s="625" t="s">
        <v>1166</v>
      </c>
      <c r="E117" s="596">
        <v>2</v>
      </c>
      <c r="F117" s="604">
        <v>1</v>
      </c>
      <c r="G117" s="596" t="s">
        <v>8479</v>
      </c>
      <c r="M117" s="615"/>
      <c r="N117" s="615"/>
      <c r="O117" s="615"/>
      <c r="P117" s="615"/>
      <c r="Q117" s="615"/>
      <c r="W117" s="1855"/>
      <c r="Y117" s="596"/>
      <c r="AD117" s="615"/>
      <c r="AE117" s="615"/>
      <c r="AF117" s="615"/>
      <c r="AG117" s="616"/>
      <c r="AH117">
        <v>1</v>
      </c>
      <c r="AI117">
        <v>3</v>
      </c>
      <c r="AO117" s="1160"/>
      <c r="AP117" s="1160"/>
    </row>
    <row r="118" spans="1:42" ht="13.5" thickBot="1" x14ac:dyDescent="0.25">
      <c r="C118" s="625" t="s">
        <v>1165</v>
      </c>
      <c r="E118" s="596">
        <v>3</v>
      </c>
      <c r="F118" s="604">
        <v>2</v>
      </c>
      <c r="G118" s="596" t="s">
        <v>40</v>
      </c>
      <c r="M118" s="615"/>
      <c r="N118" s="615"/>
      <c r="O118" s="615"/>
      <c r="P118" s="615"/>
      <c r="Q118" s="615"/>
      <c r="W118" s="1855"/>
      <c r="Y118" s="596"/>
      <c r="AD118" s="615"/>
      <c r="AE118" s="615"/>
      <c r="AF118" s="615"/>
      <c r="AG118" s="616"/>
      <c r="AH118">
        <v>1</v>
      </c>
      <c r="AI118">
        <v>3</v>
      </c>
      <c r="AO118" s="1160"/>
      <c r="AP118" s="1160"/>
    </row>
    <row r="119" spans="1:42" x14ac:dyDescent="0.2">
      <c r="C119" s="625" t="s">
        <v>1168</v>
      </c>
      <c r="E119" s="596">
        <v>4</v>
      </c>
      <c r="F119" s="604">
        <v>2</v>
      </c>
      <c r="G119" s="596" t="s">
        <v>40</v>
      </c>
      <c r="M119" s="809"/>
      <c r="N119" s="809"/>
      <c r="O119" s="809"/>
      <c r="P119" s="809"/>
      <c r="Q119" s="809"/>
      <c r="W119" s="1969"/>
      <c r="Y119" s="596"/>
      <c r="AD119" s="809"/>
      <c r="AE119" s="809"/>
      <c r="AF119" s="615"/>
      <c r="AG119" s="616"/>
      <c r="AH119">
        <v>1</v>
      </c>
      <c r="AI119">
        <v>3</v>
      </c>
      <c r="AO119" s="1160"/>
      <c r="AP119" s="1160"/>
    </row>
    <row r="120" spans="1:42" x14ac:dyDescent="0.2">
      <c r="AO120" s="1160"/>
      <c r="AP120" s="1160"/>
    </row>
    <row r="121" spans="1:42" x14ac:dyDescent="0.2">
      <c r="AO121" s="1160"/>
      <c r="AP121" s="1160"/>
    </row>
    <row r="122" spans="1:42" x14ac:dyDescent="0.2">
      <c r="C122" s="969" t="s">
        <v>23</v>
      </c>
      <c r="W122" s="629"/>
      <c r="AI122" s="296"/>
      <c r="AJ122" s="626"/>
      <c r="AK122" s="626"/>
      <c r="AL122"/>
      <c r="AO122" s="1160"/>
      <c r="AP122" s="1160"/>
    </row>
    <row r="123" spans="1:42" x14ac:dyDescent="0.2">
      <c r="A123" s="625"/>
      <c r="B123" s="625"/>
      <c r="C123" s="1909" t="s">
        <v>975</v>
      </c>
      <c r="D123" s="1909"/>
      <c r="F123" s="1910"/>
      <c r="H123" s="1911"/>
      <c r="I123" s="596">
        <v>2</v>
      </c>
      <c r="J123" s="596">
        <v>20</v>
      </c>
      <c r="K123" s="1910"/>
      <c r="L123" s="1912"/>
      <c r="M123" s="1913">
        <v>65</v>
      </c>
      <c r="N123" s="1759">
        <v>1.56</v>
      </c>
      <c r="O123" s="1703">
        <v>0.2</v>
      </c>
      <c r="P123" s="1703">
        <v>0.39</v>
      </c>
      <c r="Q123" s="1703">
        <v>0.08</v>
      </c>
      <c r="R123" s="1914">
        <v>15</v>
      </c>
      <c r="S123" s="1705"/>
      <c r="T123" s="1682">
        <v>0.97</v>
      </c>
      <c r="U123" s="1683">
        <v>97</v>
      </c>
      <c r="V123" s="1683">
        <v>763</v>
      </c>
      <c r="W123" s="1706">
        <v>52.8</v>
      </c>
      <c r="X123" s="1915"/>
      <c r="Y123" s="1916"/>
      <c r="Z123" s="596">
        <v>0</v>
      </c>
      <c r="AD123" s="614">
        <f>N123*10</f>
        <v>15.600000000000001</v>
      </c>
      <c r="AE123" s="614">
        <f t="shared" ref="AE123:AG138" si="47">O123*10</f>
        <v>2</v>
      </c>
      <c r="AF123" s="614">
        <f t="shared" si="47"/>
        <v>3.9000000000000004</v>
      </c>
      <c r="AG123" s="614">
        <f t="shared" si="47"/>
        <v>0.8</v>
      </c>
      <c r="AH123">
        <v>2</v>
      </c>
      <c r="AI123" s="296"/>
      <c r="AJ123" s="626"/>
      <c r="AK123" s="626"/>
      <c r="AL123"/>
      <c r="AO123" s="1160"/>
      <c r="AP123" s="1160"/>
    </row>
    <row r="124" spans="1:42" x14ac:dyDescent="0.2">
      <c r="C124" s="1909" t="s">
        <v>976</v>
      </c>
      <c r="D124" s="1909"/>
      <c r="E124" s="1708"/>
      <c r="F124" s="1910"/>
      <c r="G124" s="1917"/>
      <c r="H124" s="1911"/>
      <c r="I124" s="596">
        <v>2</v>
      </c>
      <c r="J124" s="596">
        <v>20</v>
      </c>
      <c r="K124" s="1910"/>
      <c r="L124" s="1912"/>
      <c r="M124" s="1913">
        <v>22</v>
      </c>
      <c r="N124" s="1759">
        <v>0.28999999999999998</v>
      </c>
      <c r="O124" s="1703">
        <v>0.09</v>
      </c>
      <c r="P124" s="1703">
        <v>0.18</v>
      </c>
      <c r="Q124" s="1703">
        <v>7.0000000000000007E-2</v>
      </c>
      <c r="R124" s="1914">
        <v>8.31</v>
      </c>
      <c r="S124" s="1705"/>
      <c r="T124" s="1682">
        <v>0.98</v>
      </c>
      <c r="U124" s="1683">
        <v>98</v>
      </c>
      <c r="V124" s="1683">
        <v>520</v>
      </c>
      <c r="W124" s="1706">
        <v>51.7</v>
      </c>
      <c r="X124" s="1915"/>
      <c r="Y124" s="1916"/>
      <c r="Z124" s="596">
        <v>0</v>
      </c>
      <c r="AD124" s="614">
        <f t="shared" ref="AD124:AG160" si="48">N124*10</f>
        <v>2.9</v>
      </c>
      <c r="AE124" s="614">
        <f t="shared" si="47"/>
        <v>0.89999999999999991</v>
      </c>
      <c r="AF124" s="614">
        <f t="shared" si="47"/>
        <v>1.7999999999999998</v>
      </c>
      <c r="AG124" s="614">
        <f t="shared" si="47"/>
        <v>0.70000000000000007</v>
      </c>
      <c r="AH124">
        <v>2</v>
      </c>
      <c r="AI124" s="296"/>
      <c r="AJ124" s="626"/>
      <c r="AK124" s="626"/>
      <c r="AL124"/>
      <c r="AO124" s="1160"/>
      <c r="AP124" s="1160"/>
    </row>
    <row r="125" spans="1:42" x14ac:dyDescent="0.2">
      <c r="C125" s="1909" t="s">
        <v>977</v>
      </c>
      <c r="D125" s="1909"/>
      <c r="E125" s="1708"/>
      <c r="F125" s="1910"/>
      <c r="G125" s="1917"/>
      <c r="H125" s="1911"/>
      <c r="I125" s="596">
        <v>2</v>
      </c>
      <c r="J125" s="596">
        <v>20</v>
      </c>
      <c r="K125" s="1910"/>
      <c r="L125" s="1912"/>
      <c r="M125" s="1913">
        <v>10</v>
      </c>
      <c r="N125" s="1759">
        <v>0.84</v>
      </c>
      <c r="O125" s="1703">
        <v>0.26</v>
      </c>
      <c r="P125" s="1703">
        <v>0.18</v>
      </c>
      <c r="Q125" s="1703">
        <v>0.03</v>
      </c>
      <c r="R125" s="1914">
        <v>52.5</v>
      </c>
      <c r="S125" s="1705"/>
      <c r="T125" s="1682">
        <v>0.92</v>
      </c>
      <c r="U125" s="1683">
        <v>92</v>
      </c>
      <c r="V125" s="1683">
        <v>662</v>
      </c>
      <c r="W125" s="1706">
        <v>62.1</v>
      </c>
      <c r="X125" s="1918"/>
      <c r="Y125" s="1919"/>
      <c r="Z125" s="596">
        <v>0</v>
      </c>
      <c r="AD125" s="614">
        <f t="shared" si="48"/>
        <v>8.4</v>
      </c>
      <c r="AE125" s="614">
        <f t="shared" si="47"/>
        <v>2.6</v>
      </c>
      <c r="AF125" s="614">
        <f t="shared" si="47"/>
        <v>1.7999999999999998</v>
      </c>
      <c r="AG125" s="614">
        <f t="shared" si="47"/>
        <v>0.3</v>
      </c>
      <c r="AH125">
        <v>2</v>
      </c>
      <c r="AI125" s="296"/>
      <c r="AJ125" s="626"/>
      <c r="AK125" s="626"/>
      <c r="AL125"/>
      <c r="AO125" s="1160"/>
      <c r="AP125" s="1160"/>
    </row>
    <row r="126" spans="1:42" x14ac:dyDescent="0.2">
      <c r="C126" s="1909" t="s">
        <v>978</v>
      </c>
      <c r="D126" s="1909"/>
      <c r="E126" s="1708"/>
      <c r="F126" s="1910"/>
      <c r="G126" s="1917"/>
      <c r="H126" s="1911"/>
      <c r="I126" s="596">
        <v>2</v>
      </c>
      <c r="J126" s="596">
        <v>20</v>
      </c>
      <c r="K126" s="1910"/>
      <c r="L126" s="1912"/>
      <c r="M126" s="1913">
        <v>25</v>
      </c>
      <c r="N126" s="1759">
        <v>1</v>
      </c>
      <c r="O126" s="1703">
        <v>0.34</v>
      </c>
      <c r="P126" s="1703">
        <v>0.03</v>
      </c>
      <c r="Q126" s="1703">
        <v>0.08</v>
      </c>
      <c r="R126" s="1914">
        <v>25</v>
      </c>
      <c r="S126" s="1705"/>
      <c r="T126" s="1682">
        <v>0.96</v>
      </c>
      <c r="U126" s="1683">
        <v>96</v>
      </c>
      <c r="V126" s="1683">
        <v>551</v>
      </c>
      <c r="W126" s="1706">
        <v>59</v>
      </c>
      <c r="X126" s="1918"/>
      <c r="Y126" s="1919"/>
      <c r="Z126" s="596">
        <v>0</v>
      </c>
      <c r="AD126" s="614">
        <f t="shared" si="48"/>
        <v>10</v>
      </c>
      <c r="AE126" s="614">
        <f t="shared" si="47"/>
        <v>3.4000000000000004</v>
      </c>
      <c r="AF126" s="614">
        <f t="shared" si="47"/>
        <v>0.3</v>
      </c>
      <c r="AG126" s="614">
        <f t="shared" si="47"/>
        <v>0.8</v>
      </c>
      <c r="AH126">
        <v>2</v>
      </c>
      <c r="AI126" s="296"/>
      <c r="AJ126" s="626"/>
      <c r="AK126" s="626"/>
      <c r="AL126"/>
      <c r="AO126" s="1160"/>
      <c r="AP126" s="1160"/>
    </row>
    <row r="127" spans="1:42" x14ac:dyDescent="0.2">
      <c r="C127" s="1909" t="s">
        <v>979</v>
      </c>
      <c r="D127" s="1909"/>
      <c r="E127" s="1708"/>
      <c r="F127" s="1910"/>
      <c r="G127" s="1917"/>
      <c r="H127" s="1911"/>
      <c r="I127" s="596">
        <v>2</v>
      </c>
      <c r="J127" s="596">
        <v>20</v>
      </c>
      <c r="K127" s="1910"/>
      <c r="L127" s="1912"/>
      <c r="M127" s="1913">
        <v>91</v>
      </c>
      <c r="N127" s="1759">
        <v>9.17</v>
      </c>
      <c r="O127" s="1703">
        <v>6.88</v>
      </c>
      <c r="P127" s="1703">
        <v>0.98</v>
      </c>
      <c r="Q127" s="1703">
        <v>0.44</v>
      </c>
      <c r="R127" s="1914">
        <v>63</v>
      </c>
      <c r="S127" s="1705"/>
      <c r="T127" s="1682">
        <v>0.82</v>
      </c>
      <c r="U127" s="1683">
        <v>82</v>
      </c>
      <c r="V127" s="1683">
        <v>641</v>
      </c>
      <c r="W127" s="1706">
        <v>70.599999999999994</v>
      </c>
      <c r="X127" s="1918"/>
      <c r="Y127" s="1919"/>
      <c r="Z127" s="596">
        <v>0</v>
      </c>
      <c r="AD127" s="614">
        <f t="shared" si="48"/>
        <v>91.7</v>
      </c>
      <c r="AE127" s="614">
        <f t="shared" si="47"/>
        <v>68.8</v>
      </c>
      <c r="AF127" s="614">
        <f t="shared" si="47"/>
        <v>9.8000000000000007</v>
      </c>
      <c r="AG127" s="614">
        <f t="shared" si="47"/>
        <v>4.4000000000000004</v>
      </c>
      <c r="AH127">
        <v>2</v>
      </c>
      <c r="AI127" s="296"/>
      <c r="AJ127" s="626"/>
      <c r="AK127" s="626"/>
      <c r="AL127"/>
      <c r="AO127" s="1160"/>
      <c r="AP127" s="1160"/>
    </row>
    <row r="128" spans="1:42" x14ac:dyDescent="0.2">
      <c r="C128" s="1909" t="s">
        <v>980</v>
      </c>
      <c r="D128" s="1909"/>
      <c r="E128" s="1708"/>
      <c r="F128" s="1910"/>
      <c r="G128" s="1917"/>
      <c r="H128" s="1911"/>
      <c r="I128" s="596">
        <v>2</v>
      </c>
      <c r="J128" s="596">
        <v>20</v>
      </c>
      <c r="K128" s="1910"/>
      <c r="L128" s="1912"/>
      <c r="M128" s="1913">
        <v>60</v>
      </c>
      <c r="N128" s="1759">
        <v>3.46</v>
      </c>
      <c r="O128" s="1703">
        <v>0.69</v>
      </c>
      <c r="P128" s="1703">
        <v>0.57999999999999996</v>
      </c>
      <c r="Q128" s="1703">
        <v>0.24</v>
      </c>
      <c r="R128" s="1914">
        <v>36</v>
      </c>
      <c r="S128" s="1705"/>
      <c r="T128" s="1682">
        <v>0.94</v>
      </c>
      <c r="U128" s="1683">
        <v>94</v>
      </c>
      <c r="V128" s="1683">
        <v>639</v>
      </c>
      <c r="W128" s="1706">
        <v>58.9</v>
      </c>
      <c r="X128" s="1918"/>
      <c r="Y128" s="1919"/>
      <c r="Z128" s="596">
        <v>0</v>
      </c>
      <c r="AD128" s="614">
        <f t="shared" si="48"/>
        <v>34.6</v>
      </c>
      <c r="AE128" s="614">
        <f t="shared" si="47"/>
        <v>6.8999999999999995</v>
      </c>
      <c r="AF128" s="614">
        <f t="shared" si="47"/>
        <v>5.8</v>
      </c>
      <c r="AG128" s="614">
        <f t="shared" si="47"/>
        <v>2.4</v>
      </c>
      <c r="AH128">
        <v>2</v>
      </c>
      <c r="AI128" s="296"/>
      <c r="AJ128" s="626"/>
      <c r="AK128" s="626"/>
      <c r="AL128"/>
      <c r="AO128" s="1160"/>
      <c r="AP128" s="1160"/>
    </row>
    <row r="129" spans="3:42" x14ac:dyDescent="0.2">
      <c r="C129" s="1909" t="s">
        <v>981</v>
      </c>
      <c r="D129" s="1909"/>
      <c r="E129" s="1708"/>
      <c r="F129" s="1910"/>
      <c r="G129" s="1917"/>
      <c r="H129" s="1911"/>
      <c r="I129" s="596">
        <v>2</v>
      </c>
      <c r="J129" s="596">
        <v>20</v>
      </c>
      <c r="K129" s="1910"/>
      <c r="L129" s="1912"/>
      <c r="M129" s="1913">
        <v>92</v>
      </c>
      <c r="N129" s="1759">
        <v>5.62</v>
      </c>
      <c r="O129" s="1703">
        <v>1.9</v>
      </c>
      <c r="P129" s="1703">
        <v>1.48</v>
      </c>
      <c r="Q129" s="1703">
        <v>0.55000000000000004</v>
      </c>
      <c r="R129" s="1914">
        <v>38.19</v>
      </c>
      <c r="S129" s="1705"/>
      <c r="T129" s="1682">
        <v>0.94</v>
      </c>
      <c r="U129" s="1683">
        <v>94</v>
      </c>
      <c r="V129" s="1683">
        <v>587</v>
      </c>
      <c r="W129" s="1706">
        <v>59.9</v>
      </c>
      <c r="X129" s="1918"/>
      <c r="Y129" s="1919"/>
      <c r="Z129" s="596">
        <v>0</v>
      </c>
      <c r="AD129" s="614">
        <f t="shared" si="48"/>
        <v>56.2</v>
      </c>
      <c r="AE129" s="614">
        <f t="shared" si="47"/>
        <v>19</v>
      </c>
      <c r="AF129" s="614">
        <f t="shared" si="47"/>
        <v>14.8</v>
      </c>
      <c r="AG129" s="614">
        <f t="shared" si="47"/>
        <v>5.5</v>
      </c>
      <c r="AH129">
        <v>2</v>
      </c>
      <c r="AI129" s="296"/>
      <c r="AJ129" s="626"/>
      <c r="AK129" s="626"/>
      <c r="AL129"/>
      <c r="AO129" s="1160"/>
      <c r="AP129" s="1160"/>
    </row>
    <row r="130" spans="3:42" x14ac:dyDescent="0.2">
      <c r="C130" s="1909" t="s">
        <v>982</v>
      </c>
      <c r="D130" s="1909"/>
      <c r="E130" s="1708"/>
      <c r="F130" s="1910"/>
      <c r="G130" s="1917"/>
      <c r="H130" s="1911"/>
      <c r="I130" s="596">
        <v>2</v>
      </c>
      <c r="J130" s="596">
        <v>20</v>
      </c>
      <c r="K130" s="1910"/>
      <c r="L130" s="1912"/>
      <c r="M130" s="1913">
        <v>90</v>
      </c>
      <c r="N130" s="1759">
        <v>1.01</v>
      </c>
      <c r="O130" s="1703">
        <v>0.35</v>
      </c>
      <c r="P130" s="1703">
        <v>1.0900000000000001</v>
      </c>
      <c r="Q130" s="1703">
        <v>0.18</v>
      </c>
      <c r="R130" s="1914">
        <v>7</v>
      </c>
      <c r="S130" s="1705"/>
      <c r="T130" s="1682">
        <v>0.94</v>
      </c>
      <c r="U130" s="1683">
        <v>94</v>
      </c>
      <c r="V130" s="1683">
        <v>486</v>
      </c>
      <c r="W130" s="1706">
        <v>52.5</v>
      </c>
      <c r="X130" s="1918"/>
      <c r="Y130" s="1919"/>
      <c r="Z130" s="596">
        <v>0</v>
      </c>
      <c r="AD130" s="614">
        <f t="shared" si="48"/>
        <v>10.1</v>
      </c>
      <c r="AE130" s="614">
        <f t="shared" si="47"/>
        <v>3.5</v>
      </c>
      <c r="AF130" s="614">
        <f t="shared" si="47"/>
        <v>10.9</v>
      </c>
      <c r="AG130" s="614">
        <f t="shared" si="47"/>
        <v>1.7999999999999998</v>
      </c>
      <c r="AH130">
        <v>2</v>
      </c>
      <c r="AI130" s="296"/>
      <c r="AJ130" s="626"/>
      <c r="AK130" s="626"/>
      <c r="AL130"/>
      <c r="AO130" s="1160"/>
      <c r="AP130" s="1160"/>
    </row>
    <row r="131" spans="3:42" x14ac:dyDescent="0.2">
      <c r="C131" s="1909" t="s">
        <v>8376</v>
      </c>
      <c r="D131" s="1909"/>
      <c r="E131" s="1708"/>
      <c r="F131" s="1910"/>
      <c r="G131" s="1917"/>
      <c r="H131" s="1911"/>
      <c r="I131" s="596">
        <v>2</v>
      </c>
      <c r="J131" s="596">
        <v>20</v>
      </c>
      <c r="K131" s="1910"/>
      <c r="L131" s="1912"/>
      <c r="M131" s="1913">
        <v>90</v>
      </c>
      <c r="N131" s="1759">
        <v>12.1</v>
      </c>
      <c r="O131" s="1703">
        <v>1.04</v>
      </c>
      <c r="P131" s="1703">
        <v>0.81</v>
      </c>
      <c r="Q131" s="1703">
        <v>7.0000000000000007E-2</v>
      </c>
      <c r="R131" s="1914">
        <v>84</v>
      </c>
      <c r="S131" s="1705"/>
      <c r="T131" s="1682">
        <v>0.97</v>
      </c>
      <c r="U131" s="1683">
        <v>97</v>
      </c>
      <c r="V131" s="1683">
        <v>0</v>
      </c>
      <c r="W131" s="1706">
        <v>0</v>
      </c>
      <c r="X131" s="1918"/>
      <c r="Y131" s="1919"/>
      <c r="Z131" s="596">
        <v>0</v>
      </c>
      <c r="AD131" s="614">
        <f t="shared" si="48"/>
        <v>121</v>
      </c>
      <c r="AE131" s="614">
        <f t="shared" si="47"/>
        <v>10.4</v>
      </c>
      <c r="AF131" s="614">
        <f t="shared" si="47"/>
        <v>8.1000000000000014</v>
      </c>
      <c r="AG131" s="614">
        <f t="shared" si="47"/>
        <v>0.70000000000000007</v>
      </c>
      <c r="AH131">
        <v>2</v>
      </c>
      <c r="AI131" s="296"/>
      <c r="AJ131" s="626"/>
      <c r="AK131" s="626"/>
      <c r="AL131"/>
      <c r="AO131" s="1160"/>
      <c r="AP131" s="1160"/>
    </row>
    <row r="132" spans="3:42" x14ac:dyDescent="0.2">
      <c r="C132" s="1909" t="s">
        <v>983</v>
      </c>
      <c r="D132" s="1909"/>
      <c r="E132" s="1708"/>
      <c r="F132" s="1910"/>
      <c r="G132" s="1917"/>
      <c r="H132" s="1911"/>
      <c r="I132" s="596">
        <v>2</v>
      </c>
      <c r="J132" s="596">
        <v>20</v>
      </c>
      <c r="K132" s="1910"/>
      <c r="L132" s="1912"/>
      <c r="M132" s="1913">
        <v>18</v>
      </c>
      <c r="N132" s="1759">
        <v>0.14000000000000001</v>
      </c>
      <c r="O132" s="1703">
        <v>0.12</v>
      </c>
      <c r="P132" s="1703">
        <v>0.48</v>
      </c>
      <c r="Q132" s="1703">
        <v>0.02</v>
      </c>
      <c r="R132" s="1914">
        <v>4.88</v>
      </c>
      <c r="S132" s="1705"/>
      <c r="T132" s="1682">
        <v>0.97</v>
      </c>
      <c r="U132" s="1683">
        <v>97</v>
      </c>
      <c r="V132" s="1683">
        <v>641</v>
      </c>
      <c r="W132" s="1706">
        <v>50.1</v>
      </c>
      <c r="X132" s="1918"/>
      <c r="Y132" s="1919"/>
      <c r="Z132" s="596">
        <v>0</v>
      </c>
      <c r="AD132" s="614">
        <f t="shared" si="48"/>
        <v>1.4000000000000001</v>
      </c>
      <c r="AE132" s="614">
        <f t="shared" si="47"/>
        <v>1.2</v>
      </c>
      <c r="AF132" s="614">
        <f t="shared" si="47"/>
        <v>4.8</v>
      </c>
      <c r="AG132" s="614">
        <f t="shared" si="47"/>
        <v>0.2</v>
      </c>
      <c r="AH132">
        <v>2</v>
      </c>
      <c r="AI132" s="296"/>
      <c r="AJ132" s="626"/>
      <c r="AK132" s="626"/>
      <c r="AL132"/>
      <c r="AO132" s="1160"/>
      <c r="AP132" s="1160"/>
    </row>
    <row r="133" spans="3:42" x14ac:dyDescent="0.2">
      <c r="C133" s="1909" t="s">
        <v>984</v>
      </c>
      <c r="D133" s="1909"/>
      <c r="E133" s="1708"/>
      <c r="F133" s="1910"/>
      <c r="G133" s="1917"/>
      <c r="H133" s="1911"/>
      <c r="I133" s="596">
        <v>2</v>
      </c>
      <c r="J133" s="596">
        <v>20</v>
      </c>
      <c r="K133" s="1910"/>
      <c r="L133" s="1912"/>
      <c r="M133" s="1913">
        <v>5.5</v>
      </c>
      <c r="N133" s="1759">
        <v>0.28999999999999998</v>
      </c>
      <c r="O133" s="1703">
        <v>0.08</v>
      </c>
      <c r="P133" s="1703">
        <v>0.36</v>
      </c>
      <c r="Q133" s="1703">
        <v>0</v>
      </c>
      <c r="R133" s="1914">
        <v>33</v>
      </c>
      <c r="S133" s="1705"/>
      <c r="T133" s="1682">
        <v>0.87</v>
      </c>
      <c r="U133" s="1683">
        <v>87</v>
      </c>
      <c r="V133" s="1683">
        <v>672</v>
      </c>
      <c r="W133" s="1706">
        <v>56.3</v>
      </c>
      <c r="X133" s="1918"/>
      <c r="Y133" s="1919"/>
      <c r="Z133" s="596">
        <v>0</v>
      </c>
      <c r="AD133" s="614">
        <f t="shared" si="48"/>
        <v>2.9</v>
      </c>
      <c r="AE133" s="614">
        <f t="shared" si="47"/>
        <v>0.8</v>
      </c>
      <c r="AF133" s="614">
        <f t="shared" si="47"/>
        <v>3.5999999999999996</v>
      </c>
      <c r="AG133" s="614">
        <f t="shared" si="47"/>
        <v>0</v>
      </c>
      <c r="AH133">
        <v>2</v>
      </c>
      <c r="AI133" s="296"/>
      <c r="AJ133" s="626"/>
      <c r="AK133" s="626"/>
      <c r="AL133"/>
      <c r="AO133" s="1160"/>
      <c r="AP133" s="1160"/>
    </row>
    <row r="134" spans="3:42" x14ac:dyDescent="0.2">
      <c r="C134" s="1909" t="s">
        <v>985</v>
      </c>
      <c r="D134" s="1909"/>
      <c r="E134" s="1708"/>
      <c r="F134" s="1910"/>
      <c r="G134" s="1917"/>
      <c r="H134" s="1911"/>
      <c r="I134" s="596">
        <v>2</v>
      </c>
      <c r="J134" s="596">
        <v>20</v>
      </c>
      <c r="K134" s="1910"/>
      <c r="L134" s="1912"/>
      <c r="M134" s="1913">
        <v>89</v>
      </c>
      <c r="N134" s="1759">
        <v>5.35</v>
      </c>
      <c r="O134" s="1703">
        <v>1.96</v>
      </c>
      <c r="P134" s="1703">
        <v>1.29</v>
      </c>
      <c r="Q134" s="1703">
        <v>0.85</v>
      </c>
      <c r="R134" s="1914">
        <v>37.56</v>
      </c>
      <c r="S134" s="1705"/>
      <c r="T134" s="1682">
        <v>0.93</v>
      </c>
      <c r="U134" s="1683">
        <v>93</v>
      </c>
      <c r="V134" s="1683">
        <v>602</v>
      </c>
      <c r="W134" s="1706">
        <v>59.3</v>
      </c>
      <c r="X134" s="1918"/>
      <c r="Y134" s="1919"/>
      <c r="Z134" s="596">
        <v>0</v>
      </c>
      <c r="AD134" s="614">
        <f t="shared" si="48"/>
        <v>53.5</v>
      </c>
      <c r="AE134" s="614">
        <f t="shared" si="47"/>
        <v>19.600000000000001</v>
      </c>
      <c r="AF134" s="614">
        <f t="shared" si="47"/>
        <v>12.9</v>
      </c>
      <c r="AG134" s="614">
        <f t="shared" si="47"/>
        <v>8.5</v>
      </c>
      <c r="AH134">
        <v>2</v>
      </c>
      <c r="AI134" s="296"/>
      <c r="AJ134" s="626"/>
      <c r="AK134" s="626"/>
      <c r="AL134"/>
      <c r="AO134" s="1160"/>
      <c r="AP134" s="1160"/>
    </row>
    <row r="135" spans="3:42" x14ac:dyDescent="0.2">
      <c r="C135" s="1909" t="s">
        <v>986</v>
      </c>
      <c r="D135" s="1909"/>
      <c r="E135" s="1708"/>
      <c r="F135" s="1910"/>
      <c r="G135" s="1917"/>
      <c r="H135" s="1911"/>
      <c r="I135" s="596">
        <v>2</v>
      </c>
      <c r="J135" s="596">
        <v>20</v>
      </c>
      <c r="K135" s="1910"/>
      <c r="L135" s="1912"/>
      <c r="M135" s="1920">
        <v>90</v>
      </c>
      <c r="N135" s="1759">
        <v>5.33</v>
      </c>
      <c r="O135" s="1703">
        <v>1.85</v>
      </c>
      <c r="P135" s="1703">
        <v>1.31</v>
      </c>
      <c r="Q135" s="1703">
        <v>0.79</v>
      </c>
      <c r="R135" s="1914">
        <v>37</v>
      </c>
      <c r="S135" s="1705"/>
      <c r="T135" s="1682">
        <v>0.94</v>
      </c>
      <c r="U135" s="1683">
        <v>94</v>
      </c>
      <c r="V135" s="1683">
        <v>607</v>
      </c>
      <c r="W135" s="1706">
        <v>60.3</v>
      </c>
      <c r="X135" s="1918"/>
      <c r="Y135" s="1919"/>
      <c r="Z135" s="596">
        <v>0</v>
      </c>
      <c r="AD135" s="614">
        <f t="shared" si="48"/>
        <v>53.3</v>
      </c>
      <c r="AE135" s="614">
        <f t="shared" si="47"/>
        <v>18.5</v>
      </c>
      <c r="AF135" s="614">
        <f t="shared" si="47"/>
        <v>13.100000000000001</v>
      </c>
      <c r="AG135" s="614">
        <f t="shared" si="47"/>
        <v>7.9</v>
      </c>
      <c r="AH135">
        <v>2</v>
      </c>
      <c r="AI135" s="296"/>
      <c r="AJ135" s="626"/>
      <c r="AK135" s="626"/>
      <c r="AL135"/>
      <c r="AO135" s="1160"/>
      <c r="AP135" s="1160"/>
    </row>
    <row r="136" spans="3:42" x14ac:dyDescent="0.2">
      <c r="C136" s="1909" t="s">
        <v>987</v>
      </c>
      <c r="D136" s="1909"/>
      <c r="E136" s="1708"/>
      <c r="F136" s="1910"/>
      <c r="G136" s="1917"/>
      <c r="H136" s="1911"/>
      <c r="I136" s="596">
        <v>2</v>
      </c>
      <c r="J136" s="596">
        <v>20</v>
      </c>
      <c r="K136" s="1910"/>
      <c r="L136" s="1912"/>
      <c r="M136" s="1920">
        <v>90</v>
      </c>
      <c r="N136" s="1759">
        <v>2.66</v>
      </c>
      <c r="O136" s="1703">
        <v>0.72</v>
      </c>
      <c r="P136" s="1703">
        <v>2.6</v>
      </c>
      <c r="Q136" s="1703">
        <v>0.41</v>
      </c>
      <c r="R136" s="1914">
        <v>18.5</v>
      </c>
      <c r="S136" s="1705"/>
      <c r="T136" s="1682">
        <v>0.88</v>
      </c>
      <c r="U136" s="1683">
        <v>88</v>
      </c>
      <c r="V136" s="1683">
        <v>532</v>
      </c>
      <c r="W136" s="1706">
        <v>54.8</v>
      </c>
      <c r="X136" s="1918"/>
      <c r="Y136" s="1919"/>
      <c r="Z136" s="596">
        <v>0</v>
      </c>
      <c r="AD136" s="614">
        <f t="shared" si="48"/>
        <v>26.6</v>
      </c>
      <c r="AE136" s="614">
        <f t="shared" si="47"/>
        <v>7.1999999999999993</v>
      </c>
      <c r="AF136" s="614">
        <f t="shared" si="47"/>
        <v>26</v>
      </c>
      <c r="AG136" s="614">
        <f t="shared" si="47"/>
        <v>4.0999999999999996</v>
      </c>
      <c r="AH136">
        <v>2</v>
      </c>
      <c r="AI136" s="296"/>
      <c r="AJ136" s="626"/>
      <c r="AK136" s="626"/>
      <c r="AL136"/>
      <c r="AO136" s="1160"/>
      <c r="AP136" s="1160"/>
    </row>
    <row r="137" spans="3:42" x14ac:dyDescent="0.2">
      <c r="C137" s="1909" t="s">
        <v>988</v>
      </c>
      <c r="D137" s="1909"/>
      <c r="E137" s="1708"/>
      <c r="F137" s="1910"/>
      <c r="G137" s="1917"/>
      <c r="H137" s="1911"/>
      <c r="I137" s="596">
        <v>2</v>
      </c>
      <c r="J137" s="596">
        <v>20</v>
      </c>
      <c r="K137" s="1910"/>
      <c r="L137" s="1912"/>
      <c r="M137" s="1913">
        <v>8.5</v>
      </c>
      <c r="N137" s="1759">
        <v>0.49</v>
      </c>
      <c r="O137" s="1703">
        <v>0.19</v>
      </c>
      <c r="P137" s="1703">
        <v>0.12</v>
      </c>
      <c r="Q137" s="1703">
        <v>0.02</v>
      </c>
      <c r="R137" s="1914">
        <v>36</v>
      </c>
      <c r="S137" s="1705"/>
      <c r="T137" s="1682">
        <v>0.92</v>
      </c>
      <c r="U137" s="1683">
        <v>92</v>
      </c>
      <c r="V137" s="1683">
        <v>730</v>
      </c>
      <c r="W137" s="1706">
        <v>57.7</v>
      </c>
      <c r="X137" s="1918"/>
      <c r="Y137" s="1919"/>
      <c r="Z137" s="596">
        <v>0</v>
      </c>
      <c r="AD137" s="614">
        <f t="shared" si="48"/>
        <v>4.9000000000000004</v>
      </c>
      <c r="AE137" s="614">
        <f t="shared" si="47"/>
        <v>1.9</v>
      </c>
      <c r="AF137" s="614">
        <f t="shared" si="47"/>
        <v>1.2</v>
      </c>
      <c r="AG137" s="614">
        <f t="shared" si="47"/>
        <v>0.2</v>
      </c>
      <c r="AH137">
        <v>2</v>
      </c>
      <c r="AI137" s="296"/>
      <c r="AJ137" s="626"/>
      <c r="AK137" s="626"/>
      <c r="AL137"/>
      <c r="AO137" s="1160"/>
      <c r="AP137" s="1160"/>
    </row>
    <row r="138" spans="3:42" x14ac:dyDescent="0.2">
      <c r="C138" s="1909" t="s">
        <v>989</v>
      </c>
      <c r="D138" s="1909"/>
      <c r="E138" s="1708"/>
      <c r="F138" s="1910"/>
      <c r="G138" s="1917"/>
      <c r="H138" s="1911"/>
      <c r="I138" s="596">
        <v>2</v>
      </c>
      <c r="J138" s="596">
        <v>20</v>
      </c>
      <c r="K138" s="1910"/>
      <c r="L138" s="1912"/>
      <c r="M138" s="1920">
        <v>89</v>
      </c>
      <c r="N138" s="1759">
        <v>3.56</v>
      </c>
      <c r="O138" s="1703">
        <v>1.42</v>
      </c>
      <c r="P138" s="1703">
        <v>0.85</v>
      </c>
      <c r="Q138" s="1703">
        <v>0.45</v>
      </c>
      <c r="R138" s="1914">
        <v>25</v>
      </c>
      <c r="S138" s="1705"/>
      <c r="T138" s="1682">
        <v>0.96</v>
      </c>
      <c r="U138" s="1683">
        <v>96</v>
      </c>
      <c r="V138" s="1683">
        <v>703</v>
      </c>
      <c r="W138" s="1706">
        <v>52.8</v>
      </c>
      <c r="X138" s="1918"/>
      <c r="Y138" s="1919"/>
      <c r="Z138" s="596">
        <v>0</v>
      </c>
      <c r="AD138" s="614">
        <f t="shared" si="48"/>
        <v>35.6</v>
      </c>
      <c r="AE138" s="614">
        <f t="shared" si="47"/>
        <v>14.2</v>
      </c>
      <c r="AF138" s="614">
        <f t="shared" si="47"/>
        <v>8.5</v>
      </c>
      <c r="AG138" s="614">
        <f t="shared" si="47"/>
        <v>4.5</v>
      </c>
      <c r="AH138">
        <v>2</v>
      </c>
      <c r="AI138" s="296"/>
      <c r="AJ138" s="626"/>
      <c r="AK138" s="626"/>
      <c r="AL138"/>
      <c r="AO138" s="1160"/>
      <c r="AP138" s="1160"/>
    </row>
    <row r="139" spans="3:42" x14ac:dyDescent="0.2">
      <c r="C139" s="1909" t="s">
        <v>990</v>
      </c>
      <c r="D139" s="1909"/>
      <c r="E139" s="1708"/>
      <c r="F139" s="1910"/>
      <c r="G139" s="1917"/>
      <c r="H139" s="1911"/>
      <c r="I139" s="596">
        <v>2</v>
      </c>
      <c r="J139" s="596">
        <v>20</v>
      </c>
      <c r="K139" s="1910"/>
      <c r="L139" s="1912"/>
      <c r="M139" s="1913">
        <v>90</v>
      </c>
      <c r="N139" s="1759">
        <v>3.6</v>
      </c>
      <c r="O139" s="1703">
        <v>1.76</v>
      </c>
      <c r="P139" s="1703">
        <v>1.52</v>
      </c>
      <c r="Q139" s="1703">
        <v>0.72</v>
      </c>
      <c r="R139" s="1914">
        <v>25</v>
      </c>
      <c r="S139" s="1705"/>
      <c r="T139" s="1682">
        <v>0.94</v>
      </c>
      <c r="U139" s="1683">
        <v>94</v>
      </c>
      <c r="V139" s="1683">
        <v>645</v>
      </c>
      <c r="W139" s="1706">
        <v>56.4</v>
      </c>
      <c r="X139" s="1918"/>
      <c r="Y139" s="1919"/>
      <c r="Z139" s="596">
        <v>0</v>
      </c>
      <c r="AD139" s="614">
        <f t="shared" si="48"/>
        <v>36</v>
      </c>
      <c r="AE139" s="614">
        <f t="shared" si="48"/>
        <v>17.600000000000001</v>
      </c>
      <c r="AF139" s="614">
        <f t="shared" si="48"/>
        <v>15.2</v>
      </c>
      <c r="AG139" s="614">
        <f t="shared" si="48"/>
        <v>7.1999999999999993</v>
      </c>
      <c r="AH139">
        <v>2</v>
      </c>
      <c r="AI139" s="296"/>
      <c r="AJ139" s="626"/>
      <c r="AK139" s="626"/>
      <c r="AL139"/>
      <c r="AO139" s="1160"/>
      <c r="AP139" s="1160"/>
    </row>
    <row r="140" spans="3:42" x14ac:dyDescent="0.2">
      <c r="C140" s="1909" t="s">
        <v>991</v>
      </c>
      <c r="D140" s="1909"/>
      <c r="E140" s="1708"/>
      <c r="F140" s="1910"/>
      <c r="G140" s="1917"/>
      <c r="H140" s="1911"/>
      <c r="I140" s="596">
        <v>2</v>
      </c>
      <c r="J140" s="596">
        <v>20</v>
      </c>
      <c r="K140" s="1910"/>
      <c r="L140" s="1912"/>
      <c r="M140" s="1920">
        <v>92</v>
      </c>
      <c r="N140" s="1759">
        <v>4.34</v>
      </c>
      <c r="O140" s="1703">
        <v>1.68</v>
      </c>
      <c r="P140" s="1703">
        <v>2.33</v>
      </c>
      <c r="Q140" s="1703">
        <v>0.23</v>
      </c>
      <c r="R140" s="1914">
        <v>29.5</v>
      </c>
      <c r="S140" s="1705"/>
      <c r="T140" s="1682">
        <v>0.93</v>
      </c>
      <c r="U140" s="1683">
        <v>93</v>
      </c>
      <c r="V140" s="1683">
        <v>539</v>
      </c>
      <c r="W140" s="1706">
        <v>57</v>
      </c>
      <c r="X140" s="1918"/>
      <c r="Y140" s="1919"/>
      <c r="Z140" s="596">
        <v>0</v>
      </c>
      <c r="AD140" s="614">
        <f t="shared" si="48"/>
        <v>43.4</v>
      </c>
      <c r="AE140" s="614">
        <f t="shared" si="48"/>
        <v>16.8</v>
      </c>
      <c r="AF140" s="614">
        <f t="shared" si="48"/>
        <v>23.3</v>
      </c>
      <c r="AG140" s="614">
        <f t="shared" si="48"/>
        <v>2.3000000000000003</v>
      </c>
      <c r="AH140">
        <v>2</v>
      </c>
      <c r="AI140" s="296"/>
      <c r="AJ140" s="626"/>
      <c r="AK140" s="626"/>
      <c r="AL140"/>
      <c r="AO140" s="1160"/>
      <c r="AP140" s="1160"/>
    </row>
    <row r="141" spans="3:42" x14ac:dyDescent="0.2">
      <c r="C141" s="1909" t="s">
        <v>992</v>
      </c>
      <c r="D141" s="1909"/>
      <c r="E141" s="1708"/>
      <c r="F141" s="1910"/>
      <c r="G141" s="1917"/>
      <c r="H141" s="1911"/>
      <c r="I141" s="596">
        <v>2</v>
      </c>
      <c r="J141" s="596">
        <v>20</v>
      </c>
      <c r="K141" s="1910"/>
      <c r="L141" s="1912"/>
      <c r="M141" s="1920">
        <v>88</v>
      </c>
      <c r="N141" s="1759">
        <v>0.38</v>
      </c>
      <c r="O141" s="1703">
        <v>0.2</v>
      </c>
      <c r="P141" s="1703">
        <v>0.84</v>
      </c>
      <c r="Q141" s="1703">
        <v>0.16</v>
      </c>
      <c r="R141" s="1914">
        <v>2.69</v>
      </c>
      <c r="S141" s="1705"/>
      <c r="T141" s="1682">
        <v>0.96</v>
      </c>
      <c r="U141" s="1683">
        <v>96</v>
      </c>
      <c r="V141" s="1683">
        <v>693</v>
      </c>
      <c r="W141" s="1706">
        <v>50.1</v>
      </c>
      <c r="X141" s="1918"/>
      <c r="Y141" s="1919"/>
      <c r="Z141" s="596">
        <v>0</v>
      </c>
      <c r="AD141" s="614">
        <f t="shared" si="48"/>
        <v>3.8</v>
      </c>
      <c r="AE141" s="614">
        <f t="shared" si="48"/>
        <v>2</v>
      </c>
      <c r="AF141" s="614">
        <f t="shared" si="48"/>
        <v>8.4</v>
      </c>
      <c r="AG141" s="614">
        <f t="shared" si="48"/>
        <v>1.6</v>
      </c>
      <c r="AH141">
        <v>2</v>
      </c>
      <c r="AI141" s="296"/>
      <c r="AJ141" s="626"/>
      <c r="AK141" s="626"/>
      <c r="AL141"/>
      <c r="AO141" s="1160"/>
      <c r="AP141" s="1160"/>
    </row>
    <row r="142" spans="3:42" x14ac:dyDescent="0.2">
      <c r="C142" s="1909" t="s">
        <v>993</v>
      </c>
      <c r="D142" s="1909"/>
      <c r="E142" s="1708"/>
      <c r="F142" s="1910"/>
      <c r="G142" s="1917"/>
      <c r="H142" s="1911"/>
      <c r="I142" s="596">
        <v>2</v>
      </c>
      <c r="J142" s="596">
        <v>20</v>
      </c>
      <c r="K142" s="1910"/>
      <c r="L142" s="1912"/>
      <c r="M142" s="1920">
        <v>91</v>
      </c>
      <c r="N142" s="1759">
        <v>1.46</v>
      </c>
      <c r="O142" s="1703">
        <v>0.16</v>
      </c>
      <c r="P142" s="1703">
        <v>1.58</v>
      </c>
      <c r="Q142" s="1703">
        <v>0.27</v>
      </c>
      <c r="R142" s="1914">
        <v>10</v>
      </c>
      <c r="S142" s="1705"/>
      <c r="T142" s="1682">
        <v>0.92</v>
      </c>
      <c r="U142" s="1683">
        <v>92</v>
      </c>
      <c r="V142" s="1683">
        <v>701</v>
      </c>
      <c r="W142" s="1706">
        <v>51.5</v>
      </c>
      <c r="X142" s="1918"/>
      <c r="Y142" s="1919"/>
      <c r="Z142" s="596">
        <v>0</v>
      </c>
      <c r="AD142" s="614">
        <f t="shared" si="48"/>
        <v>14.6</v>
      </c>
      <c r="AE142" s="614">
        <f t="shared" si="48"/>
        <v>1.6</v>
      </c>
      <c r="AF142" s="614">
        <f t="shared" si="48"/>
        <v>15.8</v>
      </c>
      <c r="AG142" s="614">
        <f t="shared" si="48"/>
        <v>2.7</v>
      </c>
      <c r="AH142">
        <v>2</v>
      </c>
      <c r="AI142" s="296"/>
      <c r="AJ142" s="626"/>
      <c r="AK142" s="626"/>
      <c r="AL142"/>
      <c r="AO142" s="1160"/>
      <c r="AP142" s="1160"/>
    </row>
    <row r="143" spans="3:42" x14ac:dyDescent="0.2">
      <c r="C143" s="1909" t="s">
        <v>994</v>
      </c>
      <c r="D143" s="1909"/>
      <c r="E143" s="1708"/>
      <c r="F143" s="1910"/>
      <c r="G143" s="1917"/>
      <c r="H143" s="1911"/>
      <c r="I143" s="596">
        <v>2</v>
      </c>
      <c r="J143" s="596">
        <v>20</v>
      </c>
      <c r="K143" s="1910"/>
      <c r="L143" s="1912"/>
      <c r="M143" s="1913">
        <v>5</v>
      </c>
      <c r="N143" s="1759">
        <v>0.03</v>
      </c>
      <c r="O143" s="1703">
        <v>0.15</v>
      </c>
      <c r="P143" s="1703">
        <v>0.15</v>
      </c>
      <c r="Q143" s="1703">
        <v>0.01</v>
      </c>
      <c r="R143" s="1914">
        <v>4.1900000000000004</v>
      </c>
      <c r="S143" s="1705"/>
      <c r="T143" s="1682">
        <v>0.85</v>
      </c>
      <c r="U143" s="1683">
        <v>85</v>
      </c>
      <c r="V143" s="1683">
        <v>759</v>
      </c>
      <c r="W143" s="1706">
        <v>51.3</v>
      </c>
      <c r="X143" s="1918"/>
      <c r="Y143" s="1919"/>
      <c r="Z143" s="596">
        <v>0</v>
      </c>
      <c r="AD143" s="614">
        <f t="shared" si="48"/>
        <v>0.3</v>
      </c>
      <c r="AE143" s="614">
        <f t="shared" si="48"/>
        <v>1.5</v>
      </c>
      <c r="AF143" s="614">
        <f t="shared" si="48"/>
        <v>1.5</v>
      </c>
      <c r="AG143" s="614">
        <f t="shared" si="48"/>
        <v>0.1</v>
      </c>
      <c r="AH143">
        <v>2</v>
      </c>
      <c r="AI143" s="296"/>
      <c r="AJ143" s="626"/>
      <c r="AK143" s="626"/>
      <c r="AL143"/>
      <c r="AO143" s="1160"/>
      <c r="AP143" s="1160"/>
    </row>
    <row r="144" spans="3:42" x14ac:dyDescent="0.2">
      <c r="C144" s="1909" t="s">
        <v>995</v>
      </c>
      <c r="D144" s="1909"/>
      <c r="E144" s="1708"/>
      <c r="F144" s="1910"/>
      <c r="G144" s="1917"/>
      <c r="H144" s="1911"/>
      <c r="I144" s="596">
        <v>2</v>
      </c>
      <c r="J144" s="596">
        <v>20</v>
      </c>
      <c r="K144" s="1910"/>
      <c r="L144" s="1912"/>
      <c r="M144" s="1913">
        <v>27</v>
      </c>
      <c r="N144" s="1759">
        <v>0.37</v>
      </c>
      <c r="O144" s="1703">
        <v>0.06</v>
      </c>
      <c r="P144" s="1703">
        <v>0.14000000000000001</v>
      </c>
      <c r="Q144" s="1703">
        <v>0.09</v>
      </c>
      <c r="R144" s="1914">
        <v>8.5</v>
      </c>
      <c r="S144" s="1705"/>
      <c r="T144" s="1682">
        <v>0.94</v>
      </c>
      <c r="U144" s="1683">
        <v>94</v>
      </c>
      <c r="V144" s="1683">
        <v>686</v>
      </c>
      <c r="W144" s="1706">
        <v>51.2</v>
      </c>
      <c r="X144" s="1918"/>
      <c r="Y144" s="1919"/>
      <c r="Z144" s="596">
        <v>0</v>
      </c>
      <c r="AD144" s="614">
        <f t="shared" si="48"/>
        <v>3.7</v>
      </c>
      <c r="AE144" s="614">
        <f t="shared" si="48"/>
        <v>0.6</v>
      </c>
      <c r="AF144" s="614">
        <f t="shared" si="48"/>
        <v>1.4000000000000001</v>
      </c>
      <c r="AG144" s="614">
        <f t="shared" si="48"/>
        <v>0.89999999999999991</v>
      </c>
      <c r="AH144">
        <v>2</v>
      </c>
      <c r="AI144" s="296"/>
      <c r="AJ144" s="626"/>
      <c r="AK144" s="626"/>
      <c r="AL144"/>
      <c r="AO144" s="1160"/>
      <c r="AP144" s="1160"/>
    </row>
    <row r="145" spans="3:42" x14ac:dyDescent="0.2">
      <c r="C145" s="1909" t="s">
        <v>996</v>
      </c>
      <c r="D145" s="1909"/>
      <c r="E145" s="1708"/>
      <c r="F145" s="1910"/>
      <c r="G145" s="1917"/>
      <c r="H145" s="1911"/>
      <c r="I145" s="596">
        <v>2</v>
      </c>
      <c r="J145" s="596">
        <v>20</v>
      </c>
      <c r="K145" s="1910"/>
      <c r="L145" s="1912"/>
      <c r="M145" s="1920">
        <v>89</v>
      </c>
      <c r="N145" s="1759">
        <v>5.43</v>
      </c>
      <c r="O145" s="1703">
        <v>2.4500000000000002</v>
      </c>
      <c r="P145" s="1703">
        <v>1.66</v>
      </c>
      <c r="Q145" s="1703">
        <v>0.85</v>
      </c>
      <c r="R145" s="1914">
        <v>38.130000000000003</v>
      </c>
      <c r="S145" s="1705"/>
      <c r="T145" s="1682">
        <v>0.92</v>
      </c>
      <c r="U145" s="1683">
        <v>92</v>
      </c>
      <c r="V145" s="1683">
        <v>590</v>
      </c>
      <c r="W145" s="1706">
        <v>60</v>
      </c>
      <c r="X145" s="1918"/>
      <c r="Y145" s="1919"/>
      <c r="Z145" s="596">
        <v>0</v>
      </c>
      <c r="AD145" s="614">
        <f t="shared" si="48"/>
        <v>54.3</v>
      </c>
      <c r="AE145" s="614">
        <f t="shared" si="48"/>
        <v>24.5</v>
      </c>
      <c r="AF145" s="614">
        <f t="shared" si="48"/>
        <v>16.599999999999998</v>
      </c>
      <c r="AG145" s="614">
        <f t="shared" si="48"/>
        <v>8.5</v>
      </c>
      <c r="AH145">
        <v>2</v>
      </c>
      <c r="AI145" s="296"/>
      <c r="AJ145" s="626"/>
      <c r="AK145" s="626"/>
      <c r="AL145"/>
      <c r="AO145" s="1160"/>
      <c r="AP145" s="1160"/>
    </row>
    <row r="146" spans="3:42" x14ac:dyDescent="0.2">
      <c r="C146" s="1909" t="s">
        <v>997</v>
      </c>
      <c r="D146" s="1909"/>
      <c r="E146" s="1708"/>
      <c r="F146" s="1910"/>
      <c r="G146" s="1917"/>
      <c r="H146" s="1911"/>
      <c r="I146" s="596">
        <v>2</v>
      </c>
      <c r="J146" s="596">
        <v>20</v>
      </c>
      <c r="K146" s="1910"/>
      <c r="L146" s="1912"/>
      <c r="M146" s="1913">
        <v>90</v>
      </c>
      <c r="N146" s="1759">
        <v>5.27</v>
      </c>
      <c r="O146" s="1703">
        <v>2.48</v>
      </c>
      <c r="P146" s="1703">
        <v>1.58</v>
      </c>
      <c r="Q146" s="1703">
        <v>0.82</v>
      </c>
      <c r="R146" s="1914">
        <v>36.630000000000003</v>
      </c>
      <c r="S146" s="1705"/>
      <c r="T146" s="1682">
        <v>0.93</v>
      </c>
      <c r="U146" s="1683">
        <v>93</v>
      </c>
      <c r="V146" s="1683">
        <v>633</v>
      </c>
      <c r="W146" s="1706">
        <v>61</v>
      </c>
      <c r="X146" s="1918"/>
      <c r="Y146" s="1919"/>
      <c r="Z146" s="596">
        <v>0</v>
      </c>
      <c r="AD146" s="614">
        <f t="shared" si="48"/>
        <v>52.699999999999996</v>
      </c>
      <c r="AE146" s="614">
        <f t="shared" si="48"/>
        <v>24.8</v>
      </c>
      <c r="AF146" s="614">
        <f t="shared" si="48"/>
        <v>15.8</v>
      </c>
      <c r="AG146" s="614">
        <f t="shared" si="48"/>
        <v>8.1999999999999993</v>
      </c>
      <c r="AH146">
        <v>2</v>
      </c>
      <c r="AI146" s="296"/>
      <c r="AJ146" s="626"/>
      <c r="AK146" s="626"/>
      <c r="AL146"/>
      <c r="AO146" s="1160"/>
      <c r="AP146" s="1160"/>
    </row>
    <row r="147" spans="3:42" x14ac:dyDescent="0.2">
      <c r="C147" s="1921" t="s">
        <v>998</v>
      </c>
      <c r="D147" s="1921"/>
      <c r="E147" s="1708"/>
      <c r="F147" s="1910"/>
      <c r="G147" s="1917"/>
      <c r="H147" s="1911"/>
      <c r="I147" s="596">
        <v>2</v>
      </c>
      <c r="J147" s="596">
        <v>20</v>
      </c>
      <c r="K147" s="1910"/>
      <c r="L147" s="1912"/>
      <c r="M147" s="1920">
        <v>88</v>
      </c>
      <c r="N147" s="1759">
        <v>2.25</v>
      </c>
      <c r="O147" s="1703">
        <v>2.02</v>
      </c>
      <c r="P147" s="1703">
        <v>1.49</v>
      </c>
      <c r="Q147" s="1703">
        <v>0.53</v>
      </c>
      <c r="R147" s="1914">
        <v>16</v>
      </c>
      <c r="S147" s="1705"/>
      <c r="T147" s="1682">
        <v>0.95</v>
      </c>
      <c r="U147" s="1683">
        <v>95</v>
      </c>
      <c r="V147" s="1683">
        <v>590</v>
      </c>
      <c r="W147" s="1706">
        <v>53.6</v>
      </c>
      <c r="X147" s="1918"/>
      <c r="Y147" s="1919"/>
      <c r="Z147" s="596">
        <v>0</v>
      </c>
      <c r="AD147" s="614">
        <f t="shared" si="48"/>
        <v>22.5</v>
      </c>
      <c r="AE147" s="614">
        <f t="shared" si="48"/>
        <v>20.2</v>
      </c>
      <c r="AF147" s="614">
        <f t="shared" si="48"/>
        <v>14.9</v>
      </c>
      <c r="AG147" s="614">
        <f t="shared" si="48"/>
        <v>5.3000000000000007</v>
      </c>
      <c r="AH147">
        <v>2</v>
      </c>
      <c r="AI147" s="296"/>
      <c r="AJ147" s="626"/>
      <c r="AK147" s="626"/>
      <c r="AL147"/>
      <c r="AO147" s="1160"/>
      <c r="AP147" s="1160"/>
    </row>
    <row r="148" spans="3:42" x14ac:dyDescent="0.2">
      <c r="C148" s="1921" t="s">
        <v>999</v>
      </c>
      <c r="D148" s="1921"/>
      <c r="E148" s="1708"/>
      <c r="F148" s="1910"/>
      <c r="G148" s="1917"/>
      <c r="H148" s="1911"/>
      <c r="I148" s="596">
        <v>2</v>
      </c>
      <c r="J148" s="596">
        <v>20</v>
      </c>
      <c r="K148" s="1910"/>
      <c r="L148" s="1912"/>
      <c r="M148" s="1920">
        <v>88</v>
      </c>
      <c r="N148" s="1759">
        <v>2.2799999999999998</v>
      </c>
      <c r="O148" s="1703">
        <v>2.2400000000000002</v>
      </c>
      <c r="P148" s="1703">
        <v>1.49</v>
      </c>
      <c r="Q148" s="1703">
        <v>0.53</v>
      </c>
      <c r="R148" s="1914">
        <v>16.190000000000001</v>
      </c>
      <c r="S148" s="1705"/>
      <c r="T148" s="1682">
        <v>0.94</v>
      </c>
      <c r="U148" s="1683">
        <v>94</v>
      </c>
      <c r="V148" s="1683">
        <v>574</v>
      </c>
      <c r="W148" s="1706">
        <v>53.7</v>
      </c>
      <c r="X148" s="1918"/>
      <c r="Y148" s="1919"/>
      <c r="Z148" s="596">
        <v>0</v>
      </c>
      <c r="AD148" s="614">
        <f t="shared" si="48"/>
        <v>22.799999999999997</v>
      </c>
      <c r="AE148" s="614">
        <f t="shared" si="48"/>
        <v>22.400000000000002</v>
      </c>
      <c r="AF148" s="614">
        <f t="shared" si="48"/>
        <v>14.9</v>
      </c>
      <c r="AG148" s="614">
        <f t="shared" si="48"/>
        <v>5.3000000000000007</v>
      </c>
      <c r="AH148">
        <v>2</v>
      </c>
      <c r="AI148" s="296"/>
      <c r="AJ148" s="626"/>
      <c r="AK148" s="626"/>
      <c r="AL148"/>
      <c r="AO148" s="1160"/>
      <c r="AP148" s="1160"/>
    </row>
    <row r="149" spans="3:42" x14ac:dyDescent="0.2">
      <c r="C149" s="1909" t="s">
        <v>1000</v>
      </c>
      <c r="D149" s="1909"/>
      <c r="E149" s="1708"/>
      <c r="F149" s="1910"/>
      <c r="G149" s="1917"/>
      <c r="H149" s="1911"/>
      <c r="I149" s="596">
        <v>2</v>
      </c>
      <c r="J149" s="596">
        <v>20</v>
      </c>
      <c r="K149" s="1910"/>
      <c r="L149" s="1912"/>
      <c r="M149" s="1920">
        <v>17</v>
      </c>
      <c r="N149" s="1759">
        <v>0.2</v>
      </c>
      <c r="O149" s="1703">
        <v>0.08</v>
      </c>
      <c r="P149" s="1703">
        <v>0.24</v>
      </c>
      <c r="Q149" s="1703">
        <v>0.06</v>
      </c>
      <c r="R149" s="1914">
        <v>7.5</v>
      </c>
      <c r="S149" s="1705"/>
      <c r="T149" s="1682">
        <v>0.91</v>
      </c>
      <c r="U149" s="1683">
        <v>91</v>
      </c>
      <c r="V149" s="1683">
        <v>671</v>
      </c>
      <c r="W149" s="1706">
        <v>51.1</v>
      </c>
      <c r="X149" s="1918"/>
      <c r="Y149" s="1919"/>
      <c r="Z149" s="596">
        <v>0</v>
      </c>
      <c r="AD149" s="614">
        <f t="shared" si="48"/>
        <v>2</v>
      </c>
      <c r="AE149" s="614">
        <f t="shared" si="48"/>
        <v>0.8</v>
      </c>
      <c r="AF149" s="614">
        <f t="shared" si="48"/>
        <v>2.4</v>
      </c>
      <c r="AG149" s="614">
        <f t="shared" si="48"/>
        <v>0.6</v>
      </c>
      <c r="AH149">
        <v>2</v>
      </c>
      <c r="AI149" s="296"/>
      <c r="AJ149" s="626"/>
      <c r="AK149" s="626"/>
      <c r="AL149"/>
      <c r="AO149" s="1160"/>
      <c r="AP149" s="1160"/>
    </row>
    <row r="150" spans="3:42" x14ac:dyDescent="0.2">
      <c r="C150" s="1909" t="s">
        <v>1001</v>
      </c>
      <c r="D150" s="1909"/>
      <c r="E150" s="1708"/>
      <c r="F150" s="1910"/>
      <c r="G150" s="1917"/>
      <c r="H150" s="1911"/>
      <c r="I150" s="596">
        <v>2</v>
      </c>
      <c r="J150" s="596">
        <v>20</v>
      </c>
      <c r="K150" s="1910"/>
      <c r="L150" s="1912"/>
      <c r="M150" s="1920">
        <v>88</v>
      </c>
      <c r="N150" s="1759">
        <v>7.67</v>
      </c>
      <c r="O150" s="1703">
        <v>1.51</v>
      </c>
      <c r="P150" s="1703">
        <v>2.44</v>
      </c>
      <c r="Q150" s="1703">
        <v>0.4</v>
      </c>
      <c r="R150" s="1914">
        <v>54.5</v>
      </c>
      <c r="S150" s="1705"/>
      <c r="T150" s="1682">
        <v>0.93</v>
      </c>
      <c r="U150" s="1683">
        <v>93</v>
      </c>
      <c r="V150" s="1683">
        <v>680</v>
      </c>
      <c r="W150" s="1706">
        <v>61.9</v>
      </c>
      <c r="X150" s="1918"/>
      <c r="Y150" s="1919"/>
      <c r="Z150" s="596">
        <v>0</v>
      </c>
      <c r="AD150" s="614">
        <f t="shared" si="48"/>
        <v>76.7</v>
      </c>
      <c r="AE150" s="614">
        <f t="shared" si="48"/>
        <v>15.1</v>
      </c>
      <c r="AF150" s="614">
        <f t="shared" si="48"/>
        <v>24.4</v>
      </c>
      <c r="AG150" s="614">
        <f t="shared" si="48"/>
        <v>4</v>
      </c>
      <c r="AH150">
        <v>2</v>
      </c>
      <c r="AI150" s="296"/>
      <c r="AJ150" s="626"/>
      <c r="AK150" s="626"/>
      <c r="AL150"/>
      <c r="AO150" s="1160"/>
      <c r="AP150" s="1160"/>
    </row>
    <row r="151" spans="3:42" x14ac:dyDescent="0.2">
      <c r="C151" s="1909" t="s">
        <v>1002</v>
      </c>
      <c r="D151" s="1909"/>
      <c r="E151" s="1708"/>
      <c r="F151" s="1910"/>
      <c r="G151" s="1917"/>
      <c r="H151" s="1911"/>
      <c r="I151" s="596">
        <v>2</v>
      </c>
      <c r="J151" s="596">
        <v>20</v>
      </c>
      <c r="K151" s="1910"/>
      <c r="L151" s="1912"/>
      <c r="M151" s="1920">
        <v>88</v>
      </c>
      <c r="N151" s="1759">
        <v>7.04</v>
      </c>
      <c r="O151" s="1703">
        <v>1.47</v>
      </c>
      <c r="P151" s="1703">
        <v>2.33</v>
      </c>
      <c r="Q151" s="1703">
        <v>0.44</v>
      </c>
      <c r="R151" s="1914">
        <v>50</v>
      </c>
      <c r="S151" s="1705"/>
      <c r="T151" s="1682">
        <v>0.93</v>
      </c>
      <c r="U151" s="1683">
        <v>93</v>
      </c>
      <c r="V151" s="1683">
        <v>681</v>
      </c>
      <c r="W151" s="1706">
        <v>60.9</v>
      </c>
      <c r="X151" s="1918"/>
      <c r="Y151" s="1919"/>
      <c r="Z151" s="596">
        <v>0</v>
      </c>
      <c r="AD151" s="614">
        <f t="shared" si="48"/>
        <v>70.400000000000006</v>
      </c>
      <c r="AE151" s="614">
        <f t="shared" si="48"/>
        <v>14.7</v>
      </c>
      <c r="AF151" s="614">
        <f t="shared" si="48"/>
        <v>23.3</v>
      </c>
      <c r="AG151" s="614">
        <f t="shared" si="48"/>
        <v>4.4000000000000004</v>
      </c>
      <c r="AH151">
        <v>2</v>
      </c>
      <c r="AI151" s="296"/>
      <c r="AJ151" s="626"/>
      <c r="AK151" s="626"/>
      <c r="AL151"/>
      <c r="AO151" s="1160"/>
      <c r="AP151" s="1160"/>
    </row>
    <row r="152" spans="3:42" x14ac:dyDescent="0.2">
      <c r="C152" s="1909" t="s">
        <v>1003</v>
      </c>
      <c r="D152" s="1909"/>
      <c r="E152" s="1708"/>
      <c r="F152" s="1910"/>
      <c r="G152" s="1917"/>
      <c r="H152" s="1911"/>
      <c r="I152" s="596">
        <v>2</v>
      </c>
      <c r="J152" s="596">
        <v>20</v>
      </c>
      <c r="K152" s="1910"/>
      <c r="L152" s="1912"/>
      <c r="M152" s="1920">
        <v>88</v>
      </c>
      <c r="N152" s="1759">
        <v>1.9</v>
      </c>
      <c r="O152" s="1703">
        <v>0.33</v>
      </c>
      <c r="P152" s="1703">
        <v>1.52</v>
      </c>
      <c r="Q152" s="1703">
        <v>0.44</v>
      </c>
      <c r="R152" s="1914">
        <v>13.5</v>
      </c>
      <c r="S152" s="1705"/>
      <c r="T152" s="1682">
        <v>0.95</v>
      </c>
      <c r="U152" s="1683">
        <v>95</v>
      </c>
      <c r="V152" s="1683">
        <v>604</v>
      </c>
      <c r="W152" s="1706">
        <v>52.7</v>
      </c>
      <c r="X152" s="1918"/>
      <c r="Y152" s="1919"/>
      <c r="Z152" s="596">
        <v>0</v>
      </c>
      <c r="AD152" s="614">
        <f t="shared" si="48"/>
        <v>19</v>
      </c>
      <c r="AE152" s="614">
        <f t="shared" si="48"/>
        <v>3.3000000000000003</v>
      </c>
      <c r="AF152" s="614">
        <f t="shared" si="48"/>
        <v>15.2</v>
      </c>
      <c r="AG152" s="614">
        <f t="shared" si="48"/>
        <v>4.4000000000000004</v>
      </c>
      <c r="AH152">
        <v>2</v>
      </c>
      <c r="AI152" s="296"/>
      <c r="AJ152" s="626"/>
      <c r="AK152" s="626"/>
      <c r="AL152"/>
      <c r="AO152" s="1160"/>
      <c r="AP152" s="1160"/>
    </row>
    <row r="153" spans="3:42" x14ac:dyDescent="0.2">
      <c r="C153" s="1909" t="s">
        <v>1004</v>
      </c>
      <c r="D153" s="1909"/>
      <c r="E153" s="1708"/>
      <c r="F153" s="1910"/>
      <c r="G153" s="1917"/>
      <c r="H153" s="1911"/>
      <c r="I153" s="596">
        <v>2</v>
      </c>
      <c r="J153" s="596">
        <v>20</v>
      </c>
      <c r="K153" s="1910"/>
      <c r="L153" s="1912"/>
      <c r="M153" s="1920">
        <v>89</v>
      </c>
      <c r="N153" s="1759">
        <v>5.41</v>
      </c>
      <c r="O153" s="1703">
        <v>2.2400000000000002</v>
      </c>
      <c r="P153" s="1703">
        <v>1.4</v>
      </c>
      <c r="Q153" s="1703">
        <v>0.77</v>
      </c>
      <c r="R153" s="1914">
        <v>38</v>
      </c>
      <c r="S153" s="1705"/>
      <c r="T153" s="1682">
        <v>0.93</v>
      </c>
      <c r="U153" s="1683">
        <v>93</v>
      </c>
      <c r="V153" s="1683">
        <v>503</v>
      </c>
      <c r="W153" s="1706">
        <v>61.3</v>
      </c>
      <c r="X153" s="1918"/>
      <c r="Y153" s="1919"/>
      <c r="Z153" s="596">
        <v>0</v>
      </c>
      <c r="AD153" s="614">
        <f t="shared" si="48"/>
        <v>54.1</v>
      </c>
      <c r="AE153" s="614">
        <f t="shared" si="48"/>
        <v>22.400000000000002</v>
      </c>
      <c r="AF153" s="614">
        <f t="shared" si="48"/>
        <v>14</v>
      </c>
      <c r="AG153" s="614">
        <f t="shared" si="48"/>
        <v>7.7</v>
      </c>
      <c r="AH153">
        <v>2</v>
      </c>
      <c r="AI153" s="296"/>
      <c r="AJ153" s="626"/>
      <c r="AK153" s="626"/>
      <c r="AL153"/>
      <c r="AO153" s="1160"/>
      <c r="AP153" s="1160"/>
    </row>
    <row r="154" spans="3:42" x14ac:dyDescent="0.2">
      <c r="C154" s="1909" t="s">
        <v>1005</v>
      </c>
      <c r="D154" s="1909"/>
      <c r="E154" s="1708"/>
      <c r="F154" s="1910"/>
      <c r="G154" s="1917"/>
      <c r="H154" s="1911"/>
      <c r="I154" s="596">
        <v>2</v>
      </c>
      <c r="J154" s="596">
        <v>20</v>
      </c>
      <c r="K154" s="1910"/>
      <c r="L154" s="1912"/>
      <c r="M154" s="1913">
        <v>6.4</v>
      </c>
      <c r="N154" s="1759">
        <v>0.1</v>
      </c>
      <c r="O154" s="1703">
        <v>0.18</v>
      </c>
      <c r="P154" s="1703">
        <v>0.19</v>
      </c>
      <c r="Q154" s="1703">
        <v>0.02</v>
      </c>
      <c r="R154" s="1914">
        <v>9.8800000000000008</v>
      </c>
      <c r="S154" s="1705"/>
      <c r="T154" s="1682">
        <v>0.89</v>
      </c>
      <c r="U154" s="1683">
        <v>89</v>
      </c>
      <c r="V154" s="1683">
        <v>742</v>
      </c>
      <c r="W154" s="1706">
        <v>53.5</v>
      </c>
      <c r="X154" s="1918"/>
      <c r="Y154" s="1919"/>
      <c r="Z154" s="596">
        <v>0</v>
      </c>
      <c r="AD154" s="614">
        <f t="shared" si="48"/>
        <v>1</v>
      </c>
      <c r="AE154" s="614">
        <f t="shared" si="48"/>
        <v>1.7999999999999998</v>
      </c>
      <c r="AF154" s="614">
        <f t="shared" si="48"/>
        <v>1.9</v>
      </c>
      <c r="AG154" s="614">
        <f t="shared" si="48"/>
        <v>0.2</v>
      </c>
      <c r="AH154">
        <v>2</v>
      </c>
      <c r="AI154" s="296"/>
      <c r="AJ154" s="626"/>
      <c r="AK154" s="626"/>
      <c r="AL154"/>
      <c r="AO154" s="1160"/>
      <c r="AP154" s="1160"/>
    </row>
    <row r="155" spans="3:42" x14ac:dyDescent="0.2">
      <c r="C155" s="1909" t="s">
        <v>1006</v>
      </c>
      <c r="D155" s="1909"/>
      <c r="E155" s="1708"/>
      <c r="F155" s="1910"/>
      <c r="G155" s="1917"/>
      <c r="H155" s="1911"/>
      <c r="I155" s="596">
        <v>2</v>
      </c>
      <c r="J155" s="596">
        <v>20</v>
      </c>
      <c r="K155" s="1910"/>
      <c r="L155" s="1912"/>
      <c r="M155" s="1913">
        <v>6</v>
      </c>
      <c r="N155" s="1759">
        <v>0.13</v>
      </c>
      <c r="O155" s="1703">
        <v>0.09</v>
      </c>
      <c r="P155" s="1703">
        <v>0.18</v>
      </c>
      <c r="Q155" s="1703">
        <v>0.01</v>
      </c>
      <c r="R155" s="1914">
        <v>13.5</v>
      </c>
      <c r="S155" s="1705"/>
      <c r="T155" s="1682">
        <v>0.92</v>
      </c>
      <c r="U155" s="1683">
        <v>92</v>
      </c>
      <c r="V155" s="1683">
        <v>746</v>
      </c>
      <c r="W155" s="1706">
        <v>53.1</v>
      </c>
      <c r="X155" s="1918"/>
      <c r="Y155" s="1919"/>
      <c r="Z155" s="1922">
        <v>0</v>
      </c>
      <c r="AA155" s="1922"/>
      <c r="AB155" s="1922"/>
      <c r="AC155" s="1922"/>
      <c r="AD155" s="614">
        <f t="shared" si="48"/>
        <v>1.3</v>
      </c>
      <c r="AE155" s="614">
        <f t="shared" si="48"/>
        <v>0.89999999999999991</v>
      </c>
      <c r="AF155" s="614">
        <f t="shared" si="48"/>
        <v>1.7999999999999998</v>
      </c>
      <c r="AG155" s="614">
        <f t="shared" si="48"/>
        <v>0.1</v>
      </c>
      <c r="AH155">
        <v>2</v>
      </c>
      <c r="AI155" s="296"/>
      <c r="AJ155" s="626"/>
      <c r="AK155" s="626"/>
      <c r="AL155"/>
      <c r="AO155" s="1160"/>
      <c r="AP155" s="1160"/>
    </row>
    <row r="156" spans="3:42" x14ac:dyDescent="0.2">
      <c r="C156" s="1909" t="s">
        <v>1007</v>
      </c>
      <c r="D156" s="1909"/>
      <c r="E156" s="1708"/>
      <c r="F156" s="1910"/>
      <c r="G156" s="1917"/>
      <c r="H156" s="1911"/>
      <c r="I156" s="596">
        <v>2</v>
      </c>
      <c r="J156" s="596">
        <v>20</v>
      </c>
      <c r="K156" s="1910"/>
      <c r="L156" s="1912"/>
      <c r="M156" s="1920">
        <v>90</v>
      </c>
      <c r="N156" s="1759">
        <v>1.2</v>
      </c>
      <c r="O156" s="1703">
        <v>0.21</v>
      </c>
      <c r="P156" s="1703">
        <v>0.49</v>
      </c>
      <c r="Q156" s="1703">
        <v>0.27</v>
      </c>
      <c r="R156" s="1914">
        <v>8.31</v>
      </c>
      <c r="S156" s="1705"/>
      <c r="T156" s="1682">
        <v>0.93</v>
      </c>
      <c r="U156" s="1683">
        <v>93</v>
      </c>
      <c r="V156" s="1683">
        <v>672</v>
      </c>
      <c r="W156" s="1706">
        <v>51.2</v>
      </c>
      <c r="X156" s="1918"/>
      <c r="Y156" s="1919"/>
      <c r="Z156" s="596">
        <v>0</v>
      </c>
      <c r="AD156" s="614">
        <f t="shared" si="48"/>
        <v>12</v>
      </c>
      <c r="AE156" s="614">
        <f t="shared" si="48"/>
        <v>2.1</v>
      </c>
      <c r="AF156" s="614">
        <f t="shared" si="48"/>
        <v>4.9000000000000004</v>
      </c>
      <c r="AG156" s="614">
        <f t="shared" si="48"/>
        <v>2.7</v>
      </c>
      <c r="AH156">
        <v>2</v>
      </c>
      <c r="AI156" s="296"/>
      <c r="AJ156" s="626"/>
      <c r="AK156" s="626"/>
      <c r="AL156"/>
      <c r="AO156" s="1160"/>
      <c r="AP156" s="1160"/>
    </row>
    <row r="157" spans="3:42" x14ac:dyDescent="0.2">
      <c r="C157" s="1909" t="s">
        <v>1008</v>
      </c>
      <c r="D157" s="1909"/>
      <c r="E157" s="1708"/>
      <c r="G157" s="1917"/>
      <c r="H157" s="1911"/>
      <c r="I157" s="596">
        <v>2</v>
      </c>
      <c r="J157" s="596">
        <v>20</v>
      </c>
      <c r="K157" s="1910"/>
      <c r="L157" s="1912"/>
      <c r="M157" s="1920">
        <v>87.5</v>
      </c>
      <c r="N157" s="1759">
        <v>2.4700000000000002</v>
      </c>
      <c r="O157" s="1703">
        <v>2.11</v>
      </c>
      <c r="P157" s="1703">
        <v>1.27</v>
      </c>
      <c r="Q157" s="1703">
        <v>0.62</v>
      </c>
      <c r="R157" s="1914">
        <v>17.63</v>
      </c>
      <c r="S157" s="1705"/>
      <c r="T157" s="1682">
        <v>0.94</v>
      </c>
      <c r="U157" s="1683">
        <v>94</v>
      </c>
      <c r="V157" s="1683">
        <v>585</v>
      </c>
      <c r="W157" s="1706">
        <v>55</v>
      </c>
      <c r="X157" s="1918"/>
      <c r="Y157" s="1919"/>
      <c r="Z157" s="596">
        <v>0</v>
      </c>
      <c r="AD157" s="614">
        <f t="shared" si="48"/>
        <v>24.700000000000003</v>
      </c>
      <c r="AE157" s="614">
        <f t="shared" si="48"/>
        <v>21.099999999999998</v>
      </c>
      <c r="AF157" s="614">
        <f t="shared" si="48"/>
        <v>12.7</v>
      </c>
      <c r="AG157" s="614">
        <f t="shared" si="48"/>
        <v>6.2</v>
      </c>
      <c r="AH157">
        <v>2</v>
      </c>
      <c r="AI157" s="296"/>
      <c r="AJ157" s="626"/>
      <c r="AK157" s="626"/>
      <c r="AL157"/>
      <c r="AO157" s="1160"/>
      <c r="AP157" s="1160"/>
    </row>
    <row r="158" spans="3:42" x14ac:dyDescent="0.2">
      <c r="C158" s="1909" t="s">
        <v>1009</v>
      </c>
      <c r="D158" s="1909"/>
      <c r="E158" s="1708"/>
      <c r="G158" s="1917"/>
      <c r="H158" s="1911"/>
      <c r="I158" s="596">
        <v>2</v>
      </c>
      <c r="J158" s="596">
        <v>20</v>
      </c>
      <c r="K158" s="1910"/>
      <c r="L158" s="1912"/>
      <c r="M158" s="1920">
        <v>88</v>
      </c>
      <c r="N158" s="1759">
        <v>2.25</v>
      </c>
      <c r="O158" s="1703">
        <v>2.62</v>
      </c>
      <c r="P158" s="1703">
        <v>1.28</v>
      </c>
      <c r="Q158" s="1703">
        <v>0.77</v>
      </c>
      <c r="R158" s="1914">
        <v>16</v>
      </c>
      <c r="S158" s="1705"/>
      <c r="T158" s="1682">
        <v>0.94</v>
      </c>
      <c r="U158" s="1683">
        <v>94</v>
      </c>
      <c r="V158" s="1683">
        <v>537</v>
      </c>
      <c r="W158" s="1706">
        <v>55.2</v>
      </c>
      <c r="X158" s="1918"/>
      <c r="Y158" s="1919"/>
      <c r="Z158" s="596">
        <v>0</v>
      </c>
      <c r="AD158" s="614">
        <f t="shared" si="48"/>
        <v>22.5</v>
      </c>
      <c r="AE158" s="614">
        <f t="shared" si="48"/>
        <v>26.200000000000003</v>
      </c>
      <c r="AF158" s="614">
        <f t="shared" si="48"/>
        <v>12.8</v>
      </c>
      <c r="AG158" s="614">
        <f t="shared" si="48"/>
        <v>7.7</v>
      </c>
      <c r="AH158">
        <v>2</v>
      </c>
      <c r="AI158" s="296"/>
      <c r="AJ158" s="626"/>
      <c r="AK158" s="626"/>
      <c r="AL158"/>
      <c r="AO158" s="1160"/>
      <c r="AP158" s="1160"/>
    </row>
    <row r="159" spans="3:42" x14ac:dyDescent="0.2">
      <c r="C159" s="1909" t="s">
        <v>1010</v>
      </c>
      <c r="D159" s="1909"/>
      <c r="E159" s="1708"/>
      <c r="F159" s="1910"/>
      <c r="G159" s="1917"/>
      <c r="H159" s="1911"/>
      <c r="I159" s="596">
        <v>2</v>
      </c>
      <c r="J159" s="596">
        <v>20</v>
      </c>
      <c r="K159" s="1910"/>
      <c r="L159" s="1912"/>
      <c r="M159" s="1920">
        <v>87</v>
      </c>
      <c r="N159" s="1759">
        <v>2.64</v>
      </c>
      <c r="O159" s="1703">
        <v>1.39</v>
      </c>
      <c r="P159" s="1703">
        <v>0.94</v>
      </c>
      <c r="Q159" s="1703">
        <v>0.42</v>
      </c>
      <c r="R159" s="1914">
        <v>19</v>
      </c>
      <c r="S159" s="1705"/>
      <c r="T159" s="1682">
        <v>0.97</v>
      </c>
      <c r="U159" s="1683">
        <v>97</v>
      </c>
      <c r="V159" s="1683">
        <v>699</v>
      </c>
      <c r="W159" s="1706">
        <v>54.7</v>
      </c>
      <c r="X159" s="1918"/>
      <c r="Y159" s="1919"/>
      <c r="Z159" s="596">
        <v>0</v>
      </c>
      <c r="AD159" s="614">
        <f t="shared" si="48"/>
        <v>26.400000000000002</v>
      </c>
      <c r="AE159" s="614">
        <f t="shared" si="48"/>
        <v>13.899999999999999</v>
      </c>
      <c r="AF159" s="614">
        <f t="shared" si="48"/>
        <v>9.3999999999999986</v>
      </c>
      <c r="AG159" s="614">
        <f t="shared" si="48"/>
        <v>4.2</v>
      </c>
      <c r="AH159">
        <v>2</v>
      </c>
      <c r="AI159" s="296"/>
      <c r="AJ159" s="626"/>
      <c r="AK159" s="626"/>
      <c r="AL159"/>
      <c r="AO159" s="1160"/>
      <c r="AP159" s="1160"/>
    </row>
    <row r="160" spans="3:42" x14ac:dyDescent="0.2">
      <c r="C160" s="1909" t="s">
        <v>1011</v>
      </c>
      <c r="D160" s="1909"/>
      <c r="E160" s="1708"/>
      <c r="F160" s="1910"/>
      <c r="G160" s="1917"/>
      <c r="H160" s="1911"/>
      <c r="I160" s="596">
        <v>2</v>
      </c>
      <c r="J160" s="596">
        <v>20</v>
      </c>
      <c r="K160" s="1910"/>
      <c r="L160" s="1912"/>
      <c r="M160" s="1920">
        <v>78</v>
      </c>
      <c r="N160" s="1759">
        <v>1.68</v>
      </c>
      <c r="O160" s="1703">
        <v>0.09</v>
      </c>
      <c r="P160" s="1703">
        <v>5.08</v>
      </c>
      <c r="Q160" s="1703">
        <v>0.02</v>
      </c>
      <c r="R160" s="1914">
        <v>13.5</v>
      </c>
      <c r="S160" s="1705"/>
      <c r="T160" s="1682">
        <v>0.88</v>
      </c>
      <c r="U160" s="1683">
        <v>88</v>
      </c>
      <c r="V160" s="1683">
        <v>713</v>
      </c>
      <c r="W160" s="1706">
        <v>52.3</v>
      </c>
      <c r="X160" s="1918"/>
      <c r="Y160" s="1919"/>
      <c r="Z160" s="596">
        <v>0</v>
      </c>
      <c r="AD160" s="614">
        <f t="shared" si="48"/>
        <v>16.8</v>
      </c>
      <c r="AE160" s="614">
        <f t="shared" si="48"/>
        <v>0.89999999999999991</v>
      </c>
      <c r="AF160" s="614">
        <f t="shared" si="48"/>
        <v>50.8</v>
      </c>
      <c r="AG160" s="614">
        <f t="shared" si="48"/>
        <v>0.2</v>
      </c>
      <c r="AH160">
        <v>2</v>
      </c>
      <c r="AI160" s="296"/>
      <c r="AJ160" s="626"/>
      <c r="AK160" s="626"/>
      <c r="AL160"/>
    </row>
  </sheetData>
  <mergeCells count="3">
    <mergeCell ref="AD1:AH1"/>
    <mergeCell ref="L2:L4"/>
    <mergeCell ref="AD3:AG3"/>
  </mergeCells>
  <conditionalFormatting sqref="M1 R1 C1:K1 T1:V1 X1 Z1 AJ1:AM1 AD1">
    <cfRule type="expression" dxfId="7" priority="10">
      <formula>ISBLANK(#REF!)</formula>
    </cfRule>
  </conditionalFormatting>
  <conditionalFormatting sqref="L1">
    <cfRule type="expression" dxfId="6" priority="9">
      <formula>ISBLANK($C$1:$LG$1)</formula>
    </cfRule>
  </conditionalFormatting>
  <conditionalFormatting sqref="N1:Q1">
    <cfRule type="expression" dxfId="5" priority="6">
      <formula>ISBLANK($C$1:$LN$1)</formula>
    </cfRule>
  </conditionalFormatting>
  <conditionalFormatting sqref="S1">
    <cfRule type="expression" dxfId="4" priority="5">
      <formula>ISBLANK($C$1:$LF$1)</formula>
    </cfRule>
  </conditionalFormatting>
  <conditionalFormatting sqref="W1">
    <cfRule type="expression" dxfId="3" priority="4">
      <formula>ISBLANK(#REF!)</formula>
    </cfRule>
  </conditionalFormatting>
  <conditionalFormatting sqref="Y1">
    <cfRule type="expression" dxfId="2" priority="3">
      <formula>ISBLANK($A$1:$KP$1)</formula>
    </cfRule>
  </conditionalFormatting>
  <conditionalFormatting sqref="AA1:AB1">
    <cfRule type="expression" dxfId="1" priority="2">
      <formula>ISBLANK($A$1:$NC$1)</formula>
    </cfRule>
  </conditionalFormatting>
  <conditionalFormatting sqref="AC1">
    <cfRule type="expression" dxfId="0" priority="1">
      <formula>ISBLANK($A$1:$NC$1)</formula>
    </cfRule>
  </conditionalFormatting>
  <pageMargins left="0.7" right="0.7" top="0.78740157499999996" bottom="0.78740157499999996"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2:K22"/>
  <sheetViews>
    <sheetView showGridLines="0" workbookViewId="0"/>
  </sheetViews>
  <sheetFormatPr baseColWidth="10" defaultRowHeight="12.75" x14ac:dyDescent="0.2"/>
  <cols>
    <col min="1" max="1" width="3.28515625" customWidth="1"/>
    <col min="2" max="2" width="8.28515625" customWidth="1"/>
  </cols>
  <sheetData>
    <row r="2" spans="1:11" ht="33" customHeight="1" x14ac:dyDescent="0.2">
      <c r="A2" s="3220" t="s">
        <v>892</v>
      </c>
      <c r="B2" s="3220"/>
      <c r="C2" s="3220"/>
      <c r="D2" s="3220"/>
      <c r="E2" s="3220"/>
      <c r="F2" s="3220"/>
      <c r="G2" s="3220"/>
      <c r="H2" s="3220"/>
    </row>
    <row r="4" spans="1:11" x14ac:dyDescent="0.2">
      <c r="A4" s="28" t="s">
        <v>879</v>
      </c>
      <c r="C4" s="28" t="s">
        <v>882</v>
      </c>
    </row>
    <row r="5" spans="1:11" x14ac:dyDescent="0.2">
      <c r="A5" s="28"/>
      <c r="C5" s="28" t="s">
        <v>880</v>
      </c>
    </row>
    <row r="6" spans="1:11" x14ac:dyDescent="0.2">
      <c r="A6" s="28"/>
      <c r="C6" s="28" t="s">
        <v>881</v>
      </c>
    </row>
    <row r="7" spans="1:11" x14ac:dyDescent="0.2">
      <c r="A7" s="28"/>
      <c r="C7" s="28" t="s">
        <v>883</v>
      </c>
      <c r="K7" s="970"/>
    </row>
    <row r="8" spans="1:11" x14ac:dyDescent="0.2">
      <c r="A8" s="28"/>
    </row>
    <row r="9" spans="1:11" x14ac:dyDescent="0.2">
      <c r="A9" s="969" t="s">
        <v>885</v>
      </c>
    </row>
    <row r="10" spans="1:11" ht="15" x14ac:dyDescent="0.2">
      <c r="A10" s="28"/>
      <c r="B10" s="3219" t="s">
        <v>890</v>
      </c>
      <c r="C10" s="3219"/>
      <c r="D10" s="3219"/>
      <c r="E10" s="3219"/>
      <c r="F10" s="3219"/>
      <c r="G10" s="3219"/>
      <c r="H10" s="3219"/>
    </row>
    <row r="11" spans="1:11" x14ac:dyDescent="0.2">
      <c r="A11" s="28"/>
    </row>
    <row r="12" spans="1:11" ht="13.5" customHeight="1" x14ac:dyDescent="0.2">
      <c r="A12" s="969" t="s">
        <v>886</v>
      </c>
    </row>
    <row r="13" spans="1:11" ht="32.25" customHeight="1" x14ac:dyDescent="0.2">
      <c r="A13" s="28"/>
      <c r="B13" s="3218" t="s">
        <v>888</v>
      </c>
      <c r="C13" s="3218"/>
      <c r="D13" s="3218"/>
      <c r="E13" s="3218"/>
      <c r="F13" s="3218"/>
      <c r="G13" s="3218"/>
      <c r="H13" s="3218"/>
    </row>
    <row r="14" spans="1:11" ht="53.25" customHeight="1" x14ac:dyDescent="0.2">
      <c r="A14" s="28"/>
      <c r="B14" s="3218" t="s">
        <v>889</v>
      </c>
      <c r="C14" s="3218"/>
      <c r="D14" s="3218"/>
      <c r="E14" s="3218"/>
      <c r="F14" s="3218"/>
      <c r="G14" s="3218"/>
      <c r="H14" s="3218"/>
    </row>
    <row r="15" spans="1:11" ht="43.5" customHeight="1" x14ac:dyDescent="0.2">
      <c r="B15" s="3218" t="s">
        <v>891</v>
      </c>
      <c r="C15" s="3218"/>
      <c r="D15" s="3218"/>
      <c r="E15" s="3218"/>
      <c r="F15" s="3218"/>
      <c r="G15" s="3218"/>
      <c r="H15" s="3218"/>
    </row>
    <row r="17" spans="1:2" x14ac:dyDescent="0.2">
      <c r="A17" s="969" t="s">
        <v>887</v>
      </c>
    </row>
    <row r="18" spans="1:2" x14ac:dyDescent="0.2">
      <c r="B18" s="28" t="s">
        <v>884</v>
      </c>
    </row>
    <row r="20" spans="1:2" x14ac:dyDescent="0.2">
      <c r="A20" s="28"/>
    </row>
    <row r="21" spans="1:2" x14ac:dyDescent="0.2">
      <c r="A21" s="28"/>
    </row>
    <row r="22" spans="1:2" x14ac:dyDescent="0.2">
      <c r="A22" s="28"/>
    </row>
  </sheetData>
  <sheetProtection algorithmName="SHA-512" hashValue="c37FRvK7OVqimOZj31VW0MxLX03oCcPCvzwMnMf6bTjZD4URcz+2VaGaLKT+xHfHnhGPdn9RNp8bXwFbYQB5eQ==" saltValue="6TcDTbin9Lnd4jv3S+xOMg==" spinCount="100000" sheet="1" objects="1" scenarios="1"/>
  <mergeCells count="5">
    <mergeCell ref="B13:H13"/>
    <mergeCell ref="B14:H14"/>
    <mergeCell ref="B15:H15"/>
    <mergeCell ref="B10:H10"/>
    <mergeCell ref="A2:H2"/>
  </mergeCells>
  <pageMargins left="0.70866141732283472" right="0.70866141732283472" top="0.78740157480314965" bottom="0.78740157480314965" header="0.31496062992125984" footer="0.31496062992125984"/>
  <pageSetup paperSize="9" orientation="portrait" r:id="rId1"/>
  <headerFooter>
    <oddFooter>&amp;C© Bayerische Landesanstalt für Landwirtschaft, Institut für Agrarökologie - Düngung (Of, Sr, Sp; Ka); Stand: 04.11.21</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dimension ref="A2:G37"/>
  <sheetViews>
    <sheetView workbookViewId="0"/>
  </sheetViews>
  <sheetFormatPr baseColWidth="10" defaultRowHeight="12.75" x14ac:dyDescent="0.2"/>
  <sheetData>
    <row r="2" spans="1:7" ht="18" x14ac:dyDescent="0.25">
      <c r="A2" s="3221" t="s">
        <v>911</v>
      </c>
      <c r="B2" s="3221"/>
      <c r="C2" s="3221"/>
      <c r="D2" s="3221"/>
      <c r="E2" s="3221"/>
      <c r="F2" s="3221"/>
      <c r="G2" s="3221"/>
    </row>
    <row r="15" spans="1:7" x14ac:dyDescent="0.2">
      <c r="A15" s="969"/>
    </row>
    <row r="34" spans="2:2" x14ac:dyDescent="0.2">
      <c r="B34" s="28" t="s">
        <v>261</v>
      </c>
    </row>
    <row r="37" spans="2:2" x14ac:dyDescent="0.2">
      <c r="B37" t="s">
        <v>1012</v>
      </c>
    </row>
  </sheetData>
  <mergeCells count="1">
    <mergeCell ref="A2:G2"/>
  </mergeCell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1"/>
  <dimension ref="A1:Q203"/>
  <sheetViews>
    <sheetView showGridLines="0" zoomScaleNormal="100" workbookViewId="0"/>
  </sheetViews>
  <sheetFormatPr baseColWidth="10" defaultColWidth="11.42578125" defaultRowHeight="12.75" x14ac:dyDescent="0.2"/>
  <cols>
    <col min="1" max="1" width="28.7109375" style="1013" customWidth="1"/>
    <col min="2" max="2" width="11.85546875" style="1013" customWidth="1"/>
    <col min="3" max="3" width="5.140625" style="1014" customWidth="1"/>
    <col min="4" max="6" width="5.7109375" style="1013" customWidth="1"/>
    <col min="7" max="7" width="5.5703125" style="1015" customWidth="1"/>
    <col min="8" max="8" width="9.85546875" style="1016" customWidth="1"/>
    <col min="9" max="9" width="9.28515625" style="1016" customWidth="1"/>
    <col min="10" max="16384" width="11.42578125" style="370"/>
  </cols>
  <sheetData>
    <row r="1" spans="1:9" x14ac:dyDescent="0.2">
      <c r="A1" s="1012" t="s">
        <v>915</v>
      </c>
    </row>
    <row r="2" spans="1:9" x14ac:dyDescent="0.2">
      <c r="A2" s="1978" t="s">
        <v>8410</v>
      </c>
    </row>
    <row r="3" spans="1:9" ht="7.5" customHeight="1" thickBot="1" x14ac:dyDescent="0.25"/>
    <row r="4" spans="1:9" ht="16.5" customHeight="1" x14ac:dyDescent="0.2">
      <c r="A4" s="1017"/>
      <c r="B4" s="3222" t="s">
        <v>916</v>
      </c>
      <c r="C4" s="1018" t="s">
        <v>215</v>
      </c>
      <c r="D4" s="3225" t="s">
        <v>917</v>
      </c>
      <c r="E4" s="3226"/>
      <c r="F4" s="3227"/>
      <c r="G4" s="1019"/>
      <c r="H4" s="1020" t="s">
        <v>8530</v>
      </c>
      <c r="I4" s="1021" t="s">
        <v>544</v>
      </c>
    </row>
    <row r="5" spans="1:9" ht="15" x14ac:dyDescent="0.25">
      <c r="A5" s="1022" t="s">
        <v>803</v>
      </c>
      <c r="B5" s="3223"/>
      <c r="C5" s="1023" t="s">
        <v>216</v>
      </c>
      <c r="D5" s="1024" t="s">
        <v>8411</v>
      </c>
      <c r="E5" s="1025"/>
      <c r="F5" s="1025"/>
      <c r="G5" s="1026" t="s">
        <v>551</v>
      </c>
      <c r="H5" s="1027" t="s">
        <v>8531</v>
      </c>
      <c r="I5" s="1028" t="s">
        <v>553</v>
      </c>
    </row>
    <row r="6" spans="1:9" ht="15.75" thickBot="1" x14ac:dyDescent="0.3">
      <c r="A6" s="1029"/>
      <c r="B6" s="3224"/>
      <c r="C6" s="1030" t="s">
        <v>2</v>
      </c>
      <c r="D6" s="1031" t="s">
        <v>4</v>
      </c>
      <c r="E6" s="1032" t="s">
        <v>239</v>
      </c>
      <c r="F6" s="1032" t="s">
        <v>240</v>
      </c>
      <c r="G6" s="1033" t="s">
        <v>36</v>
      </c>
      <c r="H6" s="1034" t="s">
        <v>557</v>
      </c>
      <c r="I6" s="1035" t="s">
        <v>36</v>
      </c>
    </row>
    <row r="7" spans="1:9" x14ac:dyDescent="0.2">
      <c r="A7" s="1792" t="s">
        <v>8365</v>
      </c>
      <c r="B7" s="1792"/>
      <c r="C7" s="1795"/>
      <c r="D7" s="1887"/>
      <c r="E7" s="1797"/>
      <c r="F7" s="623"/>
      <c r="G7" s="1795"/>
      <c r="H7" s="1888"/>
      <c r="I7" s="1795"/>
    </row>
    <row r="8" spans="1:9" x14ac:dyDescent="0.2">
      <c r="A8" s="1872" t="s">
        <v>558</v>
      </c>
      <c r="B8" s="1872" t="s">
        <v>562</v>
      </c>
      <c r="C8" s="1875">
        <v>86</v>
      </c>
      <c r="D8" s="1979">
        <v>18.100000000000001</v>
      </c>
      <c r="E8" s="1980">
        <v>8</v>
      </c>
      <c r="F8" s="1981">
        <v>5.5</v>
      </c>
      <c r="G8" s="1873">
        <v>96</v>
      </c>
      <c r="H8" s="1873">
        <v>704</v>
      </c>
      <c r="I8" s="1874">
        <v>53</v>
      </c>
    </row>
    <row r="9" spans="1:9" x14ac:dyDescent="0.2">
      <c r="A9" s="1872" t="s">
        <v>563</v>
      </c>
      <c r="B9" s="1872" t="s">
        <v>562</v>
      </c>
      <c r="C9" s="1875">
        <v>86</v>
      </c>
      <c r="D9" s="1979">
        <v>21.099999999999998</v>
      </c>
      <c r="E9" s="1980">
        <v>8</v>
      </c>
      <c r="F9" s="1981">
        <v>5.5</v>
      </c>
      <c r="G9" s="1873">
        <v>98</v>
      </c>
      <c r="H9" s="1873">
        <v>701</v>
      </c>
      <c r="I9" s="1874">
        <v>53</v>
      </c>
    </row>
    <row r="10" spans="1:9" x14ac:dyDescent="0.2">
      <c r="A10" s="1872" t="s">
        <v>918</v>
      </c>
      <c r="B10" s="1872" t="s">
        <v>562</v>
      </c>
      <c r="C10" s="1875">
        <v>86</v>
      </c>
      <c r="D10" s="1979">
        <v>24.1</v>
      </c>
      <c r="E10" s="1980">
        <v>8</v>
      </c>
      <c r="F10" s="1981">
        <v>5.5</v>
      </c>
      <c r="G10" s="1873">
        <v>98</v>
      </c>
      <c r="H10" s="1873">
        <v>701</v>
      </c>
      <c r="I10" s="1874">
        <v>53</v>
      </c>
    </row>
    <row r="11" spans="1:9" x14ac:dyDescent="0.2">
      <c r="A11" s="1872" t="s">
        <v>919</v>
      </c>
      <c r="B11" s="1872" t="s">
        <v>562</v>
      </c>
      <c r="C11" s="1875">
        <v>86</v>
      </c>
      <c r="D11" s="1979">
        <v>18.100000000000001</v>
      </c>
      <c r="E11" s="1980">
        <v>7.5</v>
      </c>
      <c r="F11" s="1981">
        <v>5.5</v>
      </c>
      <c r="G11" s="1873">
        <v>98</v>
      </c>
      <c r="H11" s="1873">
        <v>701</v>
      </c>
      <c r="I11" s="1874">
        <v>53</v>
      </c>
    </row>
    <row r="12" spans="1:9" x14ac:dyDescent="0.2">
      <c r="A12" s="1872" t="s">
        <v>565</v>
      </c>
      <c r="B12" s="1872" t="s">
        <v>562</v>
      </c>
      <c r="C12" s="1875">
        <v>86</v>
      </c>
      <c r="D12" s="1979">
        <v>21.099999999999998</v>
      </c>
      <c r="E12" s="1980">
        <v>7.5</v>
      </c>
      <c r="F12" s="1981">
        <v>5.5</v>
      </c>
      <c r="G12" s="1873">
        <v>98</v>
      </c>
      <c r="H12" s="1873">
        <v>701</v>
      </c>
      <c r="I12" s="1874">
        <v>53</v>
      </c>
    </row>
    <row r="13" spans="1:9" x14ac:dyDescent="0.2">
      <c r="A13" s="1872" t="s">
        <v>920</v>
      </c>
      <c r="B13" s="1872" t="s">
        <v>259</v>
      </c>
      <c r="C13" s="1875">
        <v>86</v>
      </c>
      <c r="D13" s="1979">
        <v>5</v>
      </c>
      <c r="E13" s="1980">
        <v>3</v>
      </c>
      <c r="F13" s="1981">
        <v>14</v>
      </c>
      <c r="G13" s="1873">
        <v>94</v>
      </c>
      <c r="H13" s="1873">
        <v>374</v>
      </c>
      <c r="I13" s="1874">
        <v>51</v>
      </c>
    </row>
    <row r="14" spans="1:9" x14ac:dyDescent="0.2">
      <c r="A14" s="1872" t="s">
        <v>921</v>
      </c>
      <c r="B14" s="1872" t="s">
        <v>259</v>
      </c>
      <c r="C14" s="1875">
        <v>86</v>
      </c>
      <c r="D14" s="1979">
        <v>5</v>
      </c>
      <c r="E14" s="1980">
        <v>3</v>
      </c>
      <c r="F14" s="1981">
        <v>17</v>
      </c>
      <c r="G14" s="1873">
        <v>94</v>
      </c>
      <c r="H14" s="1873">
        <v>374</v>
      </c>
      <c r="I14" s="1874">
        <v>51</v>
      </c>
    </row>
    <row r="15" spans="1:9" x14ac:dyDescent="0.2">
      <c r="A15" s="1872" t="s">
        <v>568</v>
      </c>
      <c r="B15" s="1872" t="s">
        <v>562</v>
      </c>
      <c r="C15" s="1875">
        <v>86</v>
      </c>
      <c r="D15" s="1979">
        <v>16.5</v>
      </c>
      <c r="E15" s="1980">
        <v>8</v>
      </c>
      <c r="F15" s="1981">
        <v>6</v>
      </c>
      <c r="G15" s="1873">
        <v>98</v>
      </c>
      <c r="H15" s="1873">
        <v>684</v>
      </c>
      <c r="I15" s="1874">
        <v>53</v>
      </c>
    </row>
    <row r="16" spans="1:9" x14ac:dyDescent="0.2">
      <c r="A16" s="1872" t="s">
        <v>922</v>
      </c>
      <c r="B16" s="1872" t="s">
        <v>562</v>
      </c>
      <c r="C16" s="1875">
        <v>86</v>
      </c>
      <c r="D16" s="1979">
        <v>15.1</v>
      </c>
      <c r="E16" s="1980">
        <v>8</v>
      </c>
      <c r="F16" s="1981">
        <v>6</v>
      </c>
      <c r="G16" s="1873">
        <v>98</v>
      </c>
      <c r="H16" s="1873">
        <v>684</v>
      </c>
      <c r="I16" s="1874">
        <v>53</v>
      </c>
    </row>
    <row r="17" spans="1:9" x14ac:dyDescent="0.2">
      <c r="A17" s="1872" t="s">
        <v>570</v>
      </c>
      <c r="B17" s="1872" t="s">
        <v>562</v>
      </c>
      <c r="C17" s="1875">
        <v>86</v>
      </c>
      <c r="D17" s="1979">
        <v>16.5</v>
      </c>
      <c r="E17" s="1980">
        <v>8</v>
      </c>
      <c r="F17" s="1981">
        <v>6</v>
      </c>
      <c r="G17" s="1873">
        <v>98</v>
      </c>
      <c r="H17" s="1873">
        <v>680</v>
      </c>
      <c r="I17" s="1874">
        <v>53</v>
      </c>
    </row>
    <row r="18" spans="1:9" x14ac:dyDescent="0.2">
      <c r="A18" s="1872" t="s">
        <v>923</v>
      </c>
      <c r="B18" s="1872" t="s">
        <v>562</v>
      </c>
      <c r="C18" s="1875">
        <v>86</v>
      </c>
      <c r="D18" s="1979">
        <v>13.799999999999999</v>
      </c>
      <c r="E18" s="1980">
        <v>8</v>
      </c>
      <c r="F18" s="1981">
        <v>6</v>
      </c>
      <c r="G18" s="1873">
        <v>98</v>
      </c>
      <c r="H18" s="1873">
        <v>684</v>
      </c>
      <c r="I18" s="1874">
        <v>53</v>
      </c>
    </row>
    <row r="19" spans="1:9" x14ac:dyDescent="0.2">
      <c r="A19" s="1872" t="s">
        <v>572</v>
      </c>
      <c r="B19" s="1872" t="s">
        <v>562</v>
      </c>
      <c r="C19" s="1875">
        <v>86</v>
      </c>
      <c r="D19" s="1979">
        <v>15.1</v>
      </c>
      <c r="E19" s="1980">
        <v>8</v>
      </c>
      <c r="F19" s="1981">
        <v>6</v>
      </c>
      <c r="G19" s="1873">
        <v>98</v>
      </c>
      <c r="H19" s="1873">
        <v>706</v>
      </c>
      <c r="I19" s="1874">
        <v>52</v>
      </c>
    </row>
    <row r="20" spans="1:9" x14ac:dyDescent="0.2">
      <c r="A20" s="1872" t="s">
        <v>924</v>
      </c>
      <c r="B20" s="1872" t="s">
        <v>259</v>
      </c>
      <c r="C20" s="1875">
        <v>86</v>
      </c>
      <c r="D20" s="1979">
        <v>5</v>
      </c>
      <c r="E20" s="1980">
        <v>3</v>
      </c>
      <c r="F20" s="1981">
        <v>20</v>
      </c>
      <c r="G20" s="1873">
        <v>94</v>
      </c>
      <c r="H20" s="1873">
        <v>374</v>
      </c>
      <c r="I20" s="1874">
        <v>51</v>
      </c>
    </row>
    <row r="21" spans="1:9" x14ac:dyDescent="0.2">
      <c r="A21" s="1872" t="s">
        <v>925</v>
      </c>
      <c r="B21" s="1872" t="s">
        <v>562</v>
      </c>
      <c r="C21" s="1875">
        <v>86</v>
      </c>
      <c r="D21" s="1979">
        <v>15.1</v>
      </c>
      <c r="E21" s="1980">
        <v>8</v>
      </c>
      <c r="F21" s="1981">
        <v>6</v>
      </c>
      <c r="G21" s="1873">
        <v>98</v>
      </c>
      <c r="H21" s="1873">
        <v>706</v>
      </c>
      <c r="I21" s="1874">
        <v>52</v>
      </c>
    </row>
    <row r="22" spans="1:9" x14ac:dyDescent="0.2">
      <c r="A22" s="1872" t="s">
        <v>574</v>
      </c>
      <c r="B22" s="1872" t="s">
        <v>562</v>
      </c>
      <c r="C22" s="1875">
        <v>86</v>
      </c>
      <c r="D22" s="1979">
        <v>15.1</v>
      </c>
      <c r="E22" s="1980">
        <v>8</v>
      </c>
      <c r="F22" s="1981">
        <v>6</v>
      </c>
      <c r="G22" s="1873">
        <v>97</v>
      </c>
      <c r="H22" s="1873">
        <v>596</v>
      </c>
      <c r="I22" s="1874">
        <v>54</v>
      </c>
    </row>
    <row r="23" spans="1:9" x14ac:dyDescent="0.2">
      <c r="A23" s="1872" t="s">
        <v>926</v>
      </c>
      <c r="B23" s="1872" t="s">
        <v>259</v>
      </c>
      <c r="C23" s="1875">
        <v>86</v>
      </c>
      <c r="D23" s="1979">
        <v>5</v>
      </c>
      <c r="E23" s="1980">
        <v>3</v>
      </c>
      <c r="F23" s="1981">
        <v>17</v>
      </c>
      <c r="G23" s="1873">
        <v>94</v>
      </c>
      <c r="H23" s="1873">
        <v>374</v>
      </c>
      <c r="I23" s="1874">
        <v>51</v>
      </c>
    </row>
    <row r="24" spans="1:9" x14ac:dyDescent="0.2">
      <c r="A24" s="1872" t="s">
        <v>576</v>
      </c>
      <c r="B24" s="1872" t="s">
        <v>562</v>
      </c>
      <c r="C24" s="1875">
        <v>86</v>
      </c>
      <c r="D24" s="1979">
        <v>16.5</v>
      </c>
      <c r="E24" s="1980">
        <v>8</v>
      </c>
      <c r="F24" s="1981">
        <v>6</v>
      </c>
      <c r="G24" s="1873">
        <v>98</v>
      </c>
      <c r="H24" s="1873">
        <v>695</v>
      </c>
      <c r="I24" s="1874">
        <v>52</v>
      </c>
    </row>
    <row r="25" spans="1:9" x14ac:dyDescent="0.2">
      <c r="A25" s="1872" t="s">
        <v>578</v>
      </c>
      <c r="B25" s="1872" t="s">
        <v>562</v>
      </c>
      <c r="C25" s="1875">
        <v>86</v>
      </c>
      <c r="D25" s="1979">
        <v>16.5</v>
      </c>
      <c r="E25" s="1980">
        <v>8</v>
      </c>
      <c r="F25" s="1981">
        <v>8</v>
      </c>
      <c r="G25" s="1873">
        <v>97</v>
      </c>
      <c r="H25" s="1873">
        <v>596</v>
      </c>
      <c r="I25" s="1874">
        <v>54</v>
      </c>
    </row>
    <row r="26" spans="1:9" x14ac:dyDescent="0.2">
      <c r="A26" s="1872" t="s">
        <v>927</v>
      </c>
      <c r="B26" s="1872" t="s">
        <v>562</v>
      </c>
      <c r="C26" s="1875">
        <v>86</v>
      </c>
      <c r="D26" s="1979">
        <v>18.100000000000001</v>
      </c>
      <c r="E26" s="1980">
        <v>7.5</v>
      </c>
      <c r="F26" s="1981">
        <v>5.5</v>
      </c>
      <c r="G26" s="1873">
        <v>98</v>
      </c>
      <c r="H26" s="1873">
        <v>684</v>
      </c>
      <c r="I26" s="1874">
        <v>53</v>
      </c>
    </row>
    <row r="27" spans="1:9" x14ac:dyDescent="0.2">
      <c r="A27" s="1872" t="s">
        <v>928</v>
      </c>
      <c r="B27" s="1872" t="s">
        <v>562</v>
      </c>
      <c r="C27" s="1875">
        <v>86</v>
      </c>
      <c r="D27" s="1979">
        <v>18.100000000000001</v>
      </c>
      <c r="E27" s="1980">
        <v>8</v>
      </c>
      <c r="F27" s="1981">
        <v>6</v>
      </c>
      <c r="G27" s="1873">
        <v>98</v>
      </c>
      <c r="H27" s="1873">
        <v>701</v>
      </c>
      <c r="I27" s="1874">
        <v>53</v>
      </c>
    </row>
    <row r="28" spans="1:9" x14ac:dyDescent="0.2">
      <c r="A28" s="617" t="s">
        <v>8366</v>
      </c>
      <c r="B28" s="1881"/>
      <c r="C28" s="1876"/>
      <c r="D28" s="1982"/>
      <c r="E28" s="1983"/>
      <c r="F28" s="1984"/>
      <c r="G28" s="1879"/>
      <c r="H28" s="1879" t="s">
        <v>567</v>
      </c>
      <c r="I28" s="1880" t="s">
        <v>567</v>
      </c>
    </row>
    <row r="29" spans="1:9" x14ac:dyDescent="0.2">
      <c r="A29" s="1872" t="s">
        <v>580</v>
      </c>
      <c r="B29" s="1872" t="s">
        <v>259</v>
      </c>
      <c r="C29" s="1875">
        <v>86</v>
      </c>
      <c r="D29" s="1979">
        <v>9</v>
      </c>
      <c r="E29" s="1980">
        <v>2</v>
      </c>
      <c r="F29" s="1981">
        <v>20</v>
      </c>
      <c r="G29" s="1873">
        <v>96</v>
      </c>
      <c r="H29" s="1873">
        <v>619</v>
      </c>
      <c r="I29" s="1874">
        <v>53</v>
      </c>
    </row>
    <row r="30" spans="1:9" x14ac:dyDescent="0.2">
      <c r="A30" s="1872" t="s">
        <v>582</v>
      </c>
      <c r="B30" s="1872" t="s">
        <v>562</v>
      </c>
      <c r="C30" s="1875">
        <v>86</v>
      </c>
      <c r="D30" s="1979">
        <v>13.799999999999999</v>
      </c>
      <c r="E30" s="1980">
        <v>8</v>
      </c>
      <c r="F30" s="1981">
        <v>5</v>
      </c>
      <c r="G30" s="1873">
        <v>98</v>
      </c>
      <c r="H30" s="1873">
        <v>691</v>
      </c>
      <c r="I30" s="1874">
        <v>53</v>
      </c>
    </row>
    <row r="31" spans="1:9" x14ac:dyDescent="0.2">
      <c r="A31" s="1872" t="s">
        <v>8367</v>
      </c>
      <c r="B31" s="1872" t="s">
        <v>562</v>
      </c>
      <c r="C31" s="1875">
        <v>86</v>
      </c>
      <c r="D31" s="1979">
        <v>23.4</v>
      </c>
      <c r="E31" s="1980">
        <v>8.9</v>
      </c>
      <c r="F31" s="1981">
        <v>5</v>
      </c>
      <c r="G31" s="1873">
        <v>97</v>
      </c>
      <c r="H31" s="1873">
        <v>665</v>
      </c>
      <c r="I31" s="1874">
        <v>53</v>
      </c>
    </row>
    <row r="32" spans="1:9" x14ac:dyDescent="0.2">
      <c r="A32" s="617" t="s">
        <v>929</v>
      </c>
      <c r="B32" s="1881"/>
      <c r="C32" s="1876"/>
      <c r="D32" s="1982"/>
      <c r="E32" s="1983"/>
      <c r="F32" s="1984"/>
      <c r="G32" s="1879"/>
      <c r="H32" s="1879" t="s">
        <v>567</v>
      </c>
      <c r="I32" s="1880" t="s">
        <v>567</v>
      </c>
    </row>
    <row r="33" spans="1:9" x14ac:dyDescent="0.2">
      <c r="A33" s="1872" t="s">
        <v>930</v>
      </c>
      <c r="B33" s="1872" t="s">
        <v>562</v>
      </c>
      <c r="C33" s="1875">
        <v>86</v>
      </c>
      <c r="D33" s="1979">
        <v>41</v>
      </c>
      <c r="E33" s="1980">
        <v>12</v>
      </c>
      <c r="F33" s="1981">
        <v>14</v>
      </c>
      <c r="G33" s="1873">
        <v>96</v>
      </c>
      <c r="H33" s="1873">
        <v>697</v>
      </c>
      <c r="I33" s="1874">
        <v>56.000000000000007</v>
      </c>
    </row>
    <row r="34" spans="1:9" x14ac:dyDescent="0.2">
      <c r="A34" s="1872" t="s">
        <v>931</v>
      </c>
      <c r="B34" s="1872" t="s">
        <v>562</v>
      </c>
      <c r="C34" s="1875">
        <v>86</v>
      </c>
      <c r="D34" s="1979">
        <v>36</v>
      </c>
      <c r="E34" s="1980">
        <v>11</v>
      </c>
      <c r="F34" s="1981">
        <v>14</v>
      </c>
      <c r="G34" s="1873">
        <v>96</v>
      </c>
      <c r="H34" s="1873">
        <v>699</v>
      </c>
      <c r="I34" s="1874">
        <v>55.000000000000007</v>
      </c>
    </row>
    <row r="35" spans="1:9" x14ac:dyDescent="0.2">
      <c r="A35" s="1872" t="s">
        <v>932</v>
      </c>
      <c r="B35" s="1872" t="s">
        <v>562</v>
      </c>
      <c r="C35" s="1875">
        <v>86</v>
      </c>
      <c r="D35" s="1979">
        <v>44.800000000000004</v>
      </c>
      <c r="E35" s="1980">
        <v>10.199999999999999</v>
      </c>
      <c r="F35" s="1981">
        <v>9.9</v>
      </c>
      <c r="G35" s="1873">
        <v>96</v>
      </c>
      <c r="H35" s="1873">
        <v>717</v>
      </c>
      <c r="I35" s="1874">
        <v>60</v>
      </c>
    </row>
    <row r="36" spans="1:9" x14ac:dyDescent="0.2">
      <c r="A36" s="1872" t="s">
        <v>933</v>
      </c>
      <c r="B36" s="1872" t="s">
        <v>562</v>
      </c>
      <c r="C36" s="1875">
        <v>86</v>
      </c>
      <c r="D36" s="1979">
        <v>44</v>
      </c>
      <c r="E36" s="1980">
        <v>15</v>
      </c>
      <c r="F36" s="1981">
        <v>17</v>
      </c>
      <c r="G36" s="1873">
        <v>95</v>
      </c>
      <c r="H36" s="1873">
        <v>734</v>
      </c>
      <c r="I36" s="1874">
        <v>64</v>
      </c>
    </row>
    <row r="37" spans="1:9" x14ac:dyDescent="0.2">
      <c r="A37" s="617" t="s">
        <v>934</v>
      </c>
      <c r="B37" s="1881"/>
      <c r="C37" s="1876"/>
      <c r="D37" s="1982"/>
      <c r="E37" s="1983"/>
      <c r="F37" s="1984"/>
      <c r="G37" s="1879"/>
      <c r="H37" s="1879"/>
      <c r="I37" s="1880"/>
    </row>
    <row r="38" spans="1:9" x14ac:dyDescent="0.2">
      <c r="A38" s="1872" t="s">
        <v>935</v>
      </c>
      <c r="B38" s="1872" t="s">
        <v>562</v>
      </c>
      <c r="C38" s="1875">
        <v>91</v>
      </c>
      <c r="D38" s="1979">
        <v>33.5</v>
      </c>
      <c r="E38" s="1980">
        <v>18</v>
      </c>
      <c r="F38" s="1981">
        <v>10</v>
      </c>
      <c r="G38" s="1873">
        <v>96</v>
      </c>
      <c r="H38" s="1873">
        <v>767</v>
      </c>
      <c r="I38" s="1874">
        <v>66</v>
      </c>
    </row>
    <row r="39" spans="1:9" x14ac:dyDescent="0.2">
      <c r="A39" s="1872" t="s">
        <v>936</v>
      </c>
      <c r="B39" s="1872" t="s">
        <v>562</v>
      </c>
      <c r="C39" s="1875">
        <v>91</v>
      </c>
      <c r="D39" s="1979">
        <v>33.5</v>
      </c>
      <c r="E39" s="1980">
        <v>18</v>
      </c>
      <c r="F39" s="1981">
        <v>10</v>
      </c>
      <c r="G39" s="1873">
        <v>96</v>
      </c>
      <c r="H39" s="1873">
        <v>767</v>
      </c>
      <c r="I39" s="1874">
        <v>66</v>
      </c>
    </row>
    <row r="40" spans="1:9" x14ac:dyDescent="0.2">
      <c r="A40" s="1872" t="s">
        <v>937</v>
      </c>
      <c r="B40" s="1872" t="s">
        <v>562</v>
      </c>
      <c r="C40" s="1875">
        <v>91</v>
      </c>
      <c r="D40" s="1979">
        <v>33.5</v>
      </c>
      <c r="E40" s="1980">
        <v>18</v>
      </c>
      <c r="F40" s="1981">
        <v>10</v>
      </c>
      <c r="G40" s="1873">
        <v>96</v>
      </c>
      <c r="H40" s="1873">
        <v>767</v>
      </c>
      <c r="I40" s="1874">
        <v>66</v>
      </c>
    </row>
    <row r="41" spans="1:9" x14ac:dyDescent="0.2">
      <c r="A41" s="1872" t="s">
        <v>938</v>
      </c>
      <c r="B41" s="1872" t="s">
        <v>562</v>
      </c>
      <c r="C41" s="1875">
        <v>91</v>
      </c>
      <c r="D41" s="1979">
        <v>29.1</v>
      </c>
      <c r="E41" s="1980">
        <v>16</v>
      </c>
      <c r="F41" s="1981">
        <v>24</v>
      </c>
      <c r="G41" s="1873">
        <v>97</v>
      </c>
      <c r="H41" s="1873">
        <v>699</v>
      </c>
      <c r="I41" s="1874">
        <v>64</v>
      </c>
    </row>
    <row r="42" spans="1:9" x14ac:dyDescent="0.2">
      <c r="A42" s="1872" t="s">
        <v>939</v>
      </c>
      <c r="B42" s="1872" t="s">
        <v>562</v>
      </c>
      <c r="C42" s="1875">
        <v>91</v>
      </c>
      <c r="D42" s="1979">
        <v>35</v>
      </c>
      <c r="E42" s="1980">
        <v>12</v>
      </c>
      <c r="F42" s="1981">
        <v>10</v>
      </c>
      <c r="G42" s="1873">
        <v>95</v>
      </c>
      <c r="H42" s="1873">
        <v>785</v>
      </c>
      <c r="I42" s="1874">
        <v>64</v>
      </c>
    </row>
    <row r="43" spans="1:9" x14ac:dyDescent="0.2">
      <c r="A43" s="1872" t="s">
        <v>940</v>
      </c>
      <c r="B43" s="1872" t="s">
        <v>562</v>
      </c>
      <c r="C43" s="1875">
        <v>91</v>
      </c>
      <c r="D43" s="1979">
        <v>35</v>
      </c>
      <c r="E43" s="1980">
        <v>12</v>
      </c>
      <c r="F43" s="1981">
        <v>10</v>
      </c>
      <c r="G43" s="1873">
        <v>95</v>
      </c>
      <c r="H43" s="1873">
        <v>785</v>
      </c>
      <c r="I43" s="1874">
        <v>64</v>
      </c>
    </row>
    <row r="44" spans="1:9" x14ac:dyDescent="0.2">
      <c r="A44" s="617" t="s">
        <v>585</v>
      </c>
      <c r="B44" s="1881"/>
      <c r="C44" s="1876"/>
      <c r="D44" s="1982"/>
      <c r="E44" s="1983"/>
      <c r="F44" s="1984"/>
      <c r="G44" s="1879"/>
      <c r="H44" s="1879" t="s">
        <v>567</v>
      </c>
      <c r="I44" s="1880" t="s">
        <v>567</v>
      </c>
    </row>
    <row r="45" spans="1:9" x14ac:dyDescent="0.2">
      <c r="A45" s="1872" t="s">
        <v>941</v>
      </c>
      <c r="B45" s="1872" t="s">
        <v>587</v>
      </c>
      <c r="C45" s="1875">
        <v>22</v>
      </c>
      <c r="D45" s="1979">
        <v>3.5</v>
      </c>
      <c r="E45" s="1980">
        <v>1.4000000000000001</v>
      </c>
      <c r="F45" s="1981">
        <v>6</v>
      </c>
      <c r="G45" s="1873">
        <v>94</v>
      </c>
      <c r="H45" s="1873">
        <v>728</v>
      </c>
      <c r="I45" s="1874">
        <v>52</v>
      </c>
    </row>
    <row r="46" spans="1:9" x14ac:dyDescent="0.2">
      <c r="A46" s="1872" t="s">
        <v>942</v>
      </c>
      <c r="B46" s="1872" t="s">
        <v>587</v>
      </c>
      <c r="C46" s="1875">
        <v>22</v>
      </c>
      <c r="D46" s="1979">
        <v>3.5</v>
      </c>
      <c r="E46" s="1980">
        <v>1.4000000000000001</v>
      </c>
      <c r="F46" s="1981">
        <v>6</v>
      </c>
      <c r="G46" s="1873">
        <v>94</v>
      </c>
      <c r="H46" s="1873">
        <v>728</v>
      </c>
      <c r="I46" s="1874">
        <v>52</v>
      </c>
    </row>
    <row r="47" spans="1:9" x14ac:dyDescent="0.2">
      <c r="A47" s="1872" t="s">
        <v>943</v>
      </c>
      <c r="B47" s="1872" t="s">
        <v>587</v>
      </c>
      <c r="C47" s="1875">
        <v>22</v>
      </c>
      <c r="D47" s="1979">
        <v>3.5</v>
      </c>
      <c r="E47" s="1980">
        <v>1.4000000000000001</v>
      </c>
      <c r="F47" s="1981">
        <v>6</v>
      </c>
      <c r="G47" s="1873">
        <v>94</v>
      </c>
      <c r="H47" s="1873">
        <v>728</v>
      </c>
      <c r="I47" s="1874">
        <v>52</v>
      </c>
    </row>
    <row r="48" spans="1:9" x14ac:dyDescent="0.2">
      <c r="A48" s="1872" t="s">
        <v>588</v>
      </c>
      <c r="B48" s="1872" t="s">
        <v>590</v>
      </c>
      <c r="C48" s="1875">
        <v>23</v>
      </c>
      <c r="D48" s="1979">
        <v>1.7999999999999998</v>
      </c>
      <c r="E48" s="1980">
        <v>1</v>
      </c>
      <c r="F48" s="1981">
        <v>2.5</v>
      </c>
      <c r="G48" s="1873">
        <v>92</v>
      </c>
      <c r="H48" s="1873">
        <v>679</v>
      </c>
      <c r="I48" s="1874">
        <v>51</v>
      </c>
    </row>
    <row r="49" spans="1:9" x14ac:dyDescent="0.2">
      <c r="A49" s="1872" t="s">
        <v>591</v>
      </c>
      <c r="B49" s="1872" t="s">
        <v>590</v>
      </c>
      <c r="C49" s="1875">
        <v>15</v>
      </c>
      <c r="D49" s="1979">
        <v>1.7999999999999998</v>
      </c>
      <c r="E49" s="1980">
        <v>0.89999999999999991</v>
      </c>
      <c r="F49" s="1981">
        <v>5</v>
      </c>
      <c r="G49" s="1873">
        <v>91</v>
      </c>
      <c r="H49" s="1873">
        <v>685</v>
      </c>
      <c r="I49" s="1874">
        <v>51</v>
      </c>
    </row>
    <row r="50" spans="1:9" x14ac:dyDescent="0.2">
      <c r="A50" s="1872" t="s">
        <v>944</v>
      </c>
      <c r="B50" s="1872" t="s">
        <v>590</v>
      </c>
      <c r="C50" s="1875">
        <v>12</v>
      </c>
      <c r="D50" s="1979">
        <v>1.4000000000000001</v>
      </c>
      <c r="E50" s="1980">
        <v>0.70000000000000007</v>
      </c>
      <c r="F50" s="1981">
        <v>4.5</v>
      </c>
      <c r="G50" s="1873">
        <v>88</v>
      </c>
      <c r="H50" s="1873">
        <v>702</v>
      </c>
      <c r="I50" s="1874">
        <v>53</v>
      </c>
    </row>
    <row r="51" spans="1:9" x14ac:dyDescent="0.2">
      <c r="A51" s="617" t="s">
        <v>593</v>
      </c>
      <c r="B51" s="1881"/>
      <c r="C51" s="1876"/>
      <c r="D51" s="1982"/>
      <c r="E51" s="1983"/>
      <c r="F51" s="1984"/>
      <c r="G51" s="1879"/>
      <c r="H51" s="1879" t="s">
        <v>567</v>
      </c>
      <c r="I51" s="1880" t="s">
        <v>567</v>
      </c>
    </row>
    <row r="52" spans="1:9" x14ac:dyDescent="0.2">
      <c r="A52" s="1872" t="s">
        <v>945</v>
      </c>
      <c r="B52" s="1872" t="s">
        <v>584</v>
      </c>
      <c r="C52" s="1875">
        <v>20</v>
      </c>
      <c r="D52" s="1979">
        <v>4.6999999999999993</v>
      </c>
      <c r="E52" s="1980">
        <v>1.4000000000000001</v>
      </c>
      <c r="F52" s="1981">
        <v>6.5</v>
      </c>
      <c r="G52" s="1873">
        <v>88</v>
      </c>
      <c r="H52" s="1873">
        <v>549</v>
      </c>
      <c r="I52" s="1874">
        <v>55.000000000000007</v>
      </c>
    </row>
    <row r="53" spans="1:9" x14ac:dyDescent="0.2">
      <c r="A53" s="1872" t="s">
        <v>594</v>
      </c>
      <c r="B53" s="1872" t="s">
        <v>584</v>
      </c>
      <c r="C53" s="1875">
        <v>20</v>
      </c>
      <c r="D53" s="1979">
        <v>5.2</v>
      </c>
      <c r="E53" s="1980">
        <v>1.6</v>
      </c>
      <c r="F53" s="1981">
        <v>6.5</v>
      </c>
      <c r="G53" s="1873">
        <v>87</v>
      </c>
      <c r="H53" s="1873">
        <v>596</v>
      </c>
      <c r="I53" s="1874">
        <v>55.000000000000007</v>
      </c>
    </row>
    <row r="54" spans="1:9" x14ac:dyDescent="0.2">
      <c r="A54" s="1872" t="s">
        <v>596</v>
      </c>
      <c r="B54" s="1872" t="s">
        <v>584</v>
      </c>
      <c r="C54" s="1875">
        <v>20</v>
      </c>
      <c r="D54" s="1979">
        <v>5.3000000000000007</v>
      </c>
      <c r="E54" s="1980">
        <v>1.6</v>
      </c>
      <c r="F54" s="1981">
        <v>7.1999999999999993</v>
      </c>
      <c r="G54" s="1873">
        <v>87</v>
      </c>
      <c r="H54" s="1873">
        <v>596</v>
      </c>
      <c r="I54" s="1874">
        <v>55.000000000000007</v>
      </c>
    </row>
    <row r="55" spans="1:9" x14ac:dyDescent="0.2">
      <c r="A55" s="1872" t="s">
        <v>598</v>
      </c>
      <c r="B55" s="1872" t="s">
        <v>584</v>
      </c>
      <c r="C55" s="1875">
        <v>20</v>
      </c>
      <c r="D55" s="1979">
        <v>5.6000000000000005</v>
      </c>
      <c r="E55" s="1980">
        <v>1.5</v>
      </c>
      <c r="F55" s="1981">
        <v>6.7</v>
      </c>
      <c r="G55" s="1873">
        <v>87</v>
      </c>
      <c r="H55" s="1873">
        <v>574</v>
      </c>
      <c r="I55" s="1874">
        <v>55.000000000000007</v>
      </c>
    </row>
    <row r="56" spans="1:9" x14ac:dyDescent="0.2">
      <c r="A56" s="1872" t="s">
        <v>600</v>
      </c>
      <c r="B56" s="1872" t="s">
        <v>584</v>
      </c>
      <c r="C56" s="1875">
        <v>20</v>
      </c>
      <c r="D56" s="1979">
        <v>5.8</v>
      </c>
      <c r="E56" s="1980">
        <v>1.4000000000000001</v>
      </c>
      <c r="F56" s="1981">
        <v>6.5</v>
      </c>
      <c r="G56" s="1873">
        <v>87</v>
      </c>
      <c r="H56" s="1873">
        <v>574</v>
      </c>
      <c r="I56" s="1874">
        <v>55.000000000000007</v>
      </c>
    </row>
    <row r="57" spans="1:9" x14ac:dyDescent="0.2">
      <c r="A57" s="1872" t="s">
        <v>602</v>
      </c>
      <c r="B57" s="1872" t="s">
        <v>584</v>
      </c>
      <c r="C57" s="1875">
        <v>20</v>
      </c>
      <c r="D57" s="1979">
        <v>6.1</v>
      </c>
      <c r="E57" s="1980">
        <v>1.4000000000000001</v>
      </c>
      <c r="F57" s="1981">
        <v>6.5</v>
      </c>
      <c r="G57" s="1873">
        <v>87</v>
      </c>
      <c r="H57" s="1873">
        <v>574</v>
      </c>
      <c r="I57" s="1874">
        <v>55.000000000000007</v>
      </c>
    </row>
    <row r="58" spans="1:9" x14ac:dyDescent="0.2">
      <c r="A58" s="1872" t="s">
        <v>604</v>
      </c>
      <c r="B58" s="1872" t="s">
        <v>584</v>
      </c>
      <c r="C58" s="1875">
        <v>20</v>
      </c>
      <c r="D58" s="1979">
        <v>5.6000000000000005</v>
      </c>
      <c r="E58" s="1980">
        <v>1.5</v>
      </c>
      <c r="F58" s="1981">
        <v>6.5</v>
      </c>
      <c r="G58" s="1873">
        <v>89</v>
      </c>
      <c r="H58" s="1873">
        <v>493</v>
      </c>
      <c r="I58" s="1874">
        <v>55.000000000000007</v>
      </c>
    </row>
    <row r="59" spans="1:9" x14ac:dyDescent="0.2">
      <c r="A59" s="1872" t="s">
        <v>606</v>
      </c>
      <c r="B59" s="1872" t="s">
        <v>584</v>
      </c>
      <c r="C59" s="1875">
        <v>20</v>
      </c>
      <c r="D59" s="1979">
        <v>5.8</v>
      </c>
      <c r="E59" s="1980">
        <v>1.5</v>
      </c>
      <c r="F59" s="1981">
        <v>6.5</v>
      </c>
      <c r="G59" s="1873">
        <v>89</v>
      </c>
      <c r="H59" s="1873">
        <v>493</v>
      </c>
      <c r="I59" s="1874">
        <v>55.000000000000007</v>
      </c>
    </row>
    <row r="60" spans="1:9" x14ac:dyDescent="0.2">
      <c r="A60" s="1872" t="s">
        <v>608</v>
      </c>
      <c r="B60" s="1872" t="s">
        <v>584</v>
      </c>
      <c r="C60" s="1875">
        <v>20</v>
      </c>
      <c r="D60" s="1979">
        <v>6.1</v>
      </c>
      <c r="E60" s="1980">
        <v>1.4000000000000001</v>
      </c>
      <c r="F60" s="1981">
        <v>6.5</v>
      </c>
      <c r="G60" s="1873">
        <v>89</v>
      </c>
      <c r="H60" s="1873">
        <v>493</v>
      </c>
      <c r="I60" s="1874">
        <v>55.000000000000007</v>
      </c>
    </row>
    <row r="61" spans="1:9" x14ac:dyDescent="0.2">
      <c r="A61" s="1872" t="s">
        <v>610</v>
      </c>
      <c r="B61" s="1872" t="s">
        <v>584</v>
      </c>
      <c r="C61" s="1875">
        <v>20</v>
      </c>
      <c r="D61" s="1979">
        <v>6.5</v>
      </c>
      <c r="E61" s="1980">
        <v>1.3</v>
      </c>
      <c r="F61" s="1981">
        <v>6.5</v>
      </c>
      <c r="G61" s="1873">
        <v>89</v>
      </c>
      <c r="H61" s="1873">
        <v>517</v>
      </c>
      <c r="I61" s="1874">
        <v>55.000000000000007</v>
      </c>
    </row>
    <row r="62" spans="1:9" x14ac:dyDescent="0.2">
      <c r="A62" s="1872" t="s">
        <v>612</v>
      </c>
      <c r="B62" s="1872" t="s">
        <v>584</v>
      </c>
      <c r="C62" s="1875">
        <v>20</v>
      </c>
      <c r="D62" s="1979">
        <v>6.5</v>
      </c>
      <c r="E62" s="1980">
        <v>1.4000000000000001</v>
      </c>
      <c r="F62" s="1981">
        <v>6.5</v>
      </c>
      <c r="G62" s="1873">
        <v>89</v>
      </c>
      <c r="H62" s="1873">
        <v>459</v>
      </c>
      <c r="I62" s="1874">
        <v>55.000000000000007</v>
      </c>
    </row>
    <row r="63" spans="1:9" x14ac:dyDescent="0.2">
      <c r="A63" s="617" t="s">
        <v>614</v>
      </c>
      <c r="B63" s="1881"/>
      <c r="C63" s="1876"/>
      <c r="D63" s="1982"/>
      <c r="E63" s="1983"/>
      <c r="F63" s="1984"/>
      <c r="G63" s="1879"/>
      <c r="H63" s="1879" t="s">
        <v>567</v>
      </c>
      <c r="I63" s="1880" t="s">
        <v>567</v>
      </c>
    </row>
    <row r="64" spans="1:9" x14ac:dyDescent="0.2">
      <c r="A64" s="1872" t="s">
        <v>946</v>
      </c>
      <c r="B64" s="1872" t="s">
        <v>584</v>
      </c>
      <c r="C64" s="1875">
        <v>32</v>
      </c>
      <c r="D64" s="1979">
        <v>4.3</v>
      </c>
      <c r="E64" s="1980">
        <v>1.6</v>
      </c>
      <c r="F64" s="1981">
        <v>5.0999999999999996</v>
      </c>
      <c r="G64" s="1873">
        <v>96</v>
      </c>
      <c r="H64" s="1873">
        <v>589</v>
      </c>
      <c r="I64" s="1874">
        <v>52</v>
      </c>
    </row>
    <row r="65" spans="1:9" x14ac:dyDescent="0.2">
      <c r="A65" s="1872" t="s">
        <v>615</v>
      </c>
      <c r="B65" s="1872" t="s">
        <v>617</v>
      </c>
      <c r="C65" s="1875">
        <v>60</v>
      </c>
      <c r="D65" s="1979">
        <v>10.1</v>
      </c>
      <c r="E65" s="1980">
        <v>4.0999999999999996</v>
      </c>
      <c r="F65" s="1981">
        <v>3.5999999999999996</v>
      </c>
      <c r="G65" s="1873">
        <v>98</v>
      </c>
      <c r="H65" s="1873">
        <v>666</v>
      </c>
      <c r="I65" s="1874">
        <v>53</v>
      </c>
    </row>
    <row r="66" spans="1:9" x14ac:dyDescent="0.2">
      <c r="A66" s="1872" t="s">
        <v>947</v>
      </c>
      <c r="B66" s="1872" t="s">
        <v>948</v>
      </c>
      <c r="C66" s="1875">
        <v>50</v>
      </c>
      <c r="D66" s="1979">
        <v>7.6</v>
      </c>
      <c r="E66" s="1980">
        <v>3.2</v>
      </c>
      <c r="F66" s="1981">
        <v>3.5999999999999996</v>
      </c>
      <c r="G66" s="1873">
        <v>97</v>
      </c>
      <c r="H66" s="1873">
        <v>644</v>
      </c>
      <c r="I66" s="1874">
        <v>53</v>
      </c>
    </row>
    <row r="67" spans="1:9" x14ac:dyDescent="0.2">
      <c r="A67" s="1872" t="s">
        <v>618</v>
      </c>
      <c r="B67" s="1872" t="s">
        <v>620</v>
      </c>
      <c r="C67" s="1875">
        <v>35</v>
      </c>
      <c r="D67" s="1979">
        <v>5.6000000000000005</v>
      </c>
      <c r="E67" s="1980">
        <v>2.3000000000000003</v>
      </c>
      <c r="F67" s="1981">
        <v>4.6999999999999993</v>
      </c>
      <c r="G67" s="1873">
        <v>95</v>
      </c>
      <c r="H67" s="1873">
        <v>504</v>
      </c>
      <c r="I67" s="1874">
        <v>52</v>
      </c>
    </row>
    <row r="68" spans="1:9" x14ac:dyDescent="0.2">
      <c r="A68" s="1872" t="s">
        <v>8332</v>
      </c>
      <c r="B68" s="1872" t="s">
        <v>620</v>
      </c>
      <c r="C68" s="1875">
        <v>35</v>
      </c>
      <c r="D68" s="1979">
        <v>5.6000000000000005</v>
      </c>
      <c r="E68" s="1980">
        <v>2.3000000000000003</v>
      </c>
      <c r="F68" s="1981">
        <v>4.6999999999999993</v>
      </c>
      <c r="G68" s="1873">
        <v>94</v>
      </c>
      <c r="H68" s="1873">
        <v>515</v>
      </c>
      <c r="I68" s="1874">
        <v>52</v>
      </c>
    </row>
    <row r="69" spans="1:9" x14ac:dyDescent="0.2">
      <c r="A69" s="1872" t="s">
        <v>8333</v>
      </c>
      <c r="B69" s="1872" t="s">
        <v>620</v>
      </c>
      <c r="C69" s="1875">
        <v>35</v>
      </c>
      <c r="D69" s="1979">
        <v>5.6000000000000005</v>
      </c>
      <c r="E69" s="1980">
        <v>2.3000000000000003</v>
      </c>
      <c r="F69" s="1981">
        <v>4.6999999999999993</v>
      </c>
      <c r="G69" s="1873">
        <v>95</v>
      </c>
      <c r="H69" s="1873">
        <v>506</v>
      </c>
      <c r="I69" s="1874">
        <v>52</v>
      </c>
    </row>
    <row r="70" spans="1:9" x14ac:dyDescent="0.2">
      <c r="A70" s="1872" t="s">
        <v>8335</v>
      </c>
      <c r="B70" s="1872" t="s">
        <v>620</v>
      </c>
      <c r="C70" s="1875">
        <v>35</v>
      </c>
      <c r="D70" s="1979">
        <v>5.6000000000000005</v>
      </c>
      <c r="E70" s="1980">
        <v>2.3000000000000003</v>
      </c>
      <c r="F70" s="1981">
        <v>4.6999999999999993</v>
      </c>
      <c r="G70" s="1873">
        <v>95</v>
      </c>
      <c r="H70" s="1873">
        <v>506</v>
      </c>
      <c r="I70" s="1874">
        <v>52</v>
      </c>
    </row>
    <row r="71" spans="1:9" x14ac:dyDescent="0.2">
      <c r="A71" s="1872" t="s">
        <v>623</v>
      </c>
      <c r="B71" s="1872" t="s">
        <v>620</v>
      </c>
      <c r="C71" s="1875">
        <v>35</v>
      </c>
      <c r="D71" s="1979">
        <v>5.6000000000000005</v>
      </c>
      <c r="E71" s="1980">
        <v>2.3000000000000003</v>
      </c>
      <c r="F71" s="1981">
        <v>4.6999999999999993</v>
      </c>
      <c r="G71" s="1873">
        <v>95</v>
      </c>
      <c r="H71" s="1873">
        <v>506</v>
      </c>
      <c r="I71" s="1874">
        <v>52</v>
      </c>
    </row>
    <row r="72" spans="1:9" x14ac:dyDescent="0.2">
      <c r="A72" s="1872" t="s">
        <v>625</v>
      </c>
      <c r="B72" s="1872" t="s">
        <v>620</v>
      </c>
      <c r="C72" s="1875">
        <v>35</v>
      </c>
      <c r="D72" s="1979">
        <v>5.6000000000000005</v>
      </c>
      <c r="E72" s="1980">
        <v>2.3000000000000003</v>
      </c>
      <c r="F72" s="1981">
        <v>4.6999999999999993</v>
      </c>
      <c r="G72" s="1873">
        <v>95</v>
      </c>
      <c r="H72" s="1873">
        <v>506</v>
      </c>
      <c r="I72" s="1874">
        <v>52</v>
      </c>
    </row>
    <row r="73" spans="1:9" x14ac:dyDescent="0.2">
      <c r="A73" s="1872" t="s">
        <v>949</v>
      </c>
      <c r="B73" s="1872" t="s">
        <v>620</v>
      </c>
      <c r="C73" s="1875">
        <v>35</v>
      </c>
      <c r="D73" s="1979">
        <v>6.7</v>
      </c>
      <c r="E73" s="1980">
        <v>2.3000000000000003</v>
      </c>
      <c r="F73" s="1981">
        <v>4.6999999999999993</v>
      </c>
      <c r="G73" s="1873">
        <v>93</v>
      </c>
      <c r="H73" s="1873">
        <v>525</v>
      </c>
      <c r="I73" s="1874">
        <v>54</v>
      </c>
    </row>
    <row r="74" spans="1:9" x14ac:dyDescent="0.2">
      <c r="A74" s="1872" t="s">
        <v>950</v>
      </c>
      <c r="B74" s="1872" t="s">
        <v>620</v>
      </c>
      <c r="C74" s="1875">
        <v>35</v>
      </c>
      <c r="D74" s="1979">
        <v>6.7</v>
      </c>
      <c r="E74" s="1980">
        <v>2.3000000000000003</v>
      </c>
      <c r="F74" s="1981">
        <v>4.6999999999999993</v>
      </c>
      <c r="G74" s="1873">
        <v>93</v>
      </c>
      <c r="H74" s="1873">
        <v>525</v>
      </c>
      <c r="I74" s="1874">
        <v>54</v>
      </c>
    </row>
    <row r="75" spans="1:9" x14ac:dyDescent="0.2">
      <c r="A75" s="1872" t="s">
        <v>951</v>
      </c>
      <c r="B75" s="1872" t="s">
        <v>584</v>
      </c>
      <c r="C75" s="1875">
        <v>35</v>
      </c>
      <c r="D75" s="1979">
        <v>6.7</v>
      </c>
      <c r="E75" s="1980">
        <v>2.3000000000000003</v>
      </c>
      <c r="F75" s="1981">
        <v>4.6999999999999993</v>
      </c>
      <c r="G75" s="1873">
        <v>88</v>
      </c>
      <c r="H75" s="1873">
        <v>522</v>
      </c>
      <c r="I75" s="1874">
        <v>55.000000000000007</v>
      </c>
    </row>
    <row r="76" spans="1:9" x14ac:dyDescent="0.2">
      <c r="A76" s="1872" t="s">
        <v>953</v>
      </c>
      <c r="B76" s="1872" t="s">
        <v>584</v>
      </c>
      <c r="C76" s="1875">
        <v>35</v>
      </c>
      <c r="D76" s="1979">
        <v>5.6000000000000005</v>
      </c>
      <c r="E76" s="1980">
        <v>2.3000000000000003</v>
      </c>
      <c r="F76" s="1981">
        <v>4.6999999999999993</v>
      </c>
      <c r="G76" s="1873">
        <v>85</v>
      </c>
      <c r="H76" s="1873">
        <v>675</v>
      </c>
      <c r="I76" s="1874">
        <v>54</v>
      </c>
    </row>
    <row r="77" spans="1:9" x14ac:dyDescent="0.2">
      <c r="A77" s="1872" t="s">
        <v>638</v>
      </c>
      <c r="B77" s="1872" t="s">
        <v>620</v>
      </c>
      <c r="C77" s="1875">
        <v>35</v>
      </c>
      <c r="D77" s="1979">
        <v>5.6000000000000005</v>
      </c>
      <c r="E77" s="1980">
        <v>2.3000000000000003</v>
      </c>
      <c r="F77" s="1981">
        <v>4.6999999999999993</v>
      </c>
      <c r="G77" s="1873">
        <v>82</v>
      </c>
      <c r="H77" s="1873">
        <v>661</v>
      </c>
      <c r="I77" s="1874">
        <v>56.000000000000007</v>
      </c>
    </row>
    <row r="78" spans="1:9" x14ac:dyDescent="0.2">
      <c r="A78" s="617" t="s">
        <v>627</v>
      </c>
      <c r="B78" s="1881"/>
      <c r="C78" s="1876"/>
      <c r="D78" s="1982"/>
      <c r="E78" s="1983"/>
      <c r="F78" s="1984"/>
      <c r="G78" s="1879"/>
      <c r="H78" s="1879" t="s">
        <v>567</v>
      </c>
      <c r="I78" s="1880" t="s">
        <v>567</v>
      </c>
    </row>
    <row r="79" spans="1:9" x14ac:dyDescent="0.2">
      <c r="A79" s="1872" t="s">
        <v>954</v>
      </c>
      <c r="B79" s="1872" t="s">
        <v>584</v>
      </c>
      <c r="C79" s="1875">
        <v>25</v>
      </c>
      <c r="D79" s="1979">
        <v>2.5</v>
      </c>
      <c r="E79" s="1980">
        <v>1.2</v>
      </c>
      <c r="F79" s="1981">
        <v>5.6999999999999993</v>
      </c>
      <c r="G79" s="1873">
        <v>91</v>
      </c>
      <c r="H79" s="1873">
        <v>456</v>
      </c>
      <c r="I79" s="1874">
        <v>54</v>
      </c>
    </row>
    <row r="80" spans="1:9" x14ac:dyDescent="0.2">
      <c r="A80" s="1872" t="s">
        <v>628</v>
      </c>
      <c r="B80" s="1872" t="s">
        <v>620</v>
      </c>
      <c r="C80" s="1875">
        <v>28</v>
      </c>
      <c r="D80" s="1979">
        <v>4.0999999999999996</v>
      </c>
      <c r="E80" s="1980">
        <v>1.7999999999999998</v>
      </c>
      <c r="F80" s="1981">
        <v>4.8</v>
      </c>
      <c r="G80" s="1873">
        <v>93</v>
      </c>
      <c r="H80" s="1873">
        <v>498</v>
      </c>
      <c r="I80" s="1874">
        <v>53</v>
      </c>
    </row>
    <row r="81" spans="1:9" x14ac:dyDescent="0.2">
      <c r="A81" s="1872" t="s">
        <v>955</v>
      </c>
      <c r="B81" s="1872" t="s">
        <v>620</v>
      </c>
      <c r="C81" s="1875">
        <v>28</v>
      </c>
      <c r="D81" s="1979">
        <v>2.9</v>
      </c>
      <c r="E81" s="1980">
        <v>1</v>
      </c>
      <c r="F81" s="1981">
        <v>4.0999999999999996</v>
      </c>
      <c r="G81" s="1873">
        <v>92</v>
      </c>
      <c r="H81" s="1873">
        <v>503</v>
      </c>
      <c r="I81" s="1874">
        <v>54</v>
      </c>
    </row>
    <row r="82" spans="1:9" x14ac:dyDescent="0.2">
      <c r="A82" s="1872" t="s">
        <v>956</v>
      </c>
      <c r="B82" s="1872" t="s">
        <v>620</v>
      </c>
      <c r="C82" s="1875">
        <v>28</v>
      </c>
      <c r="D82" s="1979">
        <v>3.1</v>
      </c>
      <c r="E82" s="1980">
        <v>1.1000000000000001</v>
      </c>
      <c r="F82" s="1981">
        <v>4.0999999999999996</v>
      </c>
      <c r="G82" s="1873">
        <v>94</v>
      </c>
      <c r="H82" s="1873">
        <v>356</v>
      </c>
      <c r="I82" s="1874">
        <v>52</v>
      </c>
    </row>
    <row r="83" spans="1:9" x14ac:dyDescent="0.2">
      <c r="A83" s="1872" t="s">
        <v>957</v>
      </c>
      <c r="B83" s="1872" t="s">
        <v>620</v>
      </c>
      <c r="C83" s="1875">
        <v>28</v>
      </c>
      <c r="D83" s="1979">
        <v>3.3000000000000003</v>
      </c>
      <c r="E83" s="1980">
        <v>1.1000000000000001</v>
      </c>
      <c r="F83" s="1981">
        <v>5.3000000000000007</v>
      </c>
      <c r="G83" s="1873">
        <v>93</v>
      </c>
      <c r="H83" s="1873">
        <v>575</v>
      </c>
      <c r="I83" s="1874">
        <v>53</v>
      </c>
    </row>
    <row r="84" spans="1:9" x14ac:dyDescent="0.2">
      <c r="A84" s="1872" t="s">
        <v>958</v>
      </c>
      <c r="B84" s="1872" t="s">
        <v>620</v>
      </c>
      <c r="C84" s="1875">
        <v>80</v>
      </c>
      <c r="D84" s="1979">
        <v>1.5</v>
      </c>
      <c r="E84" s="1980">
        <v>1.2</v>
      </c>
      <c r="F84" s="1981">
        <v>4.2</v>
      </c>
      <c r="G84" s="1873">
        <v>94</v>
      </c>
      <c r="H84" s="1873">
        <v>442</v>
      </c>
      <c r="I84" s="1874">
        <v>54</v>
      </c>
    </row>
    <row r="85" spans="1:9" x14ac:dyDescent="0.2">
      <c r="A85" s="1872" t="s">
        <v>959</v>
      </c>
      <c r="B85" s="1872" t="s">
        <v>620</v>
      </c>
      <c r="C85" s="1875">
        <v>28</v>
      </c>
      <c r="D85" s="1979">
        <v>3.1</v>
      </c>
      <c r="E85" s="1980">
        <v>0.89999999999999991</v>
      </c>
      <c r="F85" s="1981">
        <v>4.9000000000000004</v>
      </c>
      <c r="G85" s="1873">
        <v>94</v>
      </c>
      <c r="H85" s="1873">
        <v>562</v>
      </c>
      <c r="I85" s="1874">
        <v>54</v>
      </c>
    </row>
    <row r="86" spans="1:9" x14ac:dyDescent="0.2">
      <c r="A86" s="1872" t="s">
        <v>960</v>
      </c>
      <c r="B86" s="1872" t="s">
        <v>620</v>
      </c>
      <c r="C86" s="1875">
        <v>28</v>
      </c>
      <c r="D86" s="1979">
        <v>4.0999999999999996</v>
      </c>
      <c r="E86" s="1980">
        <v>1.5</v>
      </c>
      <c r="F86" s="1981">
        <v>7.3</v>
      </c>
      <c r="G86" s="1873">
        <v>0</v>
      </c>
      <c r="H86" s="1873">
        <v>485</v>
      </c>
      <c r="I86" s="1874">
        <v>55.000000000000007</v>
      </c>
    </row>
    <row r="87" spans="1:9" x14ac:dyDescent="0.2">
      <c r="A87" s="1872" t="s">
        <v>952</v>
      </c>
      <c r="B87" s="1872" t="s">
        <v>620</v>
      </c>
      <c r="C87" s="1875">
        <v>35</v>
      </c>
      <c r="D87" s="1979">
        <v>4.6999999999999993</v>
      </c>
      <c r="E87" s="1980">
        <v>2</v>
      </c>
      <c r="F87" s="1981">
        <v>5.6000000000000005</v>
      </c>
      <c r="G87" s="1873">
        <v>88</v>
      </c>
      <c r="H87" s="1873">
        <v>538</v>
      </c>
      <c r="I87" s="1874">
        <v>53</v>
      </c>
    </row>
    <row r="88" spans="1:9" x14ac:dyDescent="0.2">
      <c r="A88" s="1872" t="s">
        <v>961</v>
      </c>
      <c r="B88" s="1872" t="s">
        <v>620</v>
      </c>
      <c r="C88" s="1875">
        <v>28</v>
      </c>
      <c r="D88" s="1979">
        <v>3.5</v>
      </c>
      <c r="E88" s="1980">
        <v>1.6</v>
      </c>
      <c r="F88" s="1981">
        <v>4.8</v>
      </c>
      <c r="G88" s="1873">
        <v>84</v>
      </c>
      <c r="H88" s="1873">
        <v>464</v>
      </c>
      <c r="I88" s="1874">
        <v>56.000000000000007</v>
      </c>
    </row>
    <row r="89" spans="1:9" x14ac:dyDescent="0.2">
      <c r="A89" s="1872" t="s">
        <v>962</v>
      </c>
      <c r="B89" s="1872" t="s">
        <v>584</v>
      </c>
      <c r="C89" s="1875">
        <v>28</v>
      </c>
      <c r="D89" s="1979">
        <v>3.5</v>
      </c>
      <c r="E89" s="1980">
        <v>1.6</v>
      </c>
      <c r="F89" s="1981">
        <v>4.8</v>
      </c>
      <c r="G89" s="1873">
        <v>86</v>
      </c>
      <c r="H89" s="1873">
        <v>540</v>
      </c>
      <c r="I89" s="1874">
        <v>54</v>
      </c>
    </row>
    <row r="90" spans="1:9" x14ac:dyDescent="0.2">
      <c r="A90" s="617" t="s">
        <v>630</v>
      </c>
      <c r="B90" s="1881"/>
      <c r="C90" s="1876"/>
      <c r="D90" s="1982"/>
      <c r="E90" s="1983"/>
      <c r="F90" s="1984"/>
      <c r="G90" s="1879"/>
      <c r="H90" s="1879"/>
      <c r="I90" s="1880"/>
    </row>
    <row r="91" spans="1:9" x14ac:dyDescent="0.2">
      <c r="A91" s="1872" t="s">
        <v>631</v>
      </c>
      <c r="B91" s="1872" t="s">
        <v>584</v>
      </c>
      <c r="C91" s="1875">
        <v>20</v>
      </c>
      <c r="D91" s="1979">
        <v>5.3000000000000007</v>
      </c>
      <c r="E91" s="1980">
        <v>1.6</v>
      </c>
      <c r="F91" s="1981">
        <v>7.1999999999999993</v>
      </c>
      <c r="G91" s="1873">
        <v>87</v>
      </c>
      <c r="H91" s="1873">
        <v>596</v>
      </c>
      <c r="I91" s="1874">
        <v>55.000000000000007</v>
      </c>
    </row>
    <row r="92" spans="1:9" x14ac:dyDescent="0.2">
      <c r="A92" s="1872" t="s">
        <v>634</v>
      </c>
      <c r="B92" s="1872" t="s">
        <v>584</v>
      </c>
      <c r="C92" s="1875">
        <v>20</v>
      </c>
      <c r="D92" s="1979">
        <v>4.6000000000000005</v>
      </c>
      <c r="E92" s="1980">
        <v>1.4000000000000001</v>
      </c>
      <c r="F92" s="1981">
        <v>5</v>
      </c>
      <c r="G92" s="1873">
        <v>86</v>
      </c>
      <c r="H92" s="1873">
        <v>545</v>
      </c>
      <c r="I92" s="1874">
        <v>56.000000000000007</v>
      </c>
    </row>
    <row r="93" spans="1:9" x14ac:dyDescent="0.2">
      <c r="A93" s="1872" t="s">
        <v>963</v>
      </c>
      <c r="B93" s="1872" t="s">
        <v>584</v>
      </c>
      <c r="C93" s="1875">
        <v>20</v>
      </c>
      <c r="D93" s="1979">
        <v>4.6000000000000005</v>
      </c>
      <c r="E93" s="1980">
        <v>1.4000000000000001</v>
      </c>
      <c r="F93" s="1981">
        <v>5</v>
      </c>
      <c r="G93" s="1873">
        <v>88</v>
      </c>
      <c r="H93" s="1873">
        <v>522</v>
      </c>
      <c r="I93" s="1874">
        <v>55.000000000000007</v>
      </c>
    </row>
    <row r="94" spans="1:9" x14ac:dyDescent="0.2">
      <c r="A94" s="1872" t="s">
        <v>636</v>
      </c>
      <c r="B94" s="1872" t="s">
        <v>584</v>
      </c>
      <c r="C94" s="1875">
        <v>20</v>
      </c>
      <c r="D94" s="1979">
        <v>4.6000000000000005</v>
      </c>
      <c r="E94" s="1980">
        <v>1.4000000000000001</v>
      </c>
      <c r="F94" s="1981">
        <v>5</v>
      </c>
      <c r="G94" s="1873">
        <v>82</v>
      </c>
      <c r="H94" s="1873">
        <v>661</v>
      </c>
      <c r="I94" s="1874">
        <v>56.000000000000007</v>
      </c>
    </row>
    <row r="95" spans="1:9" x14ac:dyDescent="0.2">
      <c r="A95" s="1872" t="s">
        <v>638</v>
      </c>
      <c r="B95" s="1872" t="s">
        <v>584</v>
      </c>
      <c r="C95" s="1875">
        <v>20</v>
      </c>
      <c r="D95" s="1979">
        <v>4.6000000000000005</v>
      </c>
      <c r="E95" s="1980">
        <v>1.4000000000000001</v>
      </c>
      <c r="F95" s="1981">
        <v>5</v>
      </c>
      <c r="G95" s="1873">
        <v>82</v>
      </c>
      <c r="H95" s="1873">
        <v>661</v>
      </c>
      <c r="I95" s="1874">
        <v>56.000000000000007</v>
      </c>
    </row>
    <row r="96" spans="1:9" x14ac:dyDescent="0.2">
      <c r="A96" s="1872" t="s">
        <v>640</v>
      </c>
      <c r="B96" s="1872" t="s">
        <v>584</v>
      </c>
      <c r="C96" s="1875">
        <v>20</v>
      </c>
      <c r="D96" s="1979">
        <v>4.6000000000000005</v>
      </c>
      <c r="E96" s="1980">
        <v>1.4000000000000001</v>
      </c>
      <c r="F96" s="1981">
        <v>5</v>
      </c>
      <c r="G96" s="1873">
        <v>85</v>
      </c>
      <c r="H96" s="1873">
        <v>675</v>
      </c>
      <c r="I96" s="1874">
        <v>54</v>
      </c>
    </row>
    <row r="97" spans="1:9" x14ac:dyDescent="0.2">
      <c r="A97" s="1872" t="s">
        <v>964</v>
      </c>
      <c r="B97" s="1872" t="s">
        <v>584</v>
      </c>
      <c r="C97" s="1875">
        <v>20</v>
      </c>
      <c r="D97" s="1979">
        <v>4.6000000000000005</v>
      </c>
      <c r="E97" s="1980">
        <v>1.4000000000000001</v>
      </c>
      <c r="F97" s="1981">
        <v>5</v>
      </c>
      <c r="G97" s="1873">
        <v>85</v>
      </c>
      <c r="H97" s="1873">
        <v>675</v>
      </c>
      <c r="I97" s="1874">
        <v>54</v>
      </c>
    </row>
    <row r="98" spans="1:9" x14ac:dyDescent="0.2">
      <c r="A98" s="1872" t="s">
        <v>642</v>
      </c>
      <c r="B98" s="1872" t="s">
        <v>584</v>
      </c>
      <c r="C98" s="1875">
        <v>20</v>
      </c>
      <c r="D98" s="1979">
        <v>4.6000000000000005</v>
      </c>
      <c r="E98" s="1980">
        <v>1.4000000000000001</v>
      </c>
      <c r="F98" s="1981">
        <v>5</v>
      </c>
      <c r="G98" s="1873">
        <v>84</v>
      </c>
      <c r="H98" s="1873">
        <v>566</v>
      </c>
      <c r="I98" s="1874">
        <v>56.000000000000007</v>
      </c>
    </row>
    <row r="99" spans="1:9" x14ac:dyDescent="0.2">
      <c r="A99" s="1872" t="s">
        <v>965</v>
      </c>
      <c r="B99" s="1872" t="s">
        <v>584</v>
      </c>
      <c r="C99" s="1875">
        <v>28</v>
      </c>
      <c r="D99" s="1979">
        <v>3.8</v>
      </c>
      <c r="E99" s="1980">
        <v>1.6</v>
      </c>
      <c r="F99" s="1981">
        <v>4.5</v>
      </c>
      <c r="G99" s="1873">
        <v>88</v>
      </c>
      <c r="H99" s="1873">
        <v>538</v>
      </c>
      <c r="I99" s="1874">
        <v>53</v>
      </c>
    </row>
    <row r="100" spans="1:9" x14ac:dyDescent="0.2">
      <c r="A100" s="1872" t="s">
        <v>644</v>
      </c>
      <c r="B100" s="1872" t="s">
        <v>584</v>
      </c>
      <c r="C100" s="1875">
        <v>30</v>
      </c>
      <c r="D100" s="1979">
        <v>4.8</v>
      </c>
      <c r="E100" s="1980">
        <v>2</v>
      </c>
      <c r="F100" s="1981">
        <v>4</v>
      </c>
      <c r="G100" s="1873">
        <v>89</v>
      </c>
      <c r="H100" s="1873">
        <v>589</v>
      </c>
      <c r="I100" s="1874">
        <v>54</v>
      </c>
    </row>
    <row r="101" spans="1:9" x14ac:dyDescent="0.2">
      <c r="A101" s="1872" t="s">
        <v>646</v>
      </c>
      <c r="B101" s="1872" t="s">
        <v>584</v>
      </c>
      <c r="C101" s="1875">
        <v>28</v>
      </c>
      <c r="D101" s="1979">
        <v>4.0999999999999996</v>
      </c>
      <c r="E101" s="1980">
        <v>1.7999999999999998</v>
      </c>
      <c r="F101" s="1981">
        <v>4.8</v>
      </c>
      <c r="G101" s="1873">
        <v>92</v>
      </c>
      <c r="H101" s="1873">
        <v>531</v>
      </c>
      <c r="I101" s="1874">
        <v>52</v>
      </c>
    </row>
    <row r="102" spans="1:9" x14ac:dyDescent="0.2">
      <c r="A102" s="617" t="s">
        <v>648</v>
      </c>
      <c r="B102" s="1881"/>
      <c r="C102" s="1876"/>
      <c r="D102" s="1982"/>
      <c r="E102" s="1983"/>
      <c r="F102" s="1984"/>
      <c r="G102" s="1879"/>
      <c r="H102" s="1879" t="s">
        <v>567</v>
      </c>
      <c r="I102" s="1880" t="s">
        <v>567</v>
      </c>
    </row>
    <row r="103" spans="1:9" x14ac:dyDescent="0.2">
      <c r="A103" s="1872" t="s">
        <v>649</v>
      </c>
      <c r="B103" s="1872" t="s">
        <v>584</v>
      </c>
      <c r="C103" s="1875">
        <v>16</v>
      </c>
      <c r="D103" s="1979">
        <v>4.6000000000000005</v>
      </c>
      <c r="E103" s="1980">
        <v>1.4000000000000001</v>
      </c>
      <c r="F103" s="1981">
        <v>5</v>
      </c>
      <c r="G103" s="1873">
        <v>87</v>
      </c>
      <c r="H103" s="1873">
        <v>560</v>
      </c>
      <c r="I103" s="1874">
        <v>54</v>
      </c>
    </row>
    <row r="104" spans="1:9" x14ac:dyDescent="0.2">
      <c r="A104" s="1872" t="s">
        <v>651</v>
      </c>
      <c r="B104" s="1872" t="s">
        <v>584</v>
      </c>
      <c r="C104" s="1875">
        <v>16</v>
      </c>
      <c r="D104" s="1979">
        <v>4.6000000000000005</v>
      </c>
      <c r="E104" s="1980">
        <v>1.4000000000000001</v>
      </c>
      <c r="F104" s="1981">
        <v>5</v>
      </c>
      <c r="G104" s="1873">
        <v>87</v>
      </c>
      <c r="H104" s="1873">
        <v>560</v>
      </c>
      <c r="I104" s="1874">
        <v>54</v>
      </c>
    </row>
    <row r="105" spans="1:9" x14ac:dyDescent="0.2">
      <c r="A105" s="1872" t="s">
        <v>8338</v>
      </c>
      <c r="B105" s="1872" t="s">
        <v>584</v>
      </c>
      <c r="C105" s="1875">
        <v>16</v>
      </c>
      <c r="D105" s="1979">
        <v>4.6000000000000005</v>
      </c>
      <c r="E105" s="1980">
        <v>1.4000000000000001</v>
      </c>
      <c r="F105" s="1981">
        <v>5</v>
      </c>
      <c r="G105" s="1873">
        <v>87</v>
      </c>
      <c r="H105" s="1873">
        <v>560</v>
      </c>
      <c r="I105" s="1874">
        <v>54</v>
      </c>
    </row>
    <row r="106" spans="1:9" x14ac:dyDescent="0.2">
      <c r="A106" s="617" t="s">
        <v>8368</v>
      </c>
      <c r="B106" s="1881"/>
      <c r="C106" s="1876"/>
      <c r="D106" s="1982"/>
      <c r="E106" s="1983"/>
      <c r="F106" s="1984"/>
      <c r="G106" s="1879"/>
      <c r="H106" s="1879"/>
      <c r="I106" s="1880"/>
    </row>
    <row r="107" spans="1:9" x14ac:dyDescent="0.2">
      <c r="A107" s="1872" t="s">
        <v>8369</v>
      </c>
      <c r="B107" s="1872" t="s">
        <v>8377</v>
      </c>
      <c r="C107" s="1875">
        <v>8</v>
      </c>
      <c r="D107" s="1979">
        <v>2.5</v>
      </c>
      <c r="E107" s="1980">
        <v>0.91999999999999993</v>
      </c>
      <c r="F107" s="1981">
        <v>3</v>
      </c>
      <c r="G107" s="1873">
        <v>93</v>
      </c>
      <c r="H107" s="1873">
        <v>691</v>
      </c>
      <c r="I107" s="1874"/>
    </row>
    <row r="108" spans="1:9" x14ac:dyDescent="0.2">
      <c r="A108" s="1872" t="s">
        <v>8370</v>
      </c>
      <c r="B108" s="1872" t="s">
        <v>562</v>
      </c>
      <c r="C108" s="1875">
        <v>15</v>
      </c>
      <c r="D108" s="1979">
        <v>10</v>
      </c>
      <c r="E108" s="1980">
        <v>2.29</v>
      </c>
      <c r="F108" s="1981">
        <v>3.5999999999999996</v>
      </c>
      <c r="G108" s="1873">
        <v>96</v>
      </c>
      <c r="H108" s="1873">
        <v>691</v>
      </c>
      <c r="I108" s="1874">
        <v>54</v>
      </c>
    </row>
    <row r="109" spans="1:9" x14ac:dyDescent="0.2">
      <c r="A109" s="1872" t="s">
        <v>8371</v>
      </c>
      <c r="B109" s="1872" t="s">
        <v>8378</v>
      </c>
      <c r="C109" s="1875">
        <v>11</v>
      </c>
      <c r="D109" s="1979">
        <v>1.7000000000000002</v>
      </c>
      <c r="E109" s="1980">
        <v>0.82000000000000006</v>
      </c>
      <c r="F109" s="1981">
        <v>5.3000000000000007</v>
      </c>
      <c r="G109" s="1873">
        <v>93</v>
      </c>
      <c r="H109" s="1873">
        <v>691</v>
      </c>
      <c r="I109" s="1874">
        <v>54</v>
      </c>
    </row>
    <row r="110" spans="1:9" x14ac:dyDescent="0.2">
      <c r="A110" s="1872" t="s">
        <v>8372</v>
      </c>
      <c r="B110" s="1872" t="s">
        <v>8378</v>
      </c>
      <c r="C110" s="1875">
        <v>10</v>
      </c>
      <c r="D110" s="1979">
        <v>1.3</v>
      </c>
      <c r="E110" s="1980">
        <v>0.8</v>
      </c>
      <c r="F110" s="1981">
        <v>4.2</v>
      </c>
      <c r="G110" s="1873">
        <v>93</v>
      </c>
      <c r="H110" s="1873">
        <v>691</v>
      </c>
      <c r="I110" s="1874">
        <v>54</v>
      </c>
    </row>
    <row r="111" spans="1:9" x14ac:dyDescent="0.2">
      <c r="A111" s="1872" t="s">
        <v>8373</v>
      </c>
      <c r="B111" s="1872" t="s">
        <v>8378</v>
      </c>
      <c r="C111" s="1875">
        <v>10</v>
      </c>
      <c r="D111" s="1979">
        <v>1.3</v>
      </c>
      <c r="E111" s="1980">
        <v>0.8</v>
      </c>
      <c r="F111" s="1981">
        <v>4.2</v>
      </c>
      <c r="G111" s="1873">
        <v>93</v>
      </c>
      <c r="H111" s="1873">
        <v>691</v>
      </c>
      <c r="I111" s="1874">
        <v>54</v>
      </c>
    </row>
    <row r="112" spans="1:9" x14ac:dyDescent="0.2">
      <c r="A112" s="1872" t="s">
        <v>8374</v>
      </c>
      <c r="B112" s="1872" t="s">
        <v>8379</v>
      </c>
      <c r="C112" s="1875">
        <v>10</v>
      </c>
      <c r="D112" s="1979">
        <v>2</v>
      </c>
      <c r="E112" s="1980">
        <v>0.6</v>
      </c>
      <c r="F112" s="1981">
        <v>2.4</v>
      </c>
      <c r="G112" s="1873">
        <v>90</v>
      </c>
      <c r="H112" s="1873">
        <v>691</v>
      </c>
      <c r="I112" s="1874">
        <v>54</v>
      </c>
    </row>
    <row r="113" spans="1:9" x14ac:dyDescent="0.2">
      <c r="A113" s="1872" t="s">
        <v>8375</v>
      </c>
      <c r="B113" s="1872" t="s">
        <v>8380</v>
      </c>
      <c r="C113" s="1875">
        <v>14</v>
      </c>
      <c r="D113" s="1979">
        <v>1.7999999999999998</v>
      </c>
      <c r="E113" s="1980">
        <v>0.8</v>
      </c>
      <c r="F113" s="1981">
        <v>2.4</v>
      </c>
      <c r="G113" s="1873">
        <v>90</v>
      </c>
      <c r="H113" s="1873">
        <v>691</v>
      </c>
      <c r="I113" s="1874">
        <v>54</v>
      </c>
    </row>
    <row r="114" spans="1:9" x14ac:dyDescent="0.2">
      <c r="A114" s="617" t="s">
        <v>654</v>
      </c>
      <c r="B114" s="1881"/>
      <c r="C114" s="1876"/>
      <c r="D114" s="1982"/>
      <c r="E114" s="1983"/>
      <c r="F114" s="1984"/>
      <c r="G114" s="1879"/>
      <c r="H114" s="1879"/>
      <c r="I114" s="1880"/>
    </row>
    <row r="115" spans="1:9" x14ac:dyDescent="0.2">
      <c r="A115" s="1872" t="s">
        <v>966</v>
      </c>
      <c r="B115" s="1872"/>
      <c r="C115" s="1875">
        <v>100</v>
      </c>
      <c r="D115" s="1979">
        <v>12.8</v>
      </c>
      <c r="E115" s="1980">
        <v>4.6000000000000005</v>
      </c>
      <c r="F115" s="1981">
        <v>18.100000000000001</v>
      </c>
      <c r="G115" s="1873">
        <v>90</v>
      </c>
      <c r="H115" s="1873">
        <v>590</v>
      </c>
      <c r="I115" s="1874">
        <v>54</v>
      </c>
    </row>
    <row r="116" spans="1:9" x14ac:dyDescent="0.2">
      <c r="A116" s="1872" t="s">
        <v>967</v>
      </c>
      <c r="B116" s="1872"/>
      <c r="C116" s="1875">
        <v>100</v>
      </c>
      <c r="D116" s="1979">
        <v>13.799999999999999</v>
      </c>
      <c r="E116" s="1980">
        <v>5</v>
      </c>
      <c r="F116" s="1981">
        <v>19.3</v>
      </c>
      <c r="G116" s="1873">
        <v>90</v>
      </c>
      <c r="H116" s="1873">
        <v>480</v>
      </c>
      <c r="I116" s="1874">
        <v>52</v>
      </c>
    </row>
    <row r="117" spans="1:9" x14ac:dyDescent="0.2">
      <c r="A117" s="1872" t="s">
        <v>657</v>
      </c>
      <c r="B117" s="1872"/>
      <c r="C117" s="1875">
        <v>100</v>
      </c>
      <c r="D117" s="1979">
        <v>18.2</v>
      </c>
      <c r="E117" s="1980">
        <v>6.5</v>
      </c>
      <c r="F117" s="1981">
        <v>24.1</v>
      </c>
      <c r="G117" s="1873">
        <v>89</v>
      </c>
      <c r="H117" s="1873">
        <v>546</v>
      </c>
      <c r="I117" s="1874">
        <v>54</v>
      </c>
    </row>
    <row r="118" spans="1:9" x14ac:dyDescent="0.2">
      <c r="A118" s="1872" t="s">
        <v>659</v>
      </c>
      <c r="B118" s="1872"/>
      <c r="C118" s="1875">
        <v>100</v>
      </c>
      <c r="D118" s="1979">
        <v>24</v>
      </c>
      <c r="E118" s="1980">
        <v>7.1</v>
      </c>
      <c r="F118" s="1981">
        <v>28.900000000000002</v>
      </c>
      <c r="G118" s="1873">
        <v>89</v>
      </c>
      <c r="H118" s="1873">
        <v>560</v>
      </c>
      <c r="I118" s="1874">
        <v>55</v>
      </c>
    </row>
    <row r="119" spans="1:9" x14ac:dyDescent="0.2">
      <c r="A119" s="1872" t="s">
        <v>661</v>
      </c>
      <c r="B119" s="1872"/>
      <c r="C119" s="1875">
        <v>100</v>
      </c>
      <c r="D119" s="1979">
        <v>27.200000000000003</v>
      </c>
      <c r="E119" s="1980">
        <v>8.1000000000000014</v>
      </c>
      <c r="F119" s="1981">
        <v>31.299999999999997</v>
      </c>
      <c r="G119" s="1873">
        <v>89</v>
      </c>
      <c r="H119" s="1873">
        <v>576</v>
      </c>
      <c r="I119" s="1874">
        <v>54</v>
      </c>
    </row>
    <row r="120" spans="1:9" x14ac:dyDescent="0.2">
      <c r="A120" s="1872" t="s">
        <v>663</v>
      </c>
      <c r="B120" s="1872"/>
      <c r="C120" s="1875">
        <v>100</v>
      </c>
      <c r="D120" s="1979">
        <v>28</v>
      </c>
      <c r="E120" s="1980">
        <v>8.6999999999999993</v>
      </c>
      <c r="F120" s="1981">
        <v>32.5</v>
      </c>
      <c r="G120" s="1873">
        <v>89</v>
      </c>
      <c r="H120" s="1873">
        <v>576</v>
      </c>
      <c r="I120" s="1874">
        <v>54</v>
      </c>
    </row>
    <row r="121" spans="1:9" x14ac:dyDescent="0.2">
      <c r="A121" s="1872" t="s">
        <v>665</v>
      </c>
      <c r="B121" s="1872"/>
      <c r="C121" s="1875">
        <v>100</v>
      </c>
      <c r="D121" s="1979">
        <v>29.1</v>
      </c>
      <c r="E121" s="1980">
        <v>8.9</v>
      </c>
      <c r="F121" s="1981">
        <v>33.700000000000003</v>
      </c>
      <c r="G121" s="1873">
        <v>89</v>
      </c>
      <c r="H121" s="1873">
        <v>576</v>
      </c>
      <c r="I121" s="1874">
        <v>54</v>
      </c>
    </row>
    <row r="122" spans="1:9" x14ac:dyDescent="0.2">
      <c r="A122" s="1872" t="s">
        <v>968</v>
      </c>
      <c r="B122" s="1872"/>
      <c r="C122" s="1875">
        <v>100</v>
      </c>
      <c r="D122" s="1979">
        <v>19.8</v>
      </c>
      <c r="E122" s="1980">
        <v>6.8999999999999995</v>
      </c>
      <c r="F122" s="1981">
        <v>26.5</v>
      </c>
      <c r="G122" s="1873">
        <v>89</v>
      </c>
      <c r="H122" s="1873">
        <v>546</v>
      </c>
      <c r="I122" s="1874">
        <v>54</v>
      </c>
    </row>
    <row r="123" spans="1:9" x14ac:dyDescent="0.2">
      <c r="A123" s="1872" t="s">
        <v>969</v>
      </c>
      <c r="B123" s="1872"/>
      <c r="C123" s="1875">
        <v>100</v>
      </c>
      <c r="D123" s="1979">
        <v>27.5</v>
      </c>
      <c r="E123" s="1980">
        <v>7.6</v>
      </c>
      <c r="F123" s="1981">
        <v>30.099999999999998</v>
      </c>
      <c r="G123" s="1873">
        <v>89</v>
      </c>
      <c r="H123" s="1873">
        <v>576</v>
      </c>
      <c r="I123" s="1874">
        <v>54</v>
      </c>
    </row>
    <row r="124" spans="1:9" x14ac:dyDescent="0.2">
      <c r="A124" s="1872" t="s">
        <v>970</v>
      </c>
      <c r="B124" s="1872"/>
      <c r="C124" s="1875">
        <v>100</v>
      </c>
      <c r="D124" s="1979">
        <v>28</v>
      </c>
      <c r="E124" s="1980">
        <v>8.5</v>
      </c>
      <c r="F124" s="1981">
        <v>32.5</v>
      </c>
      <c r="G124" s="1873">
        <v>89</v>
      </c>
      <c r="H124" s="1873">
        <v>576</v>
      </c>
      <c r="I124" s="1874">
        <v>54</v>
      </c>
    </row>
    <row r="125" spans="1:9" x14ac:dyDescent="0.2">
      <c r="A125" s="1872" t="s">
        <v>971</v>
      </c>
      <c r="B125" s="1872"/>
      <c r="C125" s="1875">
        <v>100</v>
      </c>
      <c r="D125" s="1979">
        <v>20</v>
      </c>
      <c r="E125" s="1980">
        <v>6.8999999999999995</v>
      </c>
      <c r="F125" s="1981">
        <v>26.5</v>
      </c>
      <c r="G125" s="1873">
        <v>89</v>
      </c>
      <c r="H125" s="1873">
        <v>546</v>
      </c>
      <c r="I125" s="1874">
        <v>54</v>
      </c>
    </row>
    <row r="126" spans="1:9" x14ac:dyDescent="0.2">
      <c r="A126" s="1872" t="s">
        <v>972</v>
      </c>
      <c r="B126" s="1872"/>
      <c r="C126" s="1875">
        <v>100</v>
      </c>
      <c r="D126" s="1979">
        <v>26.099999999999998</v>
      </c>
      <c r="E126" s="1980">
        <v>7.6</v>
      </c>
      <c r="F126" s="1981">
        <v>30.099999999999998</v>
      </c>
      <c r="G126" s="1873">
        <v>88</v>
      </c>
      <c r="H126" s="1873">
        <v>577</v>
      </c>
      <c r="I126" s="1874">
        <v>55</v>
      </c>
    </row>
    <row r="127" spans="1:9" x14ac:dyDescent="0.2">
      <c r="A127" s="1872" t="s">
        <v>973</v>
      </c>
      <c r="B127" s="1872"/>
      <c r="C127" s="1875">
        <v>100</v>
      </c>
      <c r="D127" s="1979">
        <v>28.2</v>
      </c>
      <c r="E127" s="1980">
        <v>8.5</v>
      </c>
      <c r="F127" s="1981">
        <v>32.5</v>
      </c>
      <c r="G127" s="1873">
        <v>88</v>
      </c>
      <c r="H127" s="1873">
        <v>577</v>
      </c>
      <c r="I127" s="1874">
        <v>55</v>
      </c>
    </row>
    <row r="128" spans="1:9" x14ac:dyDescent="0.2">
      <c r="A128" s="617" t="s">
        <v>974</v>
      </c>
      <c r="B128" s="1881"/>
      <c r="C128" s="1876"/>
      <c r="D128" s="1877"/>
      <c r="E128" s="1878"/>
      <c r="F128" s="1886"/>
      <c r="G128" s="1879"/>
      <c r="H128" s="1879"/>
      <c r="I128" s="1880"/>
    </row>
    <row r="129" spans="1:9" x14ac:dyDescent="0.2">
      <c r="A129" s="1872" t="s">
        <v>975</v>
      </c>
      <c r="B129" s="1872"/>
      <c r="C129" s="1875">
        <v>65</v>
      </c>
      <c r="D129" s="1979">
        <v>15.600000000000001</v>
      </c>
      <c r="E129" s="1980">
        <v>2</v>
      </c>
      <c r="F129" s="1981">
        <v>3.9000000000000004</v>
      </c>
      <c r="G129" s="1873">
        <v>97</v>
      </c>
      <c r="H129" s="1873">
        <v>763</v>
      </c>
      <c r="I129" s="1874">
        <v>52.8</v>
      </c>
    </row>
    <row r="130" spans="1:9" x14ac:dyDescent="0.2">
      <c r="A130" s="1872" t="s">
        <v>976</v>
      </c>
      <c r="B130" s="1872"/>
      <c r="C130" s="1875">
        <v>22</v>
      </c>
      <c r="D130" s="1979">
        <v>2.9</v>
      </c>
      <c r="E130" s="1980">
        <v>0.89999999999999991</v>
      </c>
      <c r="F130" s="1981">
        <v>1.7999999999999998</v>
      </c>
      <c r="G130" s="1873">
        <v>98</v>
      </c>
      <c r="H130" s="1873">
        <v>520</v>
      </c>
      <c r="I130" s="1874">
        <v>51.7</v>
      </c>
    </row>
    <row r="131" spans="1:9" x14ac:dyDescent="0.2">
      <c r="A131" s="1872" t="s">
        <v>977</v>
      </c>
      <c r="B131" s="1872"/>
      <c r="C131" s="1875">
        <v>10</v>
      </c>
      <c r="D131" s="1979">
        <v>8.4</v>
      </c>
      <c r="E131" s="1980">
        <v>2.6</v>
      </c>
      <c r="F131" s="1981">
        <v>1.7999999999999998</v>
      </c>
      <c r="G131" s="1873">
        <v>92</v>
      </c>
      <c r="H131" s="1873">
        <v>662</v>
      </c>
      <c r="I131" s="1874">
        <v>62.1</v>
      </c>
    </row>
    <row r="132" spans="1:9" x14ac:dyDescent="0.2">
      <c r="A132" s="1872" t="s">
        <v>978</v>
      </c>
      <c r="B132" s="1872"/>
      <c r="C132" s="1875">
        <v>25</v>
      </c>
      <c r="D132" s="1979">
        <v>10</v>
      </c>
      <c r="E132" s="1980">
        <v>3.4000000000000004</v>
      </c>
      <c r="F132" s="1981">
        <v>0.3</v>
      </c>
      <c r="G132" s="1873">
        <v>96</v>
      </c>
      <c r="H132" s="1873">
        <v>551</v>
      </c>
      <c r="I132" s="1874">
        <v>59</v>
      </c>
    </row>
    <row r="133" spans="1:9" x14ac:dyDescent="0.2">
      <c r="A133" s="1872" t="s">
        <v>979</v>
      </c>
      <c r="B133" s="1872"/>
      <c r="C133" s="1875">
        <v>91</v>
      </c>
      <c r="D133" s="1979">
        <v>91.7</v>
      </c>
      <c r="E133" s="1980">
        <v>68.8</v>
      </c>
      <c r="F133" s="1981">
        <v>9.8000000000000007</v>
      </c>
      <c r="G133" s="1873">
        <v>82</v>
      </c>
      <c r="H133" s="1873">
        <v>641</v>
      </c>
      <c r="I133" s="1874">
        <v>70.599999999999994</v>
      </c>
    </row>
    <row r="134" spans="1:9" x14ac:dyDescent="0.2">
      <c r="A134" s="1872" t="s">
        <v>980</v>
      </c>
      <c r="B134" s="1872"/>
      <c r="C134" s="1875">
        <v>60</v>
      </c>
      <c r="D134" s="1979">
        <v>34.6</v>
      </c>
      <c r="E134" s="1980">
        <v>6.8999999999999995</v>
      </c>
      <c r="F134" s="1981">
        <v>5.8</v>
      </c>
      <c r="G134" s="1873">
        <v>94</v>
      </c>
      <c r="H134" s="1873">
        <v>639</v>
      </c>
      <c r="I134" s="1874">
        <v>58.9</v>
      </c>
    </row>
    <row r="135" spans="1:9" x14ac:dyDescent="0.2">
      <c r="A135" s="1872" t="s">
        <v>981</v>
      </c>
      <c r="B135" s="1872"/>
      <c r="C135" s="1875">
        <v>92</v>
      </c>
      <c r="D135" s="1979">
        <v>56.2</v>
      </c>
      <c r="E135" s="1980">
        <v>19</v>
      </c>
      <c r="F135" s="1981">
        <v>14.8</v>
      </c>
      <c r="G135" s="1873">
        <v>94</v>
      </c>
      <c r="H135" s="1873">
        <v>587</v>
      </c>
      <c r="I135" s="1874">
        <v>59.9</v>
      </c>
    </row>
    <row r="136" spans="1:9" x14ac:dyDescent="0.2">
      <c r="A136" s="1872" t="s">
        <v>982</v>
      </c>
      <c r="B136" s="1872"/>
      <c r="C136" s="1875">
        <v>90</v>
      </c>
      <c r="D136" s="1979">
        <v>10.1</v>
      </c>
      <c r="E136" s="1980">
        <v>3.5</v>
      </c>
      <c r="F136" s="1981">
        <v>10.9</v>
      </c>
      <c r="G136" s="1873">
        <v>94</v>
      </c>
      <c r="H136" s="1873">
        <v>486</v>
      </c>
      <c r="I136" s="1874">
        <v>52.5</v>
      </c>
    </row>
    <row r="137" spans="1:9" x14ac:dyDescent="0.2">
      <c r="A137" s="1872" t="s">
        <v>8376</v>
      </c>
      <c r="B137" s="1872"/>
      <c r="C137" s="1875">
        <v>90</v>
      </c>
      <c r="D137" s="1979">
        <v>121</v>
      </c>
      <c r="E137" s="1980">
        <v>10.4</v>
      </c>
      <c r="F137" s="1981">
        <v>8.1000000000000014</v>
      </c>
      <c r="G137" s="1873">
        <v>97</v>
      </c>
      <c r="H137" s="1873">
        <v>0</v>
      </c>
      <c r="I137" s="1874">
        <v>0</v>
      </c>
    </row>
    <row r="138" spans="1:9" x14ac:dyDescent="0.2">
      <c r="A138" s="1872" t="s">
        <v>983</v>
      </c>
      <c r="B138" s="1872"/>
      <c r="C138" s="1875">
        <v>18</v>
      </c>
      <c r="D138" s="1979">
        <v>1.4000000000000001</v>
      </c>
      <c r="E138" s="1980">
        <v>1.2</v>
      </c>
      <c r="F138" s="1981">
        <v>4.8</v>
      </c>
      <c r="G138" s="1873">
        <v>97</v>
      </c>
      <c r="H138" s="1873">
        <v>641</v>
      </c>
      <c r="I138" s="1874">
        <v>50.1</v>
      </c>
    </row>
    <row r="139" spans="1:9" x14ac:dyDescent="0.2">
      <c r="A139" s="1872" t="s">
        <v>984</v>
      </c>
      <c r="B139" s="1872"/>
      <c r="C139" s="1875">
        <v>5.5</v>
      </c>
      <c r="D139" s="1979">
        <v>2.9</v>
      </c>
      <c r="E139" s="1980">
        <v>0.8</v>
      </c>
      <c r="F139" s="1981">
        <v>3.5999999999999996</v>
      </c>
      <c r="G139" s="1873">
        <v>87</v>
      </c>
      <c r="H139" s="1873">
        <v>672</v>
      </c>
      <c r="I139" s="1874">
        <v>56.3</v>
      </c>
    </row>
    <row r="140" spans="1:9" x14ac:dyDescent="0.2">
      <c r="A140" s="1872" t="s">
        <v>985</v>
      </c>
      <c r="B140" s="1872"/>
      <c r="C140" s="1875">
        <v>89</v>
      </c>
      <c r="D140" s="1979">
        <v>53.5</v>
      </c>
      <c r="E140" s="1980">
        <v>19.600000000000001</v>
      </c>
      <c r="F140" s="1981">
        <v>12.9</v>
      </c>
      <c r="G140" s="1873">
        <v>93</v>
      </c>
      <c r="H140" s="1873">
        <v>602</v>
      </c>
      <c r="I140" s="1874">
        <v>59.3</v>
      </c>
    </row>
    <row r="141" spans="1:9" x14ac:dyDescent="0.2">
      <c r="A141" s="1872" t="s">
        <v>986</v>
      </c>
      <c r="B141" s="1872"/>
      <c r="C141" s="1875">
        <v>90</v>
      </c>
      <c r="D141" s="1979">
        <v>53.3</v>
      </c>
      <c r="E141" s="1980">
        <v>18.5</v>
      </c>
      <c r="F141" s="1981">
        <v>13.100000000000001</v>
      </c>
      <c r="G141" s="1873">
        <v>94</v>
      </c>
      <c r="H141" s="1873">
        <v>607</v>
      </c>
      <c r="I141" s="1874">
        <v>60.3</v>
      </c>
    </row>
    <row r="142" spans="1:9" x14ac:dyDescent="0.2">
      <c r="A142" s="1872" t="s">
        <v>987</v>
      </c>
      <c r="B142" s="1872"/>
      <c r="C142" s="1875">
        <v>90</v>
      </c>
      <c r="D142" s="1979">
        <v>26.6</v>
      </c>
      <c r="E142" s="1980">
        <v>7.1999999999999993</v>
      </c>
      <c r="F142" s="1981">
        <v>26</v>
      </c>
      <c r="G142" s="1873">
        <v>88</v>
      </c>
      <c r="H142" s="1873">
        <v>532</v>
      </c>
      <c r="I142" s="1874">
        <v>54.8</v>
      </c>
    </row>
    <row r="143" spans="1:9" x14ac:dyDescent="0.2">
      <c r="A143" s="1872" t="s">
        <v>988</v>
      </c>
      <c r="B143" s="1872"/>
      <c r="C143" s="1875">
        <v>8.5</v>
      </c>
      <c r="D143" s="1979">
        <v>4.9000000000000004</v>
      </c>
      <c r="E143" s="1980">
        <v>1.9</v>
      </c>
      <c r="F143" s="1981">
        <v>1.2</v>
      </c>
      <c r="G143" s="1873">
        <v>92</v>
      </c>
      <c r="H143" s="1873">
        <v>730</v>
      </c>
      <c r="I143" s="1874">
        <v>57.7</v>
      </c>
    </row>
    <row r="144" spans="1:9" x14ac:dyDescent="0.2">
      <c r="A144" s="1872" t="s">
        <v>989</v>
      </c>
      <c r="B144" s="1872"/>
      <c r="C144" s="1875">
        <v>89</v>
      </c>
      <c r="D144" s="1979">
        <v>35.6</v>
      </c>
      <c r="E144" s="1980">
        <v>14.2</v>
      </c>
      <c r="F144" s="1981">
        <v>8.5</v>
      </c>
      <c r="G144" s="1873">
        <v>96</v>
      </c>
      <c r="H144" s="1873">
        <v>703</v>
      </c>
      <c r="I144" s="1874">
        <v>52.8</v>
      </c>
    </row>
    <row r="145" spans="1:9" x14ac:dyDescent="0.2">
      <c r="A145" s="1872" t="s">
        <v>990</v>
      </c>
      <c r="B145" s="1872"/>
      <c r="C145" s="1875">
        <v>90</v>
      </c>
      <c r="D145" s="1979">
        <v>36</v>
      </c>
      <c r="E145" s="1980">
        <v>17.600000000000001</v>
      </c>
      <c r="F145" s="1981">
        <v>15.2</v>
      </c>
      <c r="G145" s="1873">
        <v>94</v>
      </c>
      <c r="H145" s="1873">
        <v>645</v>
      </c>
      <c r="I145" s="1874">
        <v>56.4</v>
      </c>
    </row>
    <row r="146" spans="1:9" x14ac:dyDescent="0.2">
      <c r="A146" s="1872" t="s">
        <v>991</v>
      </c>
      <c r="B146" s="1872"/>
      <c r="C146" s="1875">
        <v>92</v>
      </c>
      <c r="D146" s="1979">
        <v>43.4</v>
      </c>
      <c r="E146" s="1980">
        <v>16.8</v>
      </c>
      <c r="F146" s="1981">
        <v>23.3</v>
      </c>
      <c r="G146" s="1873">
        <v>93</v>
      </c>
      <c r="H146" s="1873">
        <v>539</v>
      </c>
      <c r="I146" s="1874">
        <v>57</v>
      </c>
    </row>
    <row r="147" spans="1:9" x14ac:dyDescent="0.2">
      <c r="A147" s="1872" t="s">
        <v>992</v>
      </c>
      <c r="B147" s="1872"/>
      <c r="C147" s="1875">
        <v>88</v>
      </c>
      <c r="D147" s="1979">
        <v>3.8</v>
      </c>
      <c r="E147" s="1980">
        <v>2</v>
      </c>
      <c r="F147" s="1981">
        <v>8.4</v>
      </c>
      <c r="G147" s="1873">
        <v>96</v>
      </c>
      <c r="H147" s="1873">
        <v>693</v>
      </c>
      <c r="I147" s="1874">
        <v>50.1</v>
      </c>
    </row>
    <row r="148" spans="1:9" x14ac:dyDescent="0.2">
      <c r="A148" s="1872" t="s">
        <v>993</v>
      </c>
      <c r="B148" s="1872"/>
      <c r="C148" s="1875">
        <v>91</v>
      </c>
      <c r="D148" s="1979">
        <v>14.6</v>
      </c>
      <c r="E148" s="1980">
        <v>1.6</v>
      </c>
      <c r="F148" s="1981">
        <v>15.8</v>
      </c>
      <c r="G148" s="1873">
        <v>92</v>
      </c>
      <c r="H148" s="1873">
        <v>701</v>
      </c>
      <c r="I148" s="1874">
        <v>51.5</v>
      </c>
    </row>
    <row r="149" spans="1:9" x14ac:dyDescent="0.2">
      <c r="A149" s="1872" t="s">
        <v>994</v>
      </c>
      <c r="B149" s="1872"/>
      <c r="C149" s="1875">
        <v>5</v>
      </c>
      <c r="D149" s="1979">
        <v>0.3</v>
      </c>
      <c r="E149" s="1980">
        <v>1.5</v>
      </c>
      <c r="F149" s="1981">
        <v>1.5</v>
      </c>
      <c r="G149" s="1873">
        <v>85</v>
      </c>
      <c r="H149" s="1873">
        <v>759</v>
      </c>
      <c r="I149" s="1874">
        <v>51.3</v>
      </c>
    </row>
    <row r="150" spans="1:9" x14ac:dyDescent="0.2">
      <c r="A150" s="1872" t="s">
        <v>995</v>
      </c>
      <c r="B150" s="1872"/>
      <c r="C150" s="1875">
        <v>27</v>
      </c>
      <c r="D150" s="1979">
        <v>3.7</v>
      </c>
      <c r="E150" s="1980">
        <v>0.6</v>
      </c>
      <c r="F150" s="1981">
        <v>1.4000000000000001</v>
      </c>
      <c r="G150" s="1873">
        <v>94</v>
      </c>
      <c r="H150" s="1873">
        <v>686</v>
      </c>
      <c r="I150" s="1874">
        <v>51.2</v>
      </c>
    </row>
    <row r="151" spans="1:9" x14ac:dyDescent="0.2">
      <c r="A151" s="1872" t="s">
        <v>996</v>
      </c>
      <c r="B151" s="1872"/>
      <c r="C151" s="1875">
        <v>89</v>
      </c>
      <c r="D151" s="1979">
        <v>54.3</v>
      </c>
      <c r="E151" s="1980">
        <v>24.5</v>
      </c>
      <c r="F151" s="1981">
        <v>16.599999999999998</v>
      </c>
      <c r="G151" s="1873">
        <v>92</v>
      </c>
      <c r="H151" s="1873">
        <v>590</v>
      </c>
      <c r="I151" s="1874">
        <v>60</v>
      </c>
    </row>
    <row r="152" spans="1:9" x14ac:dyDescent="0.2">
      <c r="A152" s="1872" t="s">
        <v>997</v>
      </c>
      <c r="B152" s="1872"/>
      <c r="C152" s="1875">
        <v>90</v>
      </c>
      <c r="D152" s="1979">
        <v>52.699999999999996</v>
      </c>
      <c r="E152" s="1980">
        <v>24.8</v>
      </c>
      <c r="F152" s="1981">
        <v>15.8</v>
      </c>
      <c r="G152" s="1873">
        <v>93</v>
      </c>
      <c r="H152" s="1873">
        <v>633</v>
      </c>
      <c r="I152" s="1874">
        <v>61</v>
      </c>
    </row>
    <row r="153" spans="1:9" x14ac:dyDescent="0.2">
      <c r="A153" s="1872" t="s">
        <v>998</v>
      </c>
      <c r="B153" s="1872"/>
      <c r="C153" s="1875">
        <v>88</v>
      </c>
      <c r="D153" s="1979">
        <v>22.5</v>
      </c>
      <c r="E153" s="1980">
        <v>20.2</v>
      </c>
      <c r="F153" s="1981">
        <v>14.9</v>
      </c>
      <c r="G153" s="1873">
        <v>95</v>
      </c>
      <c r="H153" s="1873">
        <v>590</v>
      </c>
      <c r="I153" s="1874">
        <v>53.6</v>
      </c>
    </row>
    <row r="154" spans="1:9" x14ac:dyDescent="0.2">
      <c r="A154" s="1872" t="s">
        <v>999</v>
      </c>
      <c r="B154" s="1872"/>
      <c r="C154" s="1875">
        <v>88</v>
      </c>
      <c r="D154" s="1979">
        <v>22.799999999999997</v>
      </c>
      <c r="E154" s="1980">
        <v>22.400000000000002</v>
      </c>
      <c r="F154" s="1981">
        <v>14.9</v>
      </c>
      <c r="G154" s="1873">
        <v>94</v>
      </c>
      <c r="H154" s="1873">
        <v>574</v>
      </c>
      <c r="I154" s="1874">
        <v>53.7</v>
      </c>
    </row>
    <row r="155" spans="1:9" x14ac:dyDescent="0.2">
      <c r="A155" s="1872" t="s">
        <v>1000</v>
      </c>
      <c r="B155" s="1872"/>
      <c r="C155" s="1875">
        <v>17</v>
      </c>
      <c r="D155" s="1979">
        <v>2</v>
      </c>
      <c r="E155" s="1980">
        <v>0.8</v>
      </c>
      <c r="F155" s="1981">
        <v>2.4</v>
      </c>
      <c r="G155" s="1873">
        <v>91</v>
      </c>
      <c r="H155" s="1873">
        <v>671</v>
      </c>
      <c r="I155" s="1874">
        <v>51.1</v>
      </c>
    </row>
    <row r="156" spans="1:9" x14ac:dyDescent="0.2">
      <c r="A156" s="1872" t="s">
        <v>1001</v>
      </c>
      <c r="B156" s="1872"/>
      <c r="C156" s="1875">
        <v>88</v>
      </c>
      <c r="D156" s="1979">
        <v>76.7</v>
      </c>
      <c r="E156" s="1980">
        <v>15.1</v>
      </c>
      <c r="F156" s="1981">
        <v>24.4</v>
      </c>
      <c r="G156" s="1873">
        <v>93</v>
      </c>
      <c r="H156" s="1873">
        <v>680</v>
      </c>
      <c r="I156" s="1874">
        <v>61.9</v>
      </c>
    </row>
    <row r="157" spans="1:9" x14ac:dyDescent="0.2">
      <c r="A157" s="1872" t="s">
        <v>1002</v>
      </c>
      <c r="B157" s="1872"/>
      <c r="C157" s="1875">
        <v>88</v>
      </c>
      <c r="D157" s="1979">
        <v>70.400000000000006</v>
      </c>
      <c r="E157" s="1980">
        <v>14.7</v>
      </c>
      <c r="F157" s="1981">
        <v>23.3</v>
      </c>
      <c r="G157" s="1873">
        <v>93</v>
      </c>
      <c r="H157" s="1873">
        <v>681</v>
      </c>
      <c r="I157" s="1874">
        <v>60.9</v>
      </c>
    </row>
    <row r="158" spans="1:9" x14ac:dyDescent="0.2">
      <c r="A158" s="1872" t="s">
        <v>1003</v>
      </c>
      <c r="B158" s="1872"/>
      <c r="C158" s="1875">
        <v>88</v>
      </c>
      <c r="D158" s="1979">
        <v>19</v>
      </c>
      <c r="E158" s="1980">
        <v>3.3000000000000003</v>
      </c>
      <c r="F158" s="1981">
        <v>15.2</v>
      </c>
      <c r="G158" s="1873">
        <v>95</v>
      </c>
      <c r="H158" s="1873">
        <v>604</v>
      </c>
      <c r="I158" s="1874">
        <v>52.7</v>
      </c>
    </row>
    <row r="159" spans="1:9" x14ac:dyDescent="0.2">
      <c r="A159" s="1872" t="s">
        <v>1004</v>
      </c>
      <c r="B159" s="1872"/>
      <c r="C159" s="1875">
        <v>89</v>
      </c>
      <c r="D159" s="1979">
        <v>54.1</v>
      </c>
      <c r="E159" s="1980">
        <v>22.400000000000002</v>
      </c>
      <c r="F159" s="1981">
        <v>14</v>
      </c>
      <c r="G159" s="1873">
        <v>93</v>
      </c>
      <c r="H159" s="1873">
        <v>503</v>
      </c>
      <c r="I159" s="1874">
        <v>61.3</v>
      </c>
    </row>
    <row r="160" spans="1:9" x14ac:dyDescent="0.2">
      <c r="A160" s="1872" t="s">
        <v>1005</v>
      </c>
      <c r="B160" s="1872"/>
      <c r="C160" s="1875">
        <v>6.4</v>
      </c>
      <c r="D160" s="1979">
        <v>1</v>
      </c>
      <c r="E160" s="1980">
        <v>1.7999999999999998</v>
      </c>
      <c r="F160" s="1981">
        <v>1.9</v>
      </c>
      <c r="G160" s="1873">
        <v>89</v>
      </c>
      <c r="H160" s="1873">
        <v>742</v>
      </c>
      <c r="I160" s="1874">
        <v>53.5</v>
      </c>
    </row>
    <row r="161" spans="1:17" x14ac:dyDescent="0.2">
      <c r="A161" s="1872" t="s">
        <v>1006</v>
      </c>
      <c r="B161" s="1872"/>
      <c r="C161" s="1875">
        <v>6</v>
      </c>
      <c r="D161" s="1979">
        <v>1.3</v>
      </c>
      <c r="E161" s="1980">
        <v>0.89999999999999991</v>
      </c>
      <c r="F161" s="1981">
        <v>1.7999999999999998</v>
      </c>
      <c r="G161" s="1873">
        <v>92</v>
      </c>
      <c r="H161" s="1873">
        <v>746</v>
      </c>
      <c r="I161" s="1874">
        <v>53.1</v>
      </c>
    </row>
    <row r="162" spans="1:17" x14ac:dyDescent="0.2">
      <c r="A162" s="1872" t="s">
        <v>1007</v>
      </c>
      <c r="B162" s="1872"/>
      <c r="C162" s="1875">
        <v>90</v>
      </c>
      <c r="D162" s="1979">
        <v>12</v>
      </c>
      <c r="E162" s="1980">
        <v>2.1</v>
      </c>
      <c r="F162" s="1981">
        <v>4.9000000000000004</v>
      </c>
      <c r="G162" s="1873">
        <v>93</v>
      </c>
      <c r="H162" s="1873">
        <v>672</v>
      </c>
      <c r="I162" s="1874">
        <v>51.2</v>
      </c>
    </row>
    <row r="163" spans="1:17" x14ac:dyDescent="0.2">
      <c r="A163" s="1872" t="s">
        <v>1008</v>
      </c>
      <c r="B163" s="1872"/>
      <c r="C163" s="1875">
        <v>87.5</v>
      </c>
      <c r="D163" s="1979">
        <v>24.700000000000003</v>
      </c>
      <c r="E163" s="1980">
        <v>21.099999999999998</v>
      </c>
      <c r="F163" s="1981">
        <v>12.7</v>
      </c>
      <c r="G163" s="1873">
        <v>94</v>
      </c>
      <c r="H163" s="1873">
        <v>585</v>
      </c>
      <c r="I163" s="1874">
        <v>55</v>
      </c>
    </row>
    <row r="164" spans="1:17" x14ac:dyDescent="0.2">
      <c r="A164" s="1872" t="s">
        <v>1009</v>
      </c>
      <c r="B164" s="1872"/>
      <c r="C164" s="1875">
        <v>88</v>
      </c>
      <c r="D164" s="1979">
        <v>22.5</v>
      </c>
      <c r="E164" s="1980">
        <v>26.200000000000003</v>
      </c>
      <c r="F164" s="1981">
        <v>12.8</v>
      </c>
      <c r="G164" s="1873">
        <v>94</v>
      </c>
      <c r="H164" s="1873">
        <v>537</v>
      </c>
      <c r="I164" s="1874">
        <v>55.2</v>
      </c>
    </row>
    <row r="165" spans="1:17" x14ac:dyDescent="0.2">
      <c r="A165" s="1872" t="s">
        <v>1010</v>
      </c>
      <c r="B165" s="1872"/>
      <c r="C165" s="1875">
        <v>87</v>
      </c>
      <c r="D165" s="1979">
        <v>26.400000000000002</v>
      </c>
      <c r="E165" s="1980">
        <v>13.899999999999999</v>
      </c>
      <c r="F165" s="1981">
        <v>9.3999999999999986</v>
      </c>
      <c r="G165" s="1873">
        <v>97</v>
      </c>
      <c r="H165" s="1873">
        <v>699</v>
      </c>
      <c r="I165" s="1874">
        <v>54.7</v>
      </c>
    </row>
    <row r="166" spans="1:17" x14ac:dyDescent="0.2">
      <c r="A166" s="1872" t="s">
        <v>1011</v>
      </c>
      <c r="B166" s="1872"/>
      <c r="C166" s="1875">
        <v>78</v>
      </c>
      <c r="D166" s="1979">
        <v>16.8</v>
      </c>
      <c r="E166" s="1980">
        <v>0.89999999999999991</v>
      </c>
      <c r="F166" s="1981">
        <v>50.8</v>
      </c>
      <c r="G166" s="1873">
        <v>88</v>
      </c>
      <c r="H166" s="1873">
        <v>713</v>
      </c>
      <c r="I166" s="1874">
        <v>52.3</v>
      </c>
      <c r="N166" s="1907"/>
      <c r="O166" s="1015"/>
      <c r="P166" s="1900"/>
      <c r="Q166" s="1901"/>
    </row>
    <row r="167" spans="1:17" ht="15.75" thickBot="1" x14ac:dyDescent="0.3">
      <c r="A167" s="1041"/>
      <c r="B167" s="1040"/>
      <c r="C167" s="1989"/>
      <c r="D167" s="1871"/>
      <c r="E167" s="1036"/>
      <c r="F167" s="1036"/>
      <c r="G167" s="1037"/>
      <c r="H167" s="1038"/>
      <c r="I167" s="1039"/>
      <c r="K167" s="1902"/>
      <c r="L167" s="1025"/>
      <c r="M167" s="1025"/>
      <c r="N167" s="1025"/>
      <c r="O167" s="1903"/>
      <c r="P167" s="1904"/>
      <c r="Q167" s="1901"/>
    </row>
    <row r="168" spans="1:17" ht="15" x14ac:dyDescent="0.25">
      <c r="A168" s="1996" t="s">
        <v>786</v>
      </c>
      <c r="B168" s="1997"/>
      <c r="C168" s="1998"/>
      <c r="D168" s="1999"/>
      <c r="E168" s="2000"/>
      <c r="F168" s="2001"/>
      <c r="G168" s="2002"/>
      <c r="H168" s="2003"/>
      <c r="I168" s="2004"/>
      <c r="K168" s="1899"/>
      <c r="L168" s="1899"/>
      <c r="M168" s="1899"/>
      <c r="N168" s="1899"/>
      <c r="O168" s="1905"/>
      <c r="P168" s="1906"/>
      <c r="Q168" s="1901"/>
    </row>
    <row r="169" spans="1:17" x14ac:dyDescent="0.2">
      <c r="A169" s="1990" t="s">
        <v>821</v>
      </c>
      <c r="B169" s="1990"/>
      <c r="C169" s="1991"/>
      <c r="D169" s="1992"/>
      <c r="E169" s="1993"/>
      <c r="F169" s="1994"/>
      <c r="G169" s="1991"/>
      <c r="H169" s="1995"/>
      <c r="I169" s="1991"/>
    </row>
    <row r="170" spans="1:17" x14ac:dyDescent="0.2">
      <c r="A170" s="1872" t="s">
        <v>868</v>
      </c>
      <c r="B170" s="1872"/>
      <c r="C170" s="1875">
        <v>7.5</v>
      </c>
      <c r="D170" s="1979">
        <v>4.0999999999999996</v>
      </c>
      <c r="E170" s="1980">
        <v>1.7</v>
      </c>
      <c r="F170" s="1981">
        <v>5.3</v>
      </c>
      <c r="G170" s="1873">
        <v>85</v>
      </c>
      <c r="H170" s="1873">
        <v>350</v>
      </c>
      <c r="I170" s="1874">
        <v>55</v>
      </c>
    </row>
    <row r="171" spans="1:17" x14ac:dyDescent="0.2">
      <c r="A171" s="1872" t="s">
        <v>869</v>
      </c>
      <c r="B171" s="1872"/>
      <c r="C171" s="1875">
        <v>7.5</v>
      </c>
      <c r="D171" s="1979">
        <v>3.9</v>
      </c>
      <c r="E171" s="1980">
        <v>1.7</v>
      </c>
      <c r="F171" s="1981">
        <v>4.7</v>
      </c>
      <c r="G171" s="1873">
        <v>85</v>
      </c>
      <c r="H171" s="1873">
        <v>350</v>
      </c>
      <c r="I171" s="1874">
        <v>55</v>
      </c>
    </row>
    <row r="172" spans="1:17" x14ac:dyDescent="0.2">
      <c r="A172" s="1872" t="s">
        <v>8342</v>
      </c>
      <c r="B172" s="1872"/>
      <c r="C172" s="1875">
        <v>7.5</v>
      </c>
      <c r="D172" s="1979">
        <v>4.0999999999999996</v>
      </c>
      <c r="E172" s="1980">
        <v>1.9</v>
      </c>
      <c r="F172" s="1981">
        <v>4</v>
      </c>
      <c r="G172" s="1873">
        <v>85</v>
      </c>
      <c r="H172" s="1873">
        <v>350</v>
      </c>
      <c r="I172" s="1874">
        <v>55</v>
      </c>
    </row>
    <row r="173" spans="1:17" x14ac:dyDescent="0.2">
      <c r="A173" s="1872" t="s">
        <v>8381</v>
      </c>
      <c r="B173" s="1872"/>
      <c r="C173" s="1875">
        <v>18.5</v>
      </c>
      <c r="D173" s="1979">
        <v>3.6999999999999997</v>
      </c>
      <c r="E173" s="1980">
        <v>2.5</v>
      </c>
      <c r="F173" s="1981">
        <v>5.9</v>
      </c>
      <c r="G173" s="1873">
        <v>80</v>
      </c>
      <c r="H173" s="1873">
        <v>450</v>
      </c>
      <c r="I173" s="1874">
        <v>55</v>
      </c>
    </row>
    <row r="174" spans="1:17" x14ac:dyDescent="0.2">
      <c r="A174" s="1872" t="s">
        <v>8382</v>
      </c>
      <c r="B174" s="1872"/>
      <c r="C174" s="1875">
        <v>23</v>
      </c>
      <c r="D174" s="1979">
        <v>4.0999999999999996</v>
      </c>
      <c r="E174" s="1980">
        <v>2.1</v>
      </c>
      <c r="F174" s="1981">
        <v>8.1</v>
      </c>
      <c r="G174" s="1873">
        <v>80</v>
      </c>
      <c r="H174" s="1873">
        <v>450</v>
      </c>
      <c r="I174" s="1874">
        <v>55</v>
      </c>
    </row>
    <row r="175" spans="1:17" x14ac:dyDescent="0.2">
      <c r="A175" s="1872" t="s">
        <v>870</v>
      </c>
      <c r="B175" s="1872"/>
      <c r="C175" s="1875">
        <v>1.8</v>
      </c>
      <c r="D175" s="1979">
        <v>3.2</v>
      </c>
      <c r="E175" s="1980">
        <v>0.2</v>
      </c>
      <c r="F175" s="1981">
        <v>7.9</v>
      </c>
      <c r="G175" s="1873">
        <v>85</v>
      </c>
      <c r="H175" s="1873">
        <v>350</v>
      </c>
      <c r="I175" s="1874">
        <v>55</v>
      </c>
    </row>
    <row r="176" spans="1:17" x14ac:dyDescent="0.2">
      <c r="A176" s="617" t="s">
        <v>822</v>
      </c>
      <c r="B176" s="1881"/>
      <c r="C176" s="1876"/>
      <c r="D176" s="1982"/>
      <c r="E176" s="1983"/>
      <c r="F176" s="1984"/>
      <c r="G176" s="1879"/>
      <c r="H176" s="1879"/>
      <c r="I176" s="1880"/>
    </row>
    <row r="177" spans="1:9" x14ac:dyDescent="0.2">
      <c r="A177" s="1872" t="s">
        <v>8345</v>
      </c>
      <c r="B177" s="1872"/>
      <c r="C177" s="1875">
        <v>5</v>
      </c>
      <c r="D177" s="1979">
        <v>5.7</v>
      </c>
      <c r="E177" s="1980">
        <v>3</v>
      </c>
      <c r="F177" s="1981">
        <v>3.5</v>
      </c>
      <c r="G177" s="1873">
        <v>85</v>
      </c>
      <c r="H177" s="1873">
        <v>400</v>
      </c>
      <c r="I177" s="1874">
        <v>60</v>
      </c>
    </row>
    <row r="178" spans="1:9" x14ac:dyDescent="0.2">
      <c r="A178" s="1872" t="s">
        <v>871</v>
      </c>
      <c r="B178" s="1872"/>
      <c r="C178" s="1875">
        <v>5</v>
      </c>
      <c r="D178" s="1979">
        <v>5.5</v>
      </c>
      <c r="E178" s="1980">
        <v>2.6</v>
      </c>
      <c r="F178" s="1981">
        <v>3.4</v>
      </c>
      <c r="G178" s="1873">
        <v>85</v>
      </c>
      <c r="H178" s="1873">
        <v>400</v>
      </c>
      <c r="I178" s="1874">
        <v>60</v>
      </c>
    </row>
    <row r="179" spans="1:9" x14ac:dyDescent="0.2">
      <c r="A179" s="1872" t="s">
        <v>8346</v>
      </c>
      <c r="B179" s="1872"/>
      <c r="C179" s="1875">
        <v>5</v>
      </c>
      <c r="D179" s="1979">
        <v>5</v>
      </c>
      <c r="E179" s="1980">
        <v>2.4</v>
      </c>
      <c r="F179" s="1981">
        <v>3.3</v>
      </c>
      <c r="G179" s="1873">
        <v>85</v>
      </c>
      <c r="H179" s="1873">
        <v>400</v>
      </c>
      <c r="I179" s="1874">
        <v>60</v>
      </c>
    </row>
    <row r="180" spans="1:9" x14ac:dyDescent="0.2">
      <c r="A180" s="1872" t="s">
        <v>8347</v>
      </c>
      <c r="B180" s="1872"/>
      <c r="C180" s="1875">
        <v>5</v>
      </c>
      <c r="D180" s="1979">
        <v>4.5999999999999996</v>
      </c>
      <c r="E180" s="1980">
        <v>2.5</v>
      </c>
      <c r="F180" s="1981">
        <v>2.9</v>
      </c>
      <c r="G180" s="1873">
        <v>85</v>
      </c>
      <c r="H180" s="1873">
        <v>400</v>
      </c>
      <c r="I180" s="1874">
        <v>60</v>
      </c>
    </row>
    <row r="181" spans="1:9" x14ac:dyDescent="0.2">
      <c r="A181" s="1872" t="s">
        <v>8348</v>
      </c>
      <c r="B181" s="1872"/>
      <c r="C181" s="1875">
        <v>5</v>
      </c>
      <c r="D181" s="1979">
        <v>4.0999999999999996</v>
      </c>
      <c r="E181" s="1980">
        <v>2.2000000000000002</v>
      </c>
      <c r="F181" s="1981">
        <v>2.7</v>
      </c>
      <c r="G181" s="1873">
        <v>85</v>
      </c>
      <c r="H181" s="1873">
        <v>400</v>
      </c>
      <c r="I181" s="1874">
        <v>60</v>
      </c>
    </row>
    <row r="182" spans="1:9" x14ac:dyDescent="0.2">
      <c r="A182" s="1872" t="s">
        <v>8349</v>
      </c>
      <c r="B182" s="1872"/>
      <c r="C182" s="1875">
        <v>5</v>
      </c>
      <c r="D182" s="1979">
        <v>3.9</v>
      </c>
      <c r="E182" s="1980">
        <v>2.1</v>
      </c>
      <c r="F182" s="1981">
        <v>2.7</v>
      </c>
      <c r="G182" s="1873">
        <v>85</v>
      </c>
      <c r="H182" s="1873">
        <v>400</v>
      </c>
      <c r="I182" s="1874">
        <v>60</v>
      </c>
    </row>
    <row r="183" spans="1:9" x14ac:dyDescent="0.2">
      <c r="A183" s="1872" t="s">
        <v>8350</v>
      </c>
      <c r="B183" s="1872"/>
      <c r="C183" s="1875">
        <v>21</v>
      </c>
      <c r="D183" s="1979">
        <v>6</v>
      </c>
      <c r="E183" s="1980">
        <v>4.3</v>
      </c>
      <c r="F183" s="1981">
        <v>6.2</v>
      </c>
      <c r="G183" s="1873">
        <v>82</v>
      </c>
      <c r="H183" s="1873">
        <v>400</v>
      </c>
      <c r="I183" s="1874">
        <v>60</v>
      </c>
    </row>
    <row r="184" spans="1:9" x14ac:dyDescent="0.2">
      <c r="A184" s="1872" t="s">
        <v>8351</v>
      </c>
      <c r="B184" s="1872"/>
      <c r="C184" s="1875">
        <v>25</v>
      </c>
      <c r="D184" s="1979">
        <v>5.2</v>
      </c>
      <c r="E184" s="1980">
        <v>2.9</v>
      </c>
      <c r="F184" s="1981">
        <v>7</v>
      </c>
      <c r="G184" s="1873">
        <v>82</v>
      </c>
      <c r="H184" s="1873">
        <v>400</v>
      </c>
      <c r="I184" s="1874">
        <v>60</v>
      </c>
    </row>
    <row r="185" spans="1:9" x14ac:dyDescent="0.2">
      <c r="A185" s="1872" t="s">
        <v>872</v>
      </c>
      <c r="B185" s="1872"/>
      <c r="C185" s="1875">
        <v>1.8</v>
      </c>
      <c r="D185" s="1979">
        <v>3.3</v>
      </c>
      <c r="E185" s="1980">
        <v>0.2</v>
      </c>
      <c r="F185" s="1981">
        <v>3.1</v>
      </c>
      <c r="G185" s="1873">
        <v>85</v>
      </c>
      <c r="H185" s="1873">
        <v>400</v>
      </c>
      <c r="I185" s="1874">
        <v>60</v>
      </c>
    </row>
    <row r="186" spans="1:9" x14ac:dyDescent="0.2">
      <c r="A186" s="617" t="s">
        <v>823</v>
      </c>
      <c r="B186" s="1881"/>
      <c r="C186" s="1876"/>
      <c r="D186" s="1982"/>
      <c r="E186" s="1983"/>
      <c r="F186" s="1984"/>
      <c r="G186" s="1879"/>
      <c r="H186" s="1879"/>
      <c r="I186" s="1880"/>
    </row>
    <row r="187" spans="1:9" x14ac:dyDescent="0.2">
      <c r="A187" s="1872" t="s">
        <v>8352</v>
      </c>
      <c r="B187" s="1872"/>
      <c r="C187" s="1875">
        <v>50</v>
      </c>
      <c r="D187" s="1979">
        <v>20.3</v>
      </c>
      <c r="E187" s="1980">
        <v>16</v>
      </c>
      <c r="F187" s="1981">
        <v>18</v>
      </c>
      <c r="G187" s="1873">
        <v>75</v>
      </c>
      <c r="H187" s="1873">
        <v>500</v>
      </c>
      <c r="I187" s="1874">
        <v>55</v>
      </c>
    </row>
    <row r="188" spans="1:9" x14ac:dyDescent="0.2">
      <c r="A188" s="1872" t="s">
        <v>8353</v>
      </c>
      <c r="B188" s="1872"/>
      <c r="C188" s="1875">
        <v>50</v>
      </c>
      <c r="D188" s="1979">
        <v>22.1</v>
      </c>
      <c r="E188" s="1980">
        <v>17.5</v>
      </c>
      <c r="F188" s="1981">
        <v>18.899999999999999</v>
      </c>
      <c r="G188" s="1873">
        <v>74</v>
      </c>
      <c r="H188" s="1873">
        <v>500</v>
      </c>
      <c r="I188" s="1874">
        <v>58</v>
      </c>
    </row>
    <row r="189" spans="1:9" x14ac:dyDescent="0.2">
      <c r="A189" s="1872" t="s">
        <v>873</v>
      </c>
      <c r="B189" s="1872"/>
      <c r="C189" s="1875">
        <v>50</v>
      </c>
      <c r="D189" s="1979">
        <v>20.6</v>
      </c>
      <c r="E189" s="1980">
        <v>19</v>
      </c>
      <c r="F189" s="1981">
        <v>13.6</v>
      </c>
      <c r="G189" s="1873">
        <v>75</v>
      </c>
      <c r="H189" s="1873">
        <v>500</v>
      </c>
      <c r="I189" s="1874">
        <v>65</v>
      </c>
    </row>
    <row r="190" spans="1:9" x14ac:dyDescent="0.2">
      <c r="A190" s="1872" t="s">
        <v>8354</v>
      </c>
      <c r="B190" s="1872"/>
      <c r="C190" s="1875">
        <v>60</v>
      </c>
      <c r="D190" s="1979">
        <v>19.7</v>
      </c>
      <c r="E190" s="1980">
        <v>15.7</v>
      </c>
      <c r="F190" s="1981">
        <v>19.7</v>
      </c>
      <c r="G190" s="1873">
        <v>75</v>
      </c>
      <c r="H190" s="1873">
        <v>500</v>
      </c>
      <c r="I190" s="1874">
        <v>55</v>
      </c>
    </row>
    <row r="191" spans="1:9" x14ac:dyDescent="0.2">
      <c r="A191" s="1872" t="s">
        <v>8355</v>
      </c>
      <c r="B191" s="1872"/>
      <c r="C191" s="1875">
        <v>30</v>
      </c>
      <c r="D191" s="1979">
        <v>6.5</v>
      </c>
      <c r="E191" s="1980">
        <v>6</v>
      </c>
      <c r="F191" s="1981">
        <v>6.2</v>
      </c>
      <c r="G191" s="1873">
        <v>75</v>
      </c>
      <c r="H191" s="1873">
        <v>500</v>
      </c>
      <c r="I191" s="1874">
        <v>55</v>
      </c>
    </row>
    <row r="192" spans="1:9" x14ac:dyDescent="0.2">
      <c r="A192" s="1872" t="s">
        <v>874</v>
      </c>
      <c r="B192" s="1872"/>
      <c r="C192" s="1875">
        <v>30</v>
      </c>
      <c r="D192" s="1979">
        <v>7.8</v>
      </c>
      <c r="E192" s="1980">
        <v>8.1</v>
      </c>
      <c r="F192" s="1981">
        <v>6.9</v>
      </c>
      <c r="G192" s="1873">
        <v>75</v>
      </c>
      <c r="H192" s="1873">
        <v>500</v>
      </c>
      <c r="I192" s="1874">
        <v>55</v>
      </c>
    </row>
    <row r="193" spans="1:9" x14ac:dyDescent="0.2">
      <c r="A193" s="617" t="s">
        <v>824</v>
      </c>
      <c r="B193" s="1881"/>
      <c r="C193" s="1876"/>
      <c r="D193" s="1982"/>
      <c r="E193" s="1983"/>
      <c r="F193" s="1984"/>
      <c r="G193" s="1879"/>
      <c r="H193" s="1879"/>
      <c r="I193" s="1880"/>
    </row>
    <row r="194" spans="1:9" x14ac:dyDescent="0.2">
      <c r="A194" s="1872" t="s">
        <v>875</v>
      </c>
      <c r="B194" s="1872"/>
      <c r="C194" s="1875">
        <v>30</v>
      </c>
      <c r="D194" s="1979">
        <v>3.6</v>
      </c>
      <c r="E194" s="1980">
        <v>2.7</v>
      </c>
      <c r="F194" s="1981">
        <v>9.3000000000000007</v>
      </c>
      <c r="G194" s="1873">
        <v>75</v>
      </c>
      <c r="H194" s="1873">
        <v>300</v>
      </c>
      <c r="I194" s="1874">
        <v>55</v>
      </c>
    </row>
    <row r="195" spans="1:9" ht="13.5" thickBot="1" x14ac:dyDescent="0.25">
      <c r="A195" s="1882" t="s">
        <v>8356</v>
      </c>
      <c r="B195" s="1882"/>
      <c r="C195" s="1883">
        <v>30</v>
      </c>
      <c r="D195" s="1985">
        <v>5.9</v>
      </c>
      <c r="E195" s="1986">
        <v>3.1</v>
      </c>
      <c r="F195" s="1987">
        <v>11.3</v>
      </c>
      <c r="G195" s="1884">
        <v>80</v>
      </c>
      <c r="H195" s="1884">
        <v>450</v>
      </c>
      <c r="I195" s="1885">
        <v>55</v>
      </c>
    </row>
    <row r="196" spans="1:9" x14ac:dyDescent="0.2">
      <c r="A196" s="1890"/>
      <c r="B196" s="1889"/>
      <c r="C196" s="1892"/>
      <c r="D196" s="1895"/>
      <c r="E196" s="1895"/>
      <c r="F196" s="1895"/>
      <c r="G196" s="1896"/>
      <c r="H196" s="1897"/>
      <c r="I196" s="1897"/>
    </row>
    <row r="197" spans="1:9" x14ac:dyDescent="0.2">
      <c r="A197" s="1890"/>
      <c r="B197" s="1889"/>
      <c r="C197" s="1892"/>
      <c r="D197" s="1891"/>
      <c r="E197" s="1891"/>
      <c r="F197" s="1891"/>
      <c r="G197" s="1896"/>
      <c r="H197" s="1897"/>
      <c r="I197" s="1897"/>
    </row>
    <row r="198" spans="1:9" x14ac:dyDescent="0.2">
      <c r="A198" s="1890"/>
      <c r="B198" s="1889"/>
      <c r="C198" s="1892"/>
      <c r="D198" s="1891"/>
      <c r="E198" s="1891"/>
      <c r="F198" s="1891"/>
      <c r="G198" s="1896"/>
      <c r="H198" s="1897"/>
      <c r="I198" s="1897"/>
    </row>
    <row r="199" spans="1:9" x14ac:dyDescent="0.2">
      <c r="A199" s="1898"/>
      <c r="B199" s="1889"/>
      <c r="C199" s="1892"/>
      <c r="D199" s="1891"/>
      <c r="E199" s="1891"/>
      <c r="F199" s="1891"/>
      <c r="G199" s="1896"/>
      <c r="H199" s="1897"/>
      <c r="I199" s="1897"/>
    </row>
    <row r="200" spans="1:9" x14ac:dyDescent="0.2">
      <c r="A200" s="1890"/>
      <c r="B200" s="1889"/>
      <c r="C200" s="1892"/>
      <c r="D200" s="1891"/>
      <c r="E200" s="1891"/>
      <c r="F200" s="1891"/>
      <c r="G200" s="1896"/>
      <c r="H200" s="1897"/>
      <c r="I200" s="1897"/>
    </row>
    <row r="201" spans="1:9" x14ac:dyDescent="0.2">
      <c r="A201" s="1890"/>
      <c r="B201" s="1889"/>
      <c r="C201" s="1892"/>
      <c r="D201" s="1891"/>
      <c r="E201" s="1891"/>
      <c r="F201" s="1891"/>
      <c r="G201" s="1896"/>
      <c r="H201" s="1897"/>
      <c r="I201" s="1897"/>
    </row>
    <row r="202" spans="1:9" x14ac:dyDescent="0.2">
      <c r="A202" s="1890"/>
      <c r="B202" s="1889"/>
      <c r="C202" s="1892"/>
      <c r="D202" s="1891"/>
      <c r="E202" s="1891"/>
      <c r="F202" s="1891"/>
      <c r="G202" s="1896"/>
      <c r="H202" s="1897"/>
      <c r="I202" s="1897"/>
    </row>
    <row r="203" spans="1:9" x14ac:dyDescent="0.2">
      <c r="A203" s="1890"/>
      <c r="B203" s="1889"/>
      <c r="C203" s="1892"/>
      <c r="D203" s="1891"/>
      <c r="E203" s="1891"/>
      <c r="F203" s="1891"/>
      <c r="G203" s="1893"/>
      <c r="H203" s="1894"/>
      <c r="I203" s="1894"/>
    </row>
  </sheetData>
  <sheetProtection algorithmName="SHA-512" hashValue="gA3Ag1RNswBMC2xpmJqi8texMEAjBJrb4uaDGpQs54ldt9ysKTRP2FVyUoSTcVjwU3d2+LtFjOs1VJxCoPpMlQ==" saltValue="TBgcMJywmLQuQZehZ4KMoQ==" spinCount="100000" sheet="1" objects="1" scenarios="1"/>
  <mergeCells count="2">
    <mergeCell ref="B4:B6"/>
    <mergeCell ref="D4:F4"/>
  </mergeCells>
  <pageMargins left="0.70866141732283472" right="0.70866141732283472" top="0.78740157480314965" bottom="0.78740157480314965" header="0.31496062992125984" footer="0.31496062992125984"/>
  <pageSetup paperSize="9" scale="96" orientation="portrait" r:id="rId1"/>
  <headerFooter>
    <oddFooter>&amp;C© Bayerische Landesanstalt für Landwirtschaft, Institut für Agrarökologie - Düngung (Of, Sr, Sp; Ka); Stand: 04.11.21</oddFooter>
  </headerFooter>
  <rowBreaks count="3" manualBreakCount="3">
    <brk id="50" max="16383" man="1"/>
    <brk id="105" max="16383" man="1"/>
    <brk id="166"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A3195-5215-404E-9A60-3FC0FD94E95C}">
  <sheetPr codeName="Tabelle7"/>
  <dimension ref="A1:IM222"/>
  <sheetViews>
    <sheetView showGridLines="0" topLeftCell="A10" zoomScaleNormal="100" workbookViewId="0">
      <selection activeCell="I14" sqref="I14"/>
    </sheetView>
  </sheetViews>
  <sheetFormatPr baseColWidth="10" defaultColWidth="11.42578125" defaultRowHeight="12.75" x14ac:dyDescent="0.2"/>
  <cols>
    <col min="1" max="4" width="6.7109375" customWidth="1"/>
    <col min="5" max="5" width="9.7109375" customWidth="1"/>
    <col min="6" max="6" width="5.85546875" customWidth="1"/>
    <col min="7" max="8" width="7" customWidth="1"/>
    <col min="9" max="9" width="6.42578125" customWidth="1"/>
    <col min="10" max="10" width="8.42578125" customWidth="1"/>
    <col min="11" max="11" width="5.85546875" customWidth="1"/>
    <col min="12" max="13" width="6.7109375" customWidth="1"/>
    <col min="14" max="15" width="4.5703125" customWidth="1"/>
    <col min="16" max="16" width="4.28515625" customWidth="1"/>
    <col min="17" max="17" width="6.42578125" customWidth="1"/>
    <col min="18" max="18" width="8.42578125" customWidth="1"/>
    <col min="19" max="20" width="4.5703125" customWidth="1"/>
    <col min="21" max="21" width="1" customWidth="1"/>
    <col min="22" max="22" width="4.5703125" customWidth="1"/>
    <col min="23" max="23" width="0.5703125" customWidth="1"/>
    <col min="24" max="24" width="4.5703125" customWidth="1"/>
    <col min="25" max="27" width="7.85546875" customWidth="1"/>
    <col min="28" max="28" width="7.42578125" customWidth="1"/>
    <col min="29" max="29" width="7.7109375" customWidth="1"/>
    <col min="30" max="30" width="4.42578125" customWidth="1"/>
    <col min="31" max="31" width="6.28515625" customWidth="1"/>
    <col min="32" max="32" width="6.140625" customWidth="1"/>
    <col min="33" max="33" width="7.7109375" customWidth="1"/>
    <col min="34" max="34" width="4.42578125" customWidth="1"/>
    <col min="35" max="36" width="6.28515625" customWidth="1"/>
    <col min="37" max="37" width="7.7109375" hidden="1" customWidth="1"/>
    <col min="38" max="38" width="4.42578125" hidden="1" customWidth="1"/>
    <col min="39" max="40" width="6.28515625" hidden="1" customWidth="1"/>
    <col min="41" max="41" width="6.28515625" customWidth="1"/>
    <col min="42" max="44" width="7.28515625" customWidth="1"/>
    <col min="45" max="45" width="7.7109375" customWidth="1"/>
    <col min="46" max="46" width="4.42578125" customWidth="1"/>
    <col min="47" max="48" width="6.28515625" customWidth="1"/>
    <col min="49" max="49" width="0.5703125" customWidth="1"/>
    <col min="50" max="56" width="7.85546875" hidden="1" customWidth="1"/>
    <col min="57" max="67" width="11.42578125" style="370" customWidth="1"/>
    <col min="68" max="68" width="7.85546875" style="1252" hidden="1" customWidth="1"/>
    <col min="69" max="72" width="11.42578125" hidden="1" customWidth="1"/>
    <col min="73" max="73" width="11.42578125" style="1118" hidden="1" customWidth="1"/>
    <col min="74" max="74" width="20.140625" style="1118" hidden="1" customWidth="1"/>
    <col min="75" max="80" width="11.42578125" hidden="1" customWidth="1"/>
    <col min="81" max="81" width="12.28515625" hidden="1" customWidth="1"/>
    <col min="82" max="83" width="11.42578125" hidden="1" customWidth="1"/>
    <col min="84" max="85" width="12.28515625" hidden="1" customWidth="1"/>
    <col min="86" max="86" width="11.42578125" hidden="1" customWidth="1"/>
    <col min="87" max="88" width="12" hidden="1" customWidth="1"/>
    <col min="89" max="89" width="11.42578125" hidden="1" customWidth="1"/>
    <col min="90" max="90" width="12.28515625" hidden="1" customWidth="1"/>
    <col min="91" max="93" width="11.42578125" hidden="1" customWidth="1"/>
    <col min="94" max="94" width="20.28515625" hidden="1" customWidth="1"/>
    <col min="95" max="98" width="11.42578125" hidden="1" customWidth="1"/>
    <col min="99" max="99" width="11.5703125" hidden="1" customWidth="1"/>
    <col min="100" max="100" width="11.42578125" hidden="1" customWidth="1"/>
    <col min="101" max="101" width="13.85546875" hidden="1" customWidth="1"/>
    <col min="102" max="183" width="11.42578125" hidden="1" customWidth="1"/>
    <col min="184" max="191" width="13" hidden="1" customWidth="1"/>
    <col min="192" max="193" width="12" hidden="1" customWidth="1"/>
    <col min="194" max="196" width="13" hidden="1" customWidth="1"/>
    <col min="197" max="203" width="11.42578125" hidden="1" customWidth="1"/>
    <col min="204" max="204" width="13" hidden="1" customWidth="1"/>
    <col min="205" max="207" width="11.42578125" hidden="1" customWidth="1"/>
    <col min="208" max="210" width="12.28515625" hidden="1" customWidth="1"/>
    <col min="211" max="220" width="11.42578125" hidden="1" customWidth="1"/>
    <col min="221" max="221" width="30.42578125" hidden="1" customWidth="1"/>
    <col min="222" max="245" width="11.42578125" hidden="1" customWidth="1"/>
    <col min="246" max="247" width="11.42578125" style="1118" hidden="1" customWidth="1"/>
    <col min="248" max="16384" width="11.42578125" style="1118"/>
  </cols>
  <sheetData>
    <row r="1" spans="1:245" ht="16.5" customHeight="1" x14ac:dyDescent="0.2">
      <c r="A1" s="2825" t="s">
        <v>8326</v>
      </c>
      <c r="B1" s="2825"/>
      <c r="C1" s="2825"/>
      <c r="D1" s="2825"/>
      <c r="E1" s="2825"/>
      <c r="F1" s="2825"/>
      <c r="G1" s="2825"/>
      <c r="H1" s="2825"/>
      <c r="I1" s="2825"/>
      <c r="J1" s="2825"/>
      <c r="K1" s="2825"/>
      <c r="L1" s="2825"/>
      <c r="M1" s="2825"/>
      <c r="N1" s="2825"/>
      <c r="O1" s="2825"/>
      <c r="P1" s="2825"/>
      <c r="Q1" s="2825"/>
      <c r="R1" s="2825"/>
      <c r="S1" s="2825"/>
      <c r="T1" s="510"/>
      <c r="U1" s="510"/>
      <c r="V1" s="510"/>
      <c r="Y1" s="510"/>
      <c r="Z1" s="510"/>
      <c r="AA1" s="510"/>
      <c r="AB1" s="510"/>
      <c r="AC1" s="2029" t="str">
        <f>IF(AND(SUM(GU4:GU7)=0,SUM(HD4:HD7)&gt;0),"",IF(GU5+GU7&lt;HC5+HC7,CONCATENATE("Die Futterration ist bei Phosphat um ",ROUND(((HC5+HC7)/(GU5+GU7)-1)*100,0)," % höher als der berechnete Futterbedarf"),""))</f>
        <v/>
      </c>
      <c r="AD1" s="510"/>
      <c r="AF1" s="510"/>
      <c r="AG1" s="510"/>
      <c r="AH1" s="510"/>
      <c r="AI1" s="510"/>
      <c r="AJ1" s="510"/>
      <c r="AL1" s="510"/>
      <c r="AM1" s="510"/>
      <c r="AN1" s="510"/>
      <c r="AO1" s="510"/>
      <c r="AP1" s="510"/>
      <c r="AQ1" s="510"/>
      <c r="AR1" s="510"/>
      <c r="AS1" s="510"/>
      <c r="AT1" s="510"/>
      <c r="AU1" s="510"/>
      <c r="AV1" s="510"/>
      <c r="AY1" s="2042"/>
      <c r="AZ1" s="2042"/>
      <c r="BA1" s="2042"/>
      <c r="BB1" s="2042"/>
      <c r="BC1" s="2042"/>
      <c r="BD1" s="2042"/>
      <c r="BP1" s="2043"/>
      <c r="BQ1" s="2042"/>
      <c r="BR1" s="2042"/>
      <c r="BS1" s="2042"/>
      <c r="BT1" s="2042" t="s">
        <v>1269</v>
      </c>
      <c r="BU1" s="2044" t="s">
        <v>1270</v>
      </c>
      <c r="BV1" s="2044" t="s">
        <v>1271</v>
      </c>
      <c r="BW1" s="2042"/>
      <c r="BX1" s="2042"/>
      <c r="BY1" s="2042"/>
      <c r="BZ1" s="2042"/>
      <c r="CA1" s="2042"/>
      <c r="CB1" s="2042"/>
      <c r="CC1" s="2042"/>
      <c r="CD1" s="2042"/>
      <c r="CE1" s="2042"/>
      <c r="CF1" s="2042"/>
      <c r="CG1" s="2042"/>
      <c r="CH1" s="2042"/>
      <c r="CI1" s="2042"/>
      <c r="CJ1" s="2042"/>
      <c r="CK1" s="2042"/>
      <c r="CL1" s="2042"/>
      <c r="CM1" s="2042"/>
      <c r="CN1" s="2042"/>
      <c r="CO1" s="2042"/>
      <c r="CP1" s="2042"/>
      <c r="CQ1" s="2042"/>
      <c r="CR1" s="2042"/>
      <c r="CS1" s="2042"/>
      <c r="CT1" s="2042"/>
      <c r="CU1" s="2042"/>
      <c r="CV1" s="2042"/>
      <c r="CW1" s="2042"/>
      <c r="CX1" s="2042"/>
      <c r="CY1" s="2042"/>
      <c r="CZ1" s="2267" t="s">
        <v>8487</v>
      </c>
      <c r="DA1" s="2268"/>
      <c r="DB1" s="2268"/>
      <c r="DC1" s="2268"/>
      <c r="DD1" s="2268"/>
      <c r="DE1" s="2268"/>
      <c r="DF1" s="2268"/>
      <c r="DG1" s="2268"/>
      <c r="DH1" s="2268"/>
      <c r="DI1" s="2268"/>
      <c r="DJ1" s="2268"/>
      <c r="DK1" s="2268"/>
      <c r="DL1" s="2042"/>
      <c r="DM1" s="2214" t="s">
        <v>8488</v>
      </c>
      <c r="DN1" s="2269"/>
      <c r="DO1" s="2269"/>
      <c r="DP1" s="2269"/>
      <c r="DQ1" s="2269"/>
      <c r="DR1" s="2269"/>
      <c r="DS1" s="2269"/>
      <c r="DT1" s="2269"/>
      <c r="DU1" s="2269"/>
      <c r="DV1" s="2269"/>
      <c r="DW1" s="2269"/>
      <c r="DX1" s="2269"/>
      <c r="DY1" s="2042"/>
      <c r="DZ1" s="2267" t="s">
        <v>8489</v>
      </c>
      <c r="EA1" s="2268"/>
      <c r="EB1" s="2268"/>
      <c r="EC1" s="2268"/>
      <c r="ED1" s="2268"/>
      <c r="EE1" s="2268"/>
      <c r="EF1" s="2268"/>
      <c r="EG1" s="2268"/>
      <c r="EH1" s="2268"/>
      <c r="EI1" s="2268"/>
      <c r="EJ1" s="2268"/>
      <c r="EK1" s="2268"/>
      <c r="EL1" s="2042"/>
      <c r="EM1" s="2214" t="s">
        <v>8490</v>
      </c>
      <c r="EN1" s="2269"/>
      <c r="EO1" s="2269"/>
      <c r="EP1" s="2269"/>
      <c r="EQ1" s="2269"/>
      <c r="ER1" s="2269"/>
      <c r="ES1" s="2269"/>
      <c r="ET1" s="2269"/>
      <c r="EU1" s="2269"/>
      <c r="EV1" s="2269"/>
      <c r="EW1" s="2269"/>
      <c r="EX1" s="2269"/>
      <c r="EY1" s="2042"/>
      <c r="EZ1" s="2267" t="s">
        <v>8491</v>
      </c>
      <c r="FA1" s="2268"/>
      <c r="FB1" s="2268"/>
      <c r="FC1" s="2268"/>
      <c r="FD1" s="2268"/>
      <c r="FE1" s="2268"/>
      <c r="FF1" s="2268"/>
      <c r="FG1" s="2268"/>
      <c r="FH1" s="2268"/>
      <c r="FI1" s="2268"/>
      <c r="FJ1" s="2268"/>
      <c r="FK1" s="2268"/>
      <c r="FL1" s="2268"/>
      <c r="FM1" s="2042"/>
      <c r="FN1" s="2214" t="s">
        <v>8492</v>
      </c>
      <c r="FO1" s="2269"/>
      <c r="FP1" s="2269"/>
      <c r="FQ1" s="2269"/>
      <c r="FR1" s="2269"/>
      <c r="FS1" s="2269"/>
      <c r="FT1" s="2269"/>
      <c r="FU1" s="2269"/>
      <c r="FV1" s="2269"/>
      <c r="FW1" s="2269"/>
      <c r="FX1" s="2269"/>
      <c r="FY1" s="2269"/>
      <c r="FZ1" s="2269"/>
      <c r="GA1" s="2269"/>
      <c r="GB1" s="2042"/>
      <c r="GC1" s="2042"/>
      <c r="GD1" s="2042"/>
      <c r="GE1" s="2042"/>
      <c r="GF1" s="2042"/>
      <c r="GG1" s="2042"/>
      <c r="GH1" s="2042"/>
      <c r="GI1" s="2042"/>
      <c r="GJ1" s="2042"/>
      <c r="GK1" s="2042"/>
      <c r="GL1" s="2042"/>
      <c r="GM1" s="2042"/>
      <c r="GN1" s="2042"/>
      <c r="GO1" s="2042"/>
      <c r="GP1" s="2042"/>
      <c r="GQ1" s="2042"/>
      <c r="GR1" s="2042"/>
      <c r="GS1" s="2042"/>
      <c r="GT1" s="2042"/>
      <c r="GU1" s="2042"/>
      <c r="GV1" s="2042"/>
      <c r="GW1" s="2042"/>
      <c r="GX1" s="2042"/>
      <c r="GY1" s="2042" t="s">
        <v>1238</v>
      </c>
      <c r="GZ1" s="2046">
        <v>0.3</v>
      </c>
      <c r="HA1" s="2042" t="s">
        <v>1266</v>
      </c>
      <c r="HB1" s="2046">
        <v>0.1</v>
      </c>
      <c r="HC1" s="2042"/>
      <c r="HD1" s="2042"/>
      <c r="HE1" s="2042"/>
      <c r="HF1" s="2045" t="s">
        <v>8512</v>
      </c>
      <c r="HG1" s="2046">
        <v>2</v>
      </c>
      <c r="HH1" s="2046"/>
      <c r="HI1" s="2042"/>
      <c r="HJ1" s="2042"/>
      <c r="HL1" s="2042"/>
      <c r="HM1" s="2042"/>
      <c r="HN1" s="2042"/>
      <c r="HO1" s="2042"/>
      <c r="HP1" s="2042"/>
      <c r="HQ1" s="2042"/>
      <c r="HR1" s="2042"/>
      <c r="HS1" s="2042"/>
      <c r="HT1" s="2042"/>
      <c r="HU1" s="2042"/>
      <c r="HV1" s="2042"/>
      <c r="HW1" s="2042"/>
      <c r="HX1" s="2042"/>
      <c r="HY1" s="2042"/>
      <c r="HZ1" s="2042"/>
      <c r="IA1" s="2042"/>
      <c r="IB1" s="2042"/>
      <c r="IC1" s="2042"/>
      <c r="ID1" s="2042" t="s">
        <v>1227</v>
      </c>
      <c r="IE1" s="2042"/>
      <c r="IF1" s="2042" t="s">
        <v>1152</v>
      </c>
      <c r="IG1" s="2042"/>
      <c r="IH1" s="2042" t="s">
        <v>1219</v>
      </c>
      <c r="II1" s="2042"/>
      <c r="IJ1" s="2045" t="s">
        <v>8504</v>
      </c>
    </row>
    <row r="2" spans="1:245" ht="9.75" customHeight="1" x14ac:dyDescent="0.2">
      <c r="A2" s="3031" t="s">
        <v>8453</v>
      </c>
      <c r="B2" s="3031"/>
      <c r="C2" s="3031"/>
      <c r="D2" s="3031"/>
      <c r="E2" s="3031"/>
      <c r="F2" s="3031"/>
      <c r="G2" s="3031"/>
      <c r="H2" s="3031"/>
      <c r="I2" s="3031"/>
      <c r="J2" s="3031"/>
      <c r="K2" s="3031"/>
      <c r="L2" s="3031"/>
      <c r="M2" s="3031"/>
      <c r="N2" s="3031"/>
      <c r="O2" s="3031"/>
      <c r="P2" s="3031"/>
      <c r="Q2" s="3031"/>
      <c r="R2" s="3031"/>
      <c r="S2" s="3031"/>
      <c r="T2" s="3031"/>
      <c r="U2" s="365"/>
      <c r="V2" s="365"/>
      <c r="Y2" s="3103" t="s">
        <v>8454</v>
      </c>
      <c r="Z2" s="3103"/>
      <c r="AA2" s="3103"/>
      <c r="AB2" s="3103"/>
      <c r="AC2" s="3103"/>
      <c r="AD2" s="3103"/>
      <c r="AE2" s="3103"/>
      <c r="AF2" s="3103"/>
      <c r="AG2" s="3103"/>
      <c r="AH2" s="3103"/>
      <c r="AI2" s="3103"/>
      <c r="AJ2" s="3103"/>
      <c r="AK2" s="3103"/>
      <c r="AL2" s="3103"/>
      <c r="AM2" s="3103"/>
      <c r="AN2" s="3103"/>
      <c r="AO2" s="3103"/>
      <c r="AP2" s="3103"/>
      <c r="AQ2" s="3103"/>
      <c r="AR2" s="3103"/>
      <c r="AS2" s="3103"/>
      <c r="AT2" s="3103"/>
      <c r="AU2" s="3103"/>
      <c r="AV2" s="2243"/>
      <c r="AY2" s="2042"/>
      <c r="AZ2" s="2042"/>
      <c r="BA2" s="2042"/>
      <c r="BB2" s="2042"/>
      <c r="BC2" s="2042"/>
      <c r="BD2" s="2042"/>
      <c r="BE2" s="3101" t="s">
        <v>8455</v>
      </c>
      <c r="BF2" s="3101"/>
      <c r="BG2" s="3101"/>
      <c r="BH2" s="3101"/>
      <c r="BI2" s="3101"/>
      <c r="BJ2" s="3101"/>
      <c r="BK2" s="3101"/>
      <c r="BL2" s="3101"/>
      <c r="BM2" s="3101"/>
      <c r="BN2" s="3101"/>
      <c r="BO2" s="3102"/>
      <c r="BP2" s="2043"/>
      <c r="BQ2" s="2042"/>
      <c r="BR2" s="2042"/>
      <c r="BS2" s="2042"/>
      <c r="BT2" s="2042"/>
      <c r="BU2" s="2044"/>
      <c r="BV2" s="2044"/>
      <c r="BW2" s="2042"/>
      <c r="BX2" s="2042"/>
      <c r="BY2" s="2042"/>
      <c r="BZ2" s="2042"/>
      <c r="CA2" s="2042"/>
      <c r="CB2" s="2042"/>
      <c r="CC2" s="2042"/>
      <c r="CD2" s="2042"/>
      <c r="CE2" s="2042"/>
      <c r="CF2" s="2042"/>
      <c r="CG2" s="2042"/>
      <c r="CH2" s="2042"/>
      <c r="CI2" s="2042"/>
      <c r="CJ2" s="2042"/>
      <c r="CK2" s="2042"/>
      <c r="CL2" s="2042"/>
      <c r="CM2" s="2042"/>
      <c r="CN2" s="2042"/>
      <c r="CO2" s="2042"/>
      <c r="CP2" s="2042"/>
      <c r="CQ2" s="2042"/>
      <c r="CR2" s="2042"/>
      <c r="CS2" s="2042"/>
      <c r="CT2" s="2042"/>
      <c r="CU2" s="2042"/>
      <c r="CV2" s="2042"/>
      <c r="CW2" s="2042"/>
      <c r="CX2" s="2042"/>
      <c r="CY2" s="2042"/>
      <c r="CZ2" s="2045">
        <v>1</v>
      </c>
      <c r="DA2" s="2042">
        <v>2</v>
      </c>
      <c r="DB2" s="2045">
        <v>3</v>
      </c>
      <c r="DC2" s="2042">
        <v>4</v>
      </c>
      <c r="DD2" s="2045">
        <v>5</v>
      </c>
      <c r="DE2" s="2042">
        <v>6</v>
      </c>
      <c r="DF2" s="2045">
        <v>7</v>
      </c>
      <c r="DG2" s="2042">
        <v>8</v>
      </c>
      <c r="DH2" s="2045">
        <v>9</v>
      </c>
      <c r="DI2" s="2042">
        <v>10</v>
      </c>
      <c r="DJ2" s="2045">
        <v>11</v>
      </c>
      <c r="DK2" s="2042">
        <v>12</v>
      </c>
      <c r="DL2" s="2042"/>
      <c r="DM2" s="2045">
        <v>1</v>
      </c>
      <c r="DN2" s="2042">
        <v>2</v>
      </c>
      <c r="DO2" s="2045">
        <v>3</v>
      </c>
      <c r="DP2" s="2042">
        <v>4</v>
      </c>
      <c r="DQ2" s="2045">
        <v>5</v>
      </c>
      <c r="DR2" s="2042">
        <v>6</v>
      </c>
      <c r="DS2" s="2045">
        <v>7</v>
      </c>
      <c r="DT2" s="2042">
        <v>8</v>
      </c>
      <c r="DU2" s="2045">
        <v>9</v>
      </c>
      <c r="DV2" s="2042">
        <v>10</v>
      </c>
      <c r="DW2" s="2045">
        <v>11</v>
      </c>
      <c r="DX2" s="2042">
        <v>12</v>
      </c>
      <c r="DY2" s="2042"/>
      <c r="DZ2" s="2045">
        <v>1</v>
      </c>
      <c r="EA2" s="2042">
        <v>2</v>
      </c>
      <c r="EB2" s="2045">
        <v>3</v>
      </c>
      <c r="EC2" s="2042">
        <v>4</v>
      </c>
      <c r="ED2" s="2045">
        <v>5</v>
      </c>
      <c r="EE2" s="2042">
        <v>6</v>
      </c>
      <c r="EF2" s="2045">
        <v>7</v>
      </c>
      <c r="EG2" s="2042">
        <v>8</v>
      </c>
      <c r="EH2" s="2045">
        <v>9</v>
      </c>
      <c r="EI2" s="2042">
        <v>10</v>
      </c>
      <c r="EJ2" s="2045">
        <v>11</v>
      </c>
      <c r="EK2" s="2042">
        <v>12</v>
      </c>
      <c r="EL2" s="2042"/>
      <c r="EM2" s="2045">
        <v>1</v>
      </c>
      <c r="EN2" s="2042">
        <v>2</v>
      </c>
      <c r="EO2" s="2045">
        <v>3</v>
      </c>
      <c r="EP2" s="2042">
        <v>4</v>
      </c>
      <c r="EQ2" s="2045">
        <v>5</v>
      </c>
      <c r="ER2" s="2042">
        <v>6</v>
      </c>
      <c r="ES2" s="2045">
        <v>7</v>
      </c>
      <c r="ET2" s="2042">
        <v>8</v>
      </c>
      <c r="EU2" s="2045">
        <v>9</v>
      </c>
      <c r="EV2" s="2042">
        <v>10</v>
      </c>
      <c r="EW2" s="2045">
        <v>11</v>
      </c>
      <c r="EX2" s="2042">
        <v>12</v>
      </c>
      <c r="EY2" s="2042"/>
      <c r="EZ2" s="2045" t="s">
        <v>1163</v>
      </c>
      <c r="FA2" s="2045">
        <v>1</v>
      </c>
      <c r="FB2" s="2042">
        <v>2</v>
      </c>
      <c r="FC2" s="2045">
        <v>3</v>
      </c>
      <c r="FD2" s="2042">
        <v>4</v>
      </c>
      <c r="FE2" s="2045">
        <v>5</v>
      </c>
      <c r="FF2" s="2042">
        <v>6</v>
      </c>
      <c r="FG2" s="2045">
        <v>7</v>
      </c>
      <c r="FH2" s="2042">
        <v>8</v>
      </c>
      <c r="FI2" s="2045">
        <v>9</v>
      </c>
      <c r="FJ2" s="2042">
        <v>10</v>
      </c>
      <c r="FK2" s="2045">
        <v>11</v>
      </c>
      <c r="FL2" s="2042">
        <v>12</v>
      </c>
      <c r="FM2" s="2042"/>
      <c r="FN2" s="2045" t="s">
        <v>1163</v>
      </c>
      <c r="FO2" s="2045">
        <v>1</v>
      </c>
      <c r="FP2" s="2042">
        <v>2</v>
      </c>
      <c r="FQ2" s="2045">
        <v>3</v>
      </c>
      <c r="FR2" s="2042">
        <v>4</v>
      </c>
      <c r="FS2" s="2045">
        <v>5</v>
      </c>
      <c r="FT2" s="2042">
        <v>6</v>
      </c>
      <c r="FU2" s="2045">
        <v>7</v>
      </c>
      <c r="FV2" s="2042">
        <v>8</v>
      </c>
      <c r="FW2" s="2045">
        <v>9</v>
      </c>
      <c r="FX2" s="2042">
        <v>10</v>
      </c>
      <c r="FY2" s="2045">
        <v>11</v>
      </c>
      <c r="FZ2" s="2042">
        <v>12</v>
      </c>
      <c r="GA2" s="2042"/>
      <c r="GB2" s="2978" t="s">
        <v>8493</v>
      </c>
      <c r="GC2" s="2978"/>
      <c r="GD2" s="2042"/>
      <c r="GE2" s="2042"/>
      <c r="GF2" s="2045" t="s">
        <v>8495</v>
      </c>
      <c r="GG2" s="2042"/>
      <c r="GH2" s="2978" t="s">
        <v>1213</v>
      </c>
      <c r="GI2" s="2978"/>
      <c r="GJ2" s="2978" t="s">
        <v>8511</v>
      </c>
      <c r="GK2" s="2978"/>
      <c r="GL2" s="2042"/>
      <c r="GM2" s="2042"/>
      <c r="GN2" s="2042"/>
      <c r="GO2" s="2042"/>
      <c r="GP2" s="2042"/>
      <c r="GQ2" s="2042"/>
      <c r="GR2" s="2042"/>
      <c r="GS2" s="2042"/>
      <c r="GT2" s="2042"/>
      <c r="GU2" s="2045" t="s">
        <v>8507</v>
      </c>
      <c r="GV2" s="2042"/>
      <c r="GW2" s="2042"/>
      <c r="GX2" s="2042"/>
      <c r="GY2" s="2042"/>
      <c r="GZ2" s="2042"/>
      <c r="HA2" s="2042"/>
      <c r="HB2" s="2042"/>
      <c r="HC2" s="2042"/>
      <c r="HD2" s="2042"/>
      <c r="HE2" s="2042"/>
      <c r="HF2" s="2045" t="s">
        <v>8513</v>
      </c>
      <c r="HG2" s="2046">
        <v>3</v>
      </c>
      <c r="HH2" s="2046"/>
      <c r="HI2" s="2042"/>
      <c r="HJ2" s="2042"/>
      <c r="HL2" s="2042"/>
      <c r="HM2" s="2042"/>
      <c r="HN2" s="2042"/>
      <c r="HO2" s="2042"/>
      <c r="HP2" s="2042"/>
      <c r="HQ2" s="2980" t="s">
        <v>1219</v>
      </c>
      <c r="HR2" s="2980"/>
      <c r="HS2" s="2980"/>
      <c r="HT2" s="2980"/>
      <c r="HU2" s="2042" t="s">
        <v>8404</v>
      </c>
      <c r="HV2" s="2042"/>
      <c r="HW2" s="2042"/>
      <c r="HX2" s="2042"/>
      <c r="HY2" s="2042"/>
      <c r="HZ2" s="2042"/>
      <c r="IA2" s="2042"/>
      <c r="IB2" s="2042"/>
      <c r="IC2" s="2042"/>
      <c r="ID2" s="2042"/>
      <c r="IE2" s="2042"/>
      <c r="IF2" s="2042"/>
      <c r="IG2" s="2042"/>
      <c r="IH2" s="2042"/>
      <c r="II2" s="2042"/>
      <c r="IJ2" s="2045"/>
    </row>
    <row r="3" spans="1:245" ht="12.6" customHeight="1" x14ac:dyDescent="0.2">
      <c r="A3" s="2005" t="s">
        <v>1247</v>
      </c>
      <c r="B3" s="2005"/>
      <c r="C3" s="2005"/>
      <c r="D3" s="2006" t="str">
        <f>IF('Berechnung Nährstoffe und Lager'!B5="","",'Berechnung Nährstoffe und Lager'!B5)</f>
        <v/>
      </c>
      <c r="E3" s="510"/>
      <c r="F3" s="510"/>
      <c r="G3" s="3028" t="s">
        <v>19</v>
      </c>
      <c r="H3" s="3028"/>
      <c r="I3" s="2007">
        <v>2021</v>
      </c>
      <c r="J3" s="510"/>
      <c r="K3" s="3021" t="s">
        <v>1244</v>
      </c>
      <c r="L3" s="3021"/>
      <c r="M3" s="3021"/>
      <c r="N3" s="3011">
        <f>'Berechnung Nährstoffe und Lager'!B295</f>
        <v>0</v>
      </c>
      <c r="O3" s="3011"/>
      <c r="P3" s="2005" t="s">
        <v>354</v>
      </c>
      <c r="Q3" s="510"/>
      <c r="R3" s="510"/>
      <c r="S3" s="510"/>
      <c r="T3" s="510"/>
      <c r="U3" s="510"/>
      <c r="V3" s="510"/>
      <c r="Y3" s="510"/>
      <c r="Z3" s="510"/>
      <c r="AA3" s="510"/>
      <c r="AB3" s="510"/>
      <c r="AC3" s="510"/>
      <c r="AD3" s="510"/>
      <c r="AE3" s="510"/>
      <c r="AF3" s="510"/>
      <c r="AG3" s="510"/>
      <c r="AH3" s="510"/>
      <c r="AI3" s="510"/>
      <c r="AJ3" s="2029" t="str">
        <f>IF(AND(BA11=0,BC11=0),"",IF(BC11&gt;0,"Nährstoffgehalt nicht plausibel","Lagerbestand nicht plausibel"))</f>
        <v/>
      </c>
      <c r="AL3" s="510"/>
      <c r="AM3" s="510"/>
      <c r="AN3" s="510"/>
      <c r="AO3" s="510"/>
      <c r="AP3" s="510"/>
      <c r="AQ3" s="510"/>
      <c r="AR3" s="510"/>
      <c r="AS3" s="510"/>
      <c r="AT3" s="510"/>
      <c r="AU3" s="510"/>
      <c r="AV3" s="510"/>
      <c r="AY3" s="2045" t="s">
        <v>1255</v>
      </c>
      <c r="AZ3" s="2042"/>
      <c r="BA3" s="2042"/>
      <c r="BB3" s="2042"/>
      <c r="BC3" s="2042"/>
      <c r="BD3" s="2042"/>
      <c r="BP3" s="2043"/>
      <c r="BQ3" s="2045" t="s">
        <v>1254</v>
      </c>
      <c r="BR3" s="2042"/>
      <c r="BS3" s="2042"/>
      <c r="BT3" s="2042" t="str">
        <f>CONCATENATE(BU3,BV3)</f>
        <v>X1:AR37</v>
      </c>
      <c r="BU3" s="2044" t="s">
        <v>1272</v>
      </c>
      <c r="BV3" s="2044">
        <f>IF(COUNT(AL38:AL69)=0,37,IF(COUNT(AL70:AL105)=0,69,IF(COUNT(AL106:AL136)=0,99,130)))</f>
        <v>37</v>
      </c>
      <c r="BW3" s="2042"/>
      <c r="BX3" s="2042"/>
      <c r="BY3" s="2042"/>
      <c r="BZ3" s="2042"/>
      <c r="CA3" s="2042"/>
      <c r="CB3" s="2042"/>
      <c r="CC3" s="2042"/>
      <c r="CD3" s="2042"/>
      <c r="CE3" s="2042"/>
      <c r="CF3" s="2042"/>
      <c r="CG3" s="2042"/>
      <c r="CH3" s="2042"/>
      <c r="CI3" s="2042"/>
      <c r="CJ3" s="2042"/>
      <c r="CK3" s="2042"/>
      <c r="CL3" s="2042"/>
      <c r="CM3" s="2042"/>
      <c r="CN3" s="2042"/>
      <c r="CO3" s="2042"/>
      <c r="CP3" s="2042"/>
      <c r="CQ3" s="2042"/>
      <c r="CR3" s="2042"/>
      <c r="CS3" s="2042"/>
      <c r="CT3" s="2042"/>
      <c r="CU3" s="2042"/>
      <c r="CV3" s="2042"/>
      <c r="CW3" s="2047" t="s">
        <v>533</v>
      </c>
      <c r="CX3" s="2045" t="s">
        <v>1174</v>
      </c>
      <c r="CY3" s="2045" t="s">
        <v>1175</v>
      </c>
      <c r="CZ3" s="2045" t="s">
        <v>1076</v>
      </c>
      <c r="DA3" s="2045" t="s">
        <v>1077</v>
      </c>
      <c r="DB3" s="2045" t="s">
        <v>1078</v>
      </c>
      <c r="DC3" s="2045" t="s">
        <v>1079</v>
      </c>
      <c r="DD3" s="2045" t="s">
        <v>1177</v>
      </c>
      <c r="DE3" s="2045" t="s">
        <v>1178</v>
      </c>
      <c r="DF3" s="2045" t="s">
        <v>1082</v>
      </c>
      <c r="DG3" s="2045" t="s">
        <v>1083</v>
      </c>
      <c r="DH3" s="2045" t="s">
        <v>1084</v>
      </c>
      <c r="DI3" s="2045" t="s">
        <v>1085</v>
      </c>
      <c r="DJ3" s="2045" t="s">
        <v>1086</v>
      </c>
      <c r="DK3" s="2045" t="s">
        <v>1087</v>
      </c>
      <c r="DL3" s="2042"/>
      <c r="DM3" s="2045" t="s">
        <v>1076</v>
      </c>
      <c r="DN3" s="2045" t="s">
        <v>1077</v>
      </c>
      <c r="DO3" s="2045" t="s">
        <v>1078</v>
      </c>
      <c r="DP3" s="2045" t="s">
        <v>1079</v>
      </c>
      <c r="DQ3" s="2045" t="s">
        <v>1177</v>
      </c>
      <c r="DR3" s="2045" t="s">
        <v>1178</v>
      </c>
      <c r="DS3" s="2045" t="s">
        <v>1082</v>
      </c>
      <c r="DT3" s="2045" t="s">
        <v>1083</v>
      </c>
      <c r="DU3" s="2045" t="s">
        <v>1084</v>
      </c>
      <c r="DV3" s="2045" t="s">
        <v>1085</v>
      </c>
      <c r="DW3" s="2045" t="s">
        <v>1086</v>
      </c>
      <c r="DX3" s="2045" t="s">
        <v>1087</v>
      </c>
      <c r="DY3" s="2042"/>
      <c r="DZ3" s="2045" t="s">
        <v>1076</v>
      </c>
      <c r="EA3" s="2045" t="s">
        <v>1077</v>
      </c>
      <c r="EB3" s="2045" t="s">
        <v>1078</v>
      </c>
      <c r="EC3" s="2045" t="s">
        <v>1079</v>
      </c>
      <c r="ED3" s="2045" t="s">
        <v>1177</v>
      </c>
      <c r="EE3" s="2045" t="s">
        <v>1178</v>
      </c>
      <c r="EF3" s="2045" t="s">
        <v>1082</v>
      </c>
      <c r="EG3" s="2045" t="s">
        <v>1083</v>
      </c>
      <c r="EH3" s="2045" t="s">
        <v>1084</v>
      </c>
      <c r="EI3" s="2045" t="s">
        <v>1085</v>
      </c>
      <c r="EJ3" s="2045" t="s">
        <v>1086</v>
      </c>
      <c r="EK3" s="2045" t="s">
        <v>1087</v>
      </c>
      <c r="EL3" s="2042"/>
      <c r="EM3" s="2045" t="s">
        <v>1076</v>
      </c>
      <c r="EN3" s="2045" t="s">
        <v>1077</v>
      </c>
      <c r="EO3" s="2045" t="s">
        <v>1078</v>
      </c>
      <c r="EP3" s="2045" t="s">
        <v>1079</v>
      </c>
      <c r="EQ3" s="2045" t="s">
        <v>1177</v>
      </c>
      <c r="ER3" s="2045" t="s">
        <v>1178</v>
      </c>
      <c r="ES3" s="2045" t="s">
        <v>1082</v>
      </c>
      <c r="ET3" s="2045" t="s">
        <v>1083</v>
      </c>
      <c r="EU3" s="2045" t="s">
        <v>1084</v>
      </c>
      <c r="EV3" s="2045" t="s">
        <v>1085</v>
      </c>
      <c r="EW3" s="2045" t="s">
        <v>1086</v>
      </c>
      <c r="EX3" s="2045" t="s">
        <v>1087</v>
      </c>
      <c r="EY3" s="2042"/>
      <c r="EZ3" s="2045" t="s">
        <v>1176</v>
      </c>
      <c r="FA3" s="2045" t="s">
        <v>1076</v>
      </c>
      <c r="FB3" s="2045" t="s">
        <v>1077</v>
      </c>
      <c r="FC3" s="2045" t="s">
        <v>1078</v>
      </c>
      <c r="FD3" s="2045" t="s">
        <v>1079</v>
      </c>
      <c r="FE3" s="2045" t="s">
        <v>1177</v>
      </c>
      <c r="FF3" s="2045" t="s">
        <v>1178</v>
      </c>
      <c r="FG3" s="2045" t="s">
        <v>1082</v>
      </c>
      <c r="FH3" s="2045" t="s">
        <v>1083</v>
      </c>
      <c r="FI3" s="2045" t="s">
        <v>1084</v>
      </c>
      <c r="FJ3" s="2045" t="s">
        <v>1085</v>
      </c>
      <c r="FK3" s="2045" t="s">
        <v>1086</v>
      </c>
      <c r="FL3" s="2045" t="s">
        <v>1087</v>
      </c>
      <c r="FM3" s="2045"/>
      <c r="FN3" s="2045" t="s">
        <v>1176</v>
      </c>
      <c r="FO3" s="2045" t="s">
        <v>1076</v>
      </c>
      <c r="FP3" s="2045" t="s">
        <v>1077</v>
      </c>
      <c r="FQ3" s="2045" t="s">
        <v>1078</v>
      </c>
      <c r="FR3" s="2045" t="s">
        <v>1079</v>
      </c>
      <c r="FS3" s="2045" t="s">
        <v>1177</v>
      </c>
      <c r="FT3" s="2045" t="s">
        <v>1178</v>
      </c>
      <c r="FU3" s="2045" t="s">
        <v>1082</v>
      </c>
      <c r="FV3" s="2045" t="s">
        <v>1083</v>
      </c>
      <c r="FW3" s="2045" t="s">
        <v>1084</v>
      </c>
      <c r="FX3" s="2045" t="s">
        <v>1085</v>
      </c>
      <c r="FY3" s="2045" t="s">
        <v>1086</v>
      </c>
      <c r="FZ3" s="2045" t="s">
        <v>1087</v>
      </c>
      <c r="GA3" s="2045"/>
      <c r="GB3" s="2267" t="s">
        <v>4</v>
      </c>
      <c r="GC3" s="2214" t="s">
        <v>1046</v>
      </c>
      <c r="GD3" s="2045"/>
      <c r="GE3" s="2045" t="s">
        <v>8494</v>
      </c>
      <c r="GF3" s="2267" t="s">
        <v>4</v>
      </c>
      <c r="GG3" s="2214" t="s">
        <v>1046</v>
      </c>
      <c r="GH3" s="2267" t="s">
        <v>4</v>
      </c>
      <c r="GI3" s="2214" t="s">
        <v>1046</v>
      </c>
      <c r="GJ3" s="2267" t="s">
        <v>4</v>
      </c>
      <c r="GK3" s="2214" t="s">
        <v>1046</v>
      </c>
      <c r="GL3" s="2045" t="s">
        <v>1215</v>
      </c>
      <c r="GM3" s="2045" t="s">
        <v>321</v>
      </c>
      <c r="GN3" s="2045"/>
      <c r="GO3" s="2045" t="s">
        <v>1214</v>
      </c>
      <c r="GP3" s="2045" t="s">
        <v>321</v>
      </c>
      <c r="GQ3" s="2045"/>
      <c r="GR3" s="2045" t="s">
        <v>8408</v>
      </c>
      <c r="GS3" s="2045" t="s">
        <v>1179</v>
      </c>
      <c r="GT3" s="2045" t="s">
        <v>8412</v>
      </c>
      <c r="GU3" s="2070" t="s">
        <v>8508</v>
      </c>
      <c r="GV3" s="2045" t="s">
        <v>1241</v>
      </c>
      <c r="GW3" s="2045" t="s">
        <v>1229</v>
      </c>
      <c r="GX3" s="2045" t="s">
        <v>1230</v>
      </c>
      <c r="GY3" s="2045" t="s">
        <v>1232</v>
      </c>
      <c r="GZ3" s="2045" t="s">
        <v>1237</v>
      </c>
      <c r="HA3" s="2045" t="s">
        <v>1235</v>
      </c>
      <c r="HB3" s="2045" t="s">
        <v>1236</v>
      </c>
      <c r="HC3" s="2045" t="s">
        <v>1234</v>
      </c>
      <c r="HD3" s="2045" t="s">
        <v>1239</v>
      </c>
      <c r="HE3" s="2045" t="s">
        <v>1240</v>
      </c>
      <c r="HF3" s="2045" t="s">
        <v>321</v>
      </c>
      <c r="HG3" s="2045" t="s">
        <v>8510</v>
      </c>
      <c r="HH3" s="2045"/>
      <c r="HI3" s="2045" t="s">
        <v>1212</v>
      </c>
      <c r="HJ3" s="2042"/>
      <c r="HL3" s="2042"/>
      <c r="HM3" s="2045" t="s">
        <v>703</v>
      </c>
      <c r="HN3" s="2042" t="s">
        <v>1218</v>
      </c>
      <c r="HO3" s="2042" t="s">
        <v>14</v>
      </c>
      <c r="HP3" s="2042" t="s">
        <v>263</v>
      </c>
      <c r="HQ3" s="2042" t="s">
        <v>1221</v>
      </c>
      <c r="HR3" s="2042" t="s">
        <v>1222</v>
      </c>
      <c r="HS3" s="2045" t="s">
        <v>8500</v>
      </c>
      <c r="HT3" s="2045" t="s">
        <v>8497</v>
      </c>
      <c r="HU3" s="2042" t="s">
        <v>1221</v>
      </c>
      <c r="HV3" s="2042" t="s">
        <v>782</v>
      </c>
      <c r="HW3" s="2042" t="s">
        <v>8500</v>
      </c>
      <c r="HX3" s="2042" t="s">
        <v>8501</v>
      </c>
      <c r="HY3" s="2042"/>
      <c r="HZ3" s="2042"/>
      <c r="IA3" s="2042" t="s">
        <v>1223</v>
      </c>
      <c r="IB3" s="2042" t="s">
        <v>1224</v>
      </c>
      <c r="IC3" s="2042" t="s">
        <v>1225</v>
      </c>
      <c r="ID3" s="2042" t="s">
        <v>1222</v>
      </c>
      <c r="IE3" s="2045" t="s">
        <v>8497</v>
      </c>
      <c r="IF3" s="2042" t="s">
        <v>1222</v>
      </c>
      <c r="IG3" s="2045" t="s">
        <v>8497</v>
      </c>
      <c r="IH3" s="2045" t="s">
        <v>1222</v>
      </c>
      <c r="II3" s="2045" t="s">
        <v>8497</v>
      </c>
      <c r="IJ3" s="2045" t="s">
        <v>1222</v>
      </c>
      <c r="IK3" s="2045" t="s">
        <v>8497</v>
      </c>
    </row>
    <row r="4" spans="1:245" ht="12.6" customHeight="1" x14ac:dyDescent="0.2">
      <c r="A4" s="2005" t="s">
        <v>15</v>
      </c>
      <c r="B4" s="2005"/>
      <c r="C4" s="2005"/>
      <c r="D4" s="2006" t="str">
        <f>IF('Berechnung Nährstoffe und Lager'!B6="","",'Berechnung Nährstoffe und Lager'!B6)</f>
        <v/>
      </c>
      <c r="E4" s="510"/>
      <c r="F4" s="510"/>
      <c r="G4" s="510"/>
      <c r="H4" s="510"/>
      <c r="I4" s="510"/>
      <c r="J4" s="510"/>
      <c r="K4" s="2195" t="s">
        <v>1245</v>
      </c>
      <c r="L4" s="2195"/>
      <c r="M4" s="2195"/>
      <c r="N4" s="3012">
        <f>'Berechnung Nährstoffe und Lager'!G6-'Berechnung Nährstoffe und Lager'!H8</f>
        <v>0</v>
      </c>
      <c r="O4" s="3012"/>
      <c r="P4" s="2005" t="s">
        <v>354</v>
      </c>
      <c r="Q4" s="1160"/>
      <c r="R4" s="510"/>
      <c r="S4" s="510"/>
      <c r="T4" s="510"/>
      <c r="U4" s="510"/>
      <c r="V4" s="510"/>
      <c r="Y4" s="510"/>
      <c r="Z4" s="510"/>
      <c r="AA4" s="510"/>
      <c r="AB4" s="510"/>
      <c r="AC4" s="2030" t="str">
        <f>IF(AND(SUM(GU4:GU7)=0,SUM(HD4:HD7)&gt;0),"Kein Futterbedarf vorhanden",IF((GU4+GU6)*(1-HB1)&gt;GE4+GE6-HA4-HA6,"Futterbedarf kann nicht gedeckt werden.",IF(OR(HB4+GZ4&lt;GU4-(GU4+GU6)*GZ1,GV4&lt;GU4-(GU4+GU6)*GZ1),"Grobfutterbedarf kann nicht gedeckt werden.",IF(OR(HB6+GZ6&lt;GU6-(GU4+GU6)*GZ1,GV6&lt;GU6-(GU4+GU6)*GZ1),"Kraftfutterbedarf kann nicht gedeckt werden.",IF(GU4+GU6&lt;GZ4+GZ6+HB4+HB6,CONCATENATE("Die Futterration ist bei Sickstoff um ",ROUND(((GZ4+GZ6+HB4+HB6)/(GU4+GU6)-1)*100,0)," % höher als der berechnete Futterbedarf"),"")))))</f>
        <v/>
      </c>
      <c r="AD4" s="510"/>
      <c r="AF4" s="510"/>
      <c r="AG4" s="510"/>
      <c r="AH4" s="510"/>
      <c r="AI4" s="510"/>
      <c r="AJ4" s="510"/>
      <c r="AL4" s="510"/>
      <c r="AM4" s="510"/>
      <c r="AN4" s="510"/>
      <c r="AO4" s="510"/>
      <c r="AP4" s="510"/>
      <c r="AQ4" s="510"/>
      <c r="AR4" s="510"/>
      <c r="AS4" s="510"/>
      <c r="AT4" s="510"/>
      <c r="AU4" s="510"/>
      <c r="AV4" s="510"/>
      <c r="AX4" s="1262"/>
      <c r="AY4" s="2048"/>
      <c r="AZ4" s="2049"/>
      <c r="BA4" s="2050" t="s">
        <v>1267</v>
      </c>
      <c r="BB4" s="2050" t="s">
        <v>538</v>
      </c>
      <c r="BC4" s="2050" t="s">
        <v>8514</v>
      </c>
      <c r="BD4" s="2050"/>
      <c r="BE4" s="2305"/>
      <c r="BF4" s="2305"/>
      <c r="BG4" s="2305"/>
      <c r="BH4" s="2305"/>
      <c r="BI4" s="2305"/>
      <c r="BJ4" s="2305"/>
      <c r="BK4" s="2305"/>
      <c r="BL4" s="2305"/>
      <c r="BM4" s="2305"/>
      <c r="BN4" s="2305"/>
      <c r="BO4" s="2305"/>
      <c r="BP4" s="2043"/>
      <c r="BQ4" s="2042"/>
      <c r="BR4" s="2042"/>
      <c r="BS4" s="2042"/>
      <c r="BT4" s="2042"/>
      <c r="BU4" s="2044"/>
      <c r="BV4" s="2044"/>
      <c r="BW4" s="2042"/>
      <c r="BX4" s="2042"/>
      <c r="BY4" s="2042"/>
      <c r="BZ4" s="2042"/>
      <c r="CA4" s="2042"/>
      <c r="CB4" s="2042"/>
      <c r="CC4" s="2042"/>
      <c r="CD4" s="2042"/>
      <c r="CE4" s="2042"/>
      <c r="CF4" s="2042"/>
      <c r="CG4" s="2042"/>
      <c r="CH4" s="2042"/>
      <c r="CI4" s="2042"/>
      <c r="CJ4" s="2042"/>
      <c r="CK4" s="2042"/>
      <c r="CL4" s="2042"/>
      <c r="CM4" s="2042"/>
      <c r="CN4" s="2042"/>
      <c r="CO4" s="2042"/>
      <c r="CP4" s="2042"/>
      <c r="CQ4" s="2042"/>
      <c r="CR4" s="2042"/>
      <c r="CS4" s="2042"/>
      <c r="CT4" s="2042"/>
      <c r="CU4" s="2042"/>
      <c r="CV4" s="2042"/>
      <c r="CW4" s="2051" t="s">
        <v>8498</v>
      </c>
      <c r="CX4" s="2042"/>
      <c r="CY4" s="2045">
        <v>1</v>
      </c>
      <c r="CZ4" s="2045">
        <f t="shared" ref="CZ4:DK4" si="0">SUMIF($CY$9:$CY$171,$CY4,CZ$9:CZ$171)</f>
        <v>0</v>
      </c>
      <c r="DA4" s="2045">
        <f t="shared" si="0"/>
        <v>0</v>
      </c>
      <c r="DB4" s="2045">
        <f t="shared" si="0"/>
        <v>0</v>
      </c>
      <c r="DC4" s="2045">
        <f t="shared" si="0"/>
        <v>0</v>
      </c>
      <c r="DD4" s="2045">
        <f t="shared" si="0"/>
        <v>0</v>
      </c>
      <c r="DE4" s="2045">
        <f t="shared" si="0"/>
        <v>0</v>
      </c>
      <c r="DF4" s="2045">
        <f t="shared" si="0"/>
        <v>0</v>
      </c>
      <c r="DG4" s="2045">
        <f t="shared" si="0"/>
        <v>0</v>
      </c>
      <c r="DH4" s="2045">
        <f t="shared" si="0"/>
        <v>0</v>
      </c>
      <c r="DI4" s="2045">
        <f t="shared" si="0"/>
        <v>0</v>
      </c>
      <c r="DJ4" s="2045">
        <f t="shared" si="0"/>
        <v>0</v>
      </c>
      <c r="DK4" s="2045">
        <f t="shared" si="0"/>
        <v>0</v>
      </c>
      <c r="DL4" s="2042"/>
      <c r="DY4" s="2042"/>
      <c r="DZ4" s="2045">
        <f t="shared" ref="DZ4:EK4" si="1">SUMIF($CY$9:$CY$171,$CY4,DZ$9:DZ$171)</f>
        <v>0</v>
      </c>
      <c r="EA4" s="2045">
        <f t="shared" si="1"/>
        <v>0</v>
      </c>
      <c r="EB4" s="2045">
        <f t="shared" si="1"/>
        <v>0</v>
      </c>
      <c r="EC4" s="2045">
        <f t="shared" si="1"/>
        <v>0</v>
      </c>
      <c r="ED4" s="2045">
        <f t="shared" si="1"/>
        <v>0</v>
      </c>
      <c r="EE4" s="2045">
        <f t="shared" si="1"/>
        <v>0</v>
      </c>
      <c r="EF4" s="2045">
        <f t="shared" si="1"/>
        <v>0</v>
      </c>
      <c r="EG4" s="2045">
        <f t="shared" si="1"/>
        <v>0</v>
      </c>
      <c r="EH4" s="2045">
        <f t="shared" si="1"/>
        <v>0</v>
      </c>
      <c r="EI4" s="2045">
        <f t="shared" si="1"/>
        <v>0</v>
      </c>
      <c r="EJ4" s="2045">
        <f t="shared" si="1"/>
        <v>0</v>
      </c>
      <c r="EK4" s="2045">
        <f t="shared" si="1"/>
        <v>0</v>
      </c>
      <c r="EL4" s="2042"/>
      <c r="EY4" s="2042"/>
      <c r="EZ4" s="2045">
        <f t="shared" ref="EZ4:FL4" si="2">SUMIF($CY$9:$CY$171,$CY4,EZ$9:EZ$171)</f>
        <v>0</v>
      </c>
      <c r="FA4" s="2045">
        <f t="shared" si="2"/>
        <v>0</v>
      </c>
      <c r="FB4" s="2045">
        <f t="shared" si="2"/>
        <v>0</v>
      </c>
      <c r="FC4" s="2045">
        <f t="shared" si="2"/>
        <v>0</v>
      </c>
      <c r="FD4" s="2045">
        <f t="shared" si="2"/>
        <v>0</v>
      </c>
      <c r="FE4" s="2045">
        <f t="shared" si="2"/>
        <v>0</v>
      </c>
      <c r="FF4" s="2045">
        <f t="shared" si="2"/>
        <v>0</v>
      </c>
      <c r="FG4" s="2045">
        <f t="shared" si="2"/>
        <v>0</v>
      </c>
      <c r="FH4" s="2045">
        <f t="shared" si="2"/>
        <v>0</v>
      </c>
      <c r="FI4" s="2045">
        <f t="shared" si="2"/>
        <v>0</v>
      </c>
      <c r="FJ4" s="2045">
        <f t="shared" si="2"/>
        <v>0</v>
      </c>
      <c r="FK4" s="2045">
        <f t="shared" si="2"/>
        <v>0</v>
      </c>
      <c r="FL4" s="2045">
        <f t="shared" si="2"/>
        <v>0</v>
      </c>
      <c r="FM4" s="2045"/>
      <c r="GA4" s="2045"/>
      <c r="GB4" s="2045">
        <f>SUMIF($CY$9:$CY$171,$CY4,GB$9:GB$171)</f>
        <v>0</v>
      </c>
      <c r="GC4" t="str">
        <f>" "</f>
        <v xml:space="preserve"> </v>
      </c>
      <c r="GD4" s="2045"/>
      <c r="GE4" s="2045">
        <f>SUMIFS($GB$9:$GB$171,$CY$9:$CY$171,CY4,$GB$9:$GB$171,"&gt;=0")</f>
        <v>0</v>
      </c>
      <c r="GF4" s="2045">
        <f>SUMIF($CY$9:$CY$171,$CY4,GF$9:GF$171)</f>
        <v>0</v>
      </c>
      <c r="GG4" t="str">
        <f>" "</f>
        <v xml:space="preserve"> </v>
      </c>
      <c r="GH4" s="2045">
        <f>SUMIF($CY$9:$CY$171,$CY4,GH$9:GH$171)</f>
        <v>0</v>
      </c>
      <c r="GI4" t="str">
        <f>" "</f>
        <v xml:space="preserve"> </v>
      </c>
      <c r="GJ4" s="2045">
        <f>SUMIF($CY$9:$CY$171,$CY4,GJ$9:GJ$171)</f>
        <v>0</v>
      </c>
      <c r="GK4" t="str">
        <f>" "</f>
        <v xml:space="preserve"> </v>
      </c>
      <c r="GL4" s="2045" t="str">
        <f t="shared" ref="GL4:GP8" si="3">" "</f>
        <v xml:space="preserve"> </v>
      </c>
      <c r="GM4" s="2045" t="str">
        <f t="shared" si="3"/>
        <v xml:space="preserve"> </v>
      </c>
      <c r="GN4" s="2045" t="s">
        <v>8408</v>
      </c>
      <c r="GO4" s="2045" t="str">
        <f t="shared" si="3"/>
        <v xml:space="preserve"> </v>
      </c>
      <c r="GP4" s="2045" t="str">
        <f t="shared" si="3"/>
        <v xml:space="preserve"> </v>
      </c>
      <c r="GQ4" s="2045" t="s">
        <v>8409</v>
      </c>
      <c r="GR4" s="2045"/>
      <c r="GS4" s="2045" t="str">
        <f t="shared" ref="GS4:GX8" si="4">" "</f>
        <v xml:space="preserve"> </v>
      </c>
      <c r="GT4" s="2045" t="str">
        <f>" "</f>
        <v xml:space="preserve"> </v>
      </c>
      <c r="GU4" s="2045">
        <f>$IH$9</f>
        <v>0</v>
      </c>
      <c r="GV4" s="2045">
        <f>IF($IH$10&gt;GU4,MIN(IH10,GU4+(GU4+GU6)*GZ1),IH10)</f>
        <v>0</v>
      </c>
      <c r="GW4" s="2045" cm="1">
        <f t="array" ref="GW4">SUMPRODUCT(GW9:GW171,GB9:GB171,(CY9:CY171=CY4)*1)</f>
        <v>0</v>
      </c>
      <c r="GX4" s="2045">
        <f>ROUND(GW4,0)</f>
        <v>0</v>
      </c>
      <c r="GY4" s="2045"/>
      <c r="GZ4" s="2045">
        <f>SUMIF($CY$9:$CY$171,$CY$4,GZ9:GZ171)</f>
        <v>0</v>
      </c>
      <c r="HA4" s="2045">
        <f>SUMIF($CY$9:$CY$171,$CY$4,HA9:HA171)</f>
        <v>0</v>
      </c>
      <c r="HB4" s="2045">
        <f>MAX(0,IF($GU$4+$GU$6&gt;$GE$4+$GE$6-$HA$4-$HA$6,GE4-HA4-GZ4,IF(GU4&gt;GE4-HA4,GE4-HA4-GZ4,IF(GU6&gt;GE6-HA6,GU4-GZ4+MIN(GU6-(GE6-HA6),(GU4+GU6)*GZ1),IF(GZ6&gt;GU6,MAX(GU4-GZ4+GU6-GZ6,GU4-GZ4-(GU4+GU6)*GZ1),GU4-GZ4)))))</f>
        <v>0</v>
      </c>
      <c r="HC4" s="2045" cm="1">
        <f t="array" ref="HC4">SUMPRODUCT(HC9:HC171,GB9:GB171,(CY9:CY171=CY4)*1)</f>
        <v>0</v>
      </c>
      <c r="HD4" s="2045">
        <f>ROUND(HC4,0)</f>
        <v>0</v>
      </c>
      <c r="HE4" s="2045" t="str">
        <f t="shared" ref="HE4:HF8" si="5">" "</f>
        <v xml:space="preserve"> </v>
      </c>
      <c r="HF4" s="2045" t="str">
        <f t="shared" si="5"/>
        <v xml:space="preserve"> </v>
      </c>
      <c r="HG4" s="2045" t="s">
        <v>4</v>
      </c>
      <c r="HH4" s="2045" t="s">
        <v>1046</v>
      </c>
      <c r="HI4" s="2045">
        <f>IF(AND(GH4=0,IH9=0),3,1)</f>
        <v>3</v>
      </c>
      <c r="HJ4" s="2042"/>
      <c r="HL4" s="2042"/>
      <c r="HM4" s="2052">
        <f>Tiere!B30</f>
        <v>0</v>
      </c>
      <c r="HN4" s="2042">
        <v>1</v>
      </c>
      <c r="HO4" s="2053">
        <f>SUMIF('Berechnung Nährstoffe und Lager'!$BM$68:$BM$81,'Lagerhaltung (freiwillig)'!HN4,'Berechnung Nährstoffe und Lager'!$Z$68:$Z$81)+SUMIF('Berechnung Nährstoffe und Lager'!$BM$68:$BM$81,'Lagerhaltung (freiwillig)'!HN4,'Berechnung Nährstoffe und Lager'!$AA$68:$AA$81)</f>
        <v>0</v>
      </c>
      <c r="HP4" s="2042" cm="1">
        <f t="array" ref="HP4">INDEX(Tiere!$C$30:$C$85,'Lagerhaltung (freiwillig)'!HN4)</f>
        <v>0</v>
      </c>
      <c r="HQ4" s="2042" cm="1">
        <f t="array" ref="HQ4">INDEX(Tiere!$H$30:$H$85,'Lagerhaltung (freiwillig)'!HN4)</f>
        <v>0</v>
      </c>
      <c r="HR4" s="2042">
        <f>$HO4*HQ4/1000</f>
        <v>0</v>
      </c>
      <c r="HS4" s="2042" cm="1">
        <f t="array" ref="HS4">INDEX(Tiere!$I$30:$I$85,'Lagerhaltung (freiwillig)'!HN4)</f>
        <v>0</v>
      </c>
      <c r="HT4" s="2042">
        <f>$HO4*HS4/1000</f>
        <v>0</v>
      </c>
      <c r="HU4" s="2042" cm="1">
        <f t="array" ref="HU4">INDEX(Tiere!$BC$30:$BC$85,'Lagerhaltung (freiwillig)'!HN4)</f>
        <v>0</v>
      </c>
      <c r="HV4" s="2042">
        <f t="shared" ref="HV4:HV35" si="6">HO4*HU4/1000</f>
        <v>0</v>
      </c>
      <c r="HW4" s="2042" cm="1">
        <f t="array" ref="HW4">INDEX(Tiere!$BD$30:$BD$85,'Lagerhaltung (freiwillig)'!HN4)</f>
        <v>0</v>
      </c>
      <c r="HX4" s="2042">
        <f t="shared" ref="HX4:HX35" si="7">HO4*HW4/1000</f>
        <v>0</v>
      </c>
      <c r="HY4" s="2042"/>
      <c r="HZ4" s="2042"/>
      <c r="IA4" s="2042"/>
      <c r="IB4" s="2042"/>
      <c r="IC4" s="2042"/>
      <c r="ID4" s="2042"/>
      <c r="IE4" s="2042"/>
      <c r="IF4" s="2042"/>
      <c r="IG4" s="2042"/>
      <c r="IH4" s="2042"/>
      <c r="II4" s="2042"/>
      <c r="IJ4" s="2042"/>
    </row>
    <row r="5" spans="1:245" ht="12.6" customHeight="1" x14ac:dyDescent="0.2">
      <c r="A5" s="2005" t="s">
        <v>16</v>
      </c>
      <c r="B5" s="2005"/>
      <c r="C5" s="2005"/>
      <c r="D5" s="2006" t="str">
        <f>IF('Berechnung Nährstoffe und Lager'!B7="","",'Berechnung Nährstoffe und Lager'!B7)</f>
        <v/>
      </c>
      <c r="E5" s="510"/>
      <c r="F5" s="510"/>
      <c r="G5" s="510"/>
      <c r="H5" s="510"/>
      <c r="I5" s="510"/>
      <c r="J5" s="510"/>
      <c r="K5" s="3021" t="s">
        <v>1246</v>
      </c>
      <c r="L5" s="3021"/>
      <c r="M5" s="3021"/>
      <c r="N5" s="3012">
        <f>'Berechnung Nährstoffe und Lager'!G9-'Berechnung Nährstoffe und Lager'!H11</f>
        <v>0</v>
      </c>
      <c r="O5" s="3012"/>
      <c r="P5" s="2005" t="s">
        <v>354</v>
      </c>
      <c r="Q5" s="510"/>
      <c r="R5" s="510"/>
      <c r="S5" s="510"/>
      <c r="T5" s="510"/>
      <c r="U5" s="510"/>
      <c r="V5" s="510"/>
      <c r="Y5" s="3052" t="s">
        <v>8361</v>
      </c>
      <c r="Z5" s="3053"/>
      <c r="AA5" s="3053"/>
      <c r="AB5" s="3054"/>
      <c r="AC5" s="3095" t="s">
        <v>277</v>
      </c>
      <c r="AD5" s="3096"/>
      <c r="AE5" s="3096"/>
      <c r="AF5" s="3096"/>
      <c r="AG5" s="3095" t="s">
        <v>667</v>
      </c>
      <c r="AH5" s="3096"/>
      <c r="AI5" s="3096"/>
      <c r="AJ5" s="3097"/>
      <c r="AK5" s="3095" t="s">
        <v>8328</v>
      </c>
      <c r="AL5" s="3096"/>
      <c r="AM5" s="3096"/>
      <c r="AN5" s="3097"/>
      <c r="AO5" s="3104" t="s">
        <v>8533</v>
      </c>
      <c r="AP5" s="3063"/>
      <c r="AQ5" s="3063"/>
      <c r="AR5" s="3064"/>
      <c r="AS5" s="3062"/>
      <c r="AT5" s="3063"/>
      <c r="AU5" s="3063"/>
      <c r="AV5" s="3064"/>
      <c r="AY5" s="2042"/>
      <c r="AZ5" s="2042"/>
      <c r="BA5" s="2045" t="s">
        <v>1268</v>
      </c>
      <c r="BB5" s="2045"/>
      <c r="BC5" s="2045" t="s">
        <v>730</v>
      </c>
      <c r="BD5" s="2045"/>
      <c r="BE5" s="2306"/>
      <c r="BF5" s="2306"/>
      <c r="BG5" s="2306"/>
      <c r="BH5" s="2306"/>
      <c r="BI5" s="2306"/>
      <c r="BJ5" s="2306"/>
      <c r="BK5" s="2306"/>
      <c r="BL5" s="2306"/>
      <c r="BM5" s="2306"/>
      <c r="BN5" s="2306"/>
      <c r="BO5" s="2306"/>
      <c r="BP5" s="2043"/>
      <c r="BQ5" s="2042"/>
      <c r="BR5" s="2042"/>
      <c r="BS5" s="2042"/>
      <c r="BT5" s="2042"/>
      <c r="BU5" s="2044"/>
      <c r="BV5" s="2044"/>
      <c r="BW5" s="2042"/>
      <c r="BX5" s="2042"/>
      <c r="BY5" s="2042"/>
      <c r="BZ5" s="2042"/>
      <c r="CA5" s="2042"/>
      <c r="CB5" s="2042"/>
      <c r="CC5" s="2042"/>
      <c r="CD5" s="2042"/>
      <c r="CE5" s="2042"/>
      <c r="CF5" s="2042"/>
      <c r="CG5" s="2042"/>
      <c r="CH5" s="2042"/>
      <c r="CI5" s="2042"/>
      <c r="CJ5" s="2042"/>
      <c r="CK5" s="2042"/>
      <c r="CL5" s="2042"/>
      <c r="CM5" s="2042"/>
      <c r="CN5" s="2042"/>
      <c r="CO5" s="2042"/>
      <c r="CP5" s="2042"/>
      <c r="CQ5" s="2042"/>
      <c r="CR5" s="2042"/>
      <c r="CS5" s="2042"/>
      <c r="CT5" s="2042"/>
      <c r="CU5" s="2042"/>
      <c r="CV5" s="2042"/>
      <c r="CW5" s="2051" t="s">
        <v>8499</v>
      </c>
      <c r="CX5" s="2042"/>
      <c r="CY5" s="2045">
        <v>1</v>
      </c>
      <c r="CZ5" s="2045"/>
      <c r="DA5" s="2045"/>
      <c r="DB5" s="2045"/>
      <c r="DC5" s="2045"/>
      <c r="DD5" s="2045"/>
      <c r="DE5" s="2045"/>
      <c r="DF5" s="2045"/>
      <c r="DG5" s="2045"/>
      <c r="DH5" s="2045"/>
      <c r="DI5" s="2045"/>
      <c r="DJ5" s="2045"/>
      <c r="DK5" s="2045"/>
      <c r="DL5" s="2042"/>
      <c r="DM5" s="2045">
        <f t="shared" ref="DM5:DX5" si="8">SUMIF($CY$9:$CY$171,$CY4,DM$9:DM$171)</f>
        <v>0</v>
      </c>
      <c r="DN5" s="2045">
        <f t="shared" si="8"/>
        <v>0</v>
      </c>
      <c r="DO5" s="2045">
        <f t="shared" si="8"/>
        <v>0</v>
      </c>
      <c r="DP5" s="2045">
        <f t="shared" si="8"/>
        <v>0</v>
      </c>
      <c r="DQ5" s="2045">
        <f t="shared" si="8"/>
        <v>0</v>
      </c>
      <c r="DR5" s="2045">
        <f t="shared" si="8"/>
        <v>0</v>
      </c>
      <c r="DS5" s="2045">
        <f t="shared" si="8"/>
        <v>0</v>
      </c>
      <c r="DT5" s="2045">
        <f t="shared" si="8"/>
        <v>0</v>
      </c>
      <c r="DU5" s="2045">
        <f t="shared" si="8"/>
        <v>0</v>
      </c>
      <c r="DV5" s="2045">
        <f t="shared" si="8"/>
        <v>0</v>
      </c>
      <c r="DW5" s="2045">
        <f t="shared" si="8"/>
        <v>0</v>
      </c>
      <c r="DX5" s="2045">
        <f t="shared" si="8"/>
        <v>0</v>
      </c>
      <c r="DY5" s="2042"/>
      <c r="DZ5" s="2045"/>
      <c r="EA5" s="2045"/>
      <c r="EB5" s="2045"/>
      <c r="EC5" s="2045"/>
      <c r="ED5" s="2045"/>
      <c r="EE5" s="2045"/>
      <c r="EF5" s="2045"/>
      <c r="EG5" s="2045"/>
      <c r="EH5" s="2045"/>
      <c r="EI5" s="2045"/>
      <c r="EJ5" s="2045"/>
      <c r="EK5" s="2045"/>
      <c r="EL5" s="2042"/>
      <c r="EM5" s="2045">
        <f t="shared" ref="EM5:EX5" si="9">SUMIF($CY$9:$CY$171,$CY4,EM$9:EM$171)</f>
        <v>0</v>
      </c>
      <c r="EN5" s="2045">
        <f t="shared" si="9"/>
        <v>0</v>
      </c>
      <c r="EO5" s="2045">
        <f t="shared" si="9"/>
        <v>0</v>
      </c>
      <c r="EP5" s="2045">
        <f t="shared" si="9"/>
        <v>0</v>
      </c>
      <c r="EQ5" s="2045">
        <f t="shared" si="9"/>
        <v>0</v>
      </c>
      <c r="ER5" s="2045">
        <f t="shared" si="9"/>
        <v>0</v>
      </c>
      <c r="ES5" s="2045">
        <f t="shared" si="9"/>
        <v>0</v>
      </c>
      <c r="ET5" s="2045">
        <f t="shared" si="9"/>
        <v>0</v>
      </c>
      <c r="EU5" s="2045">
        <f t="shared" si="9"/>
        <v>0</v>
      </c>
      <c r="EV5" s="2045">
        <f t="shared" si="9"/>
        <v>0</v>
      </c>
      <c r="EW5" s="2045">
        <f t="shared" si="9"/>
        <v>0</v>
      </c>
      <c r="EX5" s="2045">
        <f t="shared" si="9"/>
        <v>0</v>
      </c>
      <c r="EY5" s="2042"/>
      <c r="EZ5" s="2045"/>
      <c r="FA5" s="2045"/>
      <c r="FB5" s="2045"/>
      <c r="FC5" s="2045"/>
      <c r="FD5" s="2045"/>
      <c r="FE5" s="2045"/>
      <c r="FF5" s="2045"/>
      <c r="FG5" s="2045"/>
      <c r="FH5" s="2045"/>
      <c r="FI5" s="2045"/>
      <c r="FJ5" s="2045"/>
      <c r="FK5" s="2045"/>
      <c r="FL5" s="2045"/>
      <c r="FM5" s="2045"/>
      <c r="FN5" s="2045">
        <f t="shared" ref="FN5:FZ5" si="10">SUMIF($CY$9:$CY$171,$CY4,FN$9:FN$171)</f>
        <v>0</v>
      </c>
      <c r="FO5" s="2045">
        <f t="shared" si="10"/>
        <v>0</v>
      </c>
      <c r="FP5" s="2045">
        <f t="shared" si="10"/>
        <v>0</v>
      </c>
      <c r="FQ5" s="2045">
        <f t="shared" si="10"/>
        <v>0</v>
      </c>
      <c r="FR5" s="2045">
        <f t="shared" si="10"/>
        <v>0</v>
      </c>
      <c r="FS5" s="2045">
        <f t="shared" si="10"/>
        <v>0</v>
      </c>
      <c r="FT5" s="2045">
        <f t="shared" si="10"/>
        <v>0</v>
      </c>
      <c r="FU5" s="2045">
        <f t="shared" si="10"/>
        <v>0</v>
      </c>
      <c r="FV5" s="2045">
        <f t="shared" si="10"/>
        <v>0</v>
      </c>
      <c r="FW5" s="2045">
        <f t="shared" si="10"/>
        <v>0</v>
      </c>
      <c r="FX5" s="2045">
        <f t="shared" si="10"/>
        <v>0</v>
      </c>
      <c r="FY5" s="2045">
        <f t="shared" si="10"/>
        <v>0</v>
      </c>
      <c r="FZ5" s="2045">
        <f t="shared" si="10"/>
        <v>0</v>
      </c>
      <c r="GA5" s="2045"/>
      <c r="GB5" s="2045" t="str">
        <f>" "</f>
        <v xml:space="preserve"> </v>
      </c>
      <c r="GC5" s="2045">
        <f>SUMIF($CY$9:$CY$171,$CY4,GC$9:GC$171)</f>
        <v>0</v>
      </c>
      <c r="GD5" s="2045"/>
      <c r="GE5" s="2045"/>
      <c r="GF5" s="2045" t="str">
        <f>" "</f>
        <v xml:space="preserve"> </v>
      </c>
      <c r="GG5" s="2045">
        <f>SUMIF($CY$9:$CY$171,$CY4,GG$9:GG$171)</f>
        <v>0</v>
      </c>
      <c r="GH5" s="2045" t="str">
        <f>" "</f>
        <v xml:space="preserve"> </v>
      </c>
      <c r="GI5" s="2045">
        <f>SUMIF($CY$9:$CY$171,$CY4,GI$9:GI$171)</f>
        <v>0</v>
      </c>
      <c r="GJ5" s="2045" t="str">
        <f>" "</f>
        <v xml:space="preserve"> </v>
      </c>
      <c r="GK5" s="2045">
        <f>SUMIF($CY$9:$CY$171,$CY4,GK$9:GK$171)</f>
        <v>0</v>
      </c>
      <c r="GL5" s="2045" t="str">
        <f t="shared" si="3"/>
        <v xml:space="preserve"> </v>
      </c>
      <c r="GM5" s="2045" t="str">
        <f t="shared" si="3"/>
        <v xml:space="preserve"> </v>
      </c>
      <c r="GN5" s="2045"/>
      <c r="GO5" s="2045" t="str">
        <f t="shared" si="3"/>
        <v xml:space="preserve"> </v>
      </c>
      <c r="GP5" s="2045" t="str">
        <f t="shared" si="3"/>
        <v xml:space="preserve"> </v>
      </c>
      <c r="GQ5" s="2045"/>
      <c r="GR5" s="2045"/>
      <c r="GS5" s="2045" t="str">
        <f t="shared" si="4"/>
        <v xml:space="preserve"> </v>
      </c>
      <c r="GT5" s="2045" t="str">
        <f>" "</f>
        <v xml:space="preserve"> </v>
      </c>
      <c r="GU5" s="2045">
        <f>$II$9</f>
        <v>0</v>
      </c>
      <c r="GV5" s="2045"/>
      <c r="GW5" s="2045" cm="1">
        <f t="array" ref="GW5">SUMPRODUCT(GW9:GW171,GC9:GC171,(CY9:CY171=CY4)*1)</f>
        <v>0</v>
      </c>
      <c r="GX5" s="2045">
        <f>ROUND(GW5,0)</f>
        <v>0</v>
      </c>
      <c r="GY5" s="2045"/>
      <c r="GZ5" s="2045"/>
      <c r="HA5" s="2045"/>
      <c r="HB5" s="2045"/>
      <c r="HC5" s="2288" cm="1">
        <f t="array" ref="HC5">SUMPRODUCT(HC9:HC171,GC9:GC171,(CY9:CY171=CY4)*1)</f>
        <v>0</v>
      </c>
      <c r="HD5" s="2045">
        <f t="shared" ref="HD5:HD7" si="11">ROUND(HC5,0)</f>
        <v>0</v>
      </c>
      <c r="HE5" s="2045" t="str">
        <f t="shared" si="5"/>
        <v xml:space="preserve"> </v>
      </c>
      <c r="HF5" s="2045" t="str">
        <f t="shared" si="5"/>
        <v xml:space="preserve"> </v>
      </c>
      <c r="HG5" s="2045"/>
      <c r="HH5" s="2045"/>
      <c r="HI5" s="2045">
        <f>HI4</f>
        <v>3</v>
      </c>
      <c r="HJ5" s="2042"/>
      <c r="HL5" s="2042"/>
      <c r="HM5" s="2052" t="str">
        <f>Tiere!B31</f>
        <v>Milchkuh ohne Kalb</v>
      </c>
      <c r="HN5" s="2042">
        <v>2</v>
      </c>
      <c r="HO5" s="2053">
        <f>SUMIF('Berechnung Nährstoffe und Lager'!$BM$68:$BM$81,'Lagerhaltung (freiwillig)'!HN5,'Berechnung Nährstoffe und Lager'!$Z$68:$Z$81)+SUMIF('Berechnung Nährstoffe und Lager'!$BM$68:$BM$81,'Lagerhaltung (freiwillig)'!HN5,'Berechnung Nährstoffe und Lager'!$AA$68:$AA$81)</f>
        <v>0</v>
      </c>
      <c r="HP5" s="2042" cm="1">
        <f t="array" ref="HP5">INDEX(Tiere!$C$30:$C$85,'Lagerhaltung (freiwillig)'!HN5)</f>
        <v>1</v>
      </c>
      <c r="HQ5" s="2042" cm="1">
        <f t="array" ref="HQ5">INDEX(Tiere!$H$30:$H$85,'Lagerhaltung (freiwillig)'!HN5)</f>
        <v>98</v>
      </c>
      <c r="HR5" s="2042">
        <f t="shared" ref="HR5:HR36" si="12">HO5*HQ5/1000</f>
        <v>0</v>
      </c>
      <c r="HS5" s="2042" cm="1">
        <f t="array" ref="HS5">INDEX(Tiere!$I$30:$I$85,'Lagerhaltung (freiwillig)'!HN5)</f>
        <v>31</v>
      </c>
      <c r="HT5" s="2042">
        <f t="shared" ref="HT5:HT65" si="13">$HO5*HS5/1000</f>
        <v>0</v>
      </c>
      <c r="HU5" s="2042" cm="1">
        <f t="array" ref="HU5">INDEX(Tiere!$BC$30:$BC$85,'Lagerhaltung (freiwillig)'!HN5)</f>
        <v>1.08</v>
      </c>
      <c r="HV5" s="2042">
        <f t="shared" si="6"/>
        <v>0</v>
      </c>
      <c r="HW5" s="2042" cm="1">
        <f t="array" ref="HW5">INDEX(Tiere!$BD$30:$BD$85,'Lagerhaltung (freiwillig)'!HN5)</f>
        <v>0.59599999999999997</v>
      </c>
      <c r="HX5" s="2042">
        <f t="shared" si="7"/>
        <v>0</v>
      </c>
      <c r="HY5" s="2042"/>
      <c r="HZ5" s="2042"/>
      <c r="IA5" s="2042" t="s">
        <v>49</v>
      </c>
      <c r="IB5" s="2042">
        <v>2</v>
      </c>
      <c r="IC5" s="2042">
        <v>1</v>
      </c>
      <c r="ID5" s="2042">
        <f>SUMIF('Berechnung Nährstoffe und Lager'!$BK$68:$BK$87,IB5,'Berechnung Nährstoffe und Lager'!$EU$68:$EU$87)/1000</f>
        <v>0</v>
      </c>
      <c r="IE5" s="2042">
        <f>SUMIF('Berechnung Nährstoffe und Lager'!$BK$68:$BK$87,IB5,'Berechnung Nährstoffe und Lager'!$EV$68:$EV$87)/1000</f>
        <v>0</v>
      </c>
      <c r="IF5" s="2042">
        <f>CF100</f>
        <v>0</v>
      </c>
      <c r="IG5" s="2276">
        <f>CF104</f>
        <v>0</v>
      </c>
      <c r="IH5" s="2042">
        <f>SUMIF($HP$4:$HP$65,IC5,$HR$4:$HR$65)</f>
        <v>0</v>
      </c>
      <c r="II5" s="2042">
        <f>SUMIF($HP$4:$HP$65,IC5,$HT$4:$HT$65)</f>
        <v>0</v>
      </c>
      <c r="IJ5" s="2042">
        <f t="shared" ref="IJ5:IK8" si="14">ID5+IF5-IH5</f>
        <v>0</v>
      </c>
      <c r="IK5" s="2276">
        <f t="shared" si="14"/>
        <v>0</v>
      </c>
    </row>
    <row r="6" spans="1:245" ht="12.6" customHeight="1" x14ac:dyDescent="0.2">
      <c r="A6" s="2005" t="s">
        <v>17</v>
      </c>
      <c r="B6" s="2005"/>
      <c r="C6" s="2005"/>
      <c r="D6" s="2006" t="str">
        <f>IF('Berechnung Nährstoffe und Lager'!B8="","",'Berechnung Nährstoffe und Lager'!B8)</f>
        <v/>
      </c>
      <c r="E6" s="510"/>
      <c r="F6" s="510"/>
      <c r="G6" s="510"/>
      <c r="H6" s="510"/>
      <c r="I6" s="510"/>
      <c r="J6" s="510"/>
      <c r="K6" s="2193" t="str">
        <f>IF(Y13="","",IF(AND(N91="",N93="",N92="",R104="",AJ3="",R101="",R100="",R99="",R102="",R103="",COUNTIF($V$14:$V$89,"Fehler")=0,OR(AC4="",GU4+GU6&lt;GZ4+GZ6+HB4+HB6)),"","Hinweis: Angaben unvollständig!"))</f>
        <v/>
      </c>
      <c r="Q6" s="510"/>
      <c r="R6" s="510"/>
      <c r="U6" s="510"/>
      <c r="V6" s="510"/>
      <c r="Y6" s="3055"/>
      <c r="Z6" s="3056"/>
      <c r="AA6" s="3056"/>
      <c r="AB6" s="3057"/>
      <c r="AC6" s="3032" t="s">
        <v>8327</v>
      </c>
      <c r="AD6" s="2999"/>
      <c r="AE6" s="2999"/>
      <c r="AF6" s="2999"/>
      <c r="AG6" s="3098" t="s">
        <v>1216</v>
      </c>
      <c r="AH6" s="3099"/>
      <c r="AI6" s="3099"/>
      <c r="AJ6" s="3100"/>
      <c r="AK6" s="2997" t="s">
        <v>1256</v>
      </c>
      <c r="AL6" s="3034"/>
      <c r="AM6" s="3034"/>
      <c r="AN6" s="3035"/>
      <c r="AO6" s="2979" t="s">
        <v>8509</v>
      </c>
      <c r="AP6" s="2979" t="s">
        <v>1252</v>
      </c>
      <c r="AQ6" s="3029" t="s">
        <v>8536</v>
      </c>
      <c r="AR6" s="3061" t="s">
        <v>1253</v>
      </c>
      <c r="AS6" s="2997" t="s">
        <v>1257</v>
      </c>
      <c r="AT6" s="3034"/>
      <c r="AU6" s="3034"/>
      <c r="AV6" s="3035"/>
      <c r="AY6" s="2042"/>
      <c r="AZ6" s="2042"/>
      <c r="BA6" s="2042"/>
      <c r="BB6" s="2042"/>
      <c r="BC6" s="2042"/>
      <c r="BD6" s="2042"/>
      <c r="BP6" s="2043"/>
      <c r="BQ6" s="2042"/>
      <c r="BR6" s="2042"/>
      <c r="BS6" s="2042"/>
      <c r="BT6" s="2042"/>
      <c r="BU6" s="2044"/>
      <c r="BV6" s="2044"/>
      <c r="BW6" s="2042"/>
      <c r="BX6" s="2042"/>
      <c r="BY6" s="2042"/>
      <c r="BZ6" s="2042"/>
      <c r="CA6" s="2042"/>
      <c r="CB6" s="2042"/>
      <c r="CC6" s="2042"/>
      <c r="CD6" s="2042"/>
      <c r="CE6" s="2042"/>
      <c r="CF6" s="2042"/>
      <c r="CG6" s="2042"/>
      <c r="CH6" s="2042"/>
      <c r="CI6" s="2042"/>
      <c r="CJ6" s="2042"/>
      <c r="CK6" s="2042"/>
      <c r="CL6" s="2042"/>
      <c r="CM6" s="2042"/>
      <c r="CN6" s="2042"/>
      <c r="CO6" s="2042"/>
      <c r="CP6" s="2042"/>
      <c r="CQ6" s="2042"/>
      <c r="CR6" s="2042"/>
      <c r="CS6" s="2042"/>
      <c r="CT6" s="2042"/>
      <c r="CU6" s="2042"/>
      <c r="CV6" s="2042"/>
      <c r="CW6" s="2051" t="s">
        <v>8522</v>
      </c>
      <c r="CX6" s="2042"/>
      <c r="CY6" s="2045">
        <v>2</v>
      </c>
      <c r="CZ6" s="2045">
        <f t="shared" ref="CZ6:DK6" si="15">SUMIF($CY$9:$CY$171,$CY6,CZ$9:CZ$171)</f>
        <v>0</v>
      </c>
      <c r="DA6" s="2045">
        <f t="shared" si="15"/>
        <v>0</v>
      </c>
      <c r="DB6" s="2045">
        <f t="shared" si="15"/>
        <v>0</v>
      </c>
      <c r="DC6" s="2045">
        <f t="shared" si="15"/>
        <v>0</v>
      </c>
      <c r="DD6" s="2045">
        <f t="shared" si="15"/>
        <v>0</v>
      </c>
      <c r="DE6" s="2045">
        <f t="shared" si="15"/>
        <v>0</v>
      </c>
      <c r="DF6" s="2045">
        <f t="shared" si="15"/>
        <v>0</v>
      </c>
      <c r="DG6" s="2045">
        <f t="shared" si="15"/>
        <v>0</v>
      </c>
      <c r="DH6" s="2045">
        <f t="shared" si="15"/>
        <v>0</v>
      </c>
      <c r="DI6" s="2045">
        <f t="shared" si="15"/>
        <v>0</v>
      </c>
      <c r="DJ6" s="2045">
        <f t="shared" si="15"/>
        <v>0</v>
      </c>
      <c r="DK6" s="2045">
        <f t="shared" si="15"/>
        <v>0</v>
      </c>
      <c r="DL6" s="2042"/>
      <c r="DY6" s="2042"/>
      <c r="DZ6" s="2045">
        <f t="shared" ref="DZ6:EK6" si="16">SUMIF($CY$9:$CY$171,$CY6,DZ$9:DZ$171)</f>
        <v>0</v>
      </c>
      <c r="EA6" s="2045">
        <f t="shared" si="16"/>
        <v>0</v>
      </c>
      <c r="EB6" s="2045">
        <f t="shared" si="16"/>
        <v>0</v>
      </c>
      <c r="EC6" s="2045">
        <f t="shared" si="16"/>
        <v>0</v>
      </c>
      <c r="ED6" s="2045">
        <f t="shared" si="16"/>
        <v>0</v>
      </c>
      <c r="EE6" s="2045">
        <f t="shared" si="16"/>
        <v>0</v>
      </c>
      <c r="EF6" s="2045">
        <f t="shared" si="16"/>
        <v>0</v>
      </c>
      <c r="EG6" s="2045">
        <f t="shared" si="16"/>
        <v>0</v>
      </c>
      <c r="EH6" s="2045">
        <f t="shared" si="16"/>
        <v>0</v>
      </c>
      <c r="EI6" s="2045">
        <f t="shared" si="16"/>
        <v>0</v>
      </c>
      <c r="EJ6" s="2045">
        <f t="shared" si="16"/>
        <v>0</v>
      </c>
      <c r="EK6" s="2045">
        <f t="shared" si="16"/>
        <v>0</v>
      </c>
      <c r="EL6" s="2042"/>
      <c r="EY6" s="2042"/>
      <c r="EZ6" s="2045">
        <f t="shared" ref="EZ6:FL6" si="17">SUMIF($CY$9:$CY$171,$CY6,EZ$9:EZ$171)</f>
        <v>0</v>
      </c>
      <c r="FA6" s="2045">
        <f t="shared" si="17"/>
        <v>0</v>
      </c>
      <c r="FB6" s="2045">
        <f t="shared" si="17"/>
        <v>0</v>
      </c>
      <c r="FC6" s="2045">
        <f t="shared" si="17"/>
        <v>0</v>
      </c>
      <c r="FD6" s="2045">
        <f t="shared" si="17"/>
        <v>0</v>
      </c>
      <c r="FE6" s="2045">
        <f t="shared" si="17"/>
        <v>0</v>
      </c>
      <c r="FF6" s="2045">
        <f t="shared" si="17"/>
        <v>0</v>
      </c>
      <c r="FG6" s="2045">
        <f t="shared" si="17"/>
        <v>0</v>
      </c>
      <c r="FH6" s="2045">
        <f t="shared" si="17"/>
        <v>0</v>
      </c>
      <c r="FI6" s="2045">
        <f t="shared" si="17"/>
        <v>0</v>
      </c>
      <c r="FJ6" s="2045">
        <f t="shared" si="17"/>
        <v>0</v>
      </c>
      <c r="FK6" s="2045">
        <f t="shared" si="17"/>
        <v>0</v>
      </c>
      <c r="FL6" s="2045">
        <f t="shared" si="17"/>
        <v>0</v>
      </c>
      <c r="FM6" s="2045"/>
      <c r="GA6" s="2045"/>
      <c r="GB6" s="2045">
        <f>SUMIF($CY$9:$CY$171,$CY6,GB$9:GB$171)</f>
        <v>0</v>
      </c>
      <c r="GC6" t="str">
        <f>" "</f>
        <v xml:space="preserve"> </v>
      </c>
      <c r="GD6" s="2045"/>
      <c r="GE6" s="2045">
        <f>SUMIFS($GB$9:$GB$171,$CY$9:$CY$171,$CY$6,$GB$9:$GB$171,"&gt;=0")</f>
        <v>0</v>
      </c>
      <c r="GF6" s="2045">
        <f>SUMIF($CY$9:$CY$171,$CY6,GF$9:GF$171)</f>
        <v>0</v>
      </c>
      <c r="GG6" s="2045" t="str">
        <f>" "</f>
        <v xml:space="preserve"> </v>
      </c>
      <c r="GH6" s="2045">
        <f>SUMIF($CY$9:$CY$171,$CY6,GH$9:GH$171)</f>
        <v>0</v>
      </c>
      <c r="GI6" s="2045" t="str">
        <f>" "</f>
        <v xml:space="preserve"> </v>
      </c>
      <c r="GJ6" s="2045">
        <f>SUMIF($CY$9:$CY$171,$CY6,GJ$9:GJ$171)</f>
        <v>0</v>
      </c>
      <c r="GK6" s="2045" t="str">
        <f>" "</f>
        <v xml:space="preserve"> </v>
      </c>
      <c r="GL6" s="2045" t="str">
        <f t="shared" si="3"/>
        <v xml:space="preserve"> </v>
      </c>
      <c r="GM6" s="2045" t="str">
        <f t="shared" si="3"/>
        <v xml:space="preserve"> </v>
      </c>
      <c r="GN6" s="2045"/>
      <c r="GO6" s="2045" t="str">
        <f t="shared" si="3"/>
        <v xml:space="preserve"> </v>
      </c>
      <c r="GP6" s="2045" t="str">
        <f t="shared" si="3"/>
        <v xml:space="preserve"> </v>
      </c>
      <c r="GQ6" s="2045"/>
      <c r="GR6" s="2045"/>
      <c r="GS6" s="2045" t="str">
        <f t="shared" si="4"/>
        <v xml:space="preserve"> </v>
      </c>
      <c r="GT6" s="2045" t="str">
        <f>" "</f>
        <v xml:space="preserve"> </v>
      </c>
      <c r="GU6" s="2045">
        <f>$IJ$9</f>
        <v>0</v>
      </c>
      <c r="GV6" s="2045">
        <f>IF($IJ$10&gt;GU6,MIN(IJ10,GU6+(GU4+GU6)*GZ1),IJ10)</f>
        <v>0</v>
      </c>
      <c r="GW6" s="2045" cm="1">
        <f t="array" ref="GW6">SUMPRODUCT(GW9:GW171,GB9:GB171,(CY9:CY171=CY6)*1)</f>
        <v>0</v>
      </c>
      <c r="GX6" s="2045">
        <f>ROUND(GW6,0)</f>
        <v>0</v>
      </c>
      <c r="GY6" s="2045"/>
      <c r="GZ6" s="2045">
        <f>SUMIF($CY$9:$CY$171,$CY$6,GZ9:GZ171)</f>
        <v>0</v>
      </c>
      <c r="HA6" s="2045">
        <f>SUMIF($CY$9:$CY$171,$CY$6,HA9:HA171)</f>
        <v>0</v>
      </c>
      <c r="HB6" s="2045">
        <f>MAX(0,IF($GU$4+$GU$6&gt;$GE$4+$GE$6-$HA$4-$HA$6,GE6-HA6-GZ6,IF(GU4&gt;GE4-HA4,GU6-GZ6+MIN(GU4-(GE4-HA4),(GU4+GU6)*GZ1),IF(GU6&gt;GE6-HA6,GE6-HA6-GZ6,IF(GZ4&gt;GU4,MAX(GU6-GZ6+GU4-GZ4,GU6-GZ6-(GU4+GU6)*GZ1),GU6-GZ6)))))</f>
        <v>0</v>
      </c>
      <c r="HC6" s="2045" cm="1">
        <f t="array" ref="HC6">SUMPRODUCT(HC9:HC171,GB9:GB171,(CY9:CY171=CY6)*1)</f>
        <v>0</v>
      </c>
      <c r="HD6" s="2045">
        <f t="shared" si="11"/>
        <v>0</v>
      </c>
      <c r="HE6" s="2045" t="str">
        <f t="shared" si="5"/>
        <v xml:space="preserve"> </v>
      </c>
      <c r="HF6" s="2045" t="str">
        <f t="shared" si="5"/>
        <v xml:space="preserve"> </v>
      </c>
      <c r="HG6" s="2045"/>
      <c r="HH6" s="2045"/>
      <c r="HI6" s="2045">
        <f>IF(AND(GH6=0,IJ9=0),3,2)</f>
        <v>3</v>
      </c>
      <c r="HJ6" s="2042"/>
      <c r="HL6" s="2042"/>
      <c r="HM6" s="2052" t="str">
        <f>Tiere!B32</f>
        <v xml:space="preserve">Kälber (Zucht/Mast) bis 6 Monate </v>
      </c>
      <c r="HN6" s="2042">
        <v>3</v>
      </c>
      <c r="HO6" s="2053">
        <f>SUMIF('Berechnung Nährstoffe und Lager'!$BM$68:$BM$81,'Lagerhaltung (freiwillig)'!HN6,'Berechnung Nährstoffe und Lager'!$Z$68:$Z$81)+SUMIF('Berechnung Nährstoffe und Lager'!$BM$68:$BM$81,'Lagerhaltung (freiwillig)'!HN6,'Berechnung Nährstoffe und Lager'!$AA$68:$AA$81)</f>
        <v>0</v>
      </c>
      <c r="HP6" s="2042" cm="1">
        <f t="array" ref="HP6">INDEX(Tiere!$C$30:$C$85,'Lagerhaltung (freiwillig)'!HN6)</f>
        <v>1</v>
      </c>
      <c r="HQ6" s="2042" cm="1">
        <f t="array" ref="HQ6">INDEX(Tiere!$H$30:$H$85,'Lagerhaltung (freiwillig)'!HN6)</f>
        <v>17.54</v>
      </c>
      <c r="HR6" s="2042">
        <f t="shared" si="12"/>
        <v>0</v>
      </c>
      <c r="HS6" s="2042" cm="1">
        <f t="array" ref="HS6">INDEX(Tiere!$I$30:$I$85,'Lagerhaltung (freiwillig)'!HN6)</f>
        <v>5.79</v>
      </c>
      <c r="HT6" s="2042">
        <f t="shared" si="13"/>
        <v>0</v>
      </c>
      <c r="HU6" s="2042" cm="1">
        <f t="array" ref="HU6">INDEX(Tiere!$BC$30:$BC$85,'Lagerhaltung (freiwillig)'!HN6)</f>
        <v>7.2900000000000009</v>
      </c>
      <c r="HV6" s="2042">
        <f t="shared" si="6"/>
        <v>0</v>
      </c>
      <c r="HW6" s="2042" cm="1">
        <f t="array" ref="HW6">INDEX(Tiere!$BD$30:$BD$85,'Lagerhaltung (freiwillig)'!HN6)</f>
        <v>4.0230000000000006</v>
      </c>
      <c r="HX6" s="2042">
        <f t="shared" si="7"/>
        <v>0</v>
      </c>
      <c r="HY6" s="2042"/>
      <c r="HZ6" s="2042"/>
      <c r="IA6" s="2042" t="s">
        <v>93</v>
      </c>
      <c r="IB6" s="2042">
        <v>3</v>
      </c>
      <c r="IC6" s="2042">
        <v>2</v>
      </c>
      <c r="ID6" s="2042">
        <f>SUMIF('Berechnung Nährstoffe und Lager'!$BK$68:$BK$87,IB6,'Berechnung Nährstoffe und Lager'!$EU$68:$EU$87)/1000</f>
        <v>0</v>
      </c>
      <c r="IE6" s="2042">
        <f>SUMIF('Berechnung Nährstoffe und Lager'!$BK$68:$BK$87,IB6,'Berechnung Nährstoffe und Lager'!$EV$68:$EV$87)/1000</f>
        <v>0</v>
      </c>
      <c r="IF6" s="2042">
        <f>CH100</f>
        <v>0</v>
      </c>
      <c r="IG6" s="2042">
        <f>CH104</f>
        <v>0</v>
      </c>
      <c r="IH6" s="2042">
        <f>SUMIF($HP$4:$HP$65,IC6,$HR$4:$HR$65)</f>
        <v>0</v>
      </c>
      <c r="II6" s="2042">
        <f>SUMIF($HP$4:$HP$65,IC6,$HT$4:$HT$65)</f>
        <v>0</v>
      </c>
      <c r="IJ6" s="2042">
        <f t="shared" si="14"/>
        <v>0</v>
      </c>
      <c r="IK6" s="2042">
        <f t="shared" si="14"/>
        <v>0</v>
      </c>
    </row>
    <row r="7" spans="1:245" ht="1.5" customHeight="1" x14ac:dyDescent="0.2">
      <c r="A7" s="2005"/>
      <c r="B7" s="2005"/>
      <c r="C7" s="2005"/>
      <c r="D7" s="2006"/>
      <c r="E7" s="510"/>
      <c r="F7" s="510"/>
      <c r="G7" s="510"/>
      <c r="H7" s="510"/>
      <c r="I7" s="510"/>
      <c r="J7" s="510"/>
      <c r="K7" s="510"/>
      <c r="L7" s="510"/>
      <c r="M7" s="510"/>
      <c r="N7" s="510"/>
      <c r="O7" s="510"/>
      <c r="P7" s="510"/>
      <c r="Q7" s="510"/>
      <c r="R7" s="510"/>
      <c r="S7" s="510"/>
      <c r="T7" s="510"/>
      <c r="U7" s="510"/>
      <c r="V7" s="510"/>
      <c r="Y7" s="3055"/>
      <c r="Z7" s="3056"/>
      <c r="AA7" s="3056"/>
      <c r="AB7" s="3057"/>
      <c r="AC7" s="3032"/>
      <c r="AD7" s="2999"/>
      <c r="AE7" s="2999"/>
      <c r="AF7" s="2999"/>
      <c r="AG7" s="3098"/>
      <c r="AH7" s="3099"/>
      <c r="AI7" s="3099"/>
      <c r="AJ7" s="3100"/>
      <c r="AK7" s="2997"/>
      <c r="AL7" s="3034"/>
      <c r="AM7" s="3034"/>
      <c r="AN7" s="3035"/>
      <c r="AO7" s="2979"/>
      <c r="AP7" s="2979"/>
      <c r="AQ7" s="3030"/>
      <c r="AR7" s="3061"/>
      <c r="AS7" s="2997"/>
      <c r="AT7" s="3034"/>
      <c r="AU7" s="3034"/>
      <c r="AV7" s="3035"/>
      <c r="AY7" s="2042"/>
      <c r="AZ7" s="2042"/>
      <c r="BA7" s="2042"/>
      <c r="BB7" s="2042"/>
      <c r="BC7" s="2042"/>
      <c r="BD7" s="2042"/>
      <c r="BP7" s="2043"/>
      <c r="BQ7" s="2042"/>
      <c r="BR7" s="2042"/>
      <c r="BS7" s="2042"/>
      <c r="BT7" s="2042"/>
      <c r="BU7" s="2044"/>
      <c r="BV7" s="2044"/>
      <c r="BW7" s="2042"/>
      <c r="BX7" s="2042"/>
      <c r="BY7" s="2042"/>
      <c r="BZ7" s="2042"/>
      <c r="CA7" s="2042"/>
      <c r="CB7" s="2042"/>
      <c r="CC7" s="2042"/>
      <c r="CD7" s="2042"/>
      <c r="CE7" s="2042"/>
      <c r="CF7" s="2042"/>
      <c r="CG7" s="2042"/>
      <c r="CH7" s="2042"/>
      <c r="CI7" s="2042"/>
      <c r="CJ7" s="2042"/>
      <c r="CK7" s="2042"/>
      <c r="CL7" s="2042"/>
      <c r="CM7" s="2042"/>
      <c r="CN7" s="2042"/>
      <c r="CO7" s="2042"/>
      <c r="CP7" s="2042"/>
      <c r="CQ7" s="2042"/>
      <c r="CR7" s="2042"/>
      <c r="CS7" s="2042"/>
      <c r="CT7" s="2042"/>
      <c r="CU7" s="2042"/>
      <c r="CV7" s="2042"/>
      <c r="CW7" s="2051" t="s">
        <v>8499</v>
      </c>
      <c r="CX7" s="2042"/>
      <c r="CY7" s="2045">
        <v>2</v>
      </c>
      <c r="CZ7" s="2045"/>
      <c r="DA7" s="2045"/>
      <c r="DB7" s="2045"/>
      <c r="DC7" s="2045"/>
      <c r="DD7" s="2045"/>
      <c r="DE7" s="2045"/>
      <c r="DF7" s="2045"/>
      <c r="DG7" s="2045"/>
      <c r="DH7" s="2045"/>
      <c r="DI7" s="2045"/>
      <c r="DJ7" s="2045"/>
      <c r="DK7" s="2045"/>
      <c r="DL7" s="2042"/>
      <c r="DM7" s="2045">
        <f t="shared" ref="DM7:DX7" si="18">SUMIF($CY$9:$CY$171,$CY6,DM$9:DM$171)</f>
        <v>0</v>
      </c>
      <c r="DN7" s="2045">
        <f t="shared" si="18"/>
        <v>0</v>
      </c>
      <c r="DO7" s="2045">
        <f t="shared" si="18"/>
        <v>0</v>
      </c>
      <c r="DP7" s="2045">
        <f t="shared" si="18"/>
        <v>0</v>
      </c>
      <c r="DQ7" s="2045">
        <f t="shared" si="18"/>
        <v>0</v>
      </c>
      <c r="DR7" s="2045">
        <f t="shared" si="18"/>
        <v>0</v>
      </c>
      <c r="DS7" s="2045">
        <f t="shared" si="18"/>
        <v>0</v>
      </c>
      <c r="DT7" s="2045">
        <f t="shared" si="18"/>
        <v>0</v>
      </c>
      <c r="DU7" s="2045">
        <f t="shared" si="18"/>
        <v>0</v>
      </c>
      <c r="DV7" s="2045">
        <f t="shared" si="18"/>
        <v>0</v>
      </c>
      <c r="DW7" s="2045">
        <f t="shared" si="18"/>
        <v>0</v>
      </c>
      <c r="DX7" s="2045">
        <f t="shared" si="18"/>
        <v>0</v>
      </c>
      <c r="DY7" s="2042"/>
      <c r="DZ7" s="2045"/>
      <c r="EA7" s="2045"/>
      <c r="EB7" s="2045"/>
      <c r="EC7" s="2045"/>
      <c r="ED7" s="2045"/>
      <c r="EE7" s="2045"/>
      <c r="EF7" s="2045"/>
      <c r="EG7" s="2045"/>
      <c r="EH7" s="2045"/>
      <c r="EI7" s="2045"/>
      <c r="EJ7" s="2045"/>
      <c r="EK7" s="2045"/>
      <c r="EL7" s="2042"/>
      <c r="EM7" s="2045">
        <f t="shared" ref="EM7:EX7" si="19">SUMIF($CY$9:$CY$171,$CY6,EM$9:EM$171)</f>
        <v>0</v>
      </c>
      <c r="EN7" s="2045">
        <f t="shared" si="19"/>
        <v>0</v>
      </c>
      <c r="EO7" s="2045">
        <f t="shared" si="19"/>
        <v>0</v>
      </c>
      <c r="EP7" s="2045">
        <f t="shared" si="19"/>
        <v>0</v>
      </c>
      <c r="EQ7" s="2045">
        <f t="shared" si="19"/>
        <v>0</v>
      </c>
      <c r="ER7" s="2045">
        <f t="shared" si="19"/>
        <v>0</v>
      </c>
      <c r="ES7" s="2045">
        <f t="shared" si="19"/>
        <v>0</v>
      </c>
      <c r="ET7" s="2045">
        <f t="shared" si="19"/>
        <v>0</v>
      </c>
      <c r="EU7" s="2045">
        <f t="shared" si="19"/>
        <v>0</v>
      </c>
      <c r="EV7" s="2045">
        <f t="shared" si="19"/>
        <v>0</v>
      </c>
      <c r="EW7" s="2045">
        <f t="shared" si="19"/>
        <v>0</v>
      </c>
      <c r="EX7" s="2045">
        <f t="shared" si="19"/>
        <v>0</v>
      </c>
      <c r="EY7" s="2042"/>
      <c r="EZ7" s="2045"/>
      <c r="FA7" s="2045"/>
      <c r="FB7" s="2045"/>
      <c r="FC7" s="2045"/>
      <c r="FD7" s="2045"/>
      <c r="FE7" s="2045"/>
      <c r="FF7" s="2045"/>
      <c r="FG7" s="2045"/>
      <c r="FH7" s="2045"/>
      <c r="FI7" s="2045"/>
      <c r="FJ7" s="2045"/>
      <c r="FK7" s="2045"/>
      <c r="FL7" s="2045"/>
      <c r="FM7" s="2045"/>
      <c r="FN7" s="2045">
        <f t="shared" ref="FN7:FZ7" si="20">SUMIF($CY$9:$CY$171,$CY6,FN$9:FN$171)</f>
        <v>0</v>
      </c>
      <c r="FO7" s="2045">
        <f t="shared" si="20"/>
        <v>0</v>
      </c>
      <c r="FP7" s="2045">
        <f t="shared" si="20"/>
        <v>0</v>
      </c>
      <c r="FQ7" s="2045">
        <f t="shared" si="20"/>
        <v>0</v>
      </c>
      <c r="FR7" s="2045">
        <f t="shared" si="20"/>
        <v>0</v>
      </c>
      <c r="FS7" s="2045">
        <f t="shared" si="20"/>
        <v>0</v>
      </c>
      <c r="FT7" s="2045">
        <f t="shared" si="20"/>
        <v>0</v>
      </c>
      <c r="FU7" s="2045">
        <f t="shared" si="20"/>
        <v>0</v>
      </c>
      <c r="FV7" s="2045">
        <f t="shared" si="20"/>
        <v>0</v>
      </c>
      <c r="FW7" s="2045">
        <f t="shared" si="20"/>
        <v>0</v>
      </c>
      <c r="FX7" s="2045">
        <f t="shared" si="20"/>
        <v>0</v>
      </c>
      <c r="FY7" s="2045">
        <f t="shared" si="20"/>
        <v>0</v>
      </c>
      <c r="FZ7" s="2045">
        <f t="shared" si="20"/>
        <v>0</v>
      </c>
      <c r="GA7" s="2045"/>
      <c r="GB7" s="2045" t="str">
        <f>" "</f>
        <v xml:space="preserve"> </v>
      </c>
      <c r="GC7" s="2045">
        <f>SUMIF($CY$9:$CY$171,$CY6,GC$9:GC$171)</f>
        <v>0</v>
      </c>
      <c r="GD7" s="2045"/>
      <c r="GE7" s="2045"/>
      <c r="GF7" s="2045" t="str">
        <f>" "</f>
        <v xml:space="preserve"> </v>
      </c>
      <c r="GG7" s="2045">
        <f>SUMIF($CY$9:$CY$171,$CY6,GG$9:GG$171)</f>
        <v>0</v>
      </c>
      <c r="GH7" s="2045" t="str">
        <f>" "</f>
        <v xml:space="preserve"> </v>
      </c>
      <c r="GI7" s="2045">
        <f>SUMIF($CY$9:$CY$171,$CY6,GI$9:GI$171)</f>
        <v>0</v>
      </c>
      <c r="GJ7" s="2045" t="str">
        <f>" "</f>
        <v xml:space="preserve"> </v>
      </c>
      <c r="GK7" s="2045">
        <f>SUMIF($CY$9:$CY$171,$CY6,GK$9:GK$171)</f>
        <v>0</v>
      </c>
      <c r="GL7" s="2045" t="str">
        <f t="shared" si="3"/>
        <v xml:space="preserve"> </v>
      </c>
      <c r="GM7" s="2045" t="str">
        <f t="shared" si="3"/>
        <v xml:space="preserve"> </v>
      </c>
      <c r="GN7" s="2045"/>
      <c r="GO7" s="2045" t="str">
        <f t="shared" si="3"/>
        <v xml:space="preserve"> </v>
      </c>
      <c r="GP7" s="2045" t="str">
        <f t="shared" si="3"/>
        <v xml:space="preserve"> </v>
      </c>
      <c r="GQ7" s="2045"/>
      <c r="GR7" s="2045"/>
      <c r="GS7" s="2045" t="str">
        <f t="shared" si="4"/>
        <v xml:space="preserve"> </v>
      </c>
      <c r="GT7" s="2045" t="str">
        <f>" "</f>
        <v xml:space="preserve"> </v>
      </c>
      <c r="GU7" s="2045">
        <f>$IK$9</f>
        <v>0</v>
      </c>
      <c r="GV7" s="2045"/>
      <c r="GW7" s="2045" cm="1">
        <f t="array" ref="GW7">SUMPRODUCT(GW9:GW171,GC9:GC171,(CY9:CY171=CY6)*1)</f>
        <v>0</v>
      </c>
      <c r="GX7" s="2045">
        <f>ROUND(GW7,0)</f>
        <v>0</v>
      </c>
      <c r="GY7" s="2045"/>
      <c r="GZ7" s="2045"/>
      <c r="HA7" s="2045"/>
      <c r="HB7" s="2045"/>
      <c r="HC7" s="2045" cm="1">
        <f t="array" ref="HC7">SUMPRODUCT(HC9:HC171,GC9:GC171,(CY9:CY171=CY6)*1)</f>
        <v>0</v>
      </c>
      <c r="HD7" s="2045">
        <f t="shared" si="11"/>
        <v>0</v>
      </c>
      <c r="HE7" s="2045" t="str">
        <f t="shared" si="5"/>
        <v xml:space="preserve"> </v>
      </c>
      <c r="HF7" s="2045" t="str">
        <f t="shared" si="5"/>
        <v xml:space="preserve"> </v>
      </c>
      <c r="HG7" s="2045"/>
      <c r="HH7" s="2045"/>
      <c r="HI7" s="2045">
        <f>HI6</f>
        <v>3</v>
      </c>
      <c r="HJ7" s="2042"/>
      <c r="HL7" s="2042"/>
      <c r="HM7" s="2052" t="str">
        <f>Tiere!B33</f>
        <v xml:space="preserve">Weibliche Rinder über 6 Monate bis 1 Jahr </v>
      </c>
      <c r="HN7" s="2042">
        <v>4</v>
      </c>
      <c r="HO7" s="2053">
        <f>SUMIF('Berechnung Nährstoffe und Lager'!$BM$68:$BM$81,'Lagerhaltung (freiwillig)'!HN7,'Berechnung Nährstoffe und Lager'!$Z$68:$Z$81)+SUMIF('Berechnung Nährstoffe und Lager'!$BM$68:$BM$81,'Lagerhaltung (freiwillig)'!HN7,'Berechnung Nährstoffe und Lager'!$AA$68:$AA$81)</f>
        <v>0</v>
      </c>
      <c r="HP7" s="2042" cm="1">
        <f t="array" ref="HP7">INDEX(Tiere!$C$30:$C$85,'Lagerhaltung (freiwillig)'!HN7)</f>
        <v>1</v>
      </c>
      <c r="HQ7" s="2042" cm="1">
        <f t="array" ref="HQ7">INDEX(Tiere!$H$30:$H$85,'Lagerhaltung (freiwillig)'!HN7)</f>
        <v>47.1</v>
      </c>
      <c r="HR7" s="2042">
        <f t="shared" si="12"/>
        <v>0</v>
      </c>
      <c r="HS7" s="2042" cm="1">
        <f t="array" ref="HS7">INDEX(Tiere!$I$30:$I$85,'Lagerhaltung (freiwillig)'!HN7)</f>
        <v>13.6</v>
      </c>
      <c r="HT7" s="2042">
        <f t="shared" si="13"/>
        <v>0</v>
      </c>
      <c r="HU7" s="2042" cm="1">
        <f t="array" ref="HU7">INDEX(Tiere!$BC$30:$BC$85,'Lagerhaltung (freiwillig)'!HN7)</f>
        <v>7.2900000000000009</v>
      </c>
      <c r="HV7" s="2042">
        <f t="shared" si="6"/>
        <v>0</v>
      </c>
      <c r="HW7" s="2042" cm="1">
        <f t="array" ref="HW7">INDEX(Tiere!$BD$30:$BD$85,'Lagerhaltung (freiwillig)'!HN7)</f>
        <v>4.0230000000000006</v>
      </c>
      <c r="HX7" s="2042">
        <f t="shared" si="7"/>
        <v>0</v>
      </c>
      <c r="HY7" s="2042"/>
      <c r="HZ7" s="2042"/>
      <c r="IA7" s="2042" t="s">
        <v>94</v>
      </c>
      <c r="IB7" s="2042">
        <v>4</v>
      </c>
      <c r="IC7" s="2042">
        <v>3</v>
      </c>
      <c r="ID7" s="2042">
        <f>SUMIF('Berechnung Nährstoffe und Lager'!$BK$68:$BK$87,IB7,'Berechnung Nährstoffe und Lager'!$EU$68:$EU$87)/1000</f>
        <v>0</v>
      </c>
      <c r="IE7" s="2042">
        <f>SUMIF('Berechnung Nährstoffe und Lager'!$BK$68:$BK$87,IB7,'Berechnung Nährstoffe und Lager'!$EV$68:$EV$87)/1000</f>
        <v>0</v>
      </c>
      <c r="IF7" s="2042">
        <f>CI100</f>
        <v>0</v>
      </c>
      <c r="IG7" s="2276">
        <f>CI104</f>
        <v>0</v>
      </c>
      <c r="IH7" s="2042">
        <f>SUMIF($HP$4:$HP$65,IC7,$HR$4:$HR$65)</f>
        <v>0</v>
      </c>
      <c r="II7" s="2042">
        <f>SUMIF($HP$4:$HP$65,IC7,$HT$4:$HT$65)</f>
        <v>0</v>
      </c>
      <c r="IJ7" s="2042">
        <f t="shared" si="14"/>
        <v>0</v>
      </c>
      <c r="IK7" s="2042">
        <f t="shared" si="14"/>
        <v>0</v>
      </c>
    </row>
    <row r="8" spans="1:245" ht="1.5" hidden="1" customHeight="1" x14ac:dyDescent="0.2">
      <c r="V8" s="510"/>
      <c r="Y8" s="3055"/>
      <c r="Z8" s="3056"/>
      <c r="AA8" s="3056"/>
      <c r="AB8" s="3057"/>
      <c r="AC8" s="3032"/>
      <c r="AD8" s="2999"/>
      <c r="AE8" s="2999"/>
      <c r="AF8" s="2999"/>
      <c r="AG8" s="3098"/>
      <c r="AH8" s="3099"/>
      <c r="AI8" s="3099"/>
      <c r="AJ8" s="3100"/>
      <c r="AK8" s="2997"/>
      <c r="AL8" s="3034"/>
      <c r="AM8" s="3034"/>
      <c r="AN8" s="3035"/>
      <c r="AO8" s="2979"/>
      <c r="AP8" s="2979"/>
      <c r="AQ8" s="3030"/>
      <c r="AR8" s="3061"/>
      <c r="AS8" s="2997"/>
      <c r="AT8" s="3034"/>
      <c r="AU8" s="3034"/>
      <c r="AV8" s="3035"/>
      <c r="AY8" s="2042"/>
      <c r="AZ8" s="2042"/>
      <c r="BA8" s="2042"/>
      <c r="BB8" s="2042"/>
      <c r="BC8" s="2042"/>
      <c r="BD8" s="2042"/>
      <c r="BP8" s="2043"/>
      <c r="BQ8" s="2042"/>
      <c r="BR8" s="2042"/>
      <c r="BS8" s="2042"/>
      <c r="BT8" s="2042"/>
      <c r="BU8" s="2044"/>
      <c r="BV8" s="2044"/>
      <c r="BW8" s="2042"/>
      <c r="BX8" s="2042"/>
      <c r="BY8" s="2042"/>
      <c r="BZ8" s="2042"/>
      <c r="CA8" s="2042"/>
      <c r="CB8" s="2042"/>
      <c r="CC8" s="2042"/>
      <c r="CD8" s="2042"/>
      <c r="CE8" s="2042"/>
      <c r="CF8" s="2042"/>
      <c r="CG8" s="2042"/>
      <c r="CH8" s="2042"/>
      <c r="CI8" s="2042"/>
      <c r="CJ8" s="2042"/>
      <c r="CK8" s="2042"/>
      <c r="CL8" s="2042"/>
      <c r="CM8" s="2042"/>
      <c r="CN8" s="2042"/>
      <c r="CO8" s="2042"/>
      <c r="CP8" s="2042"/>
      <c r="CQ8" s="2042"/>
      <c r="CR8" s="2042"/>
      <c r="CS8" s="2042"/>
      <c r="CT8" s="2042"/>
      <c r="CU8" s="2042"/>
      <c r="CV8" s="2042"/>
      <c r="CW8" s="2051" t="s">
        <v>1251</v>
      </c>
      <c r="CX8" s="2042"/>
      <c r="CY8" s="2045">
        <v>0</v>
      </c>
      <c r="CZ8" s="2045">
        <f t="shared" ref="CZ8:DK8" si="21">SUMIF($CY$9:$CY$171,$CY8,CZ$9:CZ$171)</f>
        <v>0</v>
      </c>
      <c r="DA8" s="2045">
        <f t="shared" si="21"/>
        <v>0</v>
      </c>
      <c r="DB8" s="2045">
        <f t="shared" si="21"/>
        <v>0</v>
      </c>
      <c r="DC8" s="2045">
        <f t="shared" si="21"/>
        <v>0</v>
      </c>
      <c r="DD8" s="2045">
        <f t="shared" si="21"/>
        <v>0</v>
      </c>
      <c r="DE8" s="2045">
        <f t="shared" si="21"/>
        <v>0</v>
      </c>
      <c r="DF8" s="2045">
        <f t="shared" si="21"/>
        <v>0</v>
      </c>
      <c r="DG8" s="2045">
        <f t="shared" si="21"/>
        <v>0</v>
      </c>
      <c r="DH8" s="2045">
        <f t="shared" si="21"/>
        <v>0</v>
      </c>
      <c r="DI8" s="2045">
        <f t="shared" si="21"/>
        <v>0</v>
      </c>
      <c r="DJ8" s="2045">
        <f t="shared" si="21"/>
        <v>0</v>
      </c>
      <c r="DK8" s="2045">
        <f t="shared" si="21"/>
        <v>0</v>
      </c>
      <c r="DL8" s="2042"/>
      <c r="DM8" s="2045">
        <f t="shared" ref="DM8:DX8" si="22">SUMIF($CY$9:$CY$171,$CY8,DM$9:DM$171)</f>
        <v>0</v>
      </c>
      <c r="DN8" s="2045">
        <f t="shared" si="22"/>
        <v>0</v>
      </c>
      <c r="DO8" s="2045">
        <f t="shared" si="22"/>
        <v>0</v>
      </c>
      <c r="DP8" s="2045">
        <f t="shared" si="22"/>
        <v>0</v>
      </c>
      <c r="DQ8" s="2045">
        <f t="shared" si="22"/>
        <v>0</v>
      </c>
      <c r="DR8" s="2045">
        <f t="shared" si="22"/>
        <v>0</v>
      </c>
      <c r="DS8" s="2045">
        <f t="shared" si="22"/>
        <v>0</v>
      </c>
      <c r="DT8" s="2045">
        <f t="shared" si="22"/>
        <v>0</v>
      </c>
      <c r="DU8" s="2045">
        <f t="shared" si="22"/>
        <v>0</v>
      </c>
      <c r="DV8" s="2045">
        <f t="shared" si="22"/>
        <v>0</v>
      </c>
      <c r="DW8" s="2045">
        <f t="shared" si="22"/>
        <v>0</v>
      </c>
      <c r="DX8" s="2045">
        <f t="shared" si="22"/>
        <v>0</v>
      </c>
      <c r="DY8" s="2042"/>
      <c r="DZ8" s="2045">
        <f t="shared" ref="DZ8:EK8" si="23">SUMIF($CY$9:$CY$171,$CY8,DZ$9:DZ$171)</f>
        <v>0</v>
      </c>
      <c r="EA8" s="2045">
        <f t="shared" si="23"/>
        <v>0</v>
      </c>
      <c r="EB8" s="2045">
        <f t="shared" si="23"/>
        <v>0</v>
      </c>
      <c r="EC8" s="2045">
        <f t="shared" si="23"/>
        <v>0</v>
      </c>
      <c r="ED8" s="2045">
        <f t="shared" si="23"/>
        <v>0</v>
      </c>
      <c r="EE8" s="2045">
        <f t="shared" si="23"/>
        <v>0</v>
      </c>
      <c r="EF8" s="2045">
        <f t="shared" si="23"/>
        <v>0</v>
      </c>
      <c r="EG8" s="2045">
        <f t="shared" si="23"/>
        <v>0</v>
      </c>
      <c r="EH8" s="2045">
        <f t="shared" si="23"/>
        <v>0</v>
      </c>
      <c r="EI8" s="2045">
        <f t="shared" si="23"/>
        <v>0</v>
      </c>
      <c r="EJ8" s="2045">
        <f t="shared" si="23"/>
        <v>0</v>
      </c>
      <c r="EK8" s="2045">
        <f t="shared" si="23"/>
        <v>0</v>
      </c>
      <c r="EL8" s="2042"/>
      <c r="EM8" s="2045">
        <f t="shared" ref="EM8:EX8" si="24">SUMIF($CY$9:$CY$171,$CY8,EM$9:EM$171)</f>
        <v>0</v>
      </c>
      <c r="EN8" s="2045">
        <f t="shared" si="24"/>
        <v>0</v>
      </c>
      <c r="EO8" s="2045">
        <f t="shared" si="24"/>
        <v>0</v>
      </c>
      <c r="EP8" s="2045">
        <f t="shared" si="24"/>
        <v>0</v>
      </c>
      <c r="EQ8" s="2045">
        <f t="shared" si="24"/>
        <v>0</v>
      </c>
      <c r="ER8" s="2045">
        <f t="shared" si="24"/>
        <v>0</v>
      </c>
      <c r="ES8" s="2045">
        <f t="shared" si="24"/>
        <v>0</v>
      </c>
      <c r="ET8" s="2045">
        <f t="shared" si="24"/>
        <v>0</v>
      </c>
      <c r="EU8" s="2045">
        <f t="shared" si="24"/>
        <v>0</v>
      </c>
      <c r="EV8" s="2045">
        <f t="shared" si="24"/>
        <v>0</v>
      </c>
      <c r="EW8" s="2045">
        <f t="shared" si="24"/>
        <v>0</v>
      </c>
      <c r="EX8" s="2045">
        <f t="shared" si="24"/>
        <v>0</v>
      </c>
      <c r="EY8" s="2042"/>
      <c r="EZ8" s="2045">
        <f t="shared" ref="EZ8:FL8" si="25">SUMIF($CY$9:$CY$171,$CY8,EZ$9:EZ$171)</f>
        <v>0</v>
      </c>
      <c r="FA8" s="2045">
        <f t="shared" si="25"/>
        <v>0</v>
      </c>
      <c r="FB8" s="2045">
        <f t="shared" si="25"/>
        <v>0</v>
      </c>
      <c r="FC8" s="2045">
        <f t="shared" si="25"/>
        <v>0</v>
      </c>
      <c r="FD8" s="2045">
        <f t="shared" si="25"/>
        <v>0</v>
      </c>
      <c r="FE8" s="2045">
        <f t="shared" si="25"/>
        <v>0</v>
      </c>
      <c r="FF8" s="2045">
        <f t="shared" si="25"/>
        <v>0</v>
      </c>
      <c r="FG8" s="2045">
        <f t="shared" si="25"/>
        <v>0</v>
      </c>
      <c r="FH8" s="2045">
        <f t="shared" si="25"/>
        <v>0</v>
      </c>
      <c r="FI8" s="2045">
        <f t="shared" si="25"/>
        <v>0</v>
      </c>
      <c r="FJ8" s="2045">
        <f t="shared" si="25"/>
        <v>0</v>
      </c>
      <c r="FK8" s="2045">
        <f t="shared" si="25"/>
        <v>0</v>
      </c>
      <c r="FL8" s="2045">
        <f t="shared" si="25"/>
        <v>0</v>
      </c>
      <c r="FM8" s="2045"/>
      <c r="FN8" s="2045">
        <f t="shared" ref="FN8:FZ8" si="26">SUMIF($CY$9:$CY$171,$CY8,FN$9:FN$171)</f>
        <v>0</v>
      </c>
      <c r="FO8" s="2045">
        <f t="shared" si="26"/>
        <v>0</v>
      </c>
      <c r="FP8" s="2045">
        <f t="shared" si="26"/>
        <v>0</v>
      </c>
      <c r="FQ8" s="2045">
        <f t="shared" si="26"/>
        <v>0</v>
      </c>
      <c r="FR8" s="2045">
        <f t="shared" si="26"/>
        <v>0</v>
      </c>
      <c r="FS8" s="2045">
        <f t="shared" si="26"/>
        <v>0</v>
      </c>
      <c r="FT8" s="2045">
        <f t="shared" si="26"/>
        <v>0</v>
      </c>
      <c r="FU8" s="2045">
        <f t="shared" si="26"/>
        <v>0</v>
      </c>
      <c r="FV8" s="2045">
        <f t="shared" si="26"/>
        <v>0</v>
      </c>
      <c r="FW8" s="2045">
        <f t="shared" si="26"/>
        <v>0</v>
      </c>
      <c r="FX8" s="2045">
        <f t="shared" si="26"/>
        <v>0</v>
      </c>
      <c r="FY8" s="2045">
        <f t="shared" si="26"/>
        <v>0</v>
      </c>
      <c r="FZ8" s="2045">
        <f t="shared" si="26"/>
        <v>0</v>
      </c>
      <c r="GA8" s="2045"/>
      <c r="GB8" s="2045">
        <f>SUMIF($CY$9:$CY$171,$CY8,GB$9:GB$171)</f>
        <v>0</v>
      </c>
      <c r="GC8" s="2045">
        <f>SUMIF($CY$9:$CY$171,$CY8,GC$9:GC$171)</f>
        <v>0</v>
      </c>
      <c r="GD8" s="2045"/>
      <c r="GE8" s="2045">
        <f>SUMIFS($GB$9:$GB$171,$CY$9:$CY$171,CY8,$GB$9:$GB$171,"&gt;=0")</f>
        <v>0</v>
      </c>
      <c r="GF8" s="2045">
        <f t="shared" ref="GF8:GK8" si="27">SUMIF($CY$9:$CY$171,$CY8,GF$9:GF$171)</f>
        <v>0</v>
      </c>
      <c r="GG8" s="2045">
        <f t="shared" si="27"/>
        <v>0</v>
      </c>
      <c r="GH8" s="2045">
        <f t="shared" si="27"/>
        <v>0</v>
      </c>
      <c r="GI8" s="2045">
        <f t="shared" si="27"/>
        <v>0</v>
      </c>
      <c r="GJ8" s="2045">
        <f t="shared" si="27"/>
        <v>0</v>
      </c>
      <c r="GK8" s="2045">
        <f t="shared" si="27"/>
        <v>0</v>
      </c>
      <c r="GL8" s="2045" t="str">
        <f t="shared" si="3"/>
        <v xml:space="preserve"> </v>
      </c>
      <c r="GM8" s="2045" t="str">
        <f t="shared" si="3"/>
        <v xml:space="preserve"> </v>
      </c>
      <c r="GN8" s="2045"/>
      <c r="GO8" s="2045" t="str">
        <f t="shared" si="3"/>
        <v xml:space="preserve"> </v>
      </c>
      <c r="GP8" s="2045" t="str">
        <f t="shared" si="3"/>
        <v xml:space="preserve"> </v>
      </c>
      <c r="GQ8" s="2045"/>
      <c r="GR8" s="2045"/>
      <c r="GS8" s="2045" t="str">
        <f t="shared" ref="GS8" si="28">" "</f>
        <v xml:space="preserve"> </v>
      </c>
      <c r="GT8" s="2045" t="str">
        <f>" "</f>
        <v xml:space="preserve"> </v>
      </c>
      <c r="GU8" s="2045" t="str">
        <f>" "</f>
        <v xml:space="preserve"> </v>
      </c>
      <c r="GV8" s="2045" t="str">
        <f>" "</f>
        <v xml:space="preserve"> </v>
      </c>
      <c r="GW8" s="2045" t="str">
        <f t="shared" si="4"/>
        <v xml:space="preserve"> </v>
      </c>
      <c r="GX8" s="2045" t="str">
        <f t="shared" si="4"/>
        <v xml:space="preserve"> </v>
      </c>
      <c r="GY8" s="2045"/>
      <c r="GZ8" s="2045"/>
      <c r="HA8" s="2045"/>
      <c r="HB8" s="2045"/>
      <c r="HC8" s="2045"/>
      <c r="HD8" s="2045" t="str">
        <f t="shared" ref="HD8" si="29">" "</f>
        <v xml:space="preserve"> </v>
      </c>
      <c r="HE8" s="2045" t="str">
        <f t="shared" si="5"/>
        <v xml:space="preserve"> </v>
      </c>
      <c r="HF8" s="2045" t="str">
        <f t="shared" si="5"/>
        <v xml:space="preserve"> </v>
      </c>
      <c r="HG8" s="2045"/>
      <c r="HH8" s="2045"/>
      <c r="HI8" s="2045">
        <f>IF(AND(GH8=0,GF8=0),3,0)</f>
        <v>3</v>
      </c>
      <c r="HJ8" s="2042"/>
      <c r="HL8" s="2042"/>
      <c r="HM8" s="2052" t="str">
        <f>Tiere!B34</f>
        <v>Weibliche Rinder über 1 Jahr bis 2 Jahre</v>
      </c>
      <c r="HN8" s="2042">
        <v>5</v>
      </c>
      <c r="HO8" s="2053">
        <f>SUMIF('Berechnung Nährstoffe und Lager'!$BM$68:$BM$81,'Lagerhaltung (freiwillig)'!HN8,'Berechnung Nährstoffe und Lager'!$Z$68:$Z$81)+SUMIF('Berechnung Nährstoffe und Lager'!$BM$68:$BM$81,'Lagerhaltung (freiwillig)'!HN8,'Berechnung Nährstoffe und Lager'!$AA$68:$AA$81)</f>
        <v>0</v>
      </c>
      <c r="HP8" s="2042" cm="1">
        <f t="array" ref="HP8">INDEX(Tiere!$C$30:$C$85,'Lagerhaltung (freiwillig)'!HN8)</f>
        <v>1</v>
      </c>
      <c r="HQ8" s="2042" cm="1">
        <f t="array" ref="HQ8">INDEX(Tiere!$H$30:$H$85,'Lagerhaltung (freiwillig)'!HN8)</f>
        <v>71.599999999999994</v>
      </c>
      <c r="HR8" s="2042">
        <f t="shared" si="12"/>
        <v>0</v>
      </c>
      <c r="HS8" s="2042" cm="1">
        <f t="array" ref="HS8">INDEX(Tiere!$I$30:$I$85,'Lagerhaltung (freiwillig)'!HN8)</f>
        <v>21.4</v>
      </c>
      <c r="HT8" s="2042">
        <f t="shared" si="13"/>
        <v>0</v>
      </c>
      <c r="HU8" s="2042" cm="1">
        <f t="array" ref="HU8">INDEX(Tiere!$BC$30:$BC$85,'Lagerhaltung (freiwillig)'!HN8)</f>
        <v>7.2900000000000009</v>
      </c>
      <c r="HV8" s="2042">
        <f t="shared" si="6"/>
        <v>0</v>
      </c>
      <c r="HW8" s="2042" cm="1">
        <f t="array" ref="HW8">INDEX(Tiere!$BD$30:$BD$85,'Lagerhaltung (freiwillig)'!HN8)</f>
        <v>4.0230000000000006</v>
      </c>
      <c r="HX8" s="2042">
        <f t="shared" si="7"/>
        <v>0</v>
      </c>
      <c r="HY8" s="2042"/>
      <c r="HZ8" s="2042"/>
      <c r="IA8" s="2042" t="s">
        <v>253</v>
      </c>
      <c r="IB8" s="2042">
        <v>5</v>
      </c>
      <c r="IC8" s="2042" t="s">
        <v>1226</v>
      </c>
      <c r="ID8" s="2042">
        <f>SUMIF('Berechnung Nährstoffe und Lager'!$BK$68:$BK$87,IB8,'Berechnung Nährstoffe und Lager'!$EU$68:$EU$87)/1000</f>
        <v>0</v>
      </c>
      <c r="IE8" s="2042">
        <f>SUMIF('Berechnung Nährstoffe und Lager'!$BK$68:$BK$87,IB8,'Berechnung Nährstoffe und Lager'!$EV$68:$EV$87)/1000</f>
        <v>0</v>
      </c>
      <c r="IF8" s="2042">
        <f>CJ100</f>
        <v>0</v>
      </c>
      <c r="IG8" s="2276">
        <f>CJ104</f>
        <v>0</v>
      </c>
      <c r="IH8" s="2042">
        <f>SUMIF($HP$4:$HP$65,IC8,$HR$4:$HR$65)</f>
        <v>0</v>
      </c>
      <c r="II8" s="2042">
        <f>SUMIF($HP$4:$HP$65,IC8,$HT$4:$HT$65)</f>
        <v>0</v>
      </c>
      <c r="IJ8" s="2042">
        <f t="shared" si="14"/>
        <v>0</v>
      </c>
      <c r="IK8" s="2042">
        <f t="shared" si="14"/>
        <v>0</v>
      </c>
    </row>
    <row r="9" spans="1:245" ht="1.5" customHeight="1" thickBot="1" x14ac:dyDescent="0.25">
      <c r="V9" s="510"/>
      <c r="Y9" s="3055"/>
      <c r="Z9" s="3056"/>
      <c r="AA9" s="3056"/>
      <c r="AB9" s="3057"/>
      <c r="AC9" s="3032"/>
      <c r="AD9" s="2999"/>
      <c r="AE9" s="2999"/>
      <c r="AF9" s="2999"/>
      <c r="AG9" s="3098"/>
      <c r="AH9" s="3099"/>
      <c r="AI9" s="3099"/>
      <c r="AJ9" s="3100"/>
      <c r="AK9" s="2997"/>
      <c r="AL9" s="3034"/>
      <c r="AM9" s="3034"/>
      <c r="AN9" s="3035"/>
      <c r="AO9" s="2979"/>
      <c r="AP9" s="2979"/>
      <c r="AQ9" s="3030"/>
      <c r="AR9" s="3061"/>
      <c r="AS9" s="2997"/>
      <c r="AT9" s="3034"/>
      <c r="AU9" s="3034"/>
      <c r="AV9" s="3035"/>
      <c r="AY9" s="2042"/>
      <c r="AZ9" s="2042"/>
      <c r="BA9" s="2042"/>
      <c r="BB9" s="2042"/>
      <c r="BC9" s="2042"/>
      <c r="BD9" s="2042"/>
      <c r="BP9" s="2043"/>
      <c r="BQ9" s="2042"/>
      <c r="BR9" s="2042"/>
      <c r="BS9" s="2042"/>
      <c r="BT9" s="2042"/>
      <c r="BU9" s="2044"/>
      <c r="BV9" s="2044"/>
      <c r="BW9" s="2042"/>
      <c r="BX9" s="2042"/>
      <c r="BY9" s="2042"/>
      <c r="BZ9" s="2042"/>
      <c r="CA9" s="2042"/>
      <c r="CB9" s="2042"/>
      <c r="CC9" s="2042"/>
      <c r="CD9" s="2042"/>
      <c r="CE9" s="2042"/>
      <c r="CF9" s="2042"/>
      <c r="CG9" s="2042"/>
      <c r="CH9" s="2042"/>
      <c r="CI9" s="2042"/>
      <c r="CJ9" s="2042"/>
      <c r="CK9" s="2042"/>
      <c r="CL9" s="2042"/>
      <c r="CM9" s="2042"/>
      <c r="CN9" s="2042"/>
      <c r="CO9" s="2042"/>
      <c r="CP9" s="2042"/>
      <c r="CQ9" s="2042"/>
      <c r="CR9" s="2042"/>
      <c r="CS9" s="2042"/>
      <c r="CT9" s="2042"/>
      <c r="CU9" s="2042"/>
      <c r="CV9" s="2042"/>
      <c r="CW9" s="609">
        <f>Pflanzen!A5</f>
        <v>0</v>
      </c>
      <c r="CX9" s="2042">
        <f>IFERROR(MATCH($CW9,Pflanzen!$C$5:$C$119,0),1)</f>
        <v>1</v>
      </c>
      <c r="CY9" s="609" cm="1">
        <f t="array" ref="CY9">INDEX(Pflanzen!$I$5:$I$119,'Lagerhaltung (freiwillig)'!CX9)</f>
        <v>0</v>
      </c>
      <c r="CZ9" s="2042">
        <f t="shared" ref="CZ9:DK18" si="30">SUMIFS($CQ$14:$CQ$68,$BW$14:$BW$68,1,$BX$14:$BX$68,CZ$2,$BR$14:$BR$68,$CX9)+    SUMIFS($CQ$14:$CQ$68,$BW$14:$BW$68,"&gt;1",$BX$14:$BX$68,"&lt;="&amp;CZ$2,$BY$14:$BY$68,"&gt;="&amp;CZ$2,$BR$14:$BR$68,$CX9)</f>
        <v>0</v>
      </c>
      <c r="DA9" s="2042">
        <f t="shared" si="30"/>
        <v>0</v>
      </c>
      <c r="DB9" s="2042">
        <f t="shared" si="30"/>
        <v>0</v>
      </c>
      <c r="DC9" s="2042">
        <f t="shared" si="30"/>
        <v>0</v>
      </c>
      <c r="DD9" s="2042">
        <f t="shared" si="30"/>
        <v>0</v>
      </c>
      <c r="DE9" s="2042">
        <f t="shared" si="30"/>
        <v>0</v>
      </c>
      <c r="DF9" s="2042">
        <f t="shared" si="30"/>
        <v>0</v>
      </c>
      <c r="DG9" s="2042">
        <f t="shared" si="30"/>
        <v>0</v>
      </c>
      <c r="DH9" s="2042">
        <f t="shared" si="30"/>
        <v>0</v>
      </c>
      <c r="DI9" s="2042">
        <f t="shared" si="30"/>
        <v>0</v>
      </c>
      <c r="DJ9" s="2042">
        <f t="shared" si="30"/>
        <v>0</v>
      </c>
      <c r="DK9" s="2042">
        <f t="shared" si="30"/>
        <v>0</v>
      </c>
      <c r="DL9" s="2042"/>
      <c r="DM9" s="2042">
        <f t="shared" ref="DM9:DX18" si="31">SUMIFS($CS$14:$CS$68,$BW$14:$BW$68,1,$BX$14:$BX$68,DM$2,$BR$14:$BR$68,$CX9)+    SUMIFS($CS$14:$CS$68,$BW$14:$BW$68,"&gt;1",$BX$14:$BX$68,"&lt;="&amp;DM$2,$BY$14:$BY$68,"&gt;="&amp;DM$2,$BR$14:$BR$68,$CX9)</f>
        <v>0</v>
      </c>
      <c r="DN9" s="2042">
        <f t="shared" si="31"/>
        <v>0</v>
      </c>
      <c r="DO9" s="2042">
        <f t="shared" si="31"/>
        <v>0</v>
      </c>
      <c r="DP9" s="2042">
        <f t="shared" si="31"/>
        <v>0</v>
      </c>
      <c r="DQ9" s="2042">
        <f t="shared" si="31"/>
        <v>0</v>
      </c>
      <c r="DR9" s="2042">
        <f t="shared" si="31"/>
        <v>0</v>
      </c>
      <c r="DS9" s="2042">
        <f t="shared" si="31"/>
        <v>0</v>
      </c>
      <c r="DT9" s="2042">
        <f t="shared" si="31"/>
        <v>0</v>
      </c>
      <c r="DU9" s="2042">
        <f t="shared" si="31"/>
        <v>0</v>
      </c>
      <c r="DV9" s="2042">
        <f t="shared" si="31"/>
        <v>0</v>
      </c>
      <c r="DW9" s="2042">
        <f t="shared" si="31"/>
        <v>0</v>
      </c>
      <c r="DX9" s="2042">
        <f t="shared" si="31"/>
        <v>0</v>
      </c>
      <c r="DY9" s="2042"/>
      <c r="DZ9" s="2042">
        <f t="shared" ref="DZ9:EK18" si="32">SUMIFS($CL$14:$CL$68,$CC$14:$CC$68,1,$CD$14:$CD$68,DZ$2,$BR$14:$BR$68,$CX9)+         SUMIFS($CL$14:$CL$68,$CC$14:$CC$68,"&gt;1",$CD$14:$CD$68,"&lt;="&amp;DZ$2,$CE$14:$CE$68,"&gt;="&amp;DZ$2,$BR$14:$BR$68,$CX9)</f>
        <v>0</v>
      </c>
      <c r="EA9" s="2042">
        <f t="shared" si="32"/>
        <v>0</v>
      </c>
      <c r="EB9" s="2042">
        <f t="shared" si="32"/>
        <v>0</v>
      </c>
      <c r="EC9" s="2042">
        <f t="shared" si="32"/>
        <v>0</v>
      </c>
      <c r="ED9" s="2042">
        <f t="shared" si="32"/>
        <v>0</v>
      </c>
      <c r="EE9" s="2042">
        <f t="shared" si="32"/>
        <v>0</v>
      </c>
      <c r="EF9" s="2042">
        <f t="shared" si="32"/>
        <v>0</v>
      </c>
      <c r="EG9" s="2042">
        <f t="shared" si="32"/>
        <v>0</v>
      </c>
      <c r="EH9" s="2042">
        <f t="shared" si="32"/>
        <v>0</v>
      </c>
      <c r="EI9" s="2042">
        <f t="shared" si="32"/>
        <v>0</v>
      </c>
      <c r="EJ9" s="2042">
        <f t="shared" si="32"/>
        <v>0</v>
      </c>
      <c r="EK9" s="2042">
        <f t="shared" si="32"/>
        <v>0</v>
      </c>
      <c r="EL9" s="2042"/>
      <c r="EM9" s="2042">
        <f t="shared" ref="EM9:EX18" si="33">SUMIFS($CN$14:$CN$68,$CC$14:$CC$68,1,$CD$14:$CD$68,EM$2,$BR$14:$BR$68,$CX9)+         SUMIFS($CN$14:$CN$68,$CC$14:$CC$68,"&gt;1",$CD$14:$CD$68,"&lt;="&amp;EM$2,$CE$14:$CE$68,"&gt;="&amp;EM$2,$BR$14:$BR$68,$CX9)</f>
        <v>0</v>
      </c>
      <c r="EN9" s="2042">
        <f t="shared" si="33"/>
        <v>0</v>
      </c>
      <c r="EO9" s="2042">
        <f t="shared" si="33"/>
        <v>0</v>
      </c>
      <c r="EP9" s="2042">
        <f t="shared" si="33"/>
        <v>0</v>
      </c>
      <c r="EQ9" s="2042">
        <f t="shared" si="33"/>
        <v>0</v>
      </c>
      <c r="ER9" s="2042">
        <f t="shared" si="33"/>
        <v>0</v>
      </c>
      <c r="ES9" s="2042">
        <f t="shared" si="33"/>
        <v>0</v>
      </c>
      <c r="ET9" s="2042">
        <f t="shared" si="33"/>
        <v>0</v>
      </c>
      <c r="EU9" s="2042">
        <f t="shared" si="33"/>
        <v>0</v>
      </c>
      <c r="EV9" s="2042">
        <f t="shared" si="33"/>
        <v>0</v>
      </c>
      <c r="EW9" s="2042">
        <f t="shared" si="33"/>
        <v>0</v>
      </c>
      <c r="EX9" s="2042">
        <f t="shared" si="33"/>
        <v>0</v>
      </c>
      <c r="EY9" s="2042"/>
      <c r="EZ9" s="2045">
        <f>SUMIF($BR$14:$BR$68,$CX9,$CI$14:$CI$68)</f>
        <v>0</v>
      </c>
      <c r="FA9" s="2042">
        <f>EZ9+CZ9+DZ9                 -         SUMIF('Berechnung Nährstoffe und Lager'!$AX$113:$AX$155,$CX9,'Berechnung Nährstoffe und Lager'!$U$113:$U$155)/12  -$GB9*$HC9/12</f>
        <v>0</v>
      </c>
      <c r="FB9" s="2042">
        <f>FA9+DA9+EA9                 -         SUMIF('Berechnung Nährstoffe und Lager'!$AX$113:$AX$155,$CX9,'Berechnung Nährstoffe und Lager'!$U$113:$U$155)/12  -$GB9*$HC9/12</f>
        <v>0</v>
      </c>
      <c r="FC9" s="2042">
        <f>FB9+DB9+EB9                 -         SUMIF('Berechnung Nährstoffe und Lager'!$AX$113:$AX$155,$CX9,'Berechnung Nährstoffe und Lager'!$U$113:$U$155)/12  -$GB9*$HC9/12</f>
        <v>0</v>
      </c>
      <c r="FD9" s="2042">
        <f>FC9+DC9+EC9                 -         SUMIF('Berechnung Nährstoffe und Lager'!$AX$113:$AX$155,$CX9,'Berechnung Nährstoffe und Lager'!$U$113:$U$155)/12  -$GB9*$HC9/12</f>
        <v>0</v>
      </c>
      <c r="FE9" s="2042">
        <f>FD9+DD9+ED9                 -         SUMIF('Berechnung Nährstoffe und Lager'!$AX$113:$AX$155,$CX9,'Berechnung Nährstoffe und Lager'!$U$113:$U$155)/12  -$GB9*$HC9/12</f>
        <v>0</v>
      </c>
      <c r="FF9" s="2042">
        <f>FE9+DE9+EE9                 -         SUMIF('Berechnung Nährstoffe und Lager'!$AX$113:$AX$155,$CX9,'Berechnung Nährstoffe und Lager'!$U$113:$U$155)/12  -$GB9*$HC9/12</f>
        <v>0</v>
      </c>
      <c r="FG9" s="2042">
        <f>FF9+DF9+EF9                 -         SUMIF('Berechnung Nährstoffe und Lager'!$AX$113:$AX$155,$CX9,'Berechnung Nährstoffe und Lager'!$U$113:$U$155)/12  -$GB9*$HC9/12</f>
        <v>0</v>
      </c>
      <c r="FH9" s="2042">
        <f>FG9+DG9+EG9                 -         SUMIF('Berechnung Nährstoffe und Lager'!$AX$113:$AX$155,$CX9,'Berechnung Nährstoffe und Lager'!$U$113:$U$155)/12  -$GB9*$HC9/12</f>
        <v>0</v>
      </c>
      <c r="FI9" s="2042">
        <f>FH9+DH9+EH9                 -         SUMIF('Berechnung Nährstoffe und Lager'!$AX$113:$AX$155,$CX9,'Berechnung Nährstoffe und Lager'!$U$113:$U$155)/12  -$GB9*$HC9/12</f>
        <v>0</v>
      </c>
      <c r="FJ9" s="2042">
        <f>FI9+DI9+EI9                 -         SUMIF('Berechnung Nährstoffe und Lager'!$AX$113:$AX$155,$CX9,'Berechnung Nährstoffe und Lager'!$U$113:$U$155)/12  -$GB9*$HC9/12</f>
        <v>0</v>
      </c>
      <c r="FK9" s="2042">
        <f>FJ9+DJ9+EJ9                 -         SUMIF('Berechnung Nährstoffe und Lager'!$AX$113:$AX$155,$CX9,'Berechnung Nährstoffe und Lager'!$U$113:$U$155)/12  -$GB9*$HC9/12</f>
        <v>0</v>
      </c>
      <c r="FL9" s="2042">
        <f>FK9+DK9+EK9                 -         SUMIF('Berechnung Nährstoffe und Lager'!$AX$113:$AX$155,$CX9,'Berechnung Nährstoffe und Lager'!$U$113:$U$155)/12  -$GB9*$HC9/12</f>
        <v>0</v>
      </c>
      <c r="FM9" s="2042"/>
      <c r="FN9" s="2045">
        <f>SUMIF($BR$14:$BR$68,$CX9,$CJ$14:$CJ$68)</f>
        <v>0</v>
      </c>
      <c r="FO9" s="2042">
        <f>FN9+DM9+EM9                 -         SUMIF('Berechnung Nährstoffe und Lager'!$AX$113:$AX$155,$CX9,'Berechnung Nährstoffe und Lager'!$V$113:$V$155)/12  -$GC9*$HC9/12</f>
        <v>0</v>
      </c>
      <c r="FP9" s="2042">
        <f>FO9+DN9+EN9                 -         SUMIF('Berechnung Nährstoffe und Lager'!$AX$113:$AX$155,$CX9,'Berechnung Nährstoffe und Lager'!$V$113:$V$155)/12  -$GC9*$HC9/12</f>
        <v>0</v>
      </c>
      <c r="FQ9" s="2042">
        <f>FP9+DO9+EO9                 -         SUMIF('Berechnung Nährstoffe und Lager'!$AX$113:$AX$155,$CX9,'Berechnung Nährstoffe und Lager'!$V$113:$V$155)/12  -$GC9*$HC9/12</f>
        <v>0</v>
      </c>
      <c r="FR9" s="2042">
        <f>FQ9+DP9+EP9                 -         SUMIF('Berechnung Nährstoffe und Lager'!$AX$113:$AX$155,$CX9,'Berechnung Nährstoffe und Lager'!$V$113:$V$155)/12  -$GC9*$HC9/12</f>
        <v>0</v>
      </c>
      <c r="FS9" s="2042">
        <f>FR9+DQ9+EQ9                 -         SUMIF('Berechnung Nährstoffe und Lager'!$AX$113:$AX$155,$CX9,'Berechnung Nährstoffe und Lager'!$V$113:$V$155)/12  -$GC9*$HC9/12</f>
        <v>0</v>
      </c>
      <c r="FT9" s="2042">
        <f>FS9+DR9+ER9                 -         SUMIF('Berechnung Nährstoffe und Lager'!$AX$113:$AX$155,$CX9,'Berechnung Nährstoffe und Lager'!$V$113:$V$155)/12  -$GC9*$HC9/12</f>
        <v>0</v>
      </c>
      <c r="FU9" s="2042">
        <f>FT9+DS9+ES9                 -         SUMIF('Berechnung Nährstoffe und Lager'!$AX$113:$AX$155,$CX9,'Berechnung Nährstoffe und Lager'!$V$113:$V$155)/12  -$GC9*$HC9/12</f>
        <v>0</v>
      </c>
      <c r="FV9" s="2042">
        <f>FU9+DT9+ET9                 -         SUMIF('Berechnung Nährstoffe und Lager'!$AX$113:$AX$155,$CX9,'Berechnung Nährstoffe und Lager'!$V$113:$V$155)/12  -$GC9*$HC9/12</f>
        <v>0</v>
      </c>
      <c r="FW9" s="2042">
        <f>FV9+DU9+EU9                 -         SUMIF('Berechnung Nährstoffe und Lager'!$AX$113:$AX$155,$CX9,'Berechnung Nährstoffe und Lager'!$V$113:$V$155)/12  -$GC9*$HC9/12</f>
        <v>0</v>
      </c>
      <c r="FX9" s="2042">
        <f>FW9+DV9+EV9                 -         SUMIF('Berechnung Nährstoffe und Lager'!$AX$113:$AX$155,$CX9,'Berechnung Nährstoffe und Lager'!$V$113:$V$155)/12  -$GC9*$HC9/12</f>
        <v>0</v>
      </c>
      <c r="FY9" s="2042">
        <f>FX9+DW9+EW9                 -         SUMIF('Berechnung Nährstoffe und Lager'!$AX$113:$AX$155,$CX9,'Berechnung Nährstoffe und Lager'!$V$113:$V$155)/12  -$GC9*$HC9/12</f>
        <v>0</v>
      </c>
      <c r="FZ9" s="2042">
        <f>FY9+DX9+EX9                 -         SUMIF('Berechnung Nährstoffe und Lager'!$AX$113:$AX$155,$CX9,'Berechnung Nährstoffe und Lager'!$V$113:$V$155)/12  -$GC9*$HC9/12</f>
        <v>0</v>
      </c>
      <c r="GA9" s="2042"/>
      <c r="GB9" s="2042">
        <f>SUMIFS($CI$14:$CI$68,$BR$14:$BR$68,$CX9)+SUMIFS($CM$14:$CM$68,$BR$14:$BR$68,$CX9)+SUMIFS($CR$14:$CR$68,$BR$14:$BR$68,$CX9)  -         SUMIF('Berechnung Nährstoffe und Lager'!$AX$113:$AX$155,$CX9,'Berechnung Nährstoffe und Lager'!$U$113:$U$155)</f>
        <v>0</v>
      </c>
      <c r="GC9" s="2042">
        <f>SUMIFS($CJ$14:$CJ$68,$BR$14:$BR$68,$CX9)+SUMIFS($CO$14:$CO$68,$BR$14:$BR$68,$CX9)+SUMIFS($CT$14:$CT$68,$BR$14:$BR$68,$CX9)  -         SUMIF('Berechnung Nährstoffe und Lager'!$AX$113:$AX$155,$CX9,'Berechnung Nährstoffe und Lager'!$V$113:$V$155)</f>
        <v>0</v>
      </c>
      <c r="GD9" s="2042"/>
      <c r="GE9" s="2042"/>
      <c r="GF9" s="2042">
        <f>SUMIF('Berechnung Nährstoffe und Lager'!$AX$113:$AX$155,$CX9,'Berechnung Nährstoffe und Lager'!$U$113:$U$155)</f>
        <v>0</v>
      </c>
      <c r="GG9" s="2042">
        <f>SUMIF('Berechnung Nährstoffe und Lager'!$AX$113:$AX$155,$CX9,'Berechnung Nährstoffe und Lager'!$V$113:$V$155)</f>
        <v>0</v>
      </c>
      <c r="GH9" s="2042">
        <f>GB9+GF9</f>
        <v>0</v>
      </c>
      <c r="GI9" s="2042">
        <f>GC9+GG9</f>
        <v>0</v>
      </c>
      <c r="GJ9" s="2042">
        <f t="shared" ref="GJ9:GJ42" si="34">GB9-GB9*HC9</f>
        <v>0</v>
      </c>
      <c r="GK9" s="2042">
        <f t="shared" ref="GK9:GK42" si="35">GC9-GC9*HC9</f>
        <v>0</v>
      </c>
      <c r="GL9" s="2042">
        <f t="shared" ref="GL9:GL42" si="36">SUMIF($BR$14:$BR$68,CX9,$CU$14:$CU$68)</f>
        <v>0</v>
      </c>
      <c r="GM9" s="2042" cm="1">
        <f t="array" ref="GM9">IF(GL9=0,0,(IFERROR(SUMPRODUCT($J$14:$J$68,$CH$14:$CH$68,($BR$14:$BR$68=CX9)*1)+SUMPRODUCT($L$14:$L$68,$M$14:$M$68,$CK$14:$CK$68,($BR$14:$BR$68=CX9)*1,($BT$14:$BT$68=FALSE)*1)/10+SUMPRODUCT($R$14:$R$68,$CP$14:$CP$68,($BR$14:$BR$68=CX9)*1),0))/GL9)</f>
        <v>0</v>
      </c>
      <c r="GN9" s="2042">
        <f t="shared" ref="GN9" si="37">GL9*GM9/100</f>
        <v>0</v>
      </c>
      <c r="GO9" s="2042">
        <f>(SUMIF('Berechnung Nährstoffe und Lager'!$AX$113:$AX$130,'Lagerhaltung (freiwillig)'!CX9,'Berechnung Nährstoffe und Lager'!$D$113:$D$130)+SUMIF('Berechnung Nährstoffe und Lager'!$AX$137:$AX$155,'Lagerhaltung (freiwillig)'!CX9,'Berechnung Nährstoffe und Lager'!$E$137:$E$155))</f>
        <v>0</v>
      </c>
      <c r="GP9" s="2042" cm="1">
        <f t="array" ref="GP9">IF(GO9=0,0,(IFERROR(SUMPRODUCT('Berechnung Nährstoffe und Lager'!$D$113:$D$130,'Berechnung Nährstoffe und Lager'!$F$113:$F$130,('Berechnung Nährstoffe und Lager'!$AX$113:$AX$130='Lagerhaltung (freiwillig)'!CX9)*1)+SUMPRODUCT('Berechnung Nährstoffe und Lager'!$E$137:$E$155,'Berechnung Nährstoffe und Lager'!$F$137:$F$155,('Berechnung Nährstoffe und Lager'!$AX$137:$AX$155='Lagerhaltung (freiwillig)'!CX9)*1),0))/GO9)</f>
        <v>0</v>
      </c>
      <c r="GQ9" s="2042">
        <f t="shared" ref="GQ9" si="38">GO9*GP9/100</f>
        <v>0</v>
      </c>
      <c r="GR9" s="2042">
        <f>GN9-GQ9</f>
        <v>0</v>
      </c>
      <c r="GS9" s="2042">
        <f>IF(AND(GM9=0,GP9=0),0,IF(GM9=0,GR9/(GP9/100),GR9/(GM9/100)))</f>
        <v>0</v>
      </c>
      <c r="GT9" s="2042">
        <f>IF(OR(GM9=0,GP9=0),MAX(GM9,GP9),GM9)</f>
        <v>0</v>
      </c>
      <c r="GU9" s="2045" t="str">
        <f t="shared" ref="GU9:GV73" si="39">" "</f>
        <v xml:space="preserve"> </v>
      </c>
      <c r="GV9" s="2045" t="str">
        <f t="shared" si="39"/>
        <v xml:space="preserve"> </v>
      </c>
      <c r="GW9" s="2054">
        <f t="shared" ref="GW9:GW42" si="40">IF(OR(HI9=3,GS9&lt;=0),0,IF(CY9=$CY$4,$GV$4/$GE$4,IF(CY9=$CY$6,$GV$6/$GE$6,0)))</f>
        <v>0</v>
      </c>
      <c r="GX9" s="2042">
        <f t="shared" ref="GX9:GX42" si="41">GS9*GW9</f>
        <v>0</v>
      </c>
      <c r="GY9" s="2042" t="str">
        <f t="shared" ref="GY9:GY40" si="42">IF(HI9=3,"a",VLOOKUP(CW9,$Y$13:$AZ$132,COLUMN($AZ$1)-COLUMN($Y$1)+1,FALSE))</f>
        <v>a</v>
      </c>
      <c r="GZ9" s="2055">
        <f t="shared" ref="GZ9:GZ42" si="43">IF(GY9="a",0,GB9*HC9)</f>
        <v>0</v>
      </c>
      <c r="HA9" s="2055">
        <f t="shared" ref="HA9:HA42" si="44">IF(GY9="a",0,GB9*(1-HC9))</f>
        <v>0</v>
      </c>
      <c r="HB9" s="2055"/>
      <c r="HC9" s="2046">
        <f t="shared" ref="HC9:HC42" si="45">IF(OR(HI9=3,GS9&lt;=0),0,IF(GY9&lt;&gt;"a",IF(GS9=0,0,MIN(1,GY9/GS9)),IF(CY9=$CY$4,IF($GE$4-$HA$4-$GZ$4=0,0,$HB$4/($GE$4-$HA$4-$GZ$4)),IF(CY9=$CY$6,IF($GE$6-$HA$6-$GZ$6=0,0,$HB$6/($GE$6-$HA$6-$GZ$6)),0))))</f>
        <v>0</v>
      </c>
      <c r="HD9" s="2055">
        <f t="shared" ref="HD9:HD42" si="46">MAX(0,GS9*HC9)</f>
        <v>0</v>
      </c>
      <c r="HE9" s="2055">
        <f t="shared" ref="HE9:HE42" si="47">GS9-HD9</f>
        <v>0</v>
      </c>
      <c r="HF9" s="2055">
        <f t="shared" ref="HF9:HF42" si="48">GM9</f>
        <v>0</v>
      </c>
      <c r="HG9" s="2282" cm="1">
        <f t="array" ref="HG9">IF(AND(HE9=0,GJ9=0),0,IF(HE9=0,1,IF(OR(GJ9*1000/HE9/HF9&gt;INDEX(Pflanzen!$AD$5:$AD$109,CX9)/INDEX(Pflanzen!$M$5:$M$109,CX9)*$HG$1,GJ9*1000/HE9/HF9&lt;INDEX(Pflanzen!$AD$5:$AD$109,CX9)/INDEX(Pflanzen!$M$5:$M$109,CX9)/$HG$1),1,0)))</f>
        <v>0</v>
      </c>
      <c r="HH9" s="2282" cm="1">
        <f t="array" ref="HH9">IF(AND(GK9=0,HE9=0),0,IF(HE9=0,1,IF(OR(GK9*1000/HE9/HF9&gt;INDEX(Pflanzen!$AE$5:$AE$109,CX9)/INDEX(Pflanzen!$M$5:$M$109,CX9)*$HG$1,GK9*1000/HE9/HF9&lt;INDEX(Pflanzen!$AE$5:$AE$109,CX9)/INDEX(Pflanzen!$M$5:$M$109,CX9)/$HG$1),1,0)))</f>
        <v>0</v>
      </c>
      <c r="HI9" s="2042">
        <f t="shared" ref="HI9:HI42" si="49">IF(AND(GB9=0,GF9=0,GH9=0),3,CY9)</f>
        <v>3</v>
      </c>
      <c r="HJ9" s="2042"/>
      <c r="HL9" s="2042"/>
      <c r="HM9" s="2052" t="str">
        <f>Tiere!B35</f>
        <v>Andere weibliche Rinder über 2 Jahre</v>
      </c>
      <c r="HN9" s="2042">
        <v>6</v>
      </c>
      <c r="HO9" s="2053">
        <f>SUMIF('Berechnung Nährstoffe und Lager'!$BM$68:$BM$81,'Lagerhaltung (freiwillig)'!HN9,'Berechnung Nährstoffe und Lager'!$Z$68:$Z$81)+SUMIF('Berechnung Nährstoffe und Lager'!$BM$68:$BM$81,'Lagerhaltung (freiwillig)'!HN9,'Berechnung Nährstoffe und Lager'!$AA$68:$AA$81)</f>
        <v>0</v>
      </c>
      <c r="HP9" s="2042" cm="1">
        <f t="array" ref="HP9">INDEX(Tiere!$C$30:$C$85,'Lagerhaltung (freiwillig)'!HN9)</f>
        <v>1</v>
      </c>
      <c r="HQ9" s="2042" cm="1">
        <f t="array" ref="HQ9">INDEX(Tiere!$H$30:$H$85,'Lagerhaltung (freiwillig)'!HN9)</f>
        <v>84.4</v>
      </c>
      <c r="HR9" s="2042">
        <f t="shared" si="12"/>
        <v>0</v>
      </c>
      <c r="HS9" s="2042" cm="1">
        <f t="array" ref="HS9">INDEX(Tiere!$I$30:$I$85,'Lagerhaltung (freiwillig)'!HN9)</f>
        <v>24.4</v>
      </c>
      <c r="HT9" s="2042">
        <f t="shared" si="13"/>
        <v>0</v>
      </c>
      <c r="HU9" s="2042" cm="1">
        <f t="array" ref="HU9">INDEX(Tiere!$BC$30:$BC$85,'Lagerhaltung (freiwillig)'!HN9)</f>
        <v>7.2900000000000009</v>
      </c>
      <c r="HV9" s="2042">
        <f t="shared" si="6"/>
        <v>0</v>
      </c>
      <c r="HW9" s="2042" cm="1">
        <f t="array" ref="HW9">INDEX(Tiere!$BD$30:$BD$85,'Lagerhaltung (freiwillig)'!HN9)</f>
        <v>4.0230000000000006</v>
      </c>
      <c r="HX9" s="2042">
        <f t="shared" si="7"/>
        <v>0</v>
      </c>
      <c r="HY9" s="2042"/>
      <c r="HZ9" s="2042"/>
      <c r="IA9" s="2045" t="s">
        <v>1228</v>
      </c>
      <c r="IB9" s="2042"/>
      <c r="IC9" s="2042"/>
      <c r="ID9" s="2042"/>
      <c r="IE9" s="2042">
        <f>SUMIF('Berechnung Nährstoffe und Lager'!$BK$68:$BK$87,IB9,'Berechnung Nährstoffe und Lager'!$EV$68:$EV$87)/1000</f>
        <v>0</v>
      </c>
      <c r="IF9" s="2042"/>
      <c r="IG9" s="2042"/>
      <c r="IH9" s="2042">
        <f>SUM(IH5:IH8)</f>
        <v>0</v>
      </c>
      <c r="II9" s="2042">
        <f>SUM(II5:II8)</f>
        <v>0</v>
      </c>
      <c r="IJ9" s="2042">
        <f>SUM(IJ5:IJ8)</f>
        <v>0</v>
      </c>
      <c r="IK9" s="2042">
        <f>SUM(IK5:IK8)</f>
        <v>0</v>
      </c>
    </row>
    <row r="10" spans="1:245" ht="11.25" customHeight="1" x14ac:dyDescent="0.2">
      <c r="A10" s="3022"/>
      <c r="B10" s="3026"/>
      <c r="C10" s="3026"/>
      <c r="D10" s="3026"/>
      <c r="E10" s="3026"/>
      <c r="F10" s="3024"/>
      <c r="G10" s="3024"/>
      <c r="H10" s="3023"/>
      <c r="I10" s="3022" t="s">
        <v>8461</v>
      </c>
      <c r="J10" s="3023"/>
      <c r="K10" s="3022" t="s">
        <v>1171</v>
      </c>
      <c r="L10" s="3024"/>
      <c r="M10" s="3024"/>
      <c r="N10" s="3024"/>
      <c r="O10" s="3024"/>
      <c r="P10" s="3023"/>
      <c r="Q10" s="3025" t="s">
        <v>8451</v>
      </c>
      <c r="R10" s="3026"/>
      <c r="S10" s="3026"/>
      <c r="T10" s="3027"/>
      <c r="U10" s="2217"/>
      <c r="V10" s="2219"/>
      <c r="Y10" s="3055"/>
      <c r="Z10" s="3056"/>
      <c r="AA10" s="3056"/>
      <c r="AB10" s="3057"/>
      <c r="AC10" s="3032"/>
      <c r="AD10" s="2999"/>
      <c r="AE10" s="2999"/>
      <c r="AF10" s="2999"/>
      <c r="AG10" s="3098"/>
      <c r="AH10" s="3099"/>
      <c r="AI10" s="3099"/>
      <c r="AJ10" s="3100"/>
      <c r="AK10" s="2997"/>
      <c r="AL10" s="3034"/>
      <c r="AM10" s="3034"/>
      <c r="AN10" s="3035"/>
      <c r="AO10" s="2979"/>
      <c r="AP10" s="2979"/>
      <c r="AQ10" s="3030"/>
      <c r="AR10" s="3061"/>
      <c r="AS10" s="2997"/>
      <c r="AT10" s="3034"/>
      <c r="AU10" s="3034"/>
      <c r="AV10" s="3035"/>
      <c r="AY10" s="2042"/>
      <c r="AZ10" s="2042"/>
      <c r="BA10" s="2042"/>
      <c r="BB10" s="2042"/>
      <c r="BC10" s="2042"/>
      <c r="BD10" s="2042"/>
      <c r="BP10" s="2043"/>
      <c r="BQ10" s="2042"/>
      <c r="BR10" s="2978"/>
      <c r="BS10" s="2978"/>
      <c r="BT10" s="2978"/>
      <c r="BU10" s="2978"/>
      <c r="BV10" s="2978"/>
      <c r="BW10" s="2978"/>
      <c r="BX10" s="2056"/>
      <c r="BY10" s="2056"/>
      <c r="BZ10" s="2056"/>
      <c r="CA10" s="2978" t="s">
        <v>1188</v>
      </c>
      <c r="CB10" s="2978"/>
      <c r="CC10" s="2978"/>
      <c r="CD10" s="2978"/>
      <c r="CE10" s="2978"/>
      <c r="CF10" s="2978"/>
      <c r="CG10" s="2308"/>
      <c r="CH10" s="1263"/>
      <c r="CI10" s="2978" t="s">
        <v>1189</v>
      </c>
      <c r="CJ10" s="2978"/>
      <c r="CK10" s="2978"/>
      <c r="CL10" s="2980"/>
      <c r="CM10" s="2980"/>
      <c r="CN10" s="2980"/>
      <c r="CO10" s="2980"/>
      <c r="CP10" s="2980"/>
      <c r="CQ10" s="2980"/>
      <c r="CR10" s="2056"/>
      <c r="CS10" s="2199"/>
      <c r="CT10" s="2206"/>
      <c r="CU10" s="2056"/>
      <c r="CV10" s="2042"/>
      <c r="CW10" s="609" t="str">
        <f>Pflanzen!A6</f>
        <v xml:space="preserve"> +++Getreide/Körnermais+++</v>
      </c>
      <c r="CX10" s="2042">
        <f>IFERROR(MATCH($CW10,Pflanzen!$C$5:$C$119,0),1)</f>
        <v>2</v>
      </c>
      <c r="CY10" s="609" cm="1">
        <f t="array" ref="CY10">INDEX(Pflanzen!$I$5:$I$119,'Lagerhaltung (freiwillig)'!CX10)</f>
        <v>0</v>
      </c>
      <c r="CZ10" s="2042">
        <f t="shared" si="30"/>
        <v>0</v>
      </c>
      <c r="DA10" s="2042">
        <f t="shared" si="30"/>
        <v>0</v>
      </c>
      <c r="DB10" s="2042">
        <f t="shared" si="30"/>
        <v>0</v>
      </c>
      <c r="DC10" s="2042">
        <f t="shared" si="30"/>
        <v>0</v>
      </c>
      <c r="DD10" s="2042">
        <f t="shared" si="30"/>
        <v>0</v>
      </c>
      <c r="DE10" s="2042">
        <f t="shared" si="30"/>
        <v>0</v>
      </c>
      <c r="DF10" s="2042">
        <f t="shared" si="30"/>
        <v>0</v>
      </c>
      <c r="DG10" s="2042">
        <f t="shared" si="30"/>
        <v>0</v>
      </c>
      <c r="DH10" s="2042">
        <f t="shared" si="30"/>
        <v>0</v>
      </c>
      <c r="DI10" s="2042">
        <f t="shared" si="30"/>
        <v>0</v>
      </c>
      <c r="DJ10" s="2042">
        <f t="shared" si="30"/>
        <v>0</v>
      </c>
      <c r="DK10" s="2042">
        <f t="shared" si="30"/>
        <v>0</v>
      </c>
      <c r="DL10" s="2042"/>
      <c r="DM10" s="2042">
        <f t="shared" si="31"/>
        <v>0</v>
      </c>
      <c r="DN10" s="2042">
        <f t="shared" si="31"/>
        <v>0</v>
      </c>
      <c r="DO10" s="2042">
        <f t="shared" si="31"/>
        <v>0</v>
      </c>
      <c r="DP10" s="2042">
        <f t="shared" si="31"/>
        <v>0</v>
      </c>
      <c r="DQ10" s="2042">
        <f t="shared" si="31"/>
        <v>0</v>
      </c>
      <c r="DR10" s="2042">
        <f t="shared" si="31"/>
        <v>0</v>
      </c>
      <c r="DS10" s="2042">
        <f t="shared" si="31"/>
        <v>0</v>
      </c>
      <c r="DT10" s="2042">
        <f t="shared" si="31"/>
        <v>0</v>
      </c>
      <c r="DU10" s="2042">
        <f t="shared" si="31"/>
        <v>0</v>
      </c>
      <c r="DV10" s="2042">
        <f t="shared" si="31"/>
        <v>0</v>
      </c>
      <c r="DW10" s="2042">
        <f t="shared" si="31"/>
        <v>0</v>
      </c>
      <c r="DX10" s="2042">
        <f t="shared" si="31"/>
        <v>0</v>
      </c>
      <c r="DY10" s="2042"/>
      <c r="DZ10" s="2042">
        <f t="shared" si="32"/>
        <v>0</v>
      </c>
      <c r="EA10" s="2042">
        <f t="shared" si="32"/>
        <v>0</v>
      </c>
      <c r="EB10" s="2042">
        <f t="shared" si="32"/>
        <v>0</v>
      </c>
      <c r="EC10" s="2042">
        <f t="shared" si="32"/>
        <v>0</v>
      </c>
      <c r="ED10" s="2042">
        <f t="shared" si="32"/>
        <v>0</v>
      </c>
      <c r="EE10" s="2042">
        <f t="shared" si="32"/>
        <v>0</v>
      </c>
      <c r="EF10" s="2042">
        <f t="shared" si="32"/>
        <v>0</v>
      </c>
      <c r="EG10" s="2042">
        <f t="shared" si="32"/>
        <v>0</v>
      </c>
      <c r="EH10" s="2042">
        <f t="shared" si="32"/>
        <v>0</v>
      </c>
      <c r="EI10" s="2042">
        <f t="shared" si="32"/>
        <v>0</v>
      </c>
      <c r="EJ10" s="2042">
        <f t="shared" si="32"/>
        <v>0</v>
      </c>
      <c r="EK10" s="2042">
        <f t="shared" si="32"/>
        <v>0</v>
      </c>
      <c r="EL10" s="2042"/>
      <c r="EM10" s="2042">
        <f t="shared" si="33"/>
        <v>0</v>
      </c>
      <c r="EN10" s="2042">
        <f t="shared" si="33"/>
        <v>0</v>
      </c>
      <c r="EO10" s="2042">
        <f t="shared" si="33"/>
        <v>0</v>
      </c>
      <c r="EP10" s="2042">
        <f t="shared" si="33"/>
        <v>0</v>
      </c>
      <c r="EQ10" s="2042">
        <f t="shared" si="33"/>
        <v>0</v>
      </c>
      <c r="ER10" s="2042">
        <f t="shared" si="33"/>
        <v>0</v>
      </c>
      <c r="ES10" s="2042">
        <f t="shared" si="33"/>
        <v>0</v>
      </c>
      <c r="ET10" s="2042">
        <f t="shared" si="33"/>
        <v>0</v>
      </c>
      <c r="EU10" s="2042">
        <f t="shared" si="33"/>
        <v>0</v>
      </c>
      <c r="EV10" s="2042">
        <f t="shared" si="33"/>
        <v>0</v>
      </c>
      <c r="EW10" s="2042">
        <f t="shared" si="33"/>
        <v>0</v>
      </c>
      <c r="EX10" s="2042">
        <f t="shared" si="33"/>
        <v>0</v>
      </c>
      <c r="EY10" s="2042"/>
      <c r="EZ10" s="2045">
        <f t="shared" ref="EZ10:EZ75" si="50">SUMIF($BR$14:$BR$68,$CX10,$CI$14:$CI$68)</f>
        <v>0</v>
      </c>
      <c r="FA10" s="2042">
        <f>EZ10+CZ10+DZ10                 -         SUMIF('Berechnung Nährstoffe und Lager'!$AX$113:$AX$155,$CX10,'Berechnung Nährstoffe und Lager'!$U$113:$U$155)/12  -$GB10*$HC10/12</f>
        <v>0</v>
      </c>
      <c r="FB10" s="2042">
        <f>FA10+DA10+EA10                 -         SUMIF('Berechnung Nährstoffe und Lager'!$AX$113:$AX$155,$CX10,'Berechnung Nährstoffe und Lager'!$U$113:$U$155)/12  -$GB10*$HC10/12</f>
        <v>0</v>
      </c>
      <c r="FC10" s="2042">
        <f>FB10+DB10+EB10                 -         SUMIF('Berechnung Nährstoffe und Lager'!$AX$113:$AX$155,$CX10,'Berechnung Nährstoffe und Lager'!$U$113:$U$155)/12  -$GB10*$HC10/12</f>
        <v>0</v>
      </c>
      <c r="FD10" s="2042">
        <f>FC10+DC10+EC10                 -         SUMIF('Berechnung Nährstoffe und Lager'!$AX$113:$AX$155,$CX10,'Berechnung Nährstoffe und Lager'!$U$113:$U$155)/12  -$GB10*$HC10/12</f>
        <v>0</v>
      </c>
      <c r="FE10" s="2042">
        <f>FD10+DD10+ED10                 -         SUMIF('Berechnung Nährstoffe und Lager'!$AX$113:$AX$155,$CX10,'Berechnung Nährstoffe und Lager'!$U$113:$U$155)/12  -$GB10*$HC10/12</f>
        <v>0</v>
      </c>
      <c r="FF10" s="2042">
        <f>FE10+DE10+EE10                 -         SUMIF('Berechnung Nährstoffe und Lager'!$AX$113:$AX$155,$CX10,'Berechnung Nährstoffe und Lager'!$U$113:$U$155)/12  -$GB10*$HC10/12</f>
        <v>0</v>
      </c>
      <c r="FG10" s="2042">
        <f>FF10+DF10+EF10                 -         SUMIF('Berechnung Nährstoffe und Lager'!$AX$113:$AX$155,$CX10,'Berechnung Nährstoffe und Lager'!$U$113:$U$155)/12  -$GB10*$HC10/12</f>
        <v>0</v>
      </c>
      <c r="FH10" s="2042">
        <f>FG10+DG10+EG10                 -         SUMIF('Berechnung Nährstoffe und Lager'!$AX$113:$AX$155,$CX10,'Berechnung Nährstoffe und Lager'!$U$113:$U$155)/12  -$GB10*$HC10/12</f>
        <v>0</v>
      </c>
      <c r="FI10" s="2042">
        <f>FH10+DH10+EH10                 -         SUMIF('Berechnung Nährstoffe und Lager'!$AX$113:$AX$155,$CX10,'Berechnung Nährstoffe und Lager'!$U$113:$U$155)/12  -$GB10*$HC10/12</f>
        <v>0</v>
      </c>
      <c r="FJ10" s="2042">
        <f>FI10+DI10+EI10                 -         SUMIF('Berechnung Nährstoffe und Lager'!$AX$113:$AX$155,$CX10,'Berechnung Nährstoffe und Lager'!$U$113:$U$155)/12  -$GB10*$HC10/12</f>
        <v>0</v>
      </c>
      <c r="FK10" s="2042">
        <f>FJ10+DJ10+EJ10                 -         SUMIF('Berechnung Nährstoffe und Lager'!$AX$113:$AX$155,$CX10,'Berechnung Nährstoffe und Lager'!$U$113:$U$155)/12  -$GB10*$HC10/12</f>
        <v>0</v>
      </c>
      <c r="FL10" s="2042">
        <f>FK10+DK10+EK10                 -         SUMIF('Berechnung Nährstoffe und Lager'!$AX$113:$AX$155,$CX10,'Berechnung Nährstoffe und Lager'!$U$113:$U$155)/12  -$GB10*$HC10/12</f>
        <v>0</v>
      </c>
      <c r="FM10" s="2042"/>
      <c r="FN10" s="2045">
        <f t="shared" ref="FN10:FN75" si="51">SUMIF($BR$14:$BR$68,$CX10,$CJ$14:$CJ$68)</f>
        <v>0</v>
      </c>
      <c r="FO10" s="2042">
        <f>FN10+DM10+EM10                 -         SUMIF('Berechnung Nährstoffe und Lager'!$AX$113:$AX$155,$CX10,'Berechnung Nährstoffe und Lager'!$V$113:$V$155)/12  -$GC10*$HC10/12</f>
        <v>0</v>
      </c>
      <c r="FP10" s="2042">
        <f>FO10+DN10+EN10                 -         SUMIF('Berechnung Nährstoffe und Lager'!$AX$113:$AX$155,$CX10,'Berechnung Nährstoffe und Lager'!$V$113:$V$155)/12  -$GC10*$HC10/12</f>
        <v>0</v>
      </c>
      <c r="FQ10" s="2042">
        <f>FP10+DO10+EO10                 -         SUMIF('Berechnung Nährstoffe und Lager'!$AX$113:$AX$155,$CX10,'Berechnung Nährstoffe und Lager'!$V$113:$V$155)/12  -$GC10*$HC10/12</f>
        <v>0</v>
      </c>
      <c r="FR10" s="2042">
        <f>FQ10+DP10+EP10                 -         SUMIF('Berechnung Nährstoffe und Lager'!$AX$113:$AX$155,$CX10,'Berechnung Nährstoffe und Lager'!$V$113:$V$155)/12  -$GC10*$HC10/12</f>
        <v>0</v>
      </c>
      <c r="FS10" s="2042">
        <f>FR10+DQ10+EQ10                 -         SUMIF('Berechnung Nährstoffe und Lager'!$AX$113:$AX$155,$CX10,'Berechnung Nährstoffe und Lager'!$V$113:$V$155)/12  -$GC10*$HC10/12</f>
        <v>0</v>
      </c>
      <c r="FT10" s="2042">
        <f>FS10+DR10+ER10                 -         SUMIF('Berechnung Nährstoffe und Lager'!$AX$113:$AX$155,$CX10,'Berechnung Nährstoffe und Lager'!$V$113:$V$155)/12  -$GC10*$HC10/12</f>
        <v>0</v>
      </c>
      <c r="FU10" s="2042">
        <f>FT10+DS10+ES10                 -         SUMIF('Berechnung Nährstoffe und Lager'!$AX$113:$AX$155,$CX10,'Berechnung Nährstoffe und Lager'!$V$113:$V$155)/12  -$GC10*$HC10/12</f>
        <v>0</v>
      </c>
      <c r="FV10" s="2042">
        <f>FU10+DT10+ET10                 -         SUMIF('Berechnung Nährstoffe und Lager'!$AX$113:$AX$155,$CX10,'Berechnung Nährstoffe und Lager'!$V$113:$V$155)/12  -$GC10*$HC10/12</f>
        <v>0</v>
      </c>
      <c r="FW10" s="2042">
        <f>FV10+DU10+EU10                 -         SUMIF('Berechnung Nährstoffe und Lager'!$AX$113:$AX$155,$CX10,'Berechnung Nährstoffe und Lager'!$V$113:$V$155)/12  -$GC10*$HC10/12</f>
        <v>0</v>
      </c>
      <c r="FX10" s="2042">
        <f>FW10+DV10+EV10                 -         SUMIF('Berechnung Nährstoffe und Lager'!$AX$113:$AX$155,$CX10,'Berechnung Nährstoffe und Lager'!$V$113:$V$155)/12  -$GC10*$HC10/12</f>
        <v>0</v>
      </c>
      <c r="FY10" s="2042">
        <f>FX10+DW10+EW10                 -         SUMIF('Berechnung Nährstoffe und Lager'!$AX$113:$AX$155,$CX10,'Berechnung Nährstoffe und Lager'!$V$113:$V$155)/12  -$GC10*$HC10/12</f>
        <v>0</v>
      </c>
      <c r="FZ10" s="2042">
        <f>FY10+DX10+EX10                 -         SUMIF('Berechnung Nährstoffe und Lager'!$AX$113:$AX$155,$CX10,'Berechnung Nährstoffe und Lager'!$V$113:$V$155)/12  -$GC10*$HC10/12</f>
        <v>0</v>
      </c>
      <c r="GA10" s="2042"/>
      <c r="GB10" s="2042">
        <f>SUMIFS($CI$14:$CI$68,$BR$14:$BR$68,$CX10)+SUMIFS($CM$14:$CM$68,$BR$14:$BR$68,$CX10)+SUMIFS($CR$14:$CR$68,$BR$14:$BR$68,$CX10)  -         SUMIF('Berechnung Nährstoffe und Lager'!$AX$113:$AX$155,$CX10,'Berechnung Nährstoffe und Lager'!$U$113:$U$155)</f>
        <v>0</v>
      </c>
      <c r="GC10" s="2042">
        <f>SUMIFS($CJ$14:$CJ$68,$BR$14:$BR$68,$CX10)+SUMIFS($CO$14:$CO$68,$BR$14:$BR$68,$CX10)+SUMIFS($CT$14:$CT$68,$BR$14:$BR$68,$CX10)  -         SUMIF('Berechnung Nährstoffe und Lager'!$AX$113:$AX$155,$CX10,'Berechnung Nährstoffe und Lager'!$V$113:$V$155)</f>
        <v>0</v>
      </c>
      <c r="GD10" s="2042"/>
      <c r="GE10" s="2042"/>
      <c r="GF10" s="2042">
        <f>SUMIF('Berechnung Nährstoffe und Lager'!$AX$113:$AX$155,$CX10,'Berechnung Nährstoffe und Lager'!$U$113:$U$155)</f>
        <v>0</v>
      </c>
      <c r="GG10" s="2042">
        <f>SUMIF('Berechnung Nährstoffe und Lager'!$AX$113:$AX$155,$CX10,'Berechnung Nährstoffe und Lager'!$V$113:$V$155)</f>
        <v>0</v>
      </c>
      <c r="GH10" s="2042">
        <f t="shared" ref="GH10:GH75" si="52">GB10+GF10</f>
        <v>0</v>
      </c>
      <c r="GI10" s="2042">
        <f t="shared" ref="GI10:GI75" si="53">GC10+GG10</f>
        <v>0</v>
      </c>
      <c r="GJ10" s="2042">
        <f t="shared" si="34"/>
        <v>0</v>
      </c>
      <c r="GK10" s="2042">
        <f t="shared" si="35"/>
        <v>0</v>
      </c>
      <c r="GL10" s="2042">
        <f>SUMIF($BR$14:$BR$68,CX10,$CU$14:$CU$68)</f>
        <v>0</v>
      </c>
      <c r="GM10" s="2042" cm="1">
        <f t="array" ref="GM10">IF(GL10=0,0,(IFERROR(SUMPRODUCT($J$14:$J$68,$CH$14:$CH$68,($BR$14:$BR$68=CX10)*1)+SUMPRODUCT($L$14:$L$68,$M$14:$M$68,$CK$14:$CK$68,($BR$14:$BR$68=CX10)*1,($BT$14:$BT$68=FALSE)*1)/10+SUMPRODUCT($R$14:$R$68,$CP$14:$CP$68,($BR$14:$BR$68=CX10)*1),0))/GL10)</f>
        <v>0</v>
      </c>
      <c r="GN10" s="2042">
        <f t="shared" ref="GN10:GN75" si="54">GL10*GM10/100</f>
        <v>0</v>
      </c>
      <c r="GO10" s="2042">
        <f>(SUMIF('Berechnung Nährstoffe und Lager'!$AX$113:$AX$130,'Lagerhaltung (freiwillig)'!CX10,'Berechnung Nährstoffe und Lager'!$D$113:$D$130)+SUMIF('Berechnung Nährstoffe und Lager'!$AX$137:$AX$155,'Lagerhaltung (freiwillig)'!CX10,'Berechnung Nährstoffe und Lager'!$E$137:$E$155))</f>
        <v>0</v>
      </c>
      <c r="GP10" s="2042" cm="1">
        <f t="array" ref="GP10">IF(GO10=0,0,(IFERROR(SUMPRODUCT('Berechnung Nährstoffe und Lager'!$D$113:$D$130,'Berechnung Nährstoffe und Lager'!$F$113:$F$130,('Berechnung Nährstoffe und Lager'!$AX$113:$AX$130='Lagerhaltung (freiwillig)'!CX10)*1)+SUMPRODUCT('Berechnung Nährstoffe und Lager'!$E$137:$E$155,'Berechnung Nährstoffe und Lager'!$F$137:$F$155,('Berechnung Nährstoffe und Lager'!$AX$137:$AX$155='Lagerhaltung (freiwillig)'!CX10)*1),0))/GO10)</f>
        <v>0</v>
      </c>
      <c r="GQ10" s="2042">
        <f t="shared" ref="GQ10:GQ75" si="55">GO10*GP10/100</f>
        <v>0</v>
      </c>
      <c r="GR10" s="2042">
        <f t="shared" ref="GR10:GR75" si="56">GN10-GQ10</f>
        <v>0</v>
      </c>
      <c r="GS10" s="2042">
        <f t="shared" ref="GS10:GS75" si="57">IF(AND(GM10=0,GP10=0),0,IF(GM10=0,GR10/(GP10/100),GR10/(GM10/100)))</f>
        <v>0</v>
      </c>
      <c r="GT10" s="2042">
        <f t="shared" ref="GT10:GT75" si="58">IF(OR(GM10=0,GP10=0),MAX(GM10,GP10),GM10)</f>
        <v>0</v>
      </c>
      <c r="GU10" s="2045" t="str">
        <f t="shared" si="39"/>
        <v xml:space="preserve"> </v>
      </c>
      <c r="GV10" s="2045" t="str">
        <f t="shared" si="39"/>
        <v xml:space="preserve"> </v>
      </c>
      <c r="GW10" s="2054">
        <f t="shared" si="40"/>
        <v>0</v>
      </c>
      <c r="GX10" s="2042">
        <f t="shared" si="41"/>
        <v>0</v>
      </c>
      <c r="GY10" s="2042" t="str">
        <f t="shared" si="42"/>
        <v>a</v>
      </c>
      <c r="GZ10" s="2055">
        <f t="shared" si="43"/>
        <v>0</v>
      </c>
      <c r="HA10" s="2055">
        <f t="shared" si="44"/>
        <v>0</v>
      </c>
      <c r="HB10" s="2055"/>
      <c r="HC10" s="2046">
        <f t="shared" si="45"/>
        <v>0</v>
      </c>
      <c r="HD10" s="2055">
        <f t="shared" si="46"/>
        <v>0</v>
      </c>
      <c r="HE10" s="2055">
        <f t="shared" si="47"/>
        <v>0</v>
      </c>
      <c r="HF10" s="2055">
        <f t="shared" si="48"/>
        <v>0</v>
      </c>
      <c r="HG10" s="2282" cm="1">
        <f t="array" ref="HG10">IF(AND(HE10=0,GJ10=0),0,IF(HE10=0,1,IF(OR(GJ10*1000/HE10/HF10&gt;INDEX(Pflanzen!$AD$5:$AD$109,CX10)/INDEX(Pflanzen!$M$5:$M$109,CX10)*$HG$1,GJ10*1000/HE10/HF10&lt;INDEX(Pflanzen!$AD$5:$AD$109,CX10)/INDEX(Pflanzen!$M$5:$M$109,CX10)/$HG$1),1,0)))</f>
        <v>0</v>
      </c>
      <c r="HH10" s="2282" cm="1">
        <f t="array" ref="HH10">IF(AND(GK10=0,HE10=0),0,IF(HE10=0,1,IF(OR(GK10*1000/HE10/HF10&gt;INDEX(Pflanzen!$AE$5:$AE$109,CX10)/INDEX(Pflanzen!$M$5:$M$109,CX10)*$HG$1,GK10*1000/HE10/HF10&lt;INDEX(Pflanzen!$AE$5:$AE$109,CX10)/INDEX(Pflanzen!$M$5:$M$109,CX10)/$HG$1),1,0)))</f>
        <v>0</v>
      </c>
      <c r="HI10" s="2042">
        <f t="shared" si="49"/>
        <v>3</v>
      </c>
      <c r="HJ10" s="2042"/>
      <c r="HL10" s="2042"/>
      <c r="HM10" s="2052" t="str">
        <f>Tiere!B36</f>
        <v>Fresseraufzucht (80-210 kg), Standardfutter</v>
      </c>
      <c r="HN10" s="2042">
        <v>7</v>
      </c>
      <c r="HO10" s="2053">
        <f>SUMIF('Berechnung Nährstoffe und Lager'!$BM$68:$BM$81,'Lagerhaltung (freiwillig)'!HN10,'Berechnung Nährstoffe und Lager'!$Z$68:$Z$81)+SUMIF('Berechnung Nährstoffe und Lager'!$BM$68:$BM$81,'Lagerhaltung (freiwillig)'!HN10,'Berechnung Nährstoffe und Lager'!$AA$68:$AA$81)</f>
        <v>0</v>
      </c>
      <c r="HP10" s="2042" cm="1">
        <f t="array" ref="HP10">INDEX(Tiere!$C$30:$C$85,'Lagerhaltung (freiwillig)'!HN10)</f>
        <v>1</v>
      </c>
      <c r="HQ10" s="2042" cm="1">
        <f t="array" ref="HQ10">INDEX(Tiere!$H$30:$H$85,'Lagerhaltung (freiwillig)'!HN10)</f>
        <v>7.47</v>
      </c>
      <c r="HR10" s="2042">
        <f t="shared" si="12"/>
        <v>0</v>
      </c>
      <c r="HS10" s="2042" cm="1">
        <f t="array" ref="HS10">INDEX(Tiere!$I$30:$I$85,'Lagerhaltung (freiwillig)'!HN10)</f>
        <v>2.87</v>
      </c>
      <c r="HT10" s="2042">
        <f t="shared" si="13"/>
        <v>0</v>
      </c>
      <c r="HU10" s="2042" cm="1">
        <f t="array" ref="HU10">INDEX(Tiere!$BC$30:$BC$85,'Lagerhaltung (freiwillig)'!HN10)</f>
        <v>10.8</v>
      </c>
      <c r="HV10" s="2042">
        <f t="shared" si="6"/>
        <v>0</v>
      </c>
      <c r="HW10" s="2042" cm="1">
        <f t="array" ref="HW10">INDEX(Tiere!$BD$30:$BD$85,'Lagerhaltung (freiwillig)'!HN10)</f>
        <v>5.96</v>
      </c>
      <c r="HX10" s="2042">
        <f t="shared" si="7"/>
        <v>0</v>
      </c>
      <c r="HY10" s="2042"/>
      <c r="HZ10" s="2042"/>
      <c r="IA10" s="2045" t="s">
        <v>1231</v>
      </c>
      <c r="IB10" s="2042"/>
      <c r="IC10" s="2042"/>
      <c r="ID10" s="2042"/>
      <c r="IE10" s="2042"/>
      <c r="IF10" s="2042"/>
      <c r="IG10" s="2042"/>
      <c r="IH10" s="2045">
        <f>MAX(0,IF($IH$9+$IJ$9&gt;$GE$4+$GE$6,GE4,IF(IH9&gt;GE4,GE4,IF(IJ9&gt;GE6,IH9+IJ9-GE6,IH9))))</f>
        <v>0</v>
      </c>
      <c r="II10" s="2045"/>
      <c r="IJ10" s="2042">
        <f>MAX(0,IF($IH$9+$IJ$9&gt;$GE$4+$GE$6,GE6,IF(IH9&gt;GE4,IJ9+IH9-GE4,IF(IJ9&gt;GE6,GE6,IJ9))))</f>
        <v>0</v>
      </c>
    </row>
    <row r="11" spans="1:245" ht="15" customHeight="1" x14ac:dyDescent="0.2">
      <c r="A11" s="3013" t="s">
        <v>8526</v>
      </c>
      <c r="B11" s="3014"/>
      <c r="C11" s="3014"/>
      <c r="D11" s="3014"/>
      <c r="E11" s="3015"/>
      <c r="F11" s="3001" t="s">
        <v>1169</v>
      </c>
      <c r="G11" s="2008" t="s">
        <v>4</v>
      </c>
      <c r="H11" s="2009" t="s">
        <v>490</v>
      </c>
      <c r="I11" s="3001" t="s">
        <v>8517</v>
      </c>
      <c r="J11" s="3043" t="s">
        <v>1170</v>
      </c>
      <c r="K11" s="3001" t="s">
        <v>8517</v>
      </c>
      <c r="L11" s="2994" t="s">
        <v>1172</v>
      </c>
      <c r="M11" s="2994" t="s">
        <v>1173</v>
      </c>
      <c r="N11" s="3040" t="s">
        <v>8456</v>
      </c>
      <c r="O11" s="3090"/>
      <c r="P11" s="3069" t="s">
        <v>1097</v>
      </c>
      <c r="Q11" s="3001" t="s">
        <v>8517</v>
      </c>
      <c r="R11" s="2994" t="s">
        <v>8413</v>
      </c>
      <c r="S11" s="3040" t="s">
        <v>8462</v>
      </c>
      <c r="T11" s="3041"/>
      <c r="U11" s="2218"/>
      <c r="V11" s="2220"/>
      <c r="Y11" s="3055"/>
      <c r="Z11" s="3056"/>
      <c r="AA11" s="3056"/>
      <c r="AB11" s="3057"/>
      <c r="AC11" s="3032" t="s">
        <v>325</v>
      </c>
      <c r="AD11" s="3032" t="s">
        <v>326</v>
      </c>
      <c r="AE11" s="2995" t="s">
        <v>1217</v>
      </c>
      <c r="AF11" s="2997" t="s">
        <v>8496</v>
      </c>
      <c r="AG11" s="3032" t="s">
        <v>325</v>
      </c>
      <c r="AH11" s="3032" t="s">
        <v>326</v>
      </c>
      <c r="AI11" s="2995" t="s">
        <v>1217</v>
      </c>
      <c r="AJ11" s="2997" t="s">
        <v>8496</v>
      </c>
      <c r="AK11" s="3032" t="s">
        <v>325</v>
      </c>
      <c r="AL11" s="2997" t="s">
        <v>326</v>
      </c>
      <c r="AM11" s="2995" t="s">
        <v>1217</v>
      </c>
      <c r="AN11" s="2997" t="s">
        <v>8496</v>
      </c>
      <c r="AO11" s="2823" t="s">
        <v>8534</v>
      </c>
      <c r="AP11" s="2816"/>
      <c r="AQ11" s="2816"/>
      <c r="AR11" s="2817"/>
      <c r="AS11" s="2999" t="s">
        <v>325</v>
      </c>
      <c r="AT11" s="2997" t="s">
        <v>326</v>
      </c>
      <c r="AU11" s="2995" t="s">
        <v>1217</v>
      </c>
      <c r="AV11" s="2979" t="s">
        <v>8496</v>
      </c>
      <c r="AY11" s="2042"/>
      <c r="AZ11" s="2042"/>
      <c r="BA11" s="2042">
        <f>COUNTIF(BA13:BA132,"&lt;0")</f>
        <v>0</v>
      </c>
      <c r="BB11" s="2042"/>
      <c r="BC11" s="2053">
        <f>SUM(BC13:BC132)</f>
        <v>0</v>
      </c>
      <c r="BD11" s="2042"/>
      <c r="BP11" s="2043"/>
      <c r="BQ11" s="2042"/>
      <c r="BR11" s="2042"/>
      <c r="BS11" s="2042"/>
      <c r="BT11" s="2042"/>
      <c r="BU11" s="2044"/>
      <c r="BV11" s="2044"/>
      <c r="BW11" s="2042"/>
      <c r="BX11" s="2042"/>
      <c r="BY11" s="2042"/>
      <c r="BZ11" s="2042"/>
      <c r="CA11" s="2042"/>
      <c r="CB11" s="2042"/>
      <c r="CC11" s="2042"/>
      <c r="CD11" s="2042"/>
      <c r="CE11" s="2042"/>
      <c r="CF11" s="2042"/>
      <c r="CG11" s="2042"/>
      <c r="CH11" s="2042"/>
      <c r="CI11" s="2042"/>
      <c r="CJ11" s="2042"/>
      <c r="CK11" s="2042"/>
      <c r="CL11" s="2042"/>
      <c r="CM11" s="2042"/>
      <c r="CN11" s="2042"/>
      <c r="CO11" s="2042"/>
      <c r="CP11" s="2042"/>
      <c r="CQ11" s="2042"/>
      <c r="CR11" s="2042"/>
      <c r="CS11" s="2042"/>
      <c r="CT11" s="2042"/>
      <c r="CU11" s="2042"/>
      <c r="CV11" s="2042"/>
      <c r="CW11" s="609" t="str">
        <f>Pflanzen!A7</f>
        <v>Winterweizen C-Sorte</v>
      </c>
      <c r="CX11" s="2042">
        <f>IFERROR(MATCH($CW11,Pflanzen!$C$5:$C$119,0),1)</f>
        <v>3</v>
      </c>
      <c r="CY11" s="609" cm="1">
        <f t="array" ref="CY11">INDEX(Pflanzen!$I$5:$I$119,'Lagerhaltung (freiwillig)'!CX11)</f>
        <v>2</v>
      </c>
      <c r="CZ11" s="2042">
        <f t="shared" si="30"/>
        <v>0</v>
      </c>
      <c r="DA11" s="2042">
        <f t="shared" si="30"/>
        <v>0</v>
      </c>
      <c r="DB11" s="2042">
        <f t="shared" si="30"/>
        <v>0</v>
      </c>
      <c r="DC11" s="2042">
        <f t="shared" si="30"/>
        <v>0</v>
      </c>
      <c r="DD11" s="2042">
        <f t="shared" si="30"/>
        <v>0</v>
      </c>
      <c r="DE11" s="2042">
        <f t="shared" si="30"/>
        <v>0</v>
      </c>
      <c r="DF11" s="2042">
        <f t="shared" si="30"/>
        <v>0</v>
      </c>
      <c r="DG11" s="2042">
        <f t="shared" si="30"/>
        <v>0</v>
      </c>
      <c r="DH11" s="2042">
        <f t="shared" si="30"/>
        <v>0</v>
      </c>
      <c r="DI11" s="2042">
        <f t="shared" si="30"/>
        <v>0</v>
      </c>
      <c r="DJ11" s="2042">
        <f t="shared" si="30"/>
        <v>0</v>
      </c>
      <c r="DK11" s="2042">
        <f t="shared" si="30"/>
        <v>0</v>
      </c>
      <c r="DL11" s="2042"/>
      <c r="DM11" s="2042">
        <f t="shared" si="31"/>
        <v>0</v>
      </c>
      <c r="DN11" s="2042">
        <f t="shared" si="31"/>
        <v>0</v>
      </c>
      <c r="DO11" s="2042">
        <f t="shared" si="31"/>
        <v>0</v>
      </c>
      <c r="DP11" s="2042">
        <f t="shared" si="31"/>
        <v>0</v>
      </c>
      <c r="DQ11" s="2042">
        <f t="shared" si="31"/>
        <v>0</v>
      </c>
      <c r="DR11" s="2042">
        <f t="shared" si="31"/>
        <v>0</v>
      </c>
      <c r="DS11" s="2042">
        <f t="shared" si="31"/>
        <v>0</v>
      </c>
      <c r="DT11" s="2042">
        <f t="shared" si="31"/>
        <v>0</v>
      </c>
      <c r="DU11" s="2042">
        <f t="shared" si="31"/>
        <v>0</v>
      </c>
      <c r="DV11" s="2042">
        <f t="shared" si="31"/>
        <v>0</v>
      </c>
      <c r="DW11" s="2042">
        <f t="shared" si="31"/>
        <v>0</v>
      </c>
      <c r="DX11" s="2042">
        <f t="shared" si="31"/>
        <v>0</v>
      </c>
      <c r="DY11" s="2042"/>
      <c r="DZ11" s="2042">
        <f t="shared" si="32"/>
        <v>0</v>
      </c>
      <c r="EA11" s="2042">
        <f t="shared" si="32"/>
        <v>0</v>
      </c>
      <c r="EB11" s="2042">
        <f t="shared" si="32"/>
        <v>0</v>
      </c>
      <c r="EC11" s="2042">
        <f t="shared" si="32"/>
        <v>0</v>
      </c>
      <c r="ED11" s="2042">
        <f t="shared" si="32"/>
        <v>0</v>
      </c>
      <c r="EE11" s="2042">
        <f t="shared" si="32"/>
        <v>0</v>
      </c>
      <c r="EF11" s="2042">
        <f t="shared" si="32"/>
        <v>0</v>
      </c>
      <c r="EG11" s="2042">
        <f t="shared" si="32"/>
        <v>0</v>
      </c>
      <c r="EH11" s="2042">
        <f t="shared" si="32"/>
        <v>0</v>
      </c>
      <c r="EI11" s="2042">
        <f t="shared" si="32"/>
        <v>0</v>
      </c>
      <c r="EJ11" s="2042">
        <f t="shared" si="32"/>
        <v>0</v>
      </c>
      <c r="EK11" s="2042">
        <f t="shared" si="32"/>
        <v>0</v>
      </c>
      <c r="EL11" s="2042"/>
      <c r="EM11" s="2042">
        <f t="shared" si="33"/>
        <v>0</v>
      </c>
      <c r="EN11" s="2042">
        <f t="shared" si="33"/>
        <v>0</v>
      </c>
      <c r="EO11" s="2042">
        <f t="shared" si="33"/>
        <v>0</v>
      </c>
      <c r="EP11" s="2042">
        <f t="shared" si="33"/>
        <v>0</v>
      </c>
      <c r="EQ11" s="2042">
        <f t="shared" si="33"/>
        <v>0</v>
      </c>
      <c r="ER11" s="2042">
        <f t="shared" si="33"/>
        <v>0</v>
      </c>
      <c r="ES11" s="2042">
        <f t="shared" si="33"/>
        <v>0</v>
      </c>
      <c r="ET11" s="2042">
        <f t="shared" si="33"/>
        <v>0</v>
      </c>
      <c r="EU11" s="2042">
        <f t="shared" si="33"/>
        <v>0</v>
      </c>
      <c r="EV11" s="2042">
        <f t="shared" si="33"/>
        <v>0</v>
      </c>
      <c r="EW11" s="2042">
        <f t="shared" si="33"/>
        <v>0</v>
      </c>
      <c r="EX11" s="2042">
        <f t="shared" si="33"/>
        <v>0</v>
      </c>
      <c r="EY11" s="2042"/>
      <c r="EZ11" s="2045">
        <f t="shared" si="50"/>
        <v>0</v>
      </c>
      <c r="FA11" s="2042">
        <f>EZ11+CZ11+DZ11                 -         SUMIF('Berechnung Nährstoffe und Lager'!$AX$113:$AX$155,$CX11,'Berechnung Nährstoffe und Lager'!$U$113:$U$155)/12  -$GB11*$HC11/12</f>
        <v>0</v>
      </c>
      <c r="FB11" s="2042">
        <f>FA11+DA11+EA11                 -         SUMIF('Berechnung Nährstoffe und Lager'!$AX$113:$AX$155,$CX11,'Berechnung Nährstoffe und Lager'!$U$113:$U$155)/12  -$GB11*$HC11/12</f>
        <v>0</v>
      </c>
      <c r="FC11" s="2042">
        <f>FB11+DB11+EB11                 -         SUMIF('Berechnung Nährstoffe und Lager'!$AX$113:$AX$155,$CX11,'Berechnung Nährstoffe und Lager'!$U$113:$U$155)/12  -$GB11*$HC11/12</f>
        <v>0</v>
      </c>
      <c r="FD11" s="2042">
        <f>FC11+DC11+EC11                 -         SUMIF('Berechnung Nährstoffe und Lager'!$AX$113:$AX$155,$CX11,'Berechnung Nährstoffe und Lager'!$U$113:$U$155)/12  -$GB11*$HC11/12</f>
        <v>0</v>
      </c>
      <c r="FE11" s="2042">
        <f>FD11+DD11+ED11                 -         SUMIF('Berechnung Nährstoffe und Lager'!$AX$113:$AX$155,$CX11,'Berechnung Nährstoffe und Lager'!$U$113:$U$155)/12  -$GB11*$HC11/12</f>
        <v>0</v>
      </c>
      <c r="FF11" s="2042">
        <f>FE11+DE11+EE11                 -         SUMIF('Berechnung Nährstoffe und Lager'!$AX$113:$AX$155,$CX11,'Berechnung Nährstoffe und Lager'!$U$113:$U$155)/12  -$GB11*$HC11/12</f>
        <v>0</v>
      </c>
      <c r="FG11" s="2042">
        <f>FF11+DF11+EF11                 -         SUMIF('Berechnung Nährstoffe und Lager'!$AX$113:$AX$155,$CX11,'Berechnung Nährstoffe und Lager'!$U$113:$U$155)/12  -$GB11*$HC11/12</f>
        <v>0</v>
      </c>
      <c r="FH11" s="2042">
        <f>FG11+DG11+EG11                 -         SUMIF('Berechnung Nährstoffe und Lager'!$AX$113:$AX$155,$CX11,'Berechnung Nährstoffe und Lager'!$U$113:$U$155)/12  -$GB11*$HC11/12</f>
        <v>0</v>
      </c>
      <c r="FI11" s="2042">
        <f>FH11+DH11+EH11                 -         SUMIF('Berechnung Nährstoffe und Lager'!$AX$113:$AX$155,$CX11,'Berechnung Nährstoffe und Lager'!$U$113:$U$155)/12  -$GB11*$HC11/12</f>
        <v>0</v>
      </c>
      <c r="FJ11" s="2042">
        <f>FI11+DI11+EI11                 -         SUMIF('Berechnung Nährstoffe und Lager'!$AX$113:$AX$155,$CX11,'Berechnung Nährstoffe und Lager'!$U$113:$U$155)/12  -$GB11*$HC11/12</f>
        <v>0</v>
      </c>
      <c r="FK11" s="2042">
        <f>FJ11+DJ11+EJ11                 -         SUMIF('Berechnung Nährstoffe und Lager'!$AX$113:$AX$155,$CX11,'Berechnung Nährstoffe und Lager'!$U$113:$U$155)/12  -$GB11*$HC11/12</f>
        <v>0</v>
      </c>
      <c r="FL11" s="2042">
        <f>FK11+DK11+EK11                 -         SUMIF('Berechnung Nährstoffe und Lager'!$AX$113:$AX$155,$CX11,'Berechnung Nährstoffe und Lager'!$U$113:$U$155)/12  -$GB11*$HC11/12</f>
        <v>0</v>
      </c>
      <c r="FM11" s="2042"/>
      <c r="FN11" s="2045">
        <f t="shared" si="51"/>
        <v>0</v>
      </c>
      <c r="FO11" s="2042">
        <f>FN11+DM11+EM11                 -         SUMIF('Berechnung Nährstoffe und Lager'!$AX$113:$AX$155,$CX11,'Berechnung Nährstoffe und Lager'!$V$113:$V$155)/12  -$GC11*$HC11/12</f>
        <v>0</v>
      </c>
      <c r="FP11" s="2042">
        <f>FO11+DN11+EN11                 -         SUMIF('Berechnung Nährstoffe und Lager'!$AX$113:$AX$155,$CX11,'Berechnung Nährstoffe und Lager'!$V$113:$V$155)/12  -$GC11*$HC11/12</f>
        <v>0</v>
      </c>
      <c r="FQ11" s="2042">
        <f>FP11+DO11+EO11                 -         SUMIF('Berechnung Nährstoffe und Lager'!$AX$113:$AX$155,$CX11,'Berechnung Nährstoffe und Lager'!$V$113:$V$155)/12  -$GC11*$HC11/12</f>
        <v>0</v>
      </c>
      <c r="FR11" s="2042">
        <f>FQ11+DP11+EP11                 -         SUMIF('Berechnung Nährstoffe und Lager'!$AX$113:$AX$155,$CX11,'Berechnung Nährstoffe und Lager'!$V$113:$V$155)/12  -$GC11*$HC11/12</f>
        <v>0</v>
      </c>
      <c r="FS11" s="2042">
        <f>FR11+DQ11+EQ11                 -         SUMIF('Berechnung Nährstoffe und Lager'!$AX$113:$AX$155,$CX11,'Berechnung Nährstoffe und Lager'!$V$113:$V$155)/12  -$GC11*$HC11/12</f>
        <v>0</v>
      </c>
      <c r="FT11" s="2042">
        <f>FS11+DR11+ER11                 -         SUMIF('Berechnung Nährstoffe und Lager'!$AX$113:$AX$155,$CX11,'Berechnung Nährstoffe und Lager'!$V$113:$V$155)/12  -$GC11*$HC11/12</f>
        <v>0</v>
      </c>
      <c r="FU11" s="2042">
        <f>FT11+DS11+ES11                 -         SUMIF('Berechnung Nährstoffe und Lager'!$AX$113:$AX$155,$CX11,'Berechnung Nährstoffe und Lager'!$V$113:$V$155)/12  -$GC11*$HC11/12</f>
        <v>0</v>
      </c>
      <c r="FV11" s="2042">
        <f>FU11+DT11+ET11                 -         SUMIF('Berechnung Nährstoffe und Lager'!$AX$113:$AX$155,$CX11,'Berechnung Nährstoffe und Lager'!$V$113:$V$155)/12  -$GC11*$HC11/12</f>
        <v>0</v>
      </c>
      <c r="FW11" s="2042">
        <f>FV11+DU11+EU11                 -         SUMIF('Berechnung Nährstoffe und Lager'!$AX$113:$AX$155,$CX11,'Berechnung Nährstoffe und Lager'!$V$113:$V$155)/12  -$GC11*$HC11/12</f>
        <v>0</v>
      </c>
      <c r="FX11" s="2042">
        <f>FW11+DV11+EV11                 -         SUMIF('Berechnung Nährstoffe und Lager'!$AX$113:$AX$155,$CX11,'Berechnung Nährstoffe und Lager'!$V$113:$V$155)/12  -$GC11*$HC11/12</f>
        <v>0</v>
      </c>
      <c r="FY11" s="2042">
        <f>FX11+DW11+EW11                 -         SUMIF('Berechnung Nährstoffe und Lager'!$AX$113:$AX$155,$CX11,'Berechnung Nährstoffe und Lager'!$V$113:$V$155)/12  -$GC11*$HC11/12</f>
        <v>0</v>
      </c>
      <c r="FZ11" s="2042">
        <f>FY11+DX11+EX11                 -         SUMIF('Berechnung Nährstoffe und Lager'!$AX$113:$AX$155,$CX11,'Berechnung Nährstoffe und Lager'!$V$113:$V$155)/12  -$GC11*$HC11/12</f>
        <v>0</v>
      </c>
      <c r="GA11" s="2042"/>
      <c r="GB11" s="2042">
        <f>SUMIFS($CI$14:$CI$68,$BR$14:$BR$68,$CX11)+SUMIFS($CM$14:$CM$68,$BR$14:$BR$68,$CX11)+SUMIFS($CR$14:$CR$68,$BR$14:$BR$68,$CX11)  -         SUMIF('Berechnung Nährstoffe und Lager'!$AX$113:$AX$155,$CX11,'Berechnung Nährstoffe und Lager'!$U$113:$U$155)</f>
        <v>0</v>
      </c>
      <c r="GC11" s="2042">
        <f>SUMIFS($CJ$14:$CJ$68,$BR$14:$BR$68,$CX11)+SUMIFS($CO$14:$CO$68,$BR$14:$BR$68,$CX11)+SUMIFS($CT$14:$CT$68,$BR$14:$BR$68,$CX11)  -         SUMIF('Berechnung Nährstoffe und Lager'!$AX$113:$AX$155,$CX11,'Berechnung Nährstoffe und Lager'!$V$113:$V$155)</f>
        <v>0</v>
      </c>
      <c r="GD11" s="2042"/>
      <c r="GE11" s="2042"/>
      <c r="GF11" s="2042">
        <f>SUMIF('Berechnung Nährstoffe und Lager'!$AX$113:$AX$155,$CX11,'Berechnung Nährstoffe und Lager'!$U$113:$U$155)</f>
        <v>0</v>
      </c>
      <c r="GG11" s="2042">
        <f>SUMIF('Berechnung Nährstoffe und Lager'!$AX$113:$AX$155,$CX11,'Berechnung Nährstoffe und Lager'!$V$113:$V$155)</f>
        <v>0</v>
      </c>
      <c r="GH11" s="2042">
        <f t="shared" si="52"/>
        <v>0</v>
      </c>
      <c r="GI11" s="2042">
        <f t="shared" si="53"/>
        <v>0</v>
      </c>
      <c r="GJ11" s="2042">
        <f t="shared" si="34"/>
        <v>0</v>
      </c>
      <c r="GK11" s="2042">
        <f t="shared" si="35"/>
        <v>0</v>
      </c>
      <c r="GL11" s="2042">
        <f t="shared" si="36"/>
        <v>0</v>
      </c>
      <c r="GM11" s="2042" cm="1">
        <f t="array" ref="GM11">IF(GL11=0,0,(IFERROR(SUMPRODUCT($J$14:$J$68,$CH$14:$CH$68,($BR$14:$BR$68=CX11)*1)+SUMPRODUCT($L$14:$L$68,$M$14:$M$68,$CK$14:$CK$68,($BR$14:$BR$68=CX11)*1,($BT$14:$BT$68=FALSE)*1)/10+SUMPRODUCT($R$14:$R$68,$CP$14:$CP$68,($BR$14:$BR$68=CX11)*1),0))/GL11)</f>
        <v>0</v>
      </c>
      <c r="GN11" s="2042">
        <f t="shared" si="54"/>
        <v>0</v>
      </c>
      <c r="GO11" s="2042">
        <f>(SUMIF('Berechnung Nährstoffe und Lager'!$AX$113:$AX$130,'Lagerhaltung (freiwillig)'!CX11,'Berechnung Nährstoffe und Lager'!$D$113:$D$130)+SUMIF('Berechnung Nährstoffe und Lager'!$AX$137:$AX$155,'Lagerhaltung (freiwillig)'!CX11,'Berechnung Nährstoffe und Lager'!$E$137:$E$155))</f>
        <v>0</v>
      </c>
      <c r="GP11" s="2042" cm="1">
        <f t="array" ref="GP11">IF(GO11=0,0,(IFERROR(SUMPRODUCT('Berechnung Nährstoffe und Lager'!$D$113:$D$130,'Berechnung Nährstoffe und Lager'!$F$113:$F$130,('Berechnung Nährstoffe und Lager'!$AX$113:$AX$130='Lagerhaltung (freiwillig)'!CX11)*1)+SUMPRODUCT('Berechnung Nährstoffe und Lager'!$E$137:$E$155,'Berechnung Nährstoffe und Lager'!$F$137:$F$155,('Berechnung Nährstoffe und Lager'!$AX$137:$AX$155='Lagerhaltung (freiwillig)'!CX11)*1),0))/GO11)</f>
        <v>0</v>
      </c>
      <c r="GQ11" s="2042">
        <f t="shared" si="55"/>
        <v>0</v>
      </c>
      <c r="GR11" s="2042">
        <f t="shared" si="56"/>
        <v>0</v>
      </c>
      <c r="GS11" s="2042">
        <f t="shared" si="57"/>
        <v>0</v>
      </c>
      <c r="GT11" s="2042">
        <f t="shared" si="58"/>
        <v>0</v>
      </c>
      <c r="GU11" s="2045" t="str">
        <f t="shared" si="39"/>
        <v xml:space="preserve"> </v>
      </c>
      <c r="GV11" s="2045" t="str">
        <f t="shared" si="39"/>
        <v xml:space="preserve"> </v>
      </c>
      <c r="GW11" s="2054">
        <f t="shared" si="40"/>
        <v>0</v>
      </c>
      <c r="GX11" s="2042">
        <f t="shared" si="41"/>
        <v>0</v>
      </c>
      <c r="GY11" s="2042" t="str">
        <f t="shared" si="42"/>
        <v>a</v>
      </c>
      <c r="GZ11" s="2055">
        <f t="shared" si="43"/>
        <v>0</v>
      </c>
      <c r="HA11" s="2055">
        <f t="shared" si="44"/>
        <v>0</v>
      </c>
      <c r="HB11" s="2055"/>
      <c r="HC11" s="2046">
        <f t="shared" si="45"/>
        <v>0</v>
      </c>
      <c r="HD11" s="2055">
        <f t="shared" si="46"/>
        <v>0</v>
      </c>
      <c r="HE11" s="2055">
        <f t="shared" si="47"/>
        <v>0</v>
      </c>
      <c r="HF11" s="2055">
        <f t="shared" si="48"/>
        <v>0</v>
      </c>
      <c r="HG11" s="2282" cm="1">
        <f t="array" ref="HG11">IF(AND(HE11=0,GJ11=0),0,IF(HE11=0,1,IF(OR(GJ11*1000/HE11/HF11&gt;INDEX(Pflanzen!$AD$5:$AD$109,CX11)/INDEX(Pflanzen!$M$5:$M$109,CX11)*$HG$1,GJ11*1000/HE11/HF11&lt;INDEX(Pflanzen!$AD$5:$AD$109,CX11)/INDEX(Pflanzen!$M$5:$M$109,CX11)/$HG$1),1,0)))</f>
        <v>0</v>
      </c>
      <c r="HH11" s="2282" cm="1">
        <f t="array" ref="HH11">IF(AND(GK11=0,HE11=0),0,IF(HE11=0,1,IF(OR(GK11*1000/HE11/HF11&gt;INDEX(Pflanzen!$AE$5:$AE$109,CX11)/INDEX(Pflanzen!$M$5:$M$109,CX11)*$HG$1,GK11*1000/HE11/HF11&lt;INDEX(Pflanzen!$AE$5:$AE$109,CX11)/INDEX(Pflanzen!$M$5:$M$109,CX11)/$HG$1),1,0)))</f>
        <v>0</v>
      </c>
      <c r="HI11" s="2042">
        <f t="shared" si="49"/>
        <v>3</v>
      </c>
      <c r="HJ11" s="2042"/>
      <c r="HL11" s="2042"/>
      <c r="HM11" s="2052" t="str">
        <f>Tiere!B37</f>
        <v>Fresseraufzucht (80-210 kg), N-/P-reduziert</v>
      </c>
      <c r="HN11" s="2042">
        <v>8</v>
      </c>
      <c r="HO11" s="2053">
        <f>SUMIF('Berechnung Nährstoffe und Lager'!$BM$68:$BM$81,'Lagerhaltung (freiwillig)'!HN11,'Berechnung Nährstoffe und Lager'!$Z$68:$Z$81)+SUMIF('Berechnung Nährstoffe und Lager'!$BM$68:$BM$81,'Lagerhaltung (freiwillig)'!HN11,'Berechnung Nährstoffe und Lager'!$AA$68:$AA$81)</f>
        <v>0</v>
      </c>
      <c r="HP11" s="2042" cm="1">
        <f t="array" ref="HP11">INDEX(Tiere!$C$30:$C$85,'Lagerhaltung (freiwillig)'!HN11)</f>
        <v>1</v>
      </c>
      <c r="HQ11" s="2042" cm="1">
        <f t="array" ref="HQ11">INDEX(Tiere!$H$30:$H$85,'Lagerhaltung (freiwillig)'!HN11)</f>
        <v>7.47</v>
      </c>
      <c r="HR11" s="2042">
        <f t="shared" si="12"/>
        <v>0</v>
      </c>
      <c r="HS11" s="2042" cm="1">
        <f t="array" ref="HS11">INDEX(Tiere!$I$30:$I$85,'Lagerhaltung (freiwillig)'!HN11)</f>
        <v>2.87</v>
      </c>
      <c r="HT11" s="2042">
        <f t="shared" si="13"/>
        <v>0</v>
      </c>
      <c r="HU11" s="2042" cm="1">
        <f t="array" ref="HU11">INDEX(Tiere!$BC$30:$BC$85,'Lagerhaltung (freiwillig)'!HN11)</f>
        <v>10.8</v>
      </c>
      <c r="HV11" s="2042">
        <f t="shared" si="6"/>
        <v>0</v>
      </c>
      <c r="HW11" s="2042" cm="1">
        <f t="array" ref="HW11">INDEX(Tiere!$BD$30:$BD$85,'Lagerhaltung (freiwillig)'!HN11)</f>
        <v>5.96</v>
      </c>
      <c r="HX11" s="2042">
        <f t="shared" si="7"/>
        <v>0</v>
      </c>
      <c r="HY11" s="2042"/>
      <c r="HZ11" s="2042"/>
      <c r="IA11" s="2042"/>
      <c r="IB11" s="2042"/>
      <c r="IC11" s="2042"/>
      <c r="ID11" s="2042"/>
      <c r="IE11" s="2042"/>
      <c r="IF11" s="2042"/>
      <c r="IG11" s="2042"/>
      <c r="IH11" s="2042"/>
      <c r="II11" s="2042"/>
      <c r="IJ11" s="2042"/>
    </row>
    <row r="12" spans="1:245" ht="13.5" customHeight="1" x14ac:dyDescent="0.2">
      <c r="A12" s="2815"/>
      <c r="B12" s="2816"/>
      <c r="C12" s="2816"/>
      <c r="D12" s="2816"/>
      <c r="E12" s="2824"/>
      <c r="F12" s="3002"/>
      <c r="G12" s="2990" t="s">
        <v>1182</v>
      </c>
      <c r="H12" s="2991"/>
      <c r="I12" s="3002"/>
      <c r="J12" s="3044"/>
      <c r="K12" s="3002"/>
      <c r="L12" s="2971"/>
      <c r="M12" s="2971"/>
      <c r="N12" s="3042"/>
      <c r="O12" s="2985"/>
      <c r="P12" s="3070"/>
      <c r="Q12" s="3002"/>
      <c r="R12" s="2971"/>
      <c r="S12" s="3042"/>
      <c r="T12" s="2986"/>
      <c r="U12" s="2218"/>
      <c r="V12" s="2220"/>
      <c r="Y12" s="3058"/>
      <c r="Z12" s="3059"/>
      <c r="AA12" s="3059"/>
      <c r="AB12" s="3060"/>
      <c r="AC12" s="3033"/>
      <c r="AD12" s="3033"/>
      <c r="AE12" s="2996"/>
      <c r="AF12" s="3033"/>
      <c r="AG12" s="3033"/>
      <c r="AH12" s="3033"/>
      <c r="AI12" s="2996"/>
      <c r="AJ12" s="3033"/>
      <c r="AK12" s="3033"/>
      <c r="AL12" s="2998"/>
      <c r="AM12" s="2996"/>
      <c r="AN12" s="3033"/>
      <c r="AO12" s="2359" t="s">
        <v>8535</v>
      </c>
      <c r="AP12" s="2360"/>
      <c r="AQ12" s="2358"/>
      <c r="AR12" s="2361"/>
      <c r="AS12" s="3000"/>
      <c r="AT12" s="2998"/>
      <c r="AU12" s="2996"/>
      <c r="AV12" s="3036"/>
      <c r="AY12" s="2045" t="s">
        <v>1218</v>
      </c>
      <c r="AZ12" s="2045" t="s">
        <v>1233</v>
      </c>
      <c r="BA12" s="2045"/>
      <c r="BB12" s="2045"/>
      <c r="BC12" s="2045"/>
      <c r="BD12" s="2045"/>
      <c r="BE12" s="2306"/>
      <c r="BF12" s="2306"/>
      <c r="BG12" s="2306"/>
      <c r="BH12" s="2306"/>
      <c r="BI12" s="2306"/>
      <c r="BJ12" s="2306"/>
      <c r="BK12" s="2306"/>
      <c r="BL12" s="2306"/>
      <c r="BM12" s="2306"/>
      <c r="BN12" s="2306"/>
      <c r="BO12" s="2306"/>
      <c r="BP12" s="2043"/>
      <c r="BQ12" s="2042"/>
      <c r="BR12" s="2042"/>
      <c r="BS12" s="2042"/>
      <c r="BT12" s="2042"/>
      <c r="BU12" s="2044"/>
      <c r="BV12" s="2044"/>
      <c r="BW12" s="2045" t="s">
        <v>514</v>
      </c>
      <c r="BX12" s="2045"/>
      <c r="BY12" s="2045"/>
      <c r="BZ12" s="2045"/>
      <c r="CA12" s="2042"/>
      <c r="CB12" s="2042"/>
      <c r="CC12" s="2045" t="s">
        <v>1184</v>
      </c>
      <c r="CD12" s="2042"/>
      <c r="CE12" s="2042"/>
      <c r="CF12" s="2045"/>
      <c r="CG12" s="2045"/>
      <c r="CH12" s="2978" t="s">
        <v>289</v>
      </c>
      <c r="CI12" s="2978"/>
      <c r="CJ12" s="2978"/>
      <c r="CK12" s="2978" t="s">
        <v>1184</v>
      </c>
      <c r="CL12" s="2978"/>
      <c r="CM12" s="2978"/>
      <c r="CN12" s="2978"/>
      <c r="CO12" s="2978"/>
      <c r="CP12" s="2978" t="s">
        <v>514</v>
      </c>
      <c r="CQ12" s="2978"/>
      <c r="CR12" s="2978"/>
      <c r="CS12" s="2200"/>
      <c r="CT12" s="2205"/>
      <c r="CU12" s="2045" t="s">
        <v>1208</v>
      </c>
      <c r="CV12" s="2042"/>
      <c r="CW12" s="609" t="str">
        <f>Pflanzen!A8</f>
        <v>Winterweizen A/B-Sorte</v>
      </c>
      <c r="CX12" s="2042">
        <f>IFERROR(MATCH($CW12,Pflanzen!$C$5:$C$119,0),1)</f>
        <v>4</v>
      </c>
      <c r="CY12" s="609" cm="1">
        <f t="array" ref="CY12">INDEX(Pflanzen!$I$5:$I$119,'Lagerhaltung (freiwillig)'!CX12)</f>
        <v>2</v>
      </c>
      <c r="CZ12" s="2042">
        <f t="shared" si="30"/>
        <v>0</v>
      </c>
      <c r="DA12" s="2042">
        <f t="shared" si="30"/>
        <v>0</v>
      </c>
      <c r="DB12" s="2042">
        <f t="shared" si="30"/>
        <v>0</v>
      </c>
      <c r="DC12" s="2042">
        <f t="shared" si="30"/>
        <v>0</v>
      </c>
      <c r="DD12" s="2042">
        <f t="shared" si="30"/>
        <v>0</v>
      </c>
      <c r="DE12" s="2042">
        <f t="shared" si="30"/>
        <v>0</v>
      </c>
      <c r="DF12" s="2042">
        <f t="shared" si="30"/>
        <v>0</v>
      </c>
      <c r="DG12" s="2042">
        <f t="shared" si="30"/>
        <v>0</v>
      </c>
      <c r="DH12" s="2042">
        <f t="shared" si="30"/>
        <v>0</v>
      </c>
      <c r="DI12" s="2042">
        <f t="shared" si="30"/>
        <v>0</v>
      </c>
      <c r="DJ12" s="2042">
        <f t="shared" si="30"/>
        <v>0</v>
      </c>
      <c r="DK12" s="2042">
        <f t="shared" si="30"/>
        <v>0</v>
      </c>
      <c r="DL12" s="2042"/>
      <c r="DM12" s="2042">
        <f t="shared" si="31"/>
        <v>0</v>
      </c>
      <c r="DN12" s="2042">
        <f t="shared" si="31"/>
        <v>0</v>
      </c>
      <c r="DO12" s="2042">
        <f t="shared" si="31"/>
        <v>0</v>
      </c>
      <c r="DP12" s="2042">
        <f t="shared" si="31"/>
        <v>0</v>
      </c>
      <c r="DQ12" s="2042">
        <f t="shared" si="31"/>
        <v>0</v>
      </c>
      <c r="DR12" s="2042">
        <f t="shared" si="31"/>
        <v>0</v>
      </c>
      <c r="DS12" s="2042">
        <f t="shared" si="31"/>
        <v>0</v>
      </c>
      <c r="DT12" s="2042">
        <f t="shared" si="31"/>
        <v>0</v>
      </c>
      <c r="DU12" s="2042">
        <f t="shared" si="31"/>
        <v>0</v>
      </c>
      <c r="DV12" s="2042">
        <f t="shared" si="31"/>
        <v>0</v>
      </c>
      <c r="DW12" s="2042">
        <f t="shared" si="31"/>
        <v>0</v>
      </c>
      <c r="DX12" s="2042">
        <f t="shared" si="31"/>
        <v>0</v>
      </c>
      <c r="DY12" s="2042"/>
      <c r="DZ12" s="2042">
        <f t="shared" si="32"/>
        <v>0</v>
      </c>
      <c r="EA12" s="2042">
        <f t="shared" si="32"/>
        <v>0</v>
      </c>
      <c r="EB12" s="2042">
        <f t="shared" si="32"/>
        <v>0</v>
      </c>
      <c r="EC12" s="2042">
        <f t="shared" si="32"/>
        <v>0</v>
      </c>
      <c r="ED12" s="2042">
        <f t="shared" si="32"/>
        <v>0</v>
      </c>
      <c r="EE12" s="2042">
        <f t="shared" si="32"/>
        <v>0</v>
      </c>
      <c r="EF12" s="2042">
        <f t="shared" si="32"/>
        <v>0</v>
      </c>
      <c r="EG12" s="2042">
        <f t="shared" si="32"/>
        <v>0</v>
      </c>
      <c r="EH12" s="2042">
        <f t="shared" si="32"/>
        <v>0</v>
      </c>
      <c r="EI12" s="2042">
        <f t="shared" si="32"/>
        <v>0</v>
      </c>
      <c r="EJ12" s="2042">
        <f t="shared" si="32"/>
        <v>0</v>
      </c>
      <c r="EK12" s="2042">
        <f t="shared" si="32"/>
        <v>0</v>
      </c>
      <c r="EL12" s="2042"/>
      <c r="EM12" s="2042">
        <f t="shared" si="33"/>
        <v>0</v>
      </c>
      <c r="EN12" s="2042">
        <f t="shared" si="33"/>
        <v>0</v>
      </c>
      <c r="EO12" s="2042">
        <f t="shared" si="33"/>
        <v>0</v>
      </c>
      <c r="EP12" s="2042">
        <f t="shared" si="33"/>
        <v>0</v>
      </c>
      <c r="EQ12" s="2042">
        <f t="shared" si="33"/>
        <v>0</v>
      </c>
      <c r="ER12" s="2042">
        <f t="shared" si="33"/>
        <v>0</v>
      </c>
      <c r="ES12" s="2042">
        <f t="shared" si="33"/>
        <v>0</v>
      </c>
      <c r="ET12" s="2042">
        <f t="shared" si="33"/>
        <v>0</v>
      </c>
      <c r="EU12" s="2042">
        <f t="shared" si="33"/>
        <v>0</v>
      </c>
      <c r="EV12" s="2042">
        <f t="shared" si="33"/>
        <v>0</v>
      </c>
      <c r="EW12" s="2042">
        <f t="shared" si="33"/>
        <v>0</v>
      </c>
      <c r="EX12" s="2042">
        <f t="shared" si="33"/>
        <v>0</v>
      </c>
      <c r="EY12" s="2042"/>
      <c r="EZ12" s="2045">
        <f t="shared" si="50"/>
        <v>0</v>
      </c>
      <c r="FA12" s="2042">
        <f>EZ12+CZ12+DZ12                 -         SUMIF('Berechnung Nährstoffe und Lager'!$AX$113:$AX$155,$CX12,'Berechnung Nährstoffe und Lager'!$U$113:$U$155)/12  -$GB12*$HC12/12</f>
        <v>0</v>
      </c>
      <c r="FB12" s="2042">
        <f>FA12+DA12+EA12                 -         SUMIF('Berechnung Nährstoffe und Lager'!$AX$113:$AX$155,$CX12,'Berechnung Nährstoffe und Lager'!$U$113:$U$155)/12  -$GB12*$HC12/12</f>
        <v>0</v>
      </c>
      <c r="FC12" s="2042">
        <f>FB12+DB12+EB12                 -         SUMIF('Berechnung Nährstoffe und Lager'!$AX$113:$AX$155,$CX12,'Berechnung Nährstoffe und Lager'!$U$113:$U$155)/12  -$GB12*$HC12/12</f>
        <v>0</v>
      </c>
      <c r="FD12" s="2042">
        <f>FC12+DC12+EC12                 -         SUMIF('Berechnung Nährstoffe und Lager'!$AX$113:$AX$155,$CX12,'Berechnung Nährstoffe und Lager'!$U$113:$U$155)/12  -$GB12*$HC12/12</f>
        <v>0</v>
      </c>
      <c r="FE12" s="2042">
        <f>FD12+DD12+ED12                 -         SUMIF('Berechnung Nährstoffe und Lager'!$AX$113:$AX$155,$CX12,'Berechnung Nährstoffe und Lager'!$U$113:$U$155)/12  -$GB12*$HC12/12</f>
        <v>0</v>
      </c>
      <c r="FF12" s="2042">
        <f>FE12+DE12+EE12                 -         SUMIF('Berechnung Nährstoffe und Lager'!$AX$113:$AX$155,$CX12,'Berechnung Nährstoffe und Lager'!$U$113:$U$155)/12  -$GB12*$HC12/12</f>
        <v>0</v>
      </c>
      <c r="FG12" s="2042">
        <f>FF12+DF12+EF12                 -         SUMIF('Berechnung Nährstoffe und Lager'!$AX$113:$AX$155,$CX12,'Berechnung Nährstoffe und Lager'!$U$113:$U$155)/12  -$GB12*$HC12/12</f>
        <v>0</v>
      </c>
      <c r="FH12" s="2042">
        <f>FG12+DG12+EG12                 -         SUMIF('Berechnung Nährstoffe und Lager'!$AX$113:$AX$155,$CX12,'Berechnung Nährstoffe und Lager'!$U$113:$U$155)/12  -$GB12*$HC12/12</f>
        <v>0</v>
      </c>
      <c r="FI12" s="2042">
        <f>FH12+DH12+EH12                 -         SUMIF('Berechnung Nährstoffe und Lager'!$AX$113:$AX$155,$CX12,'Berechnung Nährstoffe und Lager'!$U$113:$U$155)/12  -$GB12*$HC12/12</f>
        <v>0</v>
      </c>
      <c r="FJ12" s="2042">
        <f>FI12+DI12+EI12                 -         SUMIF('Berechnung Nährstoffe und Lager'!$AX$113:$AX$155,$CX12,'Berechnung Nährstoffe und Lager'!$U$113:$U$155)/12  -$GB12*$HC12/12</f>
        <v>0</v>
      </c>
      <c r="FK12" s="2042">
        <f>FJ12+DJ12+EJ12                 -         SUMIF('Berechnung Nährstoffe und Lager'!$AX$113:$AX$155,$CX12,'Berechnung Nährstoffe und Lager'!$U$113:$U$155)/12  -$GB12*$HC12/12</f>
        <v>0</v>
      </c>
      <c r="FL12" s="2042">
        <f>FK12+DK12+EK12                 -         SUMIF('Berechnung Nährstoffe und Lager'!$AX$113:$AX$155,$CX12,'Berechnung Nährstoffe und Lager'!$U$113:$U$155)/12  -$GB12*$HC12/12</f>
        <v>0</v>
      </c>
      <c r="FM12" s="2042"/>
      <c r="FN12" s="2045">
        <f t="shared" si="51"/>
        <v>0</v>
      </c>
      <c r="FO12" s="2042">
        <f>FN12+DM12+EM12                 -         SUMIF('Berechnung Nährstoffe und Lager'!$AX$113:$AX$155,$CX12,'Berechnung Nährstoffe und Lager'!$V$113:$V$155)/12  -$GC12*$HC12/12</f>
        <v>0</v>
      </c>
      <c r="FP12" s="2042">
        <f>FO12+DN12+EN12                 -         SUMIF('Berechnung Nährstoffe und Lager'!$AX$113:$AX$155,$CX12,'Berechnung Nährstoffe und Lager'!$V$113:$V$155)/12  -$GC12*$HC12/12</f>
        <v>0</v>
      </c>
      <c r="FQ12" s="2042">
        <f>FP12+DO12+EO12                 -         SUMIF('Berechnung Nährstoffe und Lager'!$AX$113:$AX$155,$CX12,'Berechnung Nährstoffe und Lager'!$V$113:$V$155)/12  -$GC12*$HC12/12</f>
        <v>0</v>
      </c>
      <c r="FR12" s="2042">
        <f>FQ12+DP12+EP12                 -         SUMIF('Berechnung Nährstoffe und Lager'!$AX$113:$AX$155,$CX12,'Berechnung Nährstoffe und Lager'!$V$113:$V$155)/12  -$GC12*$HC12/12</f>
        <v>0</v>
      </c>
      <c r="FS12" s="2042">
        <f>FR12+DQ12+EQ12                 -         SUMIF('Berechnung Nährstoffe und Lager'!$AX$113:$AX$155,$CX12,'Berechnung Nährstoffe und Lager'!$V$113:$V$155)/12  -$GC12*$HC12/12</f>
        <v>0</v>
      </c>
      <c r="FT12" s="2042">
        <f>FS12+DR12+ER12                 -         SUMIF('Berechnung Nährstoffe und Lager'!$AX$113:$AX$155,$CX12,'Berechnung Nährstoffe und Lager'!$V$113:$V$155)/12  -$GC12*$HC12/12</f>
        <v>0</v>
      </c>
      <c r="FU12" s="2042">
        <f>FT12+DS12+ES12                 -         SUMIF('Berechnung Nährstoffe und Lager'!$AX$113:$AX$155,$CX12,'Berechnung Nährstoffe und Lager'!$V$113:$V$155)/12  -$GC12*$HC12/12</f>
        <v>0</v>
      </c>
      <c r="FV12" s="2042">
        <f>FU12+DT12+ET12                 -         SUMIF('Berechnung Nährstoffe und Lager'!$AX$113:$AX$155,$CX12,'Berechnung Nährstoffe und Lager'!$V$113:$V$155)/12  -$GC12*$HC12/12</f>
        <v>0</v>
      </c>
      <c r="FW12" s="2042">
        <f>FV12+DU12+EU12                 -         SUMIF('Berechnung Nährstoffe und Lager'!$AX$113:$AX$155,$CX12,'Berechnung Nährstoffe und Lager'!$V$113:$V$155)/12  -$GC12*$HC12/12</f>
        <v>0</v>
      </c>
      <c r="FX12" s="2042">
        <f>FW12+DV12+EV12                 -         SUMIF('Berechnung Nährstoffe und Lager'!$AX$113:$AX$155,$CX12,'Berechnung Nährstoffe und Lager'!$V$113:$V$155)/12  -$GC12*$HC12/12</f>
        <v>0</v>
      </c>
      <c r="FY12" s="2042">
        <f>FX12+DW12+EW12                 -         SUMIF('Berechnung Nährstoffe und Lager'!$AX$113:$AX$155,$CX12,'Berechnung Nährstoffe und Lager'!$V$113:$V$155)/12  -$GC12*$HC12/12</f>
        <v>0</v>
      </c>
      <c r="FZ12" s="2042">
        <f>FY12+DX12+EX12                 -         SUMIF('Berechnung Nährstoffe und Lager'!$AX$113:$AX$155,$CX12,'Berechnung Nährstoffe und Lager'!$V$113:$V$155)/12  -$GC12*$HC12/12</f>
        <v>0</v>
      </c>
      <c r="GA12" s="2042"/>
      <c r="GB12" s="2042">
        <f>SUMIFS($CI$14:$CI$68,$BR$14:$BR$68,$CX12)+SUMIFS($CM$14:$CM$68,$BR$14:$BR$68,$CX12)+SUMIFS($CR$14:$CR$68,$BR$14:$BR$68,$CX12)  -         SUMIF('Berechnung Nährstoffe und Lager'!$AX$113:$AX$155,$CX12,'Berechnung Nährstoffe und Lager'!$U$113:$U$155)</f>
        <v>0</v>
      </c>
      <c r="GC12" s="2042">
        <f>SUMIFS($CJ$14:$CJ$68,$BR$14:$BR$68,$CX12)+SUMIFS($CO$14:$CO$68,$BR$14:$BR$68,$CX12)+SUMIFS($CT$14:$CT$68,$BR$14:$BR$68,$CX12)  -         SUMIF('Berechnung Nährstoffe und Lager'!$AX$113:$AX$155,$CX12,'Berechnung Nährstoffe und Lager'!$V$113:$V$155)</f>
        <v>0</v>
      </c>
      <c r="GD12" s="2042"/>
      <c r="GE12" s="2042"/>
      <c r="GF12" s="2042">
        <f>SUMIF('Berechnung Nährstoffe und Lager'!$AX$113:$AX$155,$CX12,'Berechnung Nährstoffe und Lager'!$U$113:$U$155)</f>
        <v>0</v>
      </c>
      <c r="GG12" s="2042">
        <f>SUMIF('Berechnung Nährstoffe und Lager'!$AX$113:$AX$155,$CX12,'Berechnung Nährstoffe und Lager'!$V$113:$V$155)</f>
        <v>0</v>
      </c>
      <c r="GH12" s="2042">
        <f t="shared" si="52"/>
        <v>0</v>
      </c>
      <c r="GI12" s="2042">
        <f t="shared" si="53"/>
        <v>0</v>
      </c>
      <c r="GJ12" s="2042">
        <f t="shared" si="34"/>
        <v>0</v>
      </c>
      <c r="GK12" s="2042">
        <f t="shared" si="35"/>
        <v>0</v>
      </c>
      <c r="GL12" s="2042">
        <f t="shared" si="36"/>
        <v>0</v>
      </c>
      <c r="GM12" s="2042" cm="1">
        <f t="array" ref="GM12">IF(GL12=0,0,(IFERROR(SUMPRODUCT($J$14:$J$68,$CH$14:$CH$68,($BR$14:$BR$68=CX12)*1)+SUMPRODUCT($L$14:$L$68,$M$14:$M$68,$CK$14:$CK$68,($BR$14:$BR$68=CX12)*1,($BT$14:$BT$68=FALSE)*1)/10+SUMPRODUCT($R$14:$R$68,$CP$14:$CP$68,($BR$14:$BR$68=CX12)*1),0))/GL12)</f>
        <v>0</v>
      </c>
      <c r="GN12" s="2042">
        <f t="shared" si="54"/>
        <v>0</v>
      </c>
      <c r="GO12" s="2042">
        <f>(SUMIF('Berechnung Nährstoffe und Lager'!$AX$113:$AX$130,'Lagerhaltung (freiwillig)'!CX12,'Berechnung Nährstoffe und Lager'!$D$113:$D$130)+SUMIF('Berechnung Nährstoffe und Lager'!$AX$137:$AX$155,'Lagerhaltung (freiwillig)'!CX12,'Berechnung Nährstoffe und Lager'!$E$137:$E$155))</f>
        <v>0</v>
      </c>
      <c r="GP12" s="2042" cm="1">
        <f t="array" ref="GP12">IF(GO12=0,0,(IFERROR(SUMPRODUCT('Berechnung Nährstoffe und Lager'!$D$113:$D$130,'Berechnung Nährstoffe und Lager'!$F$113:$F$130,('Berechnung Nährstoffe und Lager'!$AX$113:$AX$130='Lagerhaltung (freiwillig)'!CX12)*1)+SUMPRODUCT('Berechnung Nährstoffe und Lager'!$E$137:$E$155,'Berechnung Nährstoffe und Lager'!$F$137:$F$155,('Berechnung Nährstoffe und Lager'!$AX$137:$AX$155='Lagerhaltung (freiwillig)'!CX12)*1),0))/GO12)</f>
        <v>0</v>
      </c>
      <c r="GQ12" s="2042">
        <f t="shared" si="55"/>
        <v>0</v>
      </c>
      <c r="GR12" s="2042">
        <f t="shared" si="56"/>
        <v>0</v>
      </c>
      <c r="GS12" s="2042">
        <f t="shared" si="57"/>
        <v>0</v>
      </c>
      <c r="GT12" s="2042">
        <f t="shared" si="58"/>
        <v>0</v>
      </c>
      <c r="GU12" s="2045" t="str">
        <f t="shared" si="39"/>
        <v xml:space="preserve"> </v>
      </c>
      <c r="GV12" s="2045" t="str">
        <f t="shared" si="39"/>
        <v xml:space="preserve"> </v>
      </c>
      <c r="GW12" s="2054">
        <f t="shared" si="40"/>
        <v>0</v>
      </c>
      <c r="GX12" s="2042">
        <f t="shared" si="41"/>
        <v>0</v>
      </c>
      <c r="GY12" s="2042" t="str">
        <f t="shared" si="42"/>
        <v>a</v>
      </c>
      <c r="GZ12" s="2055">
        <f t="shared" si="43"/>
        <v>0</v>
      </c>
      <c r="HA12" s="2055">
        <f t="shared" si="44"/>
        <v>0</v>
      </c>
      <c r="HB12" s="2055"/>
      <c r="HC12" s="2046">
        <f t="shared" si="45"/>
        <v>0</v>
      </c>
      <c r="HD12" s="2055">
        <f t="shared" si="46"/>
        <v>0</v>
      </c>
      <c r="HE12" s="2055">
        <f t="shared" si="47"/>
        <v>0</v>
      </c>
      <c r="HF12" s="2055">
        <f t="shared" si="48"/>
        <v>0</v>
      </c>
      <c r="HG12" s="2282" cm="1">
        <f t="array" ref="HG12">IF(AND(HE12=0,GJ12=0),0,IF(HE12=0,1,IF(OR(GJ12*1000/HE12/HF12&gt;INDEX(Pflanzen!$AD$5:$AD$109,CX12)/INDEX(Pflanzen!$M$5:$M$109,CX12)*$HG$1,GJ12*1000/HE12/HF12&lt;INDEX(Pflanzen!$AD$5:$AD$109,CX12)/INDEX(Pflanzen!$M$5:$M$109,CX12)/$HG$1),1,0)))</f>
        <v>0</v>
      </c>
      <c r="HH12" s="2282" cm="1">
        <f t="array" ref="HH12">IF(AND(GK12=0,HE12=0),0,IF(HE12=0,1,IF(OR(GK12*1000/HE12/HF12&gt;INDEX(Pflanzen!$AE$5:$AE$109,CX12)/INDEX(Pflanzen!$M$5:$M$109,CX12)*$HG$1,GK12*1000/HE12/HF12&lt;INDEX(Pflanzen!$AE$5:$AE$109,CX12)/INDEX(Pflanzen!$M$5:$M$109,CX12)/$HG$1),1,0)))</f>
        <v>0</v>
      </c>
      <c r="HI12" s="2042">
        <f t="shared" si="49"/>
        <v>3</v>
      </c>
      <c r="HJ12" s="2042"/>
      <c r="HL12" s="2042"/>
      <c r="HM12" s="2052" t="str">
        <f>Tiere!B38</f>
        <v>Männl. Rinder über 6 Monate bis 1 Jahr</v>
      </c>
      <c r="HN12" s="2042">
        <v>9</v>
      </c>
      <c r="HO12" s="2053">
        <f>SUMIF('Berechnung Nährstoffe und Lager'!$BM$68:$BM$81,'Lagerhaltung (freiwillig)'!HN12,'Berechnung Nährstoffe und Lager'!$Z$68:$Z$81)+SUMIF('Berechnung Nährstoffe und Lager'!$BM$68:$BM$81,'Lagerhaltung (freiwillig)'!HN12,'Berechnung Nährstoffe und Lager'!$AA$68:$AA$81)</f>
        <v>0</v>
      </c>
      <c r="HP12" s="2042" cm="1">
        <f t="array" ref="HP12">INDEX(Tiere!$C$30:$C$85,'Lagerhaltung (freiwillig)'!HN12)</f>
        <v>1</v>
      </c>
      <c r="HQ12" s="2042" cm="1">
        <f t="array" ref="HQ12">INDEX(Tiere!$H$30:$H$85,'Lagerhaltung (freiwillig)'!HN12)</f>
        <v>20</v>
      </c>
      <c r="HR12" s="2042">
        <f t="shared" si="12"/>
        <v>0</v>
      </c>
      <c r="HS12" s="2042" cm="1">
        <f t="array" ref="HS12">INDEX(Tiere!$I$30:$I$85,'Lagerhaltung (freiwillig)'!HN12)</f>
        <v>8</v>
      </c>
      <c r="HT12" s="2042">
        <f t="shared" si="13"/>
        <v>0</v>
      </c>
      <c r="HU12" s="2042" cm="1">
        <f t="array" ref="HU12">INDEX(Tiere!$BC$30:$BC$85,'Lagerhaltung (freiwillig)'!HN12)</f>
        <v>7.2900000000000009</v>
      </c>
      <c r="HV12" s="2042">
        <f t="shared" si="6"/>
        <v>0</v>
      </c>
      <c r="HW12" s="2042" cm="1">
        <f t="array" ref="HW12">INDEX(Tiere!$BD$30:$BD$85,'Lagerhaltung (freiwillig)'!HN12)</f>
        <v>4.0230000000000006</v>
      </c>
      <c r="HX12" s="2042">
        <f t="shared" si="7"/>
        <v>0</v>
      </c>
      <c r="HY12" s="2042"/>
      <c r="HZ12" s="2042"/>
      <c r="IA12" s="2042"/>
      <c r="IB12" s="2042"/>
      <c r="IC12" s="2042"/>
      <c r="ID12" s="2042"/>
      <c r="IE12" s="2042"/>
      <c r="IF12" s="2042"/>
      <c r="IG12" s="2042"/>
      <c r="IH12" s="2042"/>
      <c r="II12" s="2042"/>
      <c r="IJ12" s="2042"/>
    </row>
    <row r="13" spans="1:245" ht="12.75" customHeight="1" thickBot="1" x14ac:dyDescent="0.25">
      <c r="A13" s="3016"/>
      <c r="B13" s="3017"/>
      <c r="C13" s="3017"/>
      <c r="D13" s="3017"/>
      <c r="E13" s="3018"/>
      <c r="F13" s="3003"/>
      <c r="G13" s="3019" t="s">
        <v>500</v>
      </c>
      <c r="H13" s="3020"/>
      <c r="I13" s="3003"/>
      <c r="J13" s="3045"/>
      <c r="K13" s="3003"/>
      <c r="L13" s="2972"/>
      <c r="M13" s="2972"/>
      <c r="N13" s="2011" t="s">
        <v>8457</v>
      </c>
      <c r="O13" s="2203" t="s">
        <v>1098</v>
      </c>
      <c r="P13" s="3071"/>
      <c r="Q13" s="3003"/>
      <c r="R13" s="2972"/>
      <c r="S13" s="2198" t="s">
        <v>8457</v>
      </c>
      <c r="T13" s="2201" t="s">
        <v>1098</v>
      </c>
      <c r="U13" s="2218"/>
      <c r="V13" s="2220"/>
      <c r="Y13" s="2005" t="str" cm="1">
        <f t="array" ref="Y13">IFERROR(INDEX($CW$4:$CW$171,AY13),"")</f>
        <v/>
      </c>
      <c r="Z13" s="510"/>
      <c r="AA13" s="510"/>
      <c r="AB13" s="510"/>
      <c r="AC13" s="2031" t="str" cm="1">
        <f t="array" ref="AC13">IFERROR(INDEX($GL$4:$GL$171,AY13),"")</f>
        <v/>
      </c>
      <c r="AD13" s="2031" t="str" cm="1">
        <f t="array" ref="AD13">IFERROR(INDEX($GM$4:$GM$171,AY13),"")</f>
        <v/>
      </c>
      <c r="AE13" s="2031" t="str" cm="1">
        <f t="array" ref="AE13">IFERROR(INDEX($GH$4:$GH$171,AY13),"")</f>
        <v/>
      </c>
      <c r="AF13" s="2031" t="str" cm="1">
        <f t="array" ref="AF13">IFERROR(INDEX($GI$4:$GI$171,AY13),"")</f>
        <v/>
      </c>
      <c r="AG13" s="2031" t="str" cm="1">
        <f t="array" ref="AG13">IFERROR(INDEX($GO$4:$GO$171,AY13),"")</f>
        <v/>
      </c>
      <c r="AH13" s="2031" t="str" cm="1">
        <f t="array" ref="AH13">IFERROR(INDEX($GP$4:$GP$171,AY13),"")</f>
        <v/>
      </c>
      <c r="AI13" s="2031" t="str" cm="1">
        <f t="array" ref="AI13">IFERROR(INDEX($GF$4:$GF$171,AY13),"")</f>
        <v/>
      </c>
      <c r="AJ13" s="2031" t="str" cm="1">
        <f t="array" ref="AJ13">IFERROR(INDEX($GG$4:$GG$171,AY13),"")</f>
        <v/>
      </c>
      <c r="AK13" s="2031" t="str" cm="1">
        <f t="array" ref="AK13">IFERROR(INDEX($GS$4:$GS$171,AY13),"")</f>
        <v/>
      </c>
      <c r="AL13" s="2032" t="str" cm="1">
        <f t="array" ref="AL13">IFERROR(INDEX($GT$4:$GT$171,AY13),"")</f>
        <v/>
      </c>
      <c r="AM13" s="2031" t="str" cm="1">
        <f t="array" ref="AM13">IFERROR(INDEX($GB$4:$GB$171,AY13),"")</f>
        <v/>
      </c>
      <c r="AN13" s="2031" t="str" cm="1">
        <f t="array" ref="AN13">IFERROR(INDEX($GC$4:$GC$171,AY13),"")</f>
        <v/>
      </c>
      <c r="AO13" s="2357" t="str" cm="1">
        <f t="array" ref="AO13">IFERROR(INDEX($GU$4:$GU$171,AY13),"")</f>
        <v/>
      </c>
      <c r="AP13" s="2357" t="str" cm="1">
        <f t="array" ref="AP13">IFERROR(INDEX($GX$4:$GX$171,AY13),"")</f>
        <v/>
      </c>
      <c r="AQ13" s="1316"/>
      <c r="AR13" s="2031" t="str" cm="1">
        <f t="array" ref="AR13">IFERROR(INDEX($HD$4:$HD$171,AY13),"")</f>
        <v/>
      </c>
      <c r="AS13" s="2031" t="str" cm="1">
        <f t="array" ref="AS13">IFERROR(INDEX($HE$4:$HE$171,AY13),"")</f>
        <v/>
      </c>
      <c r="AT13" s="2031" t="str" cm="1">
        <f t="array" ref="AT13">IFERROR(INDEX($HF$4:$HF$171,AY13),"")</f>
        <v/>
      </c>
      <c r="AU13" s="2031" t="str" cm="1">
        <f t="array" ref="AU13">IFERROR(INDEX($GJ$4:$GJ$171,AY13),"")</f>
        <v/>
      </c>
      <c r="AV13" s="2031" t="str" cm="1">
        <f t="array" ref="AV13">IFERROR(INDEX($GK$4:$GK$171,AY13),"")</f>
        <v/>
      </c>
      <c r="AY13" s="2042" t="str" cm="1">
        <f t="array" ref="AY13">IFERROR(SMALL(IF($HI$4:$HI$171=1,ROW($HI$4:$HI$171)-3),ROW(W1)),IFERROR(SMALL(IF($HI$4:$HI$171=2,ROW($HI$4:$HI$171)-3),ROW(W1)-COUNTIF($HI$4:$HI$171,1)),IFERROR(SMALL(IF($HI$4:$HI$171=0,ROW($HI$4:$HI$171)-3),ROW(W1)-COUNTIF($HI$4:$HI$171,1)-COUNTIF($HI$4:$HI$171,2)),"")))</f>
        <v/>
      </c>
      <c r="AZ13" s="2042" t="str">
        <f t="shared" ref="AZ13:AZ36" si="59">IF(AQ13="","a",AQ13)</f>
        <v>a</v>
      </c>
      <c r="BA13" s="2053" t="e">
        <f t="shared" ref="BA13:BA36" si="60">IF(AK13=" ",0,AK13-AQ13)</f>
        <v>#VALUE!</v>
      </c>
      <c r="BB13" s="2053" cm="1">
        <f t="array" ref="BB13">IFERROR(INDEX($HI$4:$HI$171,AY13),0)</f>
        <v>0</v>
      </c>
      <c r="BC13" s="2053">
        <f t="shared" ref="BC13:BC36" si="61">IFERROR(SUM(INDEX($HG$4:$HG$171,AY13),INDEX($HH$4:$HH$171,AY13)),0)</f>
        <v>0</v>
      </c>
      <c r="BD13" s="2053"/>
      <c r="BE13" s="2307"/>
      <c r="BF13" s="2307"/>
      <c r="BG13" s="2307"/>
      <c r="BH13" s="2307"/>
      <c r="BI13" s="2307"/>
      <c r="BJ13" s="2307"/>
      <c r="BK13" s="2307"/>
      <c r="BL13" s="2307"/>
      <c r="BM13" s="2307"/>
      <c r="BN13" s="2307"/>
      <c r="BO13" s="2307"/>
      <c r="BP13" s="2043"/>
      <c r="BQ13" s="2045" t="s">
        <v>8482</v>
      </c>
      <c r="BR13" s="2045" t="s">
        <v>8481</v>
      </c>
      <c r="BS13" s="2045"/>
      <c r="BT13" s="2045" t="s">
        <v>8485</v>
      </c>
      <c r="BU13" s="2057"/>
      <c r="BV13" s="2057"/>
      <c r="BW13" s="2045" t="s">
        <v>1149</v>
      </c>
      <c r="BX13" s="2045" t="s">
        <v>1192</v>
      </c>
      <c r="BY13" s="2045" t="s">
        <v>1193</v>
      </c>
      <c r="BZ13" s="2045" t="s">
        <v>8363</v>
      </c>
      <c r="CA13" s="2045" t="s">
        <v>1180</v>
      </c>
      <c r="CB13" s="2045" t="s">
        <v>1181</v>
      </c>
      <c r="CC13" s="2045" t="s">
        <v>1149</v>
      </c>
      <c r="CD13" s="2045" t="s">
        <v>1210</v>
      </c>
      <c r="CE13" s="2045" t="s">
        <v>1211</v>
      </c>
      <c r="CF13" s="2045" t="s">
        <v>1190</v>
      </c>
      <c r="CG13" s="2045" t="s">
        <v>8520</v>
      </c>
      <c r="CH13" s="2045" t="s">
        <v>321</v>
      </c>
      <c r="CI13" s="2215" t="s">
        <v>1186</v>
      </c>
      <c r="CJ13" s="2214" t="s">
        <v>8458</v>
      </c>
      <c r="CK13" s="2045" t="s">
        <v>321</v>
      </c>
      <c r="CL13" s="2215" t="s">
        <v>1185</v>
      </c>
      <c r="CM13" s="2215" t="s">
        <v>1243</v>
      </c>
      <c r="CN13" s="2214" t="s">
        <v>8460</v>
      </c>
      <c r="CO13" s="2214" t="s">
        <v>8459</v>
      </c>
      <c r="CP13" s="2045" t="s">
        <v>321</v>
      </c>
      <c r="CQ13" s="2267" t="s">
        <v>1185</v>
      </c>
      <c r="CR13" s="2267" t="s">
        <v>1243</v>
      </c>
      <c r="CS13" s="2214" t="s">
        <v>8460</v>
      </c>
      <c r="CT13" s="2214" t="s">
        <v>8459</v>
      </c>
      <c r="CU13" s="2045" t="s">
        <v>1209</v>
      </c>
      <c r="CV13" s="2042"/>
      <c r="CW13" s="609" t="str">
        <f>Pflanzen!A9</f>
        <v>Winterweizen E-Sorte</v>
      </c>
      <c r="CX13" s="2042">
        <f>IFERROR(MATCH($CW13,Pflanzen!$C$5:$C$119,0),1)</f>
        <v>5</v>
      </c>
      <c r="CY13" s="609" cm="1">
        <f t="array" ref="CY13">INDEX(Pflanzen!$I$5:$I$119,'Lagerhaltung (freiwillig)'!CX13)</f>
        <v>2</v>
      </c>
      <c r="CZ13" s="2042">
        <f t="shared" si="30"/>
        <v>0</v>
      </c>
      <c r="DA13" s="2042">
        <f t="shared" si="30"/>
        <v>0</v>
      </c>
      <c r="DB13" s="2042">
        <f t="shared" si="30"/>
        <v>0</v>
      </c>
      <c r="DC13" s="2042">
        <f t="shared" si="30"/>
        <v>0</v>
      </c>
      <c r="DD13" s="2042">
        <f t="shared" si="30"/>
        <v>0</v>
      </c>
      <c r="DE13" s="2042">
        <f t="shared" si="30"/>
        <v>0</v>
      </c>
      <c r="DF13" s="2042">
        <f t="shared" si="30"/>
        <v>0</v>
      </c>
      <c r="DG13" s="2042">
        <f t="shared" si="30"/>
        <v>0</v>
      </c>
      <c r="DH13" s="2042">
        <f t="shared" si="30"/>
        <v>0</v>
      </c>
      <c r="DI13" s="2042">
        <f t="shared" si="30"/>
        <v>0</v>
      </c>
      <c r="DJ13" s="2042">
        <f t="shared" si="30"/>
        <v>0</v>
      </c>
      <c r="DK13" s="2042">
        <f t="shared" si="30"/>
        <v>0</v>
      </c>
      <c r="DL13" s="2042"/>
      <c r="DM13" s="2042">
        <f t="shared" si="31"/>
        <v>0</v>
      </c>
      <c r="DN13" s="2042">
        <f t="shared" si="31"/>
        <v>0</v>
      </c>
      <c r="DO13" s="2042">
        <f t="shared" si="31"/>
        <v>0</v>
      </c>
      <c r="DP13" s="2042">
        <f t="shared" si="31"/>
        <v>0</v>
      </c>
      <c r="DQ13" s="2042">
        <f t="shared" si="31"/>
        <v>0</v>
      </c>
      <c r="DR13" s="2042">
        <f t="shared" si="31"/>
        <v>0</v>
      </c>
      <c r="DS13" s="2042">
        <f t="shared" si="31"/>
        <v>0</v>
      </c>
      <c r="DT13" s="2042">
        <f t="shared" si="31"/>
        <v>0</v>
      </c>
      <c r="DU13" s="2042">
        <f t="shared" si="31"/>
        <v>0</v>
      </c>
      <c r="DV13" s="2042">
        <f t="shared" si="31"/>
        <v>0</v>
      </c>
      <c r="DW13" s="2042">
        <f t="shared" si="31"/>
        <v>0</v>
      </c>
      <c r="DX13" s="2042">
        <f t="shared" si="31"/>
        <v>0</v>
      </c>
      <c r="DY13" s="2042"/>
      <c r="DZ13" s="2042">
        <f t="shared" si="32"/>
        <v>0</v>
      </c>
      <c r="EA13" s="2042">
        <f t="shared" si="32"/>
        <v>0</v>
      </c>
      <c r="EB13" s="2042">
        <f t="shared" si="32"/>
        <v>0</v>
      </c>
      <c r="EC13" s="2042">
        <f t="shared" si="32"/>
        <v>0</v>
      </c>
      <c r="ED13" s="2042">
        <f t="shared" si="32"/>
        <v>0</v>
      </c>
      <c r="EE13" s="2042">
        <f t="shared" si="32"/>
        <v>0</v>
      </c>
      <c r="EF13" s="2042">
        <f t="shared" si="32"/>
        <v>0</v>
      </c>
      <c r="EG13" s="2042">
        <f t="shared" si="32"/>
        <v>0</v>
      </c>
      <c r="EH13" s="2042">
        <f t="shared" si="32"/>
        <v>0</v>
      </c>
      <c r="EI13" s="2042">
        <f t="shared" si="32"/>
        <v>0</v>
      </c>
      <c r="EJ13" s="2042">
        <f t="shared" si="32"/>
        <v>0</v>
      </c>
      <c r="EK13" s="2042">
        <f t="shared" si="32"/>
        <v>0</v>
      </c>
      <c r="EL13" s="2042"/>
      <c r="EM13" s="2042">
        <f t="shared" si="33"/>
        <v>0</v>
      </c>
      <c r="EN13" s="2042">
        <f t="shared" si="33"/>
        <v>0</v>
      </c>
      <c r="EO13" s="2042">
        <f t="shared" si="33"/>
        <v>0</v>
      </c>
      <c r="EP13" s="2042">
        <f t="shared" si="33"/>
        <v>0</v>
      </c>
      <c r="EQ13" s="2042">
        <f t="shared" si="33"/>
        <v>0</v>
      </c>
      <c r="ER13" s="2042">
        <f t="shared" si="33"/>
        <v>0</v>
      </c>
      <c r="ES13" s="2042">
        <f t="shared" si="33"/>
        <v>0</v>
      </c>
      <c r="ET13" s="2042">
        <f t="shared" si="33"/>
        <v>0</v>
      </c>
      <c r="EU13" s="2042">
        <f t="shared" si="33"/>
        <v>0</v>
      </c>
      <c r="EV13" s="2042">
        <f t="shared" si="33"/>
        <v>0</v>
      </c>
      <c r="EW13" s="2042">
        <f t="shared" si="33"/>
        <v>0</v>
      </c>
      <c r="EX13" s="2042">
        <f t="shared" si="33"/>
        <v>0</v>
      </c>
      <c r="EY13" s="2042"/>
      <c r="EZ13" s="2045">
        <f t="shared" si="50"/>
        <v>0</v>
      </c>
      <c r="FA13" s="2042">
        <f>EZ13+CZ13+DZ13                 -         SUMIF('Berechnung Nährstoffe und Lager'!$AX$113:$AX$155,$CX13,'Berechnung Nährstoffe und Lager'!$U$113:$U$155)/12  -$GB13*$HC13/12</f>
        <v>0</v>
      </c>
      <c r="FB13" s="2042">
        <f>FA13+DA13+EA13                 -         SUMIF('Berechnung Nährstoffe und Lager'!$AX$113:$AX$155,$CX13,'Berechnung Nährstoffe und Lager'!$U$113:$U$155)/12  -$GB13*$HC13/12</f>
        <v>0</v>
      </c>
      <c r="FC13" s="2042">
        <f>FB13+DB13+EB13                 -         SUMIF('Berechnung Nährstoffe und Lager'!$AX$113:$AX$155,$CX13,'Berechnung Nährstoffe und Lager'!$U$113:$U$155)/12  -$GB13*$HC13/12</f>
        <v>0</v>
      </c>
      <c r="FD13" s="2042">
        <f>FC13+DC13+EC13                 -         SUMIF('Berechnung Nährstoffe und Lager'!$AX$113:$AX$155,$CX13,'Berechnung Nährstoffe und Lager'!$U$113:$U$155)/12  -$GB13*$HC13/12</f>
        <v>0</v>
      </c>
      <c r="FE13" s="2042">
        <f>FD13+DD13+ED13                 -         SUMIF('Berechnung Nährstoffe und Lager'!$AX$113:$AX$155,$CX13,'Berechnung Nährstoffe und Lager'!$U$113:$U$155)/12  -$GB13*$HC13/12</f>
        <v>0</v>
      </c>
      <c r="FF13" s="2042">
        <f>FE13+DE13+EE13                 -         SUMIF('Berechnung Nährstoffe und Lager'!$AX$113:$AX$155,$CX13,'Berechnung Nährstoffe und Lager'!$U$113:$U$155)/12  -$GB13*$HC13/12</f>
        <v>0</v>
      </c>
      <c r="FG13" s="2042">
        <f>FF13+DF13+EF13                 -         SUMIF('Berechnung Nährstoffe und Lager'!$AX$113:$AX$155,$CX13,'Berechnung Nährstoffe und Lager'!$U$113:$U$155)/12  -$GB13*$HC13/12</f>
        <v>0</v>
      </c>
      <c r="FH13" s="2042">
        <f>FG13+DG13+EG13                 -         SUMIF('Berechnung Nährstoffe und Lager'!$AX$113:$AX$155,$CX13,'Berechnung Nährstoffe und Lager'!$U$113:$U$155)/12  -$GB13*$HC13/12</f>
        <v>0</v>
      </c>
      <c r="FI13" s="2042">
        <f>FH13+DH13+EH13                 -         SUMIF('Berechnung Nährstoffe und Lager'!$AX$113:$AX$155,$CX13,'Berechnung Nährstoffe und Lager'!$U$113:$U$155)/12  -$GB13*$HC13/12</f>
        <v>0</v>
      </c>
      <c r="FJ13" s="2042">
        <f>FI13+DI13+EI13                 -         SUMIF('Berechnung Nährstoffe und Lager'!$AX$113:$AX$155,$CX13,'Berechnung Nährstoffe und Lager'!$U$113:$U$155)/12  -$GB13*$HC13/12</f>
        <v>0</v>
      </c>
      <c r="FK13" s="2042">
        <f>FJ13+DJ13+EJ13                 -         SUMIF('Berechnung Nährstoffe und Lager'!$AX$113:$AX$155,$CX13,'Berechnung Nährstoffe und Lager'!$U$113:$U$155)/12  -$GB13*$HC13/12</f>
        <v>0</v>
      </c>
      <c r="FL13" s="2042">
        <f>FK13+DK13+EK13                 -         SUMIF('Berechnung Nährstoffe und Lager'!$AX$113:$AX$155,$CX13,'Berechnung Nährstoffe und Lager'!$U$113:$U$155)/12  -$GB13*$HC13/12</f>
        <v>0</v>
      </c>
      <c r="FM13" s="2042"/>
      <c r="FN13" s="2045">
        <f t="shared" si="51"/>
        <v>0</v>
      </c>
      <c r="FO13" s="2042">
        <f>FN13+DM13+EM13                 -         SUMIF('Berechnung Nährstoffe und Lager'!$AX$113:$AX$155,$CX13,'Berechnung Nährstoffe und Lager'!$V$113:$V$155)/12  -$GC13*$HC13/12</f>
        <v>0</v>
      </c>
      <c r="FP13" s="2042">
        <f>FO13+DN13+EN13                 -         SUMIF('Berechnung Nährstoffe und Lager'!$AX$113:$AX$155,$CX13,'Berechnung Nährstoffe und Lager'!$V$113:$V$155)/12  -$GC13*$HC13/12</f>
        <v>0</v>
      </c>
      <c r="FQ13" s="2042">
        <f>FP13+DO13+EO13                 -         SUMIF('Berechnung Nährstoffe und Lager'!$AX$113:$AX$155,$CX13,'Berechnung Nährstoffe und Lager'!$V$113:$V$155)/12  -$GC13*$HC13/12</f>
        <v>0</v>
      </c>
      <c r="FR13" s="2042">
        <f>FQ13+DP13+EP13                 -         SUMIF('Berechnung Nährstoffe und Lager'!$AX$113:$AX$155,$CX13,'Berechnung Nährstoffe und Lager'!$V$113:$V$155)/12  -$GC13*$HC13/12</f>
        <v>0</v>
      </c>
      <c r="FS13" s="2042">
        <f>FR13+DQ13+EQ13                 -         SUMIF('Berechnung Nährstoffe und Lager'!$AX$113:$AX$155,$CX13,'Berechnung Nährstoffe und Lager'!$V$113:$V$155)/12  -$GC13*$HC13/12</f>
        <v>0</v>
      </c>
      <c r="FT13" s="2042">
        <f>FS13+DR13+ER13                 -         SUMIF('Berechnung Nährstoffe und Lager'!$AX$113:$AX$155,$CX13,'Berechnung Nährstoffe und Lager'!$V$113:$V$155)/12  -$GC13*$HC13/12</f>
        <v>0</v>
      </c>
      <c r="FU13" s="2042">
        <f>FT13+DS13+ES13                 -         SUMIF('Berechnung Nährstoffe und Lager'!$AX$113:$AX$155,$CX13,'Berechnung Nährstoffe und Lager'!$V$113:$V$155)/12  -$GC13*$HC13/12</f>
        <v>0</v>
      </c>
      <c r="FV13" s="2042">
        <f>FU13+DT13+ET13                 -         SUMIF('Berechnung Nährstoffe und Lager'!$AX$113:$AX$155,$CX13,'Berechnung Nährstoffe und Lager'!$V$113:$V$155)/12  -$GC13*$HC13/12</f>
        <v>0</v>
      </c>
      <c r="FW13" s="2042">
        <f>FV13+DU13+EU13                 -         SUMIF('Berechnung Nährstoffe und Lager'!$AX$113:$AX$155,$CX13,'Berechnung Nährstoffe und Lager'!$V$113:$V$155)/12  -$GC13*$HC13/12</f>
        <v>0</v>
      </c>
      <c r="FX13" s="2042">
        <f>FW13+DV13+EV13                 -         SUMIF('Berechnung Nährstoffe und Lager'!$AX$113:$AX$155,$CX13,'Berechnung Nährstoffe und Lager'!$V$113:$V$155)/12  -$GC13*$HC13/12</f>
        <v>0</v>
      </c>
      <c r="FY13" s="2042">
        <f>FX13+DW13+EW13                 -         SUMIF('Berechnung Nährstoffe und Lager'!$AX$113:$AX$155,$CX13,'Berechnung Nährstoffe und Lager'!$V$113:$V$155)/12  -$GC13*$HC13/12</f>
        <v>0</v>
      </c>
      <c r="FZ13" s="2042">
        <f>FY13+DX13+EX13                 -         SUMIF('Berechnung Nährstoffe und Lager'!$AX$113:$AX$155,$CX13,'Berechnung Nährstoffe und Lager'!$V$113:$V$155)/12  -$GC13*$HC13/12</f>
        <v>0</v>
      </c>
      <c r="GA13" s="2042"/>
      <c r="GB13" s="2042">
        <f>SUMIFS($CI$14:$CI$68,$BR$14:$BR$68,$CX13)+SUMIFS($CM$14:$CM$68,$BR$14:$BR$68,$CX13)+SUMIFS($CR$14:$CR$68,$BR$14:$BR$68,$CX13)  -         SUMIF('Berechnung Nährstoffe und Lager'!$AX$113:$AX$155,$CX13,'Berechnung Nährstoffe und Lager'!$U$113:$U$155)</f>
        <v>0</v>
      </c>
      <c r="GC13" s="2042">
        <f>SUMIFS($CJ$14:$CJ$68,$BR$14:$BR$68,$CX13)+SUMIFS($CO$14:$CO$68,$BR$14:$BR$68,$CX13)+SUMIFS($CT$14:$CT$68,$BR$14:$BR$68,$CX13)  -         SUMIF('Berechnung Nährstoffe und Lager'!$AX$113:$AX$155,$CX13,'Berechnung Nährstoffe und Lager'!$V$113:$V$155)</f>
        <v>0</v>
      </c>
      <c r="GD13" s="2042"/>
      <c r="GE13" s="2042"/>
      <c r="GF13" s="2042">
        <f>SUMIF('Berechnung Nährstoffe und Lager'!$AX$113:$AX$155,$CX13,'Berechnung Nährstoffe und Lager'!$U$113:$U$155)</f>
        <v>0</v>
      </c>
      <c r="GG13" s="2042">
        <f>SUMIF('Berechnung Nährstoffe und Lager'!$AX$113:$AX$155,$CX13,'Berechnung Nährstoffe und Lager'!$V$113:$V$155)</f>
        <v>0</v>
      </c>
      <c r="GH13" s="2042">
        <f t="shared" si="52"/>
        <v>0</v>
      </c>
      <c r="GI13" s="2042">
        <f t="shared" si="53"/>
        <v>0</v>
      </c>
      <c r="GJ13" s="2042">
        <f t="shared" si="34"/>
        <v>0</v>
      </c>
      <c r="GK13" s="2042">
        <f t="shared" si="35"/>
        <v>0</v>
      </c>
      <c r="GL13" s="2042">
        <f t="shared" si="36"/>
        <v>0</v>
      </c>
      <c r="GM13" s="2042" cm="1">
        <f t="array" ref="GM13">IF(GL13=0,0,(IFERROR(SUMPRODUCT($J$14:$J$68,$CH$14:$CH$68,($BR$14:$BR$68=CX13)*1)+SUMPRODUCT($L$14:$L$68,$M$14:$M$68,$CK$14:$CK$68,($BR$14:$BR$68=CX13)*1,($BT$14:$BT$68=FALSE)*1)/10+SUMPRODUCT($R$14:$R$68,$CP$14:$CP$68,($BR$14:$BR$68=CX13)*1),0))/GL13)</f>
        <v>0</v>
      </c>
      <c r="GN13" s="2042">
        <f t="shared" si="54"/>
        <v>0</v>
      </c>
      <c r="GO13" s="2042">
        <f>(SUMIF('Berechnung Nährstoffe und Lager'!$AX$113:$AX$130,'Lagerhaltung (freiwillig)'!CX13,'Berechnung Nährstoffe und Lager'!$D$113:$D$130)+SUMIF('Berechnung Nährstoffe und Lager'!$AX$137:$AX$155,'Lagerhaltung (freiwillig)'!CX13,'Berechnung Nährstoffe und Lager'!$E$137:$E$155))</f>
        <v>0</v>
      </c>
      <c r="GP13" s="2042" cm="1">
        <f t="array" ref="GP13">IF(GO13=0,0,(IFERROR(SUMPRODUCT('Berechnung Nährstoffe und Lager'!$D$113:$D$130,'Berechnung Nährstoffe und Lager'!$F$113:$F$130,('Berechnung Nährstoffe und Lager'!$AX$113:$AX$130='Lagerhaltung (freiwillig)'!CX13)*1)+SUMPRODUCT('Berechnung Nährstoffe und Lager'!$E$137:$E$155,'Berechnung Nährstoffe und Lager'!$F$137:$F$155,('Berechnung Nährstoffe und Lager'!$AX$137:$AX$155='Lagerhaltung (freiwillig)'!CX13)*1),0))/GO13)</f>
        <v>0</v>
      </c>
      <c r="GQ13" s="2042">
        <f t="shared" si="55"/>
        <v>0</v>
      </c>
      <c r="GR13" s="2042">
        <f t="shared" si="56"/>
        <v>0</v>
      </c>
      <c r="GS13" s="2042">
        <f>IF(AND(GM13=0,GP13=0),0,IF(GM13=0,GR13/(GP13/100),GR13/(GM13/100)))</f>
        <v>0</v>
      </c>
      <c r="GT13" s="2042">
        <f t="shared" si="58"/>
        <v>0</v>
      </c>
      <c r="GU13" s="2045" t="str">
        <f t="shared" si="39"/>
        <v xml:space="preserve"> </v>
      </c>
      <c r="GV13" s="2045" t="str">
        <f t="shared" si="39"/>
        <v xml:space="preserve"> </v>
      </c>
      <c r="GW13" s="2054">
        <f t="shared" si="40"/>
        <v>0</v>
      </c>
      <c r="GX13" s="2042">
        <f t="shared" si="41"/>
        <v>0</v>
      </c>
      <c r="GY13" s="2042" t="str">
        <f t="shared" si="42"/>
        <v>a</v>
      </c>
      <c r="GZ13" s="2055">
        <f t="shared" si="43"/>
        <v>0</v>
      </c>
      <c r="HA13" s="2055">
        <f t="shared" si="44"/>
        <v>0</v>
      </c>
      <c r="HB13" s="2055"/>
      <c r="HC13" s="2046">
        <f t="shared" si="45"/>
        <v>0</v>
      </c>
      <c r="HD13" s="2055">
        <f t="shared" si="46"/>
        <v>0</v>
      </c>
      <c r="HE13" s="2055">
        <f t="shared" si="47"/>
        <v>0</v>
      </c>
      <c r="HF13" s="2055">
        <f t="shared" si="48"/>
        <v>0</v>
      </c>
      <c r="HG13" s="2282" cm="1">
        <f t="array" ref="HG13">IF(AND(HE13=0,GJ13=0),0,IF(HE13=0,1,IF(OR(GJ13*1000/HE13/HF13&gt;INDEX(Pflanzen!$AD$5:$AD$109,CX13)/INDEX(Pflanzen!$M$5:$M$109,CX13)*$HG$1,GJ13*1000/HE13/HF13&lt;INDEX(Pflanzen!$AD$5:$AD$109,CX13)/INDEX(Pflanzen!$M$5:$M$109,CX13)/$HG$1),1,0)))</f>
        <v>0</v>
      </c>
      <c r="HH13" s="2282" cm="1">
        <f t="array" ref="HH13">IF(AND(GK13=0,HE13=0),0,IF(HE13=0,1,IF(OR(GK13*1000/HE13/HF13&gt;INDEX(Pflanzen!$AE$5:$AE$109,CX13)/INDEX(Pflanzen!$M$5:$M$109,CX13)*$HG$1,GK13*1000/HE13/HF13&lt;INDEX(Pflanzen!$AE$5:$AE$109,CX13)/INDEX(Pflanzen!$M$5:$M$109,CX13)/$HG$1),1,0)))</f>
        <v>0</v>
      </c>
      <c r="HI13" s="2042">
        <f t="shared" si="49"/>
        <v>3</v>
      </c>
      <c r="HJ13" s="2042"/>
      <c r="HL13" s="2042"/>
      <c r="HM13" s="2052" t="str">
        <f>Tiere!B39</f>
        <v>Männl. Rinder über 1 Jahr bis zwei Jahre (Mast)</v>
      </c>
      <c r="HN13" s="2042">
        <v>10</v>
      </c>
      <c r="HO13" s="2053">
        <f>SUMIF('Berechnung Nährstoffe und Lager'!$BM$68:$BM$81,'Lagerhaltung (freiwillig)'!HN13,'Berechnung Nährstoffe und Lager'!$Z$68:$Z$81)+SUMIF('Berechnung Nährstoffe und Lager'!$BM$68:$BM$81,'Lagerhaltung (freiwillig)'!HN13,'Berechnung Nährstoffe und Lager'!$AA$68:$AA$81)</f>
        <v>0</v>
      </c>
      <c r="HP13" s="2042" cm="1">
        <f t="array" ref="HP13">INDEX(Tiere!$C$30:$C$85,'Lagerhaltung (freiwillig)'!HN13)</f>
        <v>1</v>
      </c>
      <c r="HQ13" s="2042" cm="1">
        <f t="array" ref="HQ13">INDEX(Tiere!$H$30:$H$85,'Lagerhaltung (freiwillig)'!HN13)</f>
        <v>28.5</v>
      </c>
      <c r="HR13" s="2042">
        <f t="shared" si="12"/>
        <v>0</v>
      </c>
      <c r="HS13" s="2042" cm="1">
        <f t="array" ref="HS13">INDEX(Tiere!$I$30:$I$85,'Lagerhaltung (freiwillig)'!HN13)</f>
        <v>11.5</v>
      </c>
      <c r="HT13" s="2042">
        <f t="shared" si="13"/>
        <v>0</v>
      </c>
      <c r="HU13" s="2042" cm="1">
        <f t="array" ref="HU13">INDEX(Tiere!$BC$30:$BC$85,'Lagerhaltung (freiwillig)'!HN13)</f>
        <v>10.8</v>
      </c>
      <c r="HV13" s="2042">
        <f t="shared" si="6"/>
        <v>0</v>
      </c>
      <c r="HW13" s="2042" cm="1">
        <f t="array" ref="HW13">INDEX(Tiere!$BD$30:$BD$85,'Lagerhaltung (freiwillig)'!HN13)</f>
        <v>5.96</v>
      </c>
      <c r="HX13" s="2042">
        <f t="shared" si="7"/>
        <v>0</v>
      </c>
      <c r="HY13" s="2042"/>
      <c r="HZ13" s="2042"/>
      <c r="IA13" s="2042"/>
      <c r="IB13" s="2042"/>
      <c r="IC13" s="2042"/>
      <c r="ID13" s="2042"/>
      <c r="IE13" s="2042"/>
      <c r="IF13" s="2042"/>
      <c r="IG13" s="2042"/>
      <c r="IH13" s="2042"/>
      <c r="II13" s="2042"/>
      <c r="IJ13" s="2042"/>
    </row>
    <row r="14" spans="1:245" ht="15.6" customHeight="1" x14ac:dyDescent="0.2">
      <c r="A14" s="274"/>
      <c r="B14" s="1247"/>
      <c r="C14" s="1247"/>
      <c r="D14" s="1247"/>
      <c r="E14" s="1247"/>
      <c r="F14" s="2012" cm="1">
        <f t="array" ref="F14">INDEX(Pflanzen!$M$5:$M$109,BR14)</f>
        <v>0</v>
      </c>
      <c r="G14" s="2013" cm="1">
        <f t="array" ref="G14">INDEX(Pflanzen!$AD$5:$AD$109,BR14)</f>
        <v>0</v>
      </c>
      <c r="H14" s="2298" cm="1">
        <f t="array" ref="H14">INDEX(Pflanzen!$AE$5:$AE$109,BR14)</f>
        <v>0</v>
      </c>
      <c r="I14" s="1258"/>
      <c r="J14" s="1255"/>
      <c r="K14" s="1258"/>
      <c r="L14" s="1244"/>
      <c r="M14" s="1245"/>
      <c r="N14" s="1869"/>
      <c r="O14" s="1869"/>
      <c r="P14" s="2210"/>
      <c r="Q14" s="1868"/>
      <c r="R14" s="1244"/>
      <c r="S14" s="1245"/>
      <c r="T14" s="1255"/>
      <c r="U14" s="1159"/>
      <c r="V14" s="2316" t="str">
        <f>IF(OR(AND(BZ14=3,L14&gt;0),AND(OR(J14&gt;0,M14&gt;0,R14&gt;0),OR(G14=0,H14=0,F14=0)),AND(L14="",M14&gt;0),AND(L14&gt;0,M14="")),"Fehler","")</f>
        <v/>
      </c>
      <c r="Y14" s="2005" t="str" cm="1">
        <f t="array" ref="Y14">IFERROR(INDEX($CW$4:$CW$171,AY14),"")</f>
        <v/>
      </c>
      <c r="Z14" s="510"/>
      <c r="AA14" s="510"/>
      <c r="AB14" s="510"/>
      <c r="AC14" s="2031" t="str" cm="1">
        <f t="array" ref="AC14">IFERROR(INDEX($GL$4:$GL$171,AY14),"")</f>
        <v/>
      </c>
      <c r="AD14" s="2031" t="str" cm="1">
        <f t="array" ref="AD14">IFERROR(INDEX($GM$4:$GM$171,AY14),"")</f>
        <v/>
      </c>
      <c r="AE14" s="2031" t="str" cm="1">
        <f t="array" ref="AE14">IFERROR(INDEX($GH$4:$GH$171,AY14),"")</f>
        <v/>
      </c>
      <c r="AF14" s="2031" t="str" cm="1">
        <f t="array" ref="AF14">IFERROR(INDEX($GI$4:$GI$171,AY14),"")</f>
        <v/>
      </c>
      <c r="AG14" s="2031" t="str" cm="1">
        <f t="array" ref="AG14">IFERROR(INDEX($GO$4:$GO$171,AY14),"")</f>
        <v/>
      </c>
      <c r="AH14" s="2031" t="str" cm="1">
        <f t="array" ref="AH14">IFERROR(INDEX($GP$4:$GP$171,AY14),"")</f>
        <v/>
      </c>
      <c r="AI14" s="2031" t="str" cm="1">
        <f t="array" ref="AI14">IFERROR(INDEX($GF$4:$GF$171,AY14),"")</f>
        <v/>
      </c>
      <c r="AJ14" s="2031" t="str" cm="1">
        <f t="array" ref="AJ14">IFERROR(INDEX($GG$4:$GG$171,AY14),"")</f>
        <v/>
      </c>
      <c r="AK14" s="2031" t="str" cm="1">
        <f t="array" ref="AK14">IFERROR(INDEX($GS$4:$GS$171,AY14),"")</f>
        <v/>
      </c>
      <c r="AL14" s="2032" t="str" cm="1">
        <f t="array" ref="AL14">IFERROR(INDEX($GT$4:$GT$171,AY14),"")</f>
        <v/>
      </c>
      <c r="AM14" s="2031" t="str" cm="1">
        <f t="array" ref="AM14">IFERROR(INDEX($GB$4:$GB$171,AY14),"")</f>
        <v/>
      </c>
      <c r="AN14" s="2031" t="str" cm="1">
        <f t="array" ref="AN14">IFERROR(INDEX($GC$4:$GC$171,AY14),"")</f>
        <v/>
      </c>
      <c r="AO14" s="2357" t="str" cm="1">
        <f t="array" ref="AO14">IFERROR(INDEX($GU$4:$GU$171,AY14),"")</f>
        <v/>
      </c>
      <c r="AP14" s="2357" t="str" cm="1">
        <f t="array" ref="AP14">IFERROR(INDEX($GX$4:$GX$171,AY14),"")</f>
        <v/>
      </c>
      <c r="AQ14" s="1316"/>
      <c r="AR14" s="2031" t="str" cm="1">
        <f t="array" ref="AR14">IFERROR(INDEX($HD$4:$HD$171,AY14),"")</f>
        <v/>
      </c>
      <c r="AS14" s="2031" t="str" cm="1">
        <f t="array" ref="AS14">IFERROR(INDEX($HE$4:$HE$171,AY14),"")</f>
        <v/>
      </c>
      <c r="AT14" s="2031" t="str" cm="1">
        <f t="array" ref="AT14">IFERROR(INDEX($HF$4:$HF$171,AY14),"")</f>
        <v/>
      </c>
      <c r="AU14" s="2031" t="str" cm="1">
        <f t="array" ref="AU14">IFERROR(INDEX($GJ$4:$GJ$171,AY14),"")</f>
        <v/>
      </c>
      <c r="AV14" s="2031" t="str" cm="1">
        <f t="array" ref="AV14">IFERROR(INDEX($GK$4:$GK$171,AY14),"")</f>
        <v/>
      </c>
      <c r="AY14" s="2042" t="str" cm="1">
        <f t="array" ref="AY14">IFERROR(SMALL(IF($HI$4:$HI$171=1,ROW($HI$4:$HI$171)-3),ROW(W2)),IFERROR(SMALL(IF($HI$4:$HI$171=2,ROW($HI$4:$HI$171)-3),ROW(W2)-COUNTIF($HI$4:$HI$171,1)),IFERROR(SMALL(IF($HI$4:$HI$171=0,ROW($HI$4:$HI$171)-3),ROW(W2)-COUNTIF($HI$4:$HI$171,1)-COUNTIF($HI$4:$HI$171,2)),"")))</f>
        <v/>
      </c>
      <c r="AZ14" s="2042" t="str">
        <f t="shared" si="59"/>
        <v>a</v>
      </c>
      <c r="BA14" s="2053" t="e">
        <f t="shared" si="60"/>
        <v>#VALUE!</v>
      </c>
      <c r="BB14" s="2053" cm="1">
        <f t="array" ref="BB14">IFERROR(INDEX($HI$4:$HI$171,AY14),0)</f>
        <v>0</v>
      </c>
      <c r="BC14" s="2053">
        <f t="shared" si="61"/>
        <v>0</v>
      </c>
      <c r="BD14" s="2053"/>
      <c r="BE14" s="2307"/>
      <c r="BF14" s="2307"/>
      <c r="BG14" s="2307"/>
      <c r="BH14" s="2307"/>
      <c r="BI14" s="2307"/>
      <c r="BJ14" s="2307"/>
      <c r="BK14" s="2307"/>
      <c r="BL14" s="2307"/>
      <c r="BM14" s="2307"/>
      <c r="BN14" s="2307"/>
      <c r="BO14" s="2307"/>
      <c r="BP14" s="2043"/>
      <c r="BQ14" s="2042"/>
      <c r="BR14" s="2042">
        <v>1</v>
      </c>
      <c r="BS14" s="2042"/>
      <c r="BT14" s="2042" t="b">
        <v>0</v>
      </c>
      <c r="BU14" s="2058"/>
      <c r="BV14" s="2058"/>
      <c r="BW14" s="2042">
        <f t="shared" ref="BW14:BW36" si="62">IF(AND(S14&lt;&gt;T14,T14&gt;S14,S14&gt;0),T14-S14+1,IF(AND(S14=0,T14=0),12,1))</f>
        <v>12</v>
      </c>
      <c r="BX14" s="2042">
        <f t="shared" ref="BX14:BX36" si="63">IF(AND(S14=0,T14&gt;0),T14,S14)</f>
        <v>0</v>
      </c>
      <c r="BY14" s="2042">
        <f t="shared" ref="BY14:BY36" si="64">IF(AND(T14=0,S14&gt;0),S14,IF(AND(S14=0,T14=0),12,T14))</f>
        <v>12</v>
      </c>
      <c r="BZ14" s="2042" cm="1">
        <f t="array" ref="BZ14">INDEX(Pflanzen!$AI$5:$AI$119,'Lagerhaltung (freiwillig)'!BR14)</f>
        <v>0</v>
      </c>
      <c r="CA14" s="2042" cm="1">
        <f t="array" ref="CA14">IF(BZ14=1,INDEX(Pflanzen!$AJ$5:$AJ$119,BR14),N14)</f>
        <v>0</v>
      </c>
      <c r="CB14" s="2042" cm="1">
        <f t="array" ref="CB14">IF(BZ14=1,INDEX(Pflanzen!$AK$5:$AK$119,BR14),O14)</f>
        <v>0</v>
      </c>
      <c r="CC14" s="2042">
        <f t="shared" ref="CC14:CC36" si="65">IF(AND(CA14&lt;&gt;CB14,CB14&gt;CA14),CB14-CA14+1,IF(AND(CA14=0,CB14=0),12,1))</f>
        <v>12</v>
      </c>
      <c r="CD14" s="2042">
        <f t="shared" ref="CD14:CD36" si="66">IF(AND(CA14=0,CB14&gt;0),CB14,CA14)</f>
        <v>0</v>
      </c>
      <c r="CE14" s="2042">
        <f t="shared" ref="CE14:CE36" si="67">IF(AND(CB14=0,CA14&gt;0),CA14,IF(AND(CA14=0,CB14=0),12,CB14))</f>
        <v>12</v>
      </c>
      <c r="CF14" s="2042" cm="1">
        <f t="array" ref="CF14">INDEX(Pflanzen!$F$5:$F$119,BR14)</f>
        <v>0</v>
      </c>
      <c r="CG14" s="2042" cm="1">
        <f t="array" ref="CG14">INDEX(Pflanzen!$H$5:$H$119,BR14)</f>
        <v>0</v>
      </c>
      <c r="CH14" s="2042">
        <f t="shared" ref="CH14:CH36" si="68">IF(I14&gt;0,I14,F14)</f>
        <v>0</v>
      </c>
      <c r="CI14" s="2042">
        <f t="shared" ref="CI14:CI36" si="69">IF(I14&gt;0,J14*G14*I14/F14/1000,J14*G14/1000)</f>
        <v>0</v>
      </c>
      <c r="CJ14" s="2042">
        <f t="shared" ref="CJ14:CJ36" si="70">IF(I14&gt;0,J14*H14*I14/F14/1000,J14*H14/1000)</f>
        <v>0</v>
      </c>
      <c r="CK14" s="2042">
        <f t="shared" ref="CK14:CK36" si="71">IF(K14&gt;0,K14,F14)</f>
        <v>0</v>
      </c>
      <c r="CL14" s="2042">
        <f t="shared" ref="CL14:CL36" si="72">IF(BT14=TRUE,0,IF(K14&gt;0,L14*M14/10*G14*K14/F14/CC14/1000,L14*M14/10*G14/CC14/1000))</f>
        <v>0</v>
      </c>
      <c r="CM14" s="2042">
        <f t="shared" ref="CM14:CM36" si="73">IF(BT14=TRUE,0,IF(K14&gt;0,L14*M14/10*G14*K14/F14/1000,L14*M14/10*G14/1000))</f>
        <v>0</v>
      </c>
      <c r="CN14" s="2042">
        <f t="shared" ref="CN14:CN36" si="74">IF(BT14=TRUE,0,IF(K14&gt;0,L14*M14/10*H14*K14/F14/CC14/1000,L14*M14/10*H14/CC14/1000))</f>
        <v>0</v>
      </c>
      <c r="CO14" s="2042">
        <f t="shared" ref="CO14:CO36" si="75">IF(BT14=TRUE,0,IF(K14&gt;0,L14*M14/10*H14*K14/F14/1000,L14*M14/10*H14/1000))</f>
        <v>0</v>
      </c>
      <c r="CP14" s="2042">
        <f t="shared" ref="CP14:CP36" si="76">IF(Q14&gt;0,Q14,F14)</f>
        <v>0</v>
      </c>
      <c r="CQ14" s="2042">
        <f t="shared" ref="CQ14:CQ36" si="77">IF(Q14&gt;0,R14*G14*Q14/F14/BW14/1000,R14*G14/BW14/1000)</f>
        <v>0</v>
      </c>
      <c r="CR14" s="2042">
        <f t="shared" ref="CR14:CR36" si="78">IF(Q14&gt;0,R14*G14*Q14/F14/1000,R14*G14/1000)</f>
        <v>0</v>
      </c>
      <c r="CS14" s="2042">
        <f t="shared" ref="CS14:CS36" si="79">IF(Q14&gt;0,R14*H14*Q14/F14/BW14/1000,R14*H14/BW14/1000)</f>
        <v>0</v>
      </c>
      <c r="CT14" s="2042">
        <f t="shared" ref="CT14:CT36" si="80">IF(Q14&gt;0,R14*H14*Q14/F14/1000,R14*H14/1000)</f>
        <v>0</v>
      </c>
      <c r="CU14" s="2042">
        <f t="shared" ref="CU14:CU36" si="81">IF(BT14=TRUE,SUM(J14,R14),SUM(J14,L14*M14/10,R14))</f>
        <v>0</v>
      </c>
      <c r="CV14" s="2042"/>
      <c r="CW14" s="609" t="str">
        <f>Pflanzen!A10</f>
        <v>Sommerweizen</v>
      </c>
      <c r="CX14" s="2042">
        <f>IFERROR(MATCH($CW14,Pflanzen!$C$5:$C$119,0),1)</f>
        <v>6</v>
      </c>
      <c r="CY14" s="609" cm="1">
        <f t="array" ref="CY14">INDEX(Pflanzen!$I$5:$I$119,'Lagerhaltung (freiwillig)'!CX14)</f>
        <v>2</v>
      </c>
      <c r="CZ14" s="2042">
        <f t="shared" si="30"/>
        <v>0</v>
      </c>
      <c r="DA14" s="2042">
        <f t="shared" si="30"/>
        <v>0</v>
      </c>
      <c r="DB14" s="2042">
        <f t="shared" si="30"/>
        <v>0</v>
      </c>
      <c r="DC14" s="2042">
        <f t="shared" si="30"/>
        <v>0</v>
      </c>
      <c r="DD14" s="2042">
        <f t="shared" si="30"/>
        <v>0</v>
      </c>
      <c r="DE14" s="2042">
        <f t="shared" si="30"/>
        <v>0</v>
      </c>
      <c r="DF14" s="2042">
        <f t="shared" si="30"/>
        <v>0</v>
      </c>
      <c r="DG14" s="2042">
        <f t="shared" si="30"/>
        <v>0</v>
      </c>
      <c r="DH14" s="2042">
        <f t="shared" si="30"/>
        <v>0</v>
      </c>
      <c r="DI14" s="2042">
        <f t="shared" si="30"/>
        <v>0</v>
      </c>
      <c r="DJ14" s="2042">
        <f t="shared" si="30"/>
        <v>0</v>
      </c>
      <c r="DK14" s="2042">
        <f t="shared" si="30"/>
        <v>0</v>
      </c>
      <c r="DL14" s="2042"/>
      <c r="DM14" s="2042">
        <f t="shared" si="31"/>
        <v>0</v>
      </c>
      <c r="DN14" s="2042">
        <f t="shared" si="31"/>
        <v>0</v>
      </c>
      <c r="DO14" s="2042">
        <f t="shared" si="31"/>
        <v>0</v>
      </c>
      <c r="DP14" s="2042">
        <f t="shared" si="31"/>
        <v>0</v>
      </c>
      <c r="DQ14" s="2042">
        <f t="shared" si="31"/>
        <v>0</v>
      </c>
      <c r="DR14" s="2042">
        <f t="shared" si="31"/>
        <v>0</v>
      </c>
      <c r="DS14" s="2042">
        <f t="shared" si="31"/>
        <v>0</v>
      </c>
      <c r="DT14" s="2042">
        <f t="shared" si="31"/>
        <v>0</v>
      </c>
      <c r="DU14" s="2042">
        <f t="shared" si="31"/>
        <v>0</v>
      </c>
      <c r="DV14" s="2042">
        <f t="shared" si="31"/>
        <v>0</v>
      </c>
      <c r="DW14" s="2042">
        <f t="shared" si="31"/>
        <v>0</v>
      </c>
      <c r="DX14" s="2042">
        <f t="shared" si="31"/>
        <v>0</v>
      </c>
      <c r="DY14" s="2042"/>
      <c r="DZ14" s="2042">
        <f t="shared" si="32"/>
        <v>0</v>
      </c>
      <c r="EA14" s="2042">
        <f t="shared" si="32"/>
        <v>0</v>
      </c>
      <c r="EB14" s="2042">
        <f t="shared" si="32"/>
        <v>0</v>
      </c>
      <c r="EC14" s="2042">
        <f t="shared" si="32"/>
        <v>0</v>
      </c>
      <c r="ED14" s="2042">
        <f t="shared" si="32"/>
        <v>0</v>
      </c>
      <c r="EE14" s="2042">
        <f t="shared" si="32"/>
        <v>0</v>
      </c>
      <c r="EF14" s="2042">
        <f t="shared" si="32"/>
        <v>0</v>
      </c>
      <c r="EG14" s="2042">
        <f t="shared" si="32"/>
        <v>0</v>
      </c>
      <c r="EH14" s="2042">
        <f t="shared" si="32"/>
        <v>0</v>
      </c>
      <c r="EI14" s="2042">
        <f t="shared" si="32"/>
        <v>0</v>
      </c>
      <c r="EJ14" s="2042">
        <f t="shared" si="32"/>
        <v>0</v>
      </c>
      <c r="EK14" s="2042">
        <f t="shared" si="32"/>
        <v>0</v>
      </c>
      <c r="EL14" s="2042"/>
      <c r="EM14" s="2042">
        <f t="shared" si="33"/>
        <v>0</v>
      </c>
      <c r="EN14" s="2042">
        <f t="shared" si="33"/>
        <v>0</v>
      </c>
      <c r="EO14" s="2042">
        <f t="shared" si="33"/>
        <v>0</v>
      </c>
      <c r="EP14" s="2042">
        <f t="shared" si="33"/>
        <v>0</v>
      </c>
      <c r="EQ14" s="2042">
        <f t="shared" si="33"/>
        <v>0</v>
      </c>
      <c r="ER14" s="2042">
        <f t="shared" si="33"/>
        <v>0</v>
      </c>
      <c r="ES14" s="2042">
        <f t="shared" si="33"/>
        <v>0</v>
      </c>
      <c r="ET14" s="2042">
        <f t="shared" si="33"/>
        <v>0</v>
      </c>
      <c r="EU14" s="2042">
        <f t="shared" si="33"/>
        <v>0</v>
      </c>
      <c r="EV14" s="2042">
        <f t="shared" si="33"/>
        <v>0</v>
      </c>
      <c r="EW14" s="2042">
        <f t="shared" si="33"/>
        <v>0</v>
      </c>
      <c r="EX14" s="2042">
        <f t="shared" si="33"/>
        <v>0</v>
      </c>
      <c r="EY14" s="2042"/>
      <c r="EZ14" s="2045">
        <f t="shared" si="50"/>
        <v>0</v>
      </c>
      <c r="FA14" s="2042">
        <f>EZ14+CZ14+DZ14                 -         SUMIF('Berechnung Nährstoffe und Lager'!$AX$113:$AX$155,$CX14,'Berechnung Nährstoffe und Lager'!$U$113:$U$155)/12  -$GB14*$HC14/12</f>
        <v>0</v>
      </c>
      <c r="FB14" s="2042">
        <f>FA14+DA14+EA14                 -         SUMIF('Berechnung Nährstoffe und Lager'!$AX$113:$AX$155,$CX14,'Berechnung Nährstoffe und Lager'!$U$113:$U$155)/12  -$GB14*$HC14/12</f>
        <v>0</v>
      </c>
      <c r="FC14" s="2042">
        <f>FB14+DB14+EB14                 -         SUMIF('Berechnung Nährstoffe und Lager'!$AX$113:$AX$155,$CX14,'Berechnung Nährstoffe und Lager'!$U$113:$U$155)/12  -$GB14*$HC14/12</f>
        <v>0</v>
      </c>
      <c r="FD14" s="2042">
        <f>FC14+DC14+EC14                 -         SUMIF('Berechnung Nährstoffe und Lager'!$AX$113:$AX$155,$CX14,'Berechnung Nährstoffe und Lager'!$U$113:$U$155)/12  -$GB14*$HC14/12</f>
        <v>0</v>
      </c>
      <c r="FE14" s="2042">
        <f>FD14+DD14+ED14                 -         SUMIF('Berechnung Nährstoffe und Lager'!$AX$113:$AX$155,$CX14,'Berechnung Nährstoffe und Lager'!$U$113:$U$155)/12  -$GB14*$HC14/12</f>
        <v>0</v>
      </c>
      <c r="FF14" s="2042">
        <f>FE14+DE14+EE14                 -         SUMIF('Berechnung Nährstoffe und Lager'!$AX$113:$AX$155,$CX14,'Berechnung Nährstoffe und Lager'!$U$113:$U$155)/12  -$GB14*$HC14/12</f>
        <v>0</v>
      </c>
      <c r="FG14" s="2042">
        <f>FF14+DF14+EF14                 -         SUMIF('Berechnung Nährstoffe und Lager'!$AX$113:$AX$155,$CX14,'Berechnung Nährstoffe und Lager'!$U$113:$U$155)/12  -$GB14*$HC14/12</f>
        <v>0</v>
      </c>
      <c r="FH14" s="2042">
        <f>FG14+DG14+EG14                 -         SUMIF('Berechnung Nährstoffe und Lager'!$AX$113:$AX$155,$CX14,'Berechnung Nährstoffe und Lager'!$U$113:$U$155)/12  -$GB14*$HC14/12</f>
        <v>0</v>
      </c>
      <c r="FI14" s="2042">
        <f>FH14+DH14+EH14                 -         SUMIF('Berechnung Nährstoffe und Lager'!$AX$113:$AX$155,$CX14,'Berechnung Nährstoffe und Lager'!$U$113:$U$155)/12  -$GB14*$HC14/12</f>
        <v>0</v>
      </c>
      <c r="FJ14" s="2042">
        <f>FI14+DI14+EI14                 -         SUMIF('Berechnung Nährstoffe und Lager'!$AX$113:$AX$155,$CX14,'Berechnung Nährstoffe und Lager'!$U$113:$U$155)/12  -$GB14*$HC14/12</f>
        <v>0</v>
      </c>
      <c r="FK14" s="2042">
        <f>FJ14+DJ14+EJ14                 -         SUMIF('Berechnung Nährstoffe und Lager'!$AX$113:$AX$155,$CX14,'Berechnung Nährstoffe und Lager'!$U$113:$U$155)/12  -$GB14*$HC14/12</f>
        <v>0</v>
      </c>
      <c r="FL14" s="2042">
        <f>FK14+DK14+EK14                 -         SUMIF('Berechnung Nährstoffe und Lager'!$AX$113:$AX$155,$CX14,'Berechnung Nährstoffe und Lager'!$U$113:$U$155)/12  -$GB14*$HC14/12</f>
        <v>0</v>
      </c>
      <c r="FM14" s="2042"/>
      <c r="FN14" s="2045">
        <f t="shared" si="51"/>
        <v>0</v>
      </c>
      <c r="FO14" s="2042">
        <f>FN14+DM14+EM14                 -         SUMIF('Berechnung Nährstoffe und Lager'!$AX$113:$AX$155,$CX14,'Berechnung Nährstoffe und Lager'!$V$113:$V$155)/12  -$GC14*$HC14/12</f>
        <v>0</v>
      </c>
      <c r="FP14" s="2042">
        <f>FO14+DN14+EN14                 -         SUMIF('Berechnung Nährstoffe und Lager'!$AX$113:$AX$155,$CX14,'Berechnung Nährstoffe und Lager'!$V$113:$V$155)/12  -$GC14*$HC14/12</f>
        <v>0</v>
      </c>
      <c r="FQ14" s="2042">
        <f>FP14+DO14+EO14                 -         SUMIF('Berechnung Nährstoffe und Lager'!$AX$113:$AX$155,$CX14,'Berechnung Nährstoffe und Lager'!$V$113:$V$155)/12  -$GC14*$HC14/12</f>
        <v>0</v>
      </c>
      <c r="FR14" s="2042">
        <f>FQ14+DP14+EP14                 -         SUMIF('Berechnung Nährstoffe und Lager'!$AX$113:$AX$155,$CX14,'Berechnung Nährstoffe und Lager'!$V$113:$V$155)/12  -$GC14*$HC14/12</f>
        <v>0</v>
      </c>
      <c r="FS14" s="2042">
        <f>FR14+DQ14+EQ14                 -         SUMIF('Berechnung Nährstoffe und Lager'!$AX$113:$AX$155,$CX14,'Berechnung Nährstoffe und Lager'!$V$113:$V$155)/12  -$GC14*$HC14/12</f>
        <v>0</v>
      </c>
      <c r="FT14" s="2042">
        <f>FS14+DR14+ER14                 -         SUMIF('Berechnung Nährstoffe und Lager'!$AX$113:$AX$155,$CX14,'Berechnung Nährstoffe und Lager'!$V$113:$V$155)/12  -$GC14*$HC14/12</f>
        <v>0</v>
      </c>
      <c r="FU14" s="2042">
        <f>FT14+DS14+ES14                 -         SUMIF('Berechnung Nährstoffe und Lager'!$AX$113:$AX$155,$CX14,'Berechnung Nährstoffe und Lager'!$V$113:$V$155)/12  -$GC14*$HC14/12</f>
        <v>0</v>
      </c>
      <c r="FV14" s="2042">
        <f>FU14+DT14+ET14                 -         SUMIF('Berechnung Nährstoffe und Lager'!$AX$113:$AX$155,$CX14,'Berechnung Nährstoffe und Lager'!$V$113:$V$155)/12  -$GC14*$HC14/12</f>
        <v>0</v>
      </c>
      <c r="FW14" s="2042">
        <f>FV14+DU14+EU14                 -         SUMIF('Berechnung Nährstoffe und Lager'!$AX$113:$AX$155,$CX14,'Berechnung Nährstoffe und Lager'!$V$113:$V$155)/12  -$GC14*$HC14/12</f>
        <v>0</v>
      </c>
      <c r="FX14" s="2042">
        <f>FW14+DV14+EV14                 -         SUMIF('Berechnung Nährstoffe und Lager'!$AX$113:$AX$155,$CX14,'Berechnung Nährstoffe und Lager'!$V$113:$V$155)/12  -$GC14*$HC14/12</f>
        <v>0</v>
      </c>
      <c r="FY14" s="2042">
        <f>FX14+DW14+EW14                 -         SUMIF('Berechnung Nährstoffe und Lager'!$AX$113:$AX$155,$CX14,'Berechnung Nährstoffe und Lager'!$V$113:$V$155)/12  -$GC14*$HC14/12</f>
        <v>0</v>
      </c>
      <c r="FZ14" s="2042">
        <f>FY14+DX14+EX14                 -         SUMIF('Berechnung Nährstoffe und Lager'!$AX$113:$AX$155,$CX14,'Berechnung Nährstoffe und Lager'!$V$113:$V$155)/12  -$GC14*$HC14/12</f>
        <v>0</v>
      </c>
      <c r="GA14" s="2042"/>
      <c r="GB14" s="2042">
        <f>SUMIFS($CI$14:$CI$68,$BR$14:$BR$68,$CX14)+SUMIFS($CM$14:$CM$68,$BR$14:$BR$68,$CX14)+SUMIFS($CR$14:$CR$68,$BR$14:$BR$68,$CX14)  -         SUMIF('Berechnung Nährstoffe und Lager'!$AX$113:$AX$155,$CX14,'Berechnung Nährstoffe und Lager'!$U$113:$U$155)</f>
        <v>0</v>
      </c>
      <c r="GC14" s="2042">
        <f>SUMIFS($CJ$14:$CJ$68,$BR$14:$BR$68,$CX14)+SUMIFS($CO$14:$CO$68,$BR$14:$BR$68,$CX14)+SUMIFS($CT$14:$CT$68,$BR$14:$BR$68,$CX14)  -         SUMIF('Berechnung Nährstoffe und Lager'!$AX$113:$AX$155,$CX14,'Berechnung Nährstoffe und Lager'!$V$113:$V$155)</f>
        <v>0</v>
      </c>
      <c r="GD14" s="2042"/>
      <c r="GE14" s="2042"/>
      <c r="GF14" s="2042">
        <f>SUMIF('Berechnung Nährstoffe und Lager'!$AX$113:$AX$155,$CX14,'Berechnung Nährstoffe und Lager'!$U$113:$U$155)</f>
        <v>0</v>
      </c>
      <c r="GG14" s="2042">
        <f>SUMIF('Berechnung Nährstoffe und Lager'!$AX$113:$AX$155,$CX14,'Berechnung Nährstoffe und Lager'!$V$113:$V$155)</f>
        <v>0</v>
      </c>
      <c r="GH14" s="2042">
        <f t="shared" si="52"/>
        <v>0</v>
      </c>
      <c r="GI14" s="2042">
        <f t="shared" si="53"/>
        <v>0</v>
      </c>
      <c r="GJ14" s="2042">
        <f t="shared" si="34"/>
        <v>0</v>
      </c>
      <c r="GK14" s="2042">
        <f t="shared" si="35"/>
        <v>0</v>
      </c>
      <c r="GL14" s="2042">
        <f t="shared" si="36"/>
        <v>0</v>
      </c>
      <c r="GM14" s="2042" cm="1">
        <f t="array" ref="GM14">IF(GL14=0,0,(IFERROR(SUMPRODUCT($J$14:$J$68,$CH$14:$CH$68,($BR$14:$BR$68=CX14)*1)+SUMPRODUCT($L$14:$L$68,$M$14:$M$68,$CK$14:$CK$68,($BR$14:$BR$68=CX14)*1,($BT$14:$BT$68=FALSE)*1)/10+SUMPRODUCT($R$14:$R$68,$CP$14:$CP$68,($BR$14:$BR$68=CX14)*1),0))/GL14)</f>
        <v>0</v>
      </c>
      <c r="GN14" s="2042">
        <f t="shared" si="54"/>
        <v>0</v>
      </c>
      <c r="GO14" s="2042">
        <f>(SUMIF('Berechnung Nährstoffe und Lager'!$AX$113:$AX$130,'Lagerhaltung (freiwillig)'!CX14,'Berechnung Nährstoffe und Lager'!$D$113:$D$130)+SUMIF('Berechnung Nährstoffe und Lager'!$AX$137:$AX$155,'Lagerhaltung (freiwillig)'!CX14,'Berechnung Nährstoffe und Lager'!$E$137:$E$155))</f>
        <v>0</v>
      </c>
      <c r="GP14" s="2042" cm="1">
        <f t="array" ref="GP14">IF(GO14=0,0,(IFERROR(SUMPRODUCT('Berechnung Nährstoffe und Lager'!$D$113:$D$130,'Berechnung Nährstoffe und Lager'!$F$113:$F$130,('Berechnung Nährstoffe und Lager'!$AX$113:$AX$130='Lagerhaltung (freiwillig)'!CX14)*1)+SUMPRODUCT('Berechnung Nährstoffe und Lager'!$E$137:$E$155,'Berechnung Nährstoffe und Lager'!$F$137:$F$155,('Berechnung Nährstoffe und Lager'!$AX$137:$AX$155='Lagerhaltung (freiwillig)'!CX14)*1),0))/GO14)</f>
        <v>0</v>
      </c>
      <c r="GQ14" s="2042">
        <f t="shared" si="55"/>
        <v>0</v>
      </c>
      <c r="GR14" s="2042">
        <f t="shared" si="56"/>
        <v>0</v>
      </c>
      <c r="GS14" s="2042">
        <f t="shared" si="57"/>
        <v>0</v>
      </c>
      <c r="GT14" s="2042">
        <f t="shared" si="58"/>
        <v>0</v>
      </c>
      <c r="GU14" s="2045" t="str">
        <f t="shared" si="39"/>
        <v xml:space="preserve"> </v>
      </c>
      <c r="GV14" s="2045" t="str">
        <f t="shared" si="39"/>
        <v xml:space="preserve"> </v>
      </c>
      <c r="GW14" s="2054">
        <f t="shared" si="40"/>
        <v>0</v>
      </c>
      <c r="GX14" s="2042">
        <f t="shared" si="41"/>
        <v>0</v>
      </c>
      <c r="GY14" s="2042" t="str">
        <f t="shared" si="42"/>
        <v>a</v>
      </c>
      <c r="GZ14" s="2055">
        <f t="shared" si="43"/>
        <v>0</v>
      </c>
      <c r="HA14" s="2055">
        <f t="shared" si="44"/>
        <v>0</v>
      </c>
      <c r="HB14" s="2055"/>
      <c r="HC14" s="2046">
        <f t="shared" si="45"/>
        <v>0</v>
      </c>
      <c r="HD14" s="2055">
        <f t="shared" si="46"/>
        <v>0</v>
      </c>
      <c r="HE14" s="2055">
        <f t="shared" si="47"/>
        <v>0</v>
      </c>
      <c r="HF14" s="2055">
        <f t="shared" si="48"/>
        <v>0</v>
      </c>
      <c r="HG14" s="2282" cm="1">
        <f t="array" ref="HG14">IF(AND(HE14=0,GJ14=0),0,IF(HE14=0,1,IF(OR(GJ14*1000/HE14/HF14&gt;INDEX(Pflanzen!$AD$5:$AD$109,CX14)/INDEX(Pflanzen!$M$5:$M$109,CX14)*$HG$1,GJ14*1000/HE14/HF14&lt;INDEX(Pflanzen!$AD$5:$AD$109,CX14)/INDEX(Pflanzen!$M$5:$M$109,CX14)/$HG$1),1,0)))</f>
        <v>0</v>
      </c>
      <c r="HH14" s="2282" cm="1">
        <f t="array" ref="HH14">IF(AND(GK14=0,HE14=0),0,IF(HE14=0,1,IF(OR(GK14*1000/HE14/HF14&gt;INDEX(Pflanzen!$AE$5:$AE$109,CX14)/INDEX(Pflanzen!$M$5:$M$109,CX14)*$HG$1,GK14*1000/HE14/HF14&lt;INDEX(Pflanzen!$AE$5:$AE$109,CX14)/INDEX(Pflanzen!$M$5:$M$109,CX14)/$HG$1),1,0)))</f>
        <v>0</v>
      </c>
      <c r="HI14" s="2042">
        <f t="shared" si="49"/>
        <v>3</v>
      </c>
      <c r="HJ14" s="2042"/>
      <c r="HL14" s="2042"/>
      <c r="HM14" s="2052" t="str">
        <f>Tiere!B40</f>
        <v xml:space="preserve">Männliche Rinder über 2 Jahre, Zuchtbullen </v>
      </c>
      <c r="HN14" s="2042">
        <v>11</v>
      </c>
      <c r="HO14" s="2053">
        <f>SUMIF('Berechnung Nährstoffe und Lager'!$BM$68:$BM$81,'Lagerhaltung (freiwillig)'!HN14,'Berechnung Nährstoffe und Lager'!$Z$68:$Z$81)+SUMIF('Berechnung Nährstoffe und Lager'!$BM$68:$BM$81,'Lagerhaltung (freiwillig)'!HN14,'Berechnung Nährstoffe und Lager'!$AA$68:$AA$81)</f>
        <v>0</v>
      </c>
      <c r="HP14" s="2042" cm="1">
        <f t="array" ref="HP14">INDEX(Tiere!$C$30:$C$85,'Lagerhaltung (freiwillig)'!HN14)</f>
        <v>1</v>
      </c>
      <c r="HQ14" s="2042" cm="1">
        <f t="array" ref="HQ14">INDEX(Tiere!$H$30:$H$85,'Lagerhaltung (freiwillig)'!HN14)</f>
        <v>61</v>
      </c>
      <c r="HR14" s="2042">
        <f t="shared" si="12"/>
        <v>0</v>
      </c>
      <c r="HS14" s="2042" cm="1">
        <f t="array" ref="HS14">INDEX(Tiere!$I$30:$I$85,'Lagerhaltung (freiwillig)'!HN14)</f>
        <v>20</v>
      </c>
      <c r="HT14" s="2042">
        <f t="shared" si="13"/>
        <v>0</v>
      </c>
      <c r="HU14" s="2042" cm="1">
        <f t="array" ref="HU14">INDEX(Tiere!$BC$30:$BC$85,'Lagerhaltung (freiwillig)'!HN14)</f>
        <v>10.8</v>
      </c>
      <c r="HV14" s="2042">
        <f t="shared" si="6"/>
        <v>0</v>
      </c>
      <c r="HW14" s="2042" cm="1">
        <f t="array" ref="HW14">INDEX(Tiere!$BD$30:$BD$85,'Lagerhaltung (freiwillig)'!HN14)</f>
        <v>5.96</v>
      </c>
      <c r="HX14" s="2042">
        <f t="shared" si="7"/>
        <v>0</v>
      </c>
      <c r="HY14" s="2042"/>
      <c r="HZ14" s="2042"/>
      <c r="IA14" s="2042"/>
      <c r="IB14" s="2042"/>
      <c r="IC14" s="2042"/>
      <c r="ID14" s="2042"/>
      <c r="IE14" s="2042"/>
      <c r="IF14" s="2042"/>
      <c r="IG14" s="2042"/>
      <c r="IH14" s="2042"/>
      <c r="II14" s="2042"/>
      <c r="IJ14" s="2042"/>
    </row>
    <row r="15" spans="1:245" ht="15.6" customHeight="1" x14ac:dyDescent="0.2">
      <c r="A15" s="1159"/>
      <c r="B15" s="1160"/>
      <c r="C15" s="1160"/>
      <c r="D15" s="1160"/>
      <c r="E15" s="1160"/>
      <c r="F15" s="2014" cm="1">
        <f t="array" ref="F15">INDEX(Pflanzen!$M$5:$M$109,BR15)</f>
        <v>0</v>
      </c>
      <c r="G15" s="2015" cm="1">
        <f t="array" ref="G15">INDEX(Pflanzen!$AD$5:$AD$109,BR15)</f>
        <v>0</v>
      </c>
      <c r="H15" s="2299" cm="1">
        <f t="array" ref="H15">INDEX(Pflanzen!$AE$5:$AE$109,BR15)</f>
        <v>0</v>
      </c>
      <c r="I15" s="1259"/>
      <c r="J15" s="1256"/>
      <c r="K15" s="1259"/>
      <c r="L15" s="1970"/>
      <c r="M15" s="1246"/>
      <c r="N15" s="1870"/>
      <c r="O15" s="1870"/>
      <c r="P15" s="2211"/>
      <c r="Q15" s="2196"/>
      <c r="R15" s="1970"/>
      <c r="S15" s="1246"/>
      <c r="T15" s="1256"/>
      <c r="U15" s="1159"/>
      <c r="V15" s="2316" t="str">
        <f t="shared" ref="V15:V36" si="82">IF(OR(AND(BZ15=3,L15&gt;0),AND(OR(J15&gt;0,M15&gt;0,R15&gt;0),OR(G15=0,H15=0,F15=0)),AND(L15="",M15&gt;0),AND(L15&gt;0,M15="")),"Fehler","")</f>
        <v/>
      </c>
      <c r="Y15" s="2005" t="str" cm="1">
        <f t="array" ref="Y15">IFERROR(INDEX($CW$4:$CW$171,AY15),"")</f>
        <v/>
      </c>
      <c r="Z15" s="510"/>
      <c r="AA15" s="510"/>
      <c r="AB15" s="510"/>
      <c r="AC15" s="2031" t="str" cm="1">
        <f t="array" ref="AC15">IFERROR(INDEX($GL$4:$GL$171,AY15),"")</f>
        <v/>
      </c>
      <c r="AD15" s="2031" t="str" cm="1">
        <f t="array" ref="AD15">IFERROR(INDEX($GM$4:$GM$171,AY15),"")</f>
        <v/>
      </c>
      <c r="AE15" s="2031" t="str" cm="1">
        <f t="array" ref="AE15">IFERROR(INDEX($GH$4:$GH$171,AY15),"")</f>
        <v/>
      </c>
      <c r="AF15" s="2031" t="str" cm="1">
        <f t="array" ref="AF15">IFERROR(INDEX($GI$4:$GI$171,AY15),"")</f>
        <v/>
      </c>
      <c r="AG15" s="2031" t="str" cm="1">
        <f t="array" ref="AG15">IFERROR(INDEX($GO$4:$GO$171,AY15),"")</f>
        <v/>
      </c>
      <c r="AH15" s="2031" t="str" cm="1">
        <f t="array" ref="AH15">IFERROR(INDEX($GP$4:$GP$171,AY15),"")</f>
        <v/>
      </c>
      <c r="AI15" s="2031" t="str" cm="1">
        <f t="array" ref="AI15">IFERROR(INDEX($GF$4:$GF$171,AY15),"")</f>
        <v/>
      </c>
      <c r="AJ15" s="2031" t="str" cm="1">
        <f t="array" ref="AJ15">IFERROR(INDEX($GG$4:$GG$171,AY15),"")</f>
        <v/>
      </c>
      <c r="AK15" s="2031" t="str" cm="1">
        <f t="array" ref="AK15">IFERROR(INDEX($GS$4:$GS$171,AY15),"")</f>
        <v/>
      </c>
      <c r="AL15" s="2032" t="str" cm="1">
        <f t="array" ref="AL15">IFERROR(INDEX($GT$4:$GT$171,AY15),"")</f>
        <v/>
      </c>
      <c r="AM15" s="2031" t="str" cm="1">
        <f t="array" ref="AM15">IFERROR(INDEX($GB$4:$GB$171,AY15),"")</f>
        <v/>
      </c>
      <c r="AN15" s="2031" t="str" cm="1">
        <f t="array" ref="AN15">IFERROR(INDEX($GC$4:$GC$171,AY15),"")</f>
        <v/>
      </c>
      <c r="AO15" s="2032" t="str" cm="1">
        <f t="array" ref="AO15">IFERROR(INDEX($GU$4:$GU$171,AY15),"")</f>
        <v/>
      </c>
      <c r="AP15" s="2032" t="str" cm="1">
        <f t="array" ref="AP15">IFERROR(INDEX($GX$4:$GX$171,AY15),"")</f>
        <v/>
      </c>
      <c r="AQ15" s="1316"/>
      <c r="AR15" s="2031" t="str" cm="1">
        <f t="array" ref="AR15">IFERROR(INDEX($HD$4:$HD$171,AY15),"")</f>
        <v/>
      </c>
      <c r="AS15" s="2031" t="str" cm="1">
        <f t="array" ref="AS15">IFERROR(INDEX($HE$4:$HE$171,AY15),"")</f>
        <v/>
      </c>
      <c r="AT15" s="2031" t="str" cm="1">
        <f t="array" ref="AT15">IFERROR(INDEX($HF$4:$HF$171,AY15),"")</f>
        <v/>
      </c>
      <c r="AU15" s="2031" t="str" cm="1">
        <f t="array" ref="AU15">IFERROR(INDEX($GJ$4:$GJ$171,AY15),"")</f>
        <v/>
      </c>
      <c r="AV15" s="2031" t="str" cm="1">
        <f t="array" ref="AV15">IFERROR(INDEX($GK$4:$GK$171,AY15),"")</f>
        <v/>
      </c>
      <c r="AY15" s="2042" t="str" cm="1">
        <f t="array" ref="AY15">IFERROR(SMALL(IF($HI$4:$HI$171=1,ROW($HI$4:$HI$171)-3),ROW(W3)),IFERROR(SMALL(IF($HI$4:$HI$171=2,ROW($HI$4:$HI$171)-3),ROW(W3)-COUNTIF($HI$4:$HI$171,1)),IFERROR(SMALL(IF($HI$4:$HI$171=0,ROW($HI$4:$HI$171)-3),ROW(W3)-COUNTIF($HI$4:$HI$171,1)-COUNTIF($HI$4:$HI$171,2)),"")))</f>
        <v/>
      </c>
      <c r="AZ15" s="2042" t="str">
        <f t="shared" si="59"/>
        <v>a</v>
      </c>
      <c r="BA15" s="2053" t="e">
        <f t="shared" si="60"/>
        <v>#VALUE!</v>
      </c>
      <c r="BB15" s="2053" cm="1">
        <f t="array" ref="BB15">IFERROR(INDEX($HI$4:$HI$171,AY15),0)</f>
        <v>0</v>
      </c>
      <c r="BC15" s="2053">
        <f t="shared" si="61"/>
        <v>0</v>
      </c>
      <c r="BD15" s="2053"/>
      <c r="BE15" s="2307"/>
      <c r="BF15" s="2307"/>
      <c r="BG15" s="2307"/>
      <c r="BH15" s="2307"/>
      <c r="BI15" s="2307"/>
      <c r="BJ15" s="2307"/>
      <c r="BK15" s="2307"/>
      <c r="BL15" s="2307"/>
      <c r="BM15" s="2307"/>
      <c r="BN15" s="2307"/>
      <c r="BO15" s="2307"/>
      <c r="BP15" s="2043"/>
      <c r="BQ15" s="2042"/>
      <c r="BR15" s="2042">
        <v>1</v>
      </c>
      <c r="BS15" s="2042"/>
      <c r="BT15" s="2042" t="b">
        <v>0</v>
      </c>
      <c r="BU15" s="2058"/>
      <c r="BV15" s="2058"/>
      <c r="BW15" s="2042">
        <f t="shared" si="62"/>
        <v>12</v>
      </c>
      <c r="BX15" s="2042">
        <f t="shared" si="63"/>
        <v>0</v>
      </c>
      <c r="BY15" s="2042">
        <f t="shared" si="64"/>
        <v>12</v>
      </c>
      <c r="BZ15" s="2042" cm="1">
        <f t="array" ref="BZ15">INDEX(Pflanzen!$AI$5:$AI$119,'Lagerhaltung (freiwillig)'!BR15)</f>
        <v>0</v>
      </c>
      <c r="CA15" s="2042" cm="1">
        <f t="array" ref="CA15">IF(BZ15=1,INDEX(Pflanzen!$AJ$5:$AJ$119,BR15),N15)</f>
        <v>0</v>
      </c>
      <c r="CB15" s="2042" cm="1">
        <f t="array" ref="CB15">IF(BZ15=1,INDEX(Pflanzen!$AK$5:$AK$119,BR15),O15)</f>
        <v>0</v>
      </c>
      <c r="CC15" s="2042">
        <f t="shared" si="65"/>
        <v>12</v>
      </c>
      <c r="CD15" s="2042">
        <f t="shared" si="66"/>
        <v>0</v>
      </c>
      <c r="CE15" s="2042">
        <f t="shared" si="67"/>
        <v>12</v>
      </c>
      <c r="CF15" s="2042" cm="1">
        <f t="array" ref="CF15">INDEX(Pflanzen!$F$5:$F$119,BR15)</f>
        <v>0</v>
      </c>
      <c r="CG15" s="2042" cm="1">
        <f t="array" ref="CG15">INDEX(Pflanzen!$H$5:$H$119,BR15)</f>
        <v>0</v>
      </c>
      <c r="CH15" s="2042">
        <f t="shared" si="68"/>
        <v>0</v>
      </c>
      <c r="CI15" s="2042">
        <f t="shared" si="69"/>
        <v>0</v>
      </c>
      <c r="CJ15" s="2042">
        <f t="shared" si="70"/>
        <v>0</v>
      </c>
      <c r="CK15" s="2042">
        <f t="shared" si="71"/>
        <v>0</v>
      </c>
      <c r="CL15" s="2042">
        <f t="shared" si="72"/>
        <v>0</v>
      </c>
      <c r="CM15" s="2042">
        <f t="shared" si="73"/>
        <v>0</v>
      </c>
      <c r="CN15" s="2042">
        <f t="shared" si="74"/>
        <v>0</v>
      </c>
      <c r="CO15" s="2042">
        <f t="shared" si="75"/>
        <v>0</v>
      </c>
      <c r="CP15" s="2042">
        <f t="shared" si="76"/>
        <v>0</v>
      </c>
      <c r="CQ15" s="2042">
        <f t="shared" si="77"/>
        <v>0</v>
      </c>
      <c r="CR15" s="2042">
        <f t="shared" si="78"/>
        <v>0</v>
      </c>
      <c r="CS15" s="2042">
        <f t="shared" si="79"/>
        <v>0</v>
      </c>
      <c r="CT15" s="2042">
        <f t="shared" si="80"/>
        <v>0</v>
      </c>
      <c r="CU15" s="2042">
        <f t="shared" si="81"/>
        <v>0</v>
      </c>
      <c r="CV15" s="2042"/>
      <c r="CW15" s="609" t="str">
        <f>Pflanzen!A11</f>
        <v>Weizenstroh</v>
      </c>
      <c r="CX15" s="2042">
        <f>IFERROR(MATCH($CW15,Pflanzen!$C$5:$C$119,0),1)</f>
        <v>7</v>
      </c>
      <c r="CY15" s="609" cm="1">
        <f t="array" ref="CY15">INDEX(Pflanzen!$I$5:$I$119,'Lagerhaltung (freiwillig)'!CX15)</f>
        <v>0</v>
      </c>
      <c r="CZ15" s="2042">
        <f t="shared" si="30"/>
        <v>0</v>
      </c>
      <c r="DA15" s="2042">
        <f t="shared" si="30"/>
        <v>0</v>
      </c>
      <c r="DB15" s="2042">
        <f t="shared" si="30"/>
        <v>0</v>
      </c>
      <c r="DC15" s="2042">
        <f t="shared" si="30"/>
        <v>0</v>
      </c>
      <c r="DD15" s="2042">
        <f t="shared" si="30"/>
        <v>0</v>
      </c>
      <c r="DE15" s="2042">
        <f t="shared" si="30"/>
        <v>0</v>
      </c>
      <c r="DF15" s="2042">
        <f t="shared" si="30"/>
        <v>0</v>
      </c>
      <c r="DG15" s="2042">
        <f t="shared" si="30"/>
        <v>0</v>
      </c>
      <c r="DH15" s="2042">
        <f t="shared" si="30"/>
        <v>0</v>
      </c>
      <c r="DI15" s="2042">
        <f t="shared" si="30"/>
        <v>0</v>
      </c>
      <c r="DJ15" s="2042">
        <f t="shared" si="30"/>
        <v>0</v>
      </c>
      <c r="DK15" s="2042">
        <f t="shared" si="30"/>
        <v>0</v>
      </c>
      <c r="DL15" s="2042"/>
      <c r="DM15" s="2042">
        <f t="shared" si="31"/>
        <v>0</v>
      </c>
      <c r="DN15" s="2042">
        <f t="shared" si="31"/>
        <v>0</v>
      </c>
      <c r="DO15" s="2042">
        <f t="shared" si="31"/>
        <v>0</v>
      </c>
      <c r="DP15" s="2042">
        <f t="shared" si="31"/>
        <v>0</v>
      </c>
      <c r="DQ15" s="2042">
        <f t="shared" si="31"/>
        <v>0</v>
      </c>
      <c r="DR15" s="2042">
        <f t="shared" si="31"/>
        <v>0</v>
      </c>
      <c r="DS15" s="2042">
        <f t="shared" si="31"/>
        <v>0</v>
      </c>
      <c r="DT15" s="2042">
        <f t="shared" si="31"/>
        <v>0</v>
      </c>
      <c r="DU15" s="2042">
        <f t="shared" si="31"/>
        <v>0</v>
      </c>
      <c r="DV15" s="2042">
        <f t="shared" si="31"/>
        <v>0</v>
      </c>
      <c r="DW15" s="2042">
        <f t="shared" si="31"/>
        <v>0</v>
      </c>
      <c r="DX15" s="2042">
        <f t="shared" si="31"/>
        <v>0</v>
      </c>
      <c r="DY15" s="2042"/>
      <c r="DZ15" s="2042">
        <f t="shared" si="32"/>
        <v>0</v>
      </c>
      <c r="EA15" s="2042">
        <f t="shared" si="32"/>
        <v>0</v>
      </c>
      <c r="EB15" s="2042">
        <f t="shared" si="32"/>
        <v>0</v>
      </c>
      <c r="EC15" s="2042">
        <f t="shared" si="32"/>
        <v>0</v>
      </c>
      <c r="ED15" s="2042">
        <f t="shared" si="32"/>
        <v>0</v>
      </c>
      <c r="EE15" s="2042">
        <f t="shared" si="32"/>
        <v>0</v>
      </c>
      <c r="EF15" s="2042">
        <f t="shared" si="32"/>
        <v>0</v>
      </c>
      <c r="EG15" s="2042">
        <f t="shared" si="32"/>
        <v>0</v>
      </c>
      <c r="EH15" s="2042">
        <f t="shared" si="32"/>
        <v>0</v>
      </c>
      <c r="EI15" s="2042">
        <f t="shared" si="32"/>
        <v>0</v>
      </c>
      <c r="EJ15" s="2042">
        <f t="shared" si="32"/>
        <v>0</v>
      </c>
      <c r="EK15" s="2042">
        <f t="shared" si="32"/>
        <v>0</v>
      </c>
      <c r="EL15" s="2042"/>
      <c r="EM15" s="2042">
        <f t="shared" si="33"/>
        <v>0</v>
      </c>
      <c r="EN15" s="2042">
        <f t="shared" si="33"/>
        <v>0</v>
      </c>
      <c r="EO15" s="2042">
        <f t="shared" si="33"/>
        <v>0</v>
      </c>
      <c r="EP15" s="2042">
        <f t="shared" si="33"/>
        <v>0</v>
      </c>
      <c r="EQ15" s="2042">
        <f t="shared" si="33"/>
        <v>0</v>
      </c>
      <c r="ER15" s="2042">
        <f t="shared" si="33"/>
        <v>0</v>
      </c>
      <c r="ES15" s="2042">
        <f t="shared" si="33"/>
        <v>0</v>
      </c>
      <c r="ET15" s="2042">
        <f t="shared" si="33"/>
        <v>0</v>
      </c>
      <c r="EU15" s="2042">
        <f t="shared" si="33"/>
        <v>0</v>
      </c>
      <c r="EV15" s="2042">
        <f t="shared" si="33"/>
        <v>0</v>
      </c>
      <c r="EW15" s="2042">
        <f t="shared" si="33"/>
        <v>0</v>
      </c>
      <c r="EX15" s="2042">
        <f t="shared" si="33"/>
        <v>0</v>
      </c>
      <c r="EY15" s="2042"/>
      <c r="EZ15" s="2045">
        <f t="shared" si="50"/>
        <v>0</v>
      </c>
      <c r="FA15" s="2042">
        <f>EZ15+CZ15+DZ15                 -         SUMIF('Berechnung Nährstoffe und Lager'!$AX$113:$AX$155,$CX15,'Berechnung Nährstoffe und Lager'!$U$113:$U$155)/12  -$GB15*$HC15/12</f>
        <v>0</v>
      </c>
      <c r="FB15" s="2042">
        <f>FA15+DA15+EA15                 -         SUMIF('Berechnung Nährstoffe und Lager'!$AX$113:$AX$155,$CX15,'Berechnung Nährstoffe und Lager'!$U$113:$U$155)/12  -$GB15*$HC15/12</f>
        <v>0</v>
      </c>
      <c r="FC15" s="2042">
        <f>FB15+DB15+EB15                 -         SUMIF('Berechnung Nährstoffe und Lager'!$AX$113:$AX$155,$CX15,'Berechnung Nährstoffe und Lager'!$U$113:$U$155)/12  -$GB15*$HC15/12</f>
        <v>0</v>
      </c>
      <c r="FD15" s="2042">
        <f>FC15+DC15+EC15                 -         SUMIF('Berechnung Nährstoffe und Lager'!$AX$113:$AX$155,$CX15,'Berechnung Nährstoffe und Lager'!$U$113:$U$155)/12  -$GB15*$HC15/12</f>
        <v>0</v>
      </c>
      <c r="FE15" s="2042">
        <f>FD15+DD15+ED15                 -         SUMIF('Berechnung Nährstoffe und Lager'!$AX$113:$AX$155,$CX15,'Berechnung Nährstoffe und Lager'!$U$113:$U$155)/12  -$GB15*$HC15/12</f>
        <v>0</v>
      </c>
      <c r="FF15" s="2042">
        <f>FE15+DE15+EE15                 -         SUMIF('Berechnung Nährstoffe und Lager'!$AX$113:$AX$155,$CX15,'Berechnung Nährstoffe und Lager'!$U$113:$U$155)/12  -$GB15*$HC15/12</f>
        <v>0</v>
      </c>
      <c r="FG15" s="2042">
        <f>FF15+DF15+EF15                 -         SUMIF('Berechnung Nährstoffe und Lager'!$AX$113:$AX$155,$CX15,'Berechnung Nährstoffe und Lager'!$U$113:$U$155)/12  -$GB15*$HC15/12</f>
        <v>0</v>
      </c>
      <c r="FH15" s="2042">
        <f>FG15+DG15+EG15                 -         SUMIF('Berechnung Nährstoffe und Lager'!$AX$113:$AX$155,$CX15,'Berechnung Nährstoffe und Lager'!$U$113:$U$155)/12  -$GB15*$HC15/12</f>
        <v>0</v>
      </c>
      <c r="FI15" s="2042">
        <f>FH15+DH15+EH15                 -         SUMIF('Berechnung Nährstoffe und Lager'!$AX$113:$AX$155,$CX15,'Berechnung Nährstoffe und Lager'!$U$113:$U$155)/12  -$GB15*$HC15/12</f>
        <v>0</v>
      </c>
      <c r="FJ15" s="2042">
        <f>FI15+DI15+EI15                 -         SUMIF('Berechnung Nährstoffe und Lager'!$AX$113:$AX$155,$CX15,'Berechnung Nährstoffe und Lager'!$U$113:$U$155)/12  -$GB15*$HC15/12</f>
        <v>0</v>
      </c>
      <c r="FK15" s="2042">
        <f>FJ15+DJ15+EJ15                 -         SUMIF('Berechnung Nährstoffe und Lager'!$AX$113:$AX$155,$CX15,'Berechnung Nährstoffe und Lager'!$U$113:$U$155)/12  -$GB15*$HC15/12</f>
        <v>0</v>
      </c>
      <c r="FL15" s="2042">
        <f>FK15+DK15+EK15                 -         SUMIF('Berechnung Nährstoffe und Lager'!$AX$113:$AX$155,$CX15,'Berechnung Nährstoffe und Lager'!$U$113:$U$155)/12  -$GB15*$HC15/12</f>
        <v>0</v>
      </c>
      <c r="FM15" s="2042"/>
      <c r="FN15" s="2045">
        <f t="shared" si="51"/>
        <v>0</v>
      </c>
      <c r="FO15" s="2042">
        <f>FN15+DM15+EM15                 -         SUMIF('Berechnung Nährstoffe und Lager'!$AX$113:$AX$155,$CX15,'Berechnung Nährstoffe und Lager'!$V$113:$V$155)/12  -$GC15*$HC15/12</f>
        <v>0</v>
      </c>
      <c r="FP15" s="2042">
        <f>FO15+DN15+EN15                 -         SUMIF('Berechnung Nährstoffe und Lager'!$AX$113:$AX$155,$CX15,'Berechnung Nährstoffe und Lager'!$V$113:$V$155)/12  -$GC15*$HC15/12</f>
        <v>0</v>
      </c>
      <c r="FQ15" s="2042">
        <f>FP15+DO15+EO15                 -         SUMIF('Berechnung Nährstoffe und Lager'!$AX$113:$AX$155,$CX15,'Berechnung Nährstoffe und Lager'!$V$113:$V$155)/12  -$GC15*$HC15/12</f>
        <v>0</v>
      </c>
      <c r="FR15" s="2042">
        <f>FQ15+DP15+EP15                 -         SUMIF('Berechnung Nährstoffe und Lager'!$AX$113:$AX$155,$CX15,'Berechnung Nährstoffe und Lager'!$V$113:$V$155)/12  -$GC15*$HC15/12</f>
        <v>0</v>
      </c>
      <c r="FS15" s="2042">
        <f>FR15+DQ15+EQ15                 -         SUMIF('Berechnung Nährstoffe und Lager'!$AX$113:$AX$155,$CX15,'Berechnung Nährstoffe und Lager'!$V$113:$V$155)/12  -$GC15*$HC15/12</f>
        <v>0</v>
      </c>
      <c r="FT15" s="2042">
        <f>FS15+DR15+ER15                 -         SUMIF('Berechnung Nährstoffe und Lager'!$AX$113:$AX$155,$CX15,'Berechnung Nährstoffe und Lager'!$V$113:$V$155)/12  -$GC15*$HC15/12</f>
        <v>0</v>
      </c>
      <c r="FU15" s="2042">
        <f>FT15+DS15+ES15                 -         SUMIF('Berechnung Nährstoffe und Lager'!$AX$113:$AX$155,$CX15,'Berechnung Nährstoffe und Lager'!$V$113:$V$155)/12  -$GC15*$HC15/12</f>
        <v>0</v>
      </c>
      <c r="FV15" s="2042">
        <f>FU15+DT15+ET15                 -         SUMIF('Berechnung Nährstoffe und Lager'!$AX$113:$AX$155,$CX15,'Berechnung Nährstoffe und Lager'!$V$113:$V$155)/12  -$GC15*$HC15/12</f>
        <v>0</v>
      </c>
      <c r="FW15" s="2042">
        <f>FV15+DU15+EU15                 -         SUMIF('Berechnung Nährstoffe und Lager'!$AX$113:$AX$155,$CX15,'Berechnung Nährstoffe und Lager'!$V$113:$V$155)/12  -$GC15*$HC15/12</f>
        <v>0</v>
      </c>
      <c r="FX15" s="2042">
        <f>FW15+DV15+EV15                 -         SUMIF('Berechnung Nährstoffe und Lager'!$AX$113:$AX$155,$CX15,'Berechnung Nährstoffe und Lager'!$V$113:$V$155)/12  -$GC15*$HC15/12</f>
        <v>0</v>
      </c>
      <c r="FY15" s="2042">
        <f>FX15+DW15+EW15                 -         SUMIF('Berechnung Nährstoffe und Lager'!$AX$113:$AX$155,$CX15,'Berechnung Nährstoffe und Lager'!$V$113:$V$155)/12  -$GC15*$HC15/12</f>
        <v>0</v>
      </c>
      <c r="FZ15" s="2042">
        <f>FY15+DX15+EX15                 -         SUMIF('Berechnung Nährstoffe und Lager'!$AX$113:$AX$155,$CX15,'Berechnung Nährstoffe und Lager'!$V$113:$V$155)/12  -$GC15*$HC15/12</f>
        <v>0</v>
      </c>
      <c r="GA15" s="2042"/>
      <c r="GB15" s="2042">
        <f>SUMIFS($CI$14:$CI$68,$BR$14:$BR$68,$CX15)+SUMIFS($CM$14:$CM$68,$BR$14:$BR$68,$CX15)+SUMIFS($CR$14:$CR$68,$BR$14:$BR$68,$CX15)  -         SUMIF('Berechnung Nährstoffe und Lager'!$AX$113:$AX$155,$CX15,'Berechnung Nährstoffe und Lager'!$U$113:$U$155)</f>
        <v>0</v>
      </c>
      <c r="GC15" s="2042">
        <f>SUMIFS($CJ$14:$CJ$68,$BR$14:$BR$68,$CX15)+SUMIFS($CO$14:$CO$68,$BR$14:$BR$68,$CX15)+SUMIFS($CT$14:$CT$68,$BR$14:$BR$68,$CX15)  -         SUMIF('Berechnung Nährstoffe und Lager'!$AX$113:$AX$155,$CX15,'Berechnung Nährstoffe und Lager'!$V$113:$V$155)</f>
        <v>0</v>
      </c>
      <c r="GD15" s="2042"/>
      <c r="GE15" s="2042"/>
      <c r="GF15" s="2042">
        <f>SUMIF('Berechnung Nährstoffe und Lager'!$AX$113:$AX$155,$CX15,'Berechnung Nährstoffe und Lager'!$U$113:$U$155)</f>
        <v>0</v>
      </c>
      <c r="GG15" s="2042">
        <f>SUMIF('Berechnung Nährstoffe und Lager'!$AX$113:$AX$155,$CX15,'Berechnung Nährstoffe und Lager'!$V$113:$V$155)</f>
        <v>0</v>
      </c>
      <c r="GH15" s="2042">
        <f t="shared" ref="GH15:GH16" si="83">GB15+GF15</f>
        <v>0</v>
      </c>
      <c r="GI15" s="2042">
        <f t="shared" ref="GI15:GI16" si="84">GC15+GG15</f>
        <v>0</v>
      </c>
      <c r="GJ15" s="2042">
        <f t="shared" ref="GJ15:GJ16" si="85">GB15-GB15*HC15</f>
        <v>0</v>
      </c>
      <c r="GK15" s="2042">
        <f t="shared" ref="GK15:GK16" si="86">GC15-GC15*HC15</f>
        <v>0</v>
      </c>
      <c r="GL15" s="2042">
        <f t="shared" ref="GL15:GL16" si="87">SUMIF($BR$14:$BR$68,CX15,$CU$14:$CU$68)</f>
        <v>0</v>
      </c>
      <c r="GM15" s="2042" cm="1">
        <f t="array" ref="GM15">IF(GL15=0,0,(IFERROR(SUMPRODUCT($J$14:$J$68,$CH$14:$CH$68,($BR$14:$BR$68=CX15)*1)+SUMPRODUCT($L$14:$L$68,$M$14:$M$68,$CK$14:$CK$68,($BR$14:$BR$68=CX15)*1,($BT$14:$BT$68=FALSE)*1)/10+SUMPRODUCT($R$14:$R$68,$CP$14:$CP$68,($BR$14:$BR$68=CX15)*1),0))/GL15)</f>
        <v>0</v>
      </c>
      <c r="GN15" s="2042">
        <f t="shared" ref="GN15:GN16" si="88">GL15*GM15/100</f>
        <v>0</v>
      </c>
      <c r="GO15" s="2042">
        <f>(SUMIF('Berechnung Nährstoffe und Lager'!$AX$113:$AX$130,'Lagerhaltung (freiwillig)'!CX15,'Berechnung Nährstoffe und Lager'!$D$113:$D$130)+SUMIF('Berechnung Nährstoffe und Lager'!$AX$137:$AX$155,'Lagerhaltung (freiwillig)'!CX15,'Berechnung Nährstoffe und Lager'!$E$137:$E$155))</f>
        <v>0</v>
      </c>
      <c r="GP15" s="2042" cm="1">
        <f t="array" ref="GP15">IF(GO15=0,0,(IFERROR(SUMPRODUCT('Berechnung Nährstoffe und Lager'!$D$113:$D$130,'Berechnung Nährstoffe und Lager'!$F$113:$F$130,('Berechnung Nährstoffe und Lager'!$AX$113:$AX$130='Lagerhaltung (freiwillig)'!CX15)*1)+SUMPRODUCT('Berechnung Nährstoffe und Lager'!$E$137:$E$155,'Berechnung Nährstoffe und Lager'!$F$137:$F$155,('Berechnung Nährstoffe und Lager'!$AX$137:$AX$155='Lagerhaltung (freiwillig)'!CX15)*1),0))/GO15)</f>
        <v>0</v>
      </c>
      <c r="GQ15" s="2042">
        <f t="shared" ref="GQ15:GQ16" si="89">GO15*GP15/100</f>
        <v>0</v>
      </c>
      <c r="GR15" s="2042">
        <f t="shared" ref="GR15:GR16" si="90">GN15-GQ15</f>
        <v>0</v>
      </c>
      <c r="GS15" s="2042">
        <f t="shared" ref="GS15:GS16" si="91">IF(AND(GM15=0,GP15=0),0,IF(GM15=0,GR15/(GP15/100),GR15/(GM15/100)))</f>
        <v>0</v>
      </c>
      <c r="GT15" s="2042">
        <f t="shared" ref="GT15:GT16" si="92">IF(OR(GM15=0,GP15=0),MAX(GM15,GP15),GM15)</f>
        <v>0</v>
      </c>
      <c r="GU15" s="2045" t="str">
        <f t="shared" si="39"/>
        <v xml:space="preserve"> </v>
      </c>
      <c r="GV15" s="2045" t="str">
        <f t="shared" si="39"/>
        <v xml:space="preserve"> </v>
      </c>
      <c r="GW15" s="2054">
        <f t="shared" ref="GW15:GW16" si="93">IF(OR(HI15=3,GS15&lt;=0),0,IF(CY15=$CY$4,$GV$4/$GE$4,IF(CY15=$CY$6,$GV$6/$GE$6,0)))</f>
        <v>0</v>
      </c>
      <c r="GX15" s="2042">
        <f t="shared" ref="GX15:GX16" si="94">GS15*GW15</f>
        <v>0</v>
      </c>
      <c r="GY15" s="2042" t="str">
        <f t="shared" si="42"/>
        <v>a</v>
      </c>
      <c r="GZ15" s="2055">
        <f t="shared" ref="GZ15:GZ16" si="95">IF(GY15="a",0,GB15*HC15)</f>
        <v>0</v>
      </c>
      <c r="HA15" s="2055">
        <f t="shared" ref="HA15:HA16" si="96">IF(GY15="a",0,GB15*(1-HC15))</f>
        <v>0</v>
      </c>
      <c r="HB15" s="2055"/>
      <c r="HC15" s="2046">
        <f t="shared" ref="HC15:HC16" si="97">IF(OR(HI15=3,GS15&lt;=0),0,IF(GY15&lt;&gt;"a",IF(GS15=0,0,MIN(1,GY15/GS15)),IF(CY15=$CY$4,IF($GE$4-$HA$4-$GZ$4=0,0,$HB$4/($GE$4-$HA$4-$GZ$4)),IF(CY15=$CY$6,IF($GE$6-$HA$6-$GZ$6=0,0,$HB$6/($GE$6-$HA$6-$GZ$6)),0))))</f>
        <v>0</v>
      </c>
      <c r="HD15" s="2055">
        <f t="shared" ref="HD15:HD16" si="98">MAX(0,GS15*HC15)</f>
        <v>0</v>
      </c>
      <c r="HE15" s="2055">
        <f t="shared" ref="HE15:HE16" si="99">GS15-HD15</f>
        <v>0</v>
      </c>
      <c r="HF15" s="2055">
        <f t="shared" ref="HF15:HF16" si="100">GM15</f>
        <v>0</v>
      </c>
      <c r="HG15" s="2282" cm="1">
        <f t="array" ref="HG15">IF(AND(HE15=0,GJ15=0),0,IF(HE15=0,1,IF(OR(GJ15*1000/HE15/HF15&gt;INDEX(Pflanzen!$AD$5:$AD$109,CX15)/INDEX(Pflanzen!$M$5:$M$109,CX15)*$HG$1,GJ15*1000/HE15/HF15&lt;INDEX(Pflanzen!$AD$5:$AD$109,CX15)/INDEX(Pflanzen!$M$5:$M$109,CX15)/$HG$1),1,0)))</f>
        <v>0</v>
      </c>
      <c r="HH15" s="2282" cm="1">
        <f t="array" ref="HH15">IF(AND(GK15=0,HE15=0),0,IF(HE15=0,1,IF(OR(GK15*1000/HE15/HF15&gt;INDEX(Pflanzen!$AE$5:$AE$109,CX15)/INDEX(Pflanzen!$M$5:$M$109,CX15)*$HG$1,GK15*1000/HE15/HF15&lt;INDEX(Pflanzen!$AE$5:$AE$109,CX15)/INDEX(Pflanzen!$M$5:$M$109,CX15)/$HG$1),1,0)))</f>
        <v>0</v>
      </c>
      <c r="HI15" s="2042">
        <f t="shared" ref="HI15:HI16" si="101">IF(AND(GB15=0,GF15=0,GH15=0),3,CY15)</f>
        <v>3</v>
      </c>
      <c r="HJ15" s="2042"/>
      <c r="HL15" s="2042"/>
      <c r="HM15" s="2052" t="str">
        <f>Tiere!B41</f>
        <v>Mutterkuh mit Kalb bis 6 Monate</v>
      </c>
      <c r="HN15" s="2042">
        <v>12</v>
      </c>
      <c r="HO15" s="2053">
        <f>SUMIF('Berechnung Nährstoffe und Lager'!$BM$68:$BM$81,'Lagerhaltung (freiwillig)'!HN15,'Berechnung Nährstoffe und Lager'!$Z$68:$Z$81)+SUMIF('Berechnung Nährstoffe und Lager'!$BM$68:$BM$81,'Lagerhaltung (freiwillig)'!HN15,'Berechnung Nährstoffe und Lager'!$AA$68:$AA$81)</f>
        <v>0</v>
      </c>
      <c r="HP15" s="2042" cm="1">
        <f t="array" ref="HP15">INDEX(Tiere!$C$30:$C$85,'Lagerhaltung (freiwillig)'!HN15)</f>
        <v>1</v>
      </c>
      <c r="HQ15" s="2042" cm="1">
        <f t="array" ref="HQ15">INDEX(Tiere!$H$30:$H$85,'Lagerhaltung (freiwillig)'!HN15)</f>
        <v>108</v>
      </c>
      <c r="HR15" s="2042">
        <f t="shared" si="12"/>
        <v>0</v>
      </c>
      <c r="HS15" s="2042" cm="1">
        <f t="array" ref="HS15">INDEX(Tiere!$I$30:$I$85,'Lagerhaltung (freiwillig)'!HN15)</f>
        <v>32</v>
      </c>
      <c r="HT15" s="2042">
        <f t="shared" si="13"/>
        <v>0</v>
      </c>
      <c r="HU15" s="2042" cm="1">
        <f t="array" ref="HU15">INDEX(Tiere!$BC$30:$BC$85,'Lagerhaltung (freiwillig)'!HN15)</f>
        <v>6.21</v>
      </c>
      <c r="HV15" s="2042">
        <f t="shared" si="6"/>
        <v>0</v>
      </c>
      <c r="HW15" s="2042" cm="1">
        <f t="array" ref="HW15">INDEX(Tiere!$BD$30:$BD$85,'Lagerhaltung (freiwillig)'!HN15)</f>
        <v>3.4269999999999996</v>
      </c>
      <c r="HX15" s="2042">
        <f t="shared" si="7"/>
        <v>0</v>
      </c>
      <c r="HY15" s="2042"/>
      <c r="HZ15" s="2042"/>
      <c r="IA15" s="2042"/>
      <c r="IB15" s="2042"/>
      <c r="IC15" s="2042"/>
      <c r="ID15" s="2042"/>
      <c r="IE15" s="2042"/>
      <c r="IF15" s="2042"/>
      <c r="IG15" s="2042"/>
      <c r="IH15" s="2042"/>
      <c r="II15" s="2042"/>
      <c r="IJ15" s="2042"/>
    </row>
    <row r="16" spans="1:245" ht="15.6" customHeight="1" x14ac:dyDescent="0.2">
      <c r="A16" s="1159"/>
      <c r="B16" s="1160"/>
      <c r="C16" s="1160"/>
      <c r="D16" s="1160"/>
      <c r="E16" s="1160"/>
      <c r="F16" s="2014" cm="1">
        <f t="array" ref="F16">INDEX(Pflanzen!$M$5:$M$109,BR16)</f>
        <v>0</v>
      </c>
      <c r="G16" s="2015" cm="1">
        <f t="array" ref="G16">INDEX(Pflanzen!$AD$5:$AD$109,BR16)</f>
        <v>0</v>
      </c>
      <c r="H16" s="2299" cm="1">
        <f t="array" ref="H16">INDEX(Pflanzen!$AE$5:$AE$109,BR16)</f>
        <v>0</v>
      </c>
      <c r="I16" s="1259"/>
      <c r="J16" s="1256"/>
      <c r="K16" s="1259"/>
      <c r="L16" s="1970"/>
      <c r="M16" s="1246"/>
      <c r="N16" s="1870"/>
      <c r="O16" s="1870"/>
      <c r="P16" s="2211"/>
      <c r="Q16" s="2196"/>
      <c r="R16" s="1970"/>
      <c r="S16" s="1246"/>
      <c r="T16" s="1256"/>
      <c r="U16" s="1159"/>
      <c r="V16" s="2316" t="str">
        <f t="shared" si="82"/>
        <v/>
      </c>
      <c r="Y16" s="2005" t="str" cm="1">
        <f t="array" ref="Y16">IFERROR(INDEX($CW$4:$CW$171,AY16),"")</f>
        <v/>
      </c>
      <c r="Z16" s="510"/>
      <c r="AA16" s="510"/>
      <c r="AB16" s="510"/>
      <c r="AC16" s="2031" t="str" cm="1">
        <f t="array" ref="AC16">IFERROR(INDEX($GL$4:$GL$171,AY16),"")</f>
        <v/>
      </c>
      <c r="AD16" s="2031" t="str" cm="1">
        <f t="array" ref="AD16">IFERROR(INDEX($GM$4:$GM$171,AY16),"")</f>
        <v/>
      </c>
      <c r="AE16" s="2031" t="str" cm="1">
        <f t="array" ref="AE16">IFERROR(INDEX($GH$4:$GH$171,AY16),"")</f>
        <v/>
      </c>
      <c r="AF16" s="2031" t="str" cm="1">
        <f t="array" ref="AF16">IFERROR(INDEX($GI$4:$GI$171,AY16),"")</f>
        <v/>
      </c>
      <c r="AG16" s="2031" t="str" cm="1">
        <f t="array" ref="AG16">IFERROR(INDEX($GO$4:$GO$171,AY16),"")</f>
        <v/>
      </c>
      <c r="AH16" s="2031" t="str" cm="1">
        <f t="array" ref="AH16">IFERROR(INDEX($GP$4:$GP$171,AY16),"")</f>
        <v/>
      </c>
      <c r="AI16" s="2031" t="str" cm="1">
        <f t="array" ref="AI16">IFERROR(INDEX($GF$4:$GF$171,AY16),"")</f>
        <v/>
      </c>
      <c r="AJ16" s="2031" t="str" cm="1">
        <f t="array" ref="AJ16">IFERROR(INDEX($GG$4:$GG$171,AY16),"")</f>
        <v/>
      </c>
      <c r="AK16" s="2031" t="str" cm="1">
        <f t="array" ref="AK16">IFERROR(INDEX($GS$4:$GS$171,AY16),"")</f>
        <v/>
      </c>
      <c r="AL16" s="2032" t="str" cm="1">
        <f t="array" ref="AL16">IFERROR(INDEX($GT$4:$GT$171,AY16),"")</f>
        <v/>
      </c>
      <c r="AM16" s="2031" t="str" cm="1">
        <f t="array" ref="AM16">IFERROR(INDEX($GB$4:$GB$171,AY16),"")</f>
        <v/>
      </c>
      <c r="AN16" s="2031" t="str" cm="1">
        <f t="array" ref="AN16">IFERROR(INDEX($GC$4:$GC$171,AY16),"")</f>
        <v/>
      </c>
      <c r="AO16" s="2032" t="str" cm="1">
        <f t="array" ref="AO16">IFERROR(INDEX($GU$4:$GU$171,AY16),"")</f>
        <v/>
      </c>
      <c r="AP16" s="2032" t="str" cm="1">
        <f t="array" ref="AP16">IFERROR(INDEX($GX$4:$GX$171,AY16),"")</f>
        <v/>
      </c>
      <c r="AQ16" s="1316"/>
      <c r="AR16" s="2031" t="str" cm="1">
        <f t="array" ref="AR16">IFERROR(INDEX($HD$4:$HD$171,AY16),"")</f>
        <v/>
      </c>
      <c r="AS16" s="2031" t="str" cm="1">
        <f t="array" ref="AS16">IFERROR(INDEX($HE$4:$HE$171,AY16),"")</f>
        <v/>
      </c>
      <c r="AT16" s="2031" t="str" cm="1">
        <f t="array" ref="AT16">IFERROR(INDEX($HF$4:$HF$171,AY16),"")</f>
        <v/>
      </c>
      <c r="AU16" s="2031" t="str" cm="1">
        <f t="array" ref="AU16">IFERROR(INDEX($GJ$4:$GJ$171,AY16),"")</f>
        <v/>
      </c>
      <c r="AV16" s="2031" t="str" cm="1">
        <f t="array" ref="AV16">IFERROR(INDEX($GK$4:$GK$171,AY16),"")</f>
        <v/>
      </c>
      <c r="AY16" s="2042" t="str" cm="1">
        <f t="array" ref="AY16">IFERROR(SMALL(IF($HI$4:$HI$171=1,ROW($HI$4:$HI$171)-3),ROW(W4)),IFERROR(SMALL(IF($HI$4:$HI$171=2,ROW($HI$4:$HI$171)-3),ROW(W4)-COUNTIF($HI$4:$HI$171,1)),IFERROR(SMALL(IF($HI$4:$HI$171=0,ROW($HI$4:$HI$171)-3),ROW(W4)-COUNTIF($HI$4:$HI$171,1)-COUNTIF($HI$4:$HI$171,2)),"")))</f>
        <v/>
      </c>
      <c r="AZ16" s="2042" t="str">
        <f t="shared" si="59"/>
        <v>a</v>
      </c>
      <c r="BA16" s="2053" t="e">
        <f t="shared" si="60"/>
        <v>#VALUE!</v>
      </c>
      <c r="BB16" s="2053" cm="1">
        <f t="array" ref="BB16">IFERROR(INDEX($HI$4:$HI$171,AY16),0)</f>
        <v>0</v>
      </c>
      <c r="BC16" s="2053">
        <f t="shared" si="61"/>
        <v>0</v>
      </c>
      <c r="BD16" s="2053"/>
      <c r="BE16" s="2307"/>
      <c r="BF16" s="2307"/>
      <c r="BG16" s="2307"/>
      <c r="BH16" s="2307"/>
      <c r="BI16" s="2307"/>
      <c r="BJ16" s="2307"/>
      <c r="BK16" s="2307"/>
      <c r="BL16" s="2307"/>
      <c r="BM16" s="2307"/>
      <c r="BN16" s="2307"/>
      <c r="BO16" s="2307"/>
      <c r="BP16" s="2043"/>
      <c r="BQ16" s="2042"/>
      <c r="BR16" s="2042">
        <v>1</v>
      </c>
      <c r="BS16" s="2042"/>
      <c r="BT16" s="2042" t="b">
        <v>0</v>
      </c>
      <c r="BU16" s="2058"/>
      <c r="BV16" s="2058"/>
      <c r="BW16" s="2042">
        <f t="shared" si="62"/>
        <v>12</v>
      </c>
      <c r="BX16" s="2042">
        <f t="shared" si="63"/>
        <v>0</v>
      </c>
      <c r="BY16" s="2042">
        <f t="shared" si="64"/>
        <v>12</v>
      </c>
      <c r="BZ16" s="2042" cm="1">
        <f t="array" ref="BZ16">INDEX(Pflanzen!$AI$5:$AI$119,'Lagerhaltung (freiwillig)'!BR16)</f>
        <v>0</v>
      </c>
      <c r="CA16" s="2042" cm="1">
        <f t="array" ref="CA16">IF(BZ16=1,INDEX(Pflanzen!$AJ$5:$AJ$119,BR16),N16)</f>
        <v>0</v>
      </c>
      <c r="CB16" s="2042" cm="1">
        <f t="array" ref="CB16">IF(BZ16=1,INDEX(Pflanzen!$AK$5:$AK$119,BR16),O16)</f>
        <v>0</v>
      </c>
      <c r="CC16" s="2042">
        <f t="shared" si="65"/>
        <v>12</v>
      </c>
      <c r="CD16" s="2042">
        <f t="shared" si="66"/>
        <v>0</v>
      </c>
      <c r="CE16" s="2042">
        <f t="shared" si="67"/>
        <v>12</v>
      </c>
      <c r="CF16" s="2042" cm="1">
        <f t="array" ref="CF16">INDEX(Pflanzen!$F$5:$F$119,BR16)</f>
        <v>0</v>
      </c>
      <c r="CG16" s="2042" cm="1">
        <f t="array" ref="CG16">INDEX(Pflanzen!$H$5:$H$119,BR16)</f>
        <v>0</v>
      </c>
      <c r="CH16" s="2042">
        <f t="shared" si="68"/>
        <v>0</v>
      </c>
      <c r="CI16" s="2042">
        <f t="shared" si="69"/>
        <v>0</v>
      </c>
      <c r="CJ16" s="2042">
        <f t="shared" si="70"/>
        <v>0</v>
      </c>
      <c r="CK16" s="2042">
        <f t="shared" si="71"/>
        <v>0</v>
      </c>
      <c r="CL16" s="2042">
        <f t="shared" si="72"/>
        <v>0</v>
      </c>
      <c r="CM16" s="2042">
        <f t="shared" si="73"/>
        <v>0</v>
      </c>
      <c r="CN16" s="2042">
        <f t="shared" si="74"/>
        <v>0</v>
      </c>
      <c r="CO16" s="2042">
        <f t="shared" si="75"/>
        <v>0</v>
      </c>
      <c r="CP16" s="2042">
        <f t="shared" si="76"/>
        <v>0</v>
      </c>
      <c r="CQ16" s="2042">
        <f t="shared" si="77"/>
        <v>0</v>
      </c>
      <c r="CR16" s="2042">
        <f t="shared" si="78"/>
        <v>0</v>
      </c>
      <c r="CS16" s="2042">
        <f t="shared" si="79"/>
        <v>0</v>
      </c>
      <c r="CT16" s="2042">
        <f t="shared" si="80"/>
        <v>0</v>
      </c>
      <c r="CU16" s="2042">
        <f t="shared" si="81"/>
        <v>0</v>
      </c>
      <c r="CV16" s="2042"/>
      <c r="CW16" s="609" t="str">
        <f>Pflanzen!A12</f>
        <v>Gerstenstroh</v>
      </c>
      <c r="CX16" s="2042">
        <f>IFERROR(MATCH($CW16,Pflanzen!$C$5:$C$119,0),1)</f>
        <v>8</v>
      </c>
      <c r="CY16" s="609" cm="1">
        <f t="array" ref="CY16">INDEX(Pflanzen!$I$5:$I$119,'Lagerhaltung (freiwillig)'!CX16)</f>
        <v>0</v>
      </c>
      <c r="CZ16" s="2042">
        <f t="shared" si="30"/>
        <v>0</v>
      </c>
      <c r="DA16" s="2042">
        <f t="shared" si="30"/>
        <v>0</v>
      </c>
      <c r="DB16" s="2042">
        <f t="shared" si="30"/>
        <v>0</v>
      </c>
      <c r="DC16" s="2042">
        <f t="shared" si="30"/>
        <v>0</v>
      </c>
      <c r="DD16" s="2042">
        <f t="shared" si="30"/>
        <v>0</v>
      </c>
      <c r="DE16" s="2042">
        <f t="shared" si="30"/>
        <v>0</v>
      </c>
      <c r="DF16" s="2042">
        <f t="shared" si="30"/>
        <v>0</v>
      </c>
      <c r="DG16" s="2042">
        <f t="shared" si="30"/>
        <v>0</v>
      </c>
      <c r="DH16" s="2042">
        <f t="shared" si="30"/>
        <v>0</v>
      </c>
      <c r="DI16" s="2042">
        <f t="shared" si="30"/>
        <v>0</v>
      </c>
      <c r="DJ16" s="2042">
        <f t="shared" si="30"/>
        <v>0</v>
      </c>
      <c r="DK16" s="2042">
        <f t="shared" si="30"/>
        <v>0</v>
      </c>
      <c r="DL16" s="2042"/>
      <c r="DM16" s="2042">
        <f t="shared" si="31"/>
        <v>0</v>
      </c>
      <c r="DN16" s="2042">
        <f t="shared" si="31"/>
        <v>0</v>
      </c>
      <c r="DO16" s="2042">
        <f t="shared" si="31"/>
        <v>0</v>
      </c>
      <c r="DP16" s="2042">
        <f t="shared" si="31"/>
        <v>0</v>
      </c>
      <c r="DQ16" s="2042">
        <f t="shared" si="31"/>
        <v>0</v>
      </c>
      <c r="DR16" s="2042">
        <f t="shared" si="31"/>
        <v>0</v>
      </c>
      <c r="DS16" s="2042">
        <f t="shared" si="31"/>
        <v>0</v>
      </c>
      <c r="DT16" s="2042">
        <f t="shared" si="31"/>
        <v>0</v>
      </c>
      <c r="DU16" s="2042">
        <f t="shared" si="31"/>
        <v>0</v>
      </c>
      <c r="DV16" s="2042">
        <f t="shared" si="31"/>
        <v>0</v>
      </c>
      <c r="DW16" s="2042">
        <f t="shared" si="31"/>
        <v>0</v>
      </c>
      <c r="DX16" s="2042">
        <f t="shared" si="31"/>
        <v>0</v>
      </c>
      <c r="DY16" s="2042"/>
      <c r="DZ16" s="2042">
        <f t="shared" si="32"/>
        <v>0</v>
      </c>
      <c r="EA16" s="2042">
        <f t="shared" si="32"/>
        <v>0</v>
      </c>
      <c r="EB16" s="2042">
        <f t="shared" si="32"/>
        <v>0</v>
      </c>
      <c r="EC16" s="2042">
        <f t="shared" si="32"/>
        <v>0</v>
      </c>
      <c r="ED16" s="2042">
        <f t="shared" si="32"/>
        <v>0</v>
      </c>
      <c r="EE16" s="2042">
        <f t="shared" si="32"/>
        <v>0</v>
      </c>
      <c r="EF16" s="2042">
        <f t="shared" si="32"/>
        <v>0</v>
      </c>
      <c r="EG16" s="2042">
        <f t="shared" si="32"/>
        <v>0</v>
      </c>
      <c r="EH16" s="2042">
        <f t="shared" si="32"/>
        <v>0</v>
      </c>
      <c r="EI16" s="2042">
        <f t="shared" si="32"/>
        <v>0</v>
      </c>
      <c r="EJ16" s="2042">
        <f t="shared" si="32"/>
        <v>0</v>
      </c>
      <c r="EK16" s="2042">
        <f t="shared" si="32"/>
        <v>0</v>
      </c>
      <c r="EL16" s="2042"/>
      <c r="EM16" s="2042">
        <f t="shared" si="33"/>
        <v>0</v>
      </c>
      <c r="EN16" s="2042">
        <f t="shared" si="33"/>
        <v>0</v>
      </c>
      <c r="EO16" s="2042">
        <f t="shared" si="33"/>
        <v>0</v>
      </c>
      <c r="EP16" s="2042">
        <f t="shared" si="33"/>
        <v>0</v>
      </c>
      <c r="EQ16" s="2042">
        <f t="shared" si="33"/>
        <v>0</v>
      </c>
      <c r="ER16" s="2042">
        <f t="shared" si="33"/>
        <v>0</v>
      </c>
      <c r="ES16" s="2042">
        <f t="shared" si="33"/>
        <v>0</v>
      </c>
      <c r="ET16" s="2042">
        <f t="shared" si="33"/>
        <v>0</v>
      </c>
      <c r="EU16" s="2042">
        <f t="shared" si="33"/>
        <v>0</v>
      </c>
      <c r="EV16" s="2042">
        <f t="shared" si="33"/>
        <v>0</v>
      </c>
      <c r="EW16" s="2042">
        <f t="shared" si="33"/>
        <v>0</v>
      </c>
      <c r="EX16" s="2042">
        <f t="shared" si="33"/>
        <v>0</v>
      </c>
      <c r="EY16" s="2042"/>
      <c r="EZ16" s="2045">
        <f t="shared" si="50"/>
        <v>0</v>
      </c>
      <c r="FA16" s="2042">
        <f>EZ16+CZ16+DZ16                 -         SUMIF('Berechnung Nährstoffe und Lager'!$AX$113:$AX$155,$CX16,'Berechnung Nährstoffe und Lager'!$U$113:$U$155)/12  -$GB16*$HC16/12</f>
        <v>0</v>
      </c>
      <c r="FB16" s="2042">
        <f>FA16+DA16+EA16                 -         SUMIF('Berechnung Nährstoffe und Lager'!$AX$113:$AX$155,$CX16,'Berechnung Nährstoffe und Lager'!$U$113:$U$155)/12  -$GB16*$HC16/12</f>
        <v>0</v>
      </c>
      <c r="FC16" s="2042">
        <f>FB16+DB16+EB16                 -         SUMIF('Berechnung Nährstoffe und Lager'!$AX$113:$AX$155,$CX16,'Berechnung Nährstoffe und Lager'!$U$113:$U$155)/12  -$GB16*$HC16/12</f>
        <v>0</v>
      </c>
      <c r="FD16" s="2042">
        <f>FC16+DC16+EC16                 -         SUMIF('Berechnung Nährstoffe und Lager'!$AX$113:$AX$155,$CX16,'Berechnung Nährstoffe und Lager'!$U$113:$U$155)/12  -$GB16*$HC16/12</f>
        <v>0</v>
      </c>
      <c r="FE16" s="2042">
        <f>FD16+DD16+ED16                 -         SUMIF('Berechnung Nährstoffe und Lager'!$AX$113:$AX$155,$CX16,'Berechnung Nährstoffe und Lager'!$U$113:$U$155)/12  -$GB16*$HC16/12</f>
        <v>0</v>
      </c>
      <c r="FF16" s="2042">
        <f>FE16+DE16+EE16                 -         SUMIF('Berechnung Nährstoffe und Lager'!$AX$113:$AX$155,$CX16,'Berechnung Nährstoffe und Lager'!$U$113:$U$155)/12  -$GB16*$HC16/12</f>
        <v>0</v>
      </c>
      <c r="FG16" s="2042">
        <f>FF16+DF16+EF16                 -         SUMIF('Berechnung Nährstoffe und Lager'!$AX$113:$AX$155,$CX16,'Berechnung Nährstoffe und Lager'!$U$113:$U$155)/12  -$GB16*$HC16/12</f>
        <v>0</v>
      </c>
      <c r="FH16" s="2042">
        <f>FG16+DG16+EG16                 -         SUMIF('Berechnung Nährstoffe und Lager'!$AX$113:$AX$155,$CX16,'Berechnung Nährstoffe und Lager'!$U$113:$U$155)/12  -$GB16*$HC16/12</f>
        <v>0</v>
      </c>
      <c r="FI16" s="2042">
        <f>FH16+DH16+EH16                 -         SUMIF('Berechnung Nährstoffe und Lager'!$AX$113:$AX$155,$CX16,'Berechnung Nährstoffe und Lager'!$U$113:$U$155)/12  -$GB16*$HC16/12</f>
        <v>0</v>
      </c>
      <c r="FJ16" s="2042">
        <f>FI16+DI16+EI16                 -         SUMIF('Berechnung Nährstoffe und Lager'!$AX$113:$AX$155,$CX16,'Berechnung Nährstoffe und Lager'!$U$113:$U$155)/12  -$GB16*$HC16/12</f>
        <v>0</v>
      </c>
      <c r="FK16" s="2042">
        <f>FJ16+DJ16+EJ16                 -         SUMIF('Berechnung Nährstoffe und Lager'!$AX$113:$AX$155,$CX16,'Berechnung Nährstoffe und Lager'!$U$113:$U$155)/12  -$GB16*$HC16/12</f>
        <v>0</v>
      </c>
      <c r="FL16" s="2042">
        <f>FK16+DK16+EK16                 -         SUMIF('Berechnung Nährstoffe und Lager'!$AX$113:$AX$155,$CX16,'Berechnung Nährstoffe und Lager'!$U$113:$U$155)/12  -$GB16*$HC16/12</f>
        <v>0</v>
      </c>
      <c r="FM16" s="2042"/>
      <c r="FN16" s="2045">
        <f t="shared" si="51"/>
        <v>0</v>
      </c>
      <c r="FO16" s="2042">
        <f>FN16+DM16+EM16                 -         SUMIF('Berechnung Nährstoffe und Lager'!$AX$113:$AX$155,$CX16,'Berechnung Nährstoffe und Lager'!$V$113:$V$155)/12  -$GC16*$HC16/12</f>
        <v>0</v>
      </c>
      <c r="FP16" s="2042">
        <f>FO16+DN16+EN16                 -         SUMIF('Berechnung Nährstoffe und Lager'!$AX$113:$AX$155,$CX16,'Berechnung Nährstoffe und Lager'!$V$113:$V$155)/12  -$GC16*$HC16/12</f>
        <v>0</v>
      </c>
      <c r="FQ16" s="2042">
        <f>FP16+DO16+EO16                 -         SUMIF('Berechnung Nährstoffe und Lager'!$AX$113:$AX$155,$CX16,'Berechnung Nährstoffe und Lager'!$V$113:$V$155)/12  -$GC16*$HC16/12</f>
        <v>0</v>
      </c>
      <c r="FR16" s="2042">
        <f>FQ16+DP16+EP16                 -         SUMIF('Berechnung Nährstoffe und Lager'!$AX$113:$AX$155,$CX16,'Berechnung Nährstoffe und Lager'!$V$113:$V$155)/12  -$GC16*$HC16/12</f>
        <v>0</v>
      </c>
      <c r="FS16" s="2042">
        <f>FR16+DQ16+EQ16                 -         SUMIF('Berechnung Nährstoffe und Lager'!$AX$113:$AX$155,$CX16,'Berechnung Nährstoffe und Lager'!$V$113:$V$155)/12  -$GC16*$HC16/12</f>
        <v>0</v>
      </c>
      <c r="FT16" s="2042">
        <f>FS16+DR16+ER16                 -         SUMIF('Berechnung Nährstoffe und Lager'!$AX$113:$AX$155,$CX16,'Berechnung Nährstoffe und Lager'!$V$113:$V$155)/12  -$GC16*$HC16/12</f>
        <v>0</v>
      </c>
      <c r="FU16" s="2042">
        <f>FT16+DS16+ES16                 -         SUMIF('Berechnung Nährstoffe und Lager'!$AX$113:$AX$155,$CX16,'Berechnung Nährstoffe und Lager'!$V$113:$V$155)/12  -$GC16*$HC16/12</f>
        <v>0</v>
      </c>
      <c r="FV16" s="2042">
        <f>FU16+DT16+ET16                 -         SUMIF('Berechnung Nährstoffe und Lager'!$AX$113:$AX$155,$CX16,'Berechnung Nährstoffe und Lager'!$V$113:$V$155)/12  -$GC16*$HC16/12</f>
        <v>0</v>
      </c>
      <c r="FW16" s="2042">
        <f>FV16+DU16+EU16                 -         SUMIF('Berechnung Nährstoffe und Lager'!$AX$113:$AX$155,$CX16,'Berechnung Nährstoffe und Lager'!$V$113:$V$155)/12  -$GC16*$HC16/12</f>
        <v>0</v>
      </c>
      <c r="FX16" s="2042">
        <f>FW16+DV16+EV16                 -         SUMIF('Berechnung Nährstoffe und Lager'!$AX$113:$AX$155,$CX16,'Berechnung Nährstoffe und Lager'!$V$113:$V$155)/12  -$GC16*$HC16/12</f>
        <v>0</v>
      </c>
      <c r="FY16" s="2042">
        <f>FX16+DW16+EW16                 -         SUMIF('Berechnung Nährstoffe und Lager'!$AX$113:$AX$155,$CX16,'Berechnung Nährstoffe und Lager'!$V$113:$V$155)/12  -$GC16*$HC16/12</f>
        <v>0</v>
      </c>
      <c r="FZ16" s="2042">
        <f>FY16+DX16+EX16                 -         SUMIF('Berechnung Nährstoffe und Lager'!$AX$113:$AX$155,$CX16,'Berechnung Nährstoffe und Lager'!$V$113:$V$155)/12  -$GC16*$HC16/12</f>
        <v>0</v>
      </c>
      <c r="GA16" s="2042"/>
      <c r="GB16" s="2042">
        <f>SUMIFS($CI$14:$CI$68,$BR$14:$BR$68,$CX16)+SUMIFS($CM$14:$CM$68,$BR$14:$BR$68,$CX16)+SUMIFS($CR$14:$CR$68,$BR$14:$BR$68,$CX16)  -         SUMIF('Berechnung Nährstoffe und Lager'!$AX$113:$AX$155,$CX16,'Berechnung Nährstoffe und Lager'!$U$113:$U$155)</f>
        <v>0</v>
      </c>
      <c r="GC16" s="2042">
        <f>SUMIFS($CJ$14:$CJ$68,$BR$14:$BR$68,$CX16)+SUMIFS($CO$14:$CO$68,$BR$14:$BR$68,$CX16)+SUMIFS($CT$14:$CT$68,$BR$14:$BR$68,$CX16)  -         SUMIF('Berechnung Nährstoffe und Lager'!$AX$113:$AX$155,$CX16,'Berechnung Nährstoffe und Lager'!$V$113:$V$155)</f>
        <v>0</v>
      </c>
      <c r="GD16" s="2042"/>
      <c r="GE16" s="2042"/>
      <c r="GF16" s="2042">
        <f>SUMIF('Berechnung Nährstoffe und Lager'!$AX$113:$AX$155,$CX16,'Berechnung Nährstoffe und Lager'!$U$113:$U$155)</f>
        <v>0</v>
      </c>
      <c r="GG16" s="2042">
        <f>SUMIF('Berechnung Nährstoffe und Lager'!$AX$113:$AX$155,$CX16,'Berechnung Nährstoffe und Lager'!$V$113:$V$155)</f>
        <v>0</v>
      </c>
      <c r="GH16" s="2042">
        <f t="shared" si="83"/>
        <v>0</v>
      </c>
      <c r="GI16" s="2042">
        <f t="shared" si="84"/>
        <v>0</v>
      </c>
      <c r="GJ16" s="2042">
        <f t="shared" si="85"/>
        <v>0</v>
      </c>
      <c r="GK16" s="2042">
        <f t="shared" si="86"/>
        <v>0</v>
      </c>
      <c r="GL16" s="2042">
        <f t="shared" si="87"/>
        <v>0</v>
      </c>
      <c r="GM16" s="2042" cm="1">
        <f t="array" ref="GM16">IF(GL16=0,0,(IFERROR(SUMPRODUCT($J$14:$J$68,$CH$14:$CH$68,($BR$14:$BR$68=CX16)*1)+SUMPRODUCT($L$14:$L$68,$M$14:$M$68,$CK$14:$CK$68,($BR$14:$BR$68=CX16)*1,($BT$14:$BT$68=FALSE)*1)/10+SUMPRODUCT($R$14:$R$68,$CP$14:$CP$68,($BR$14:$BR$68=CX16)*1),0))/GL16)</f>
        <v>0</v>
      </c>
      <c r="GN16" s="2042">
        <f t="shared" si="88"/>
        <v>0</v>
      </c>
      <c r="GO16" s="2042">
        <f>(SUMIF('Berechnung Nährstoffe und Lager'!$AX$113:$AX$130,'Lagerhaltung (freiwillig)'!CX16,'Berechnung Nährstoffe und Lager'!$D$113:$D$130)+SUMIF('Berechnung Nährstoffe und Lager'!$AX$137:$AX$155,'Lagerhaltung (freiwillig)'!CX16,'Berechnung Nährstoffe und Lager'!$E$137:$E$155))</f>
        <v>0</v>
      </c>
      <c r="GP16" s="2042" cm="1">
        <f t="array" ref="GP16">IF(GO16=0,0,(IFERROR(SUMPRODUCT('Berechnung Nährstoffe und Lager'!$D$113:$D$130,'Berechnung Nährstoffe und Lager'!$F$113:$F$130,('Berechnung Nährstoffe und Lager'!$AX$113:$AX$130='Lagerhaltung (freiwillig)'!CX16)*1)+SUMPRODUCT('Berechnung Nährstoffe und Lager'!$E$137:$E$155,'Berechnung Nährstoffe und Lager'!$F$137:$F$155,('Berechnung Nährstoffe und Lager'!$AX$137:$AX$155='Lagerhaltung (freiwillig)'!CX16)*1),0))/GO16)</f>
        <v>0</v>
      </c>
      <c r="GQ16" s="2042">
        <f t="shared" si="89"/>
        <v>0</v>
      </c>
      <c r="GR16" s="2042">
        <f t="shared" si="90"/>
        <v>0</v>
      </c>
      <c r="GS16" s="2042">
        <f t="shared" si="91"/>
        <v>0</v>
      </c>
      <c r="GT16" s="2042">
        <f t="shared" si="92"/>
        <v>0</v>
      </c>
      <c r="GU16" s="2045" t="str">
        <f t="shared" si="39"/>
        <v xml:space="preserve"> </v>
      </c>
      <c r="GV16" s="2045" t="str">
        <f t="shared" si="39"/>
        <v xml:space="preserve"> </v>
      </c>
      <c r="GW16" s="2054">
        <f t="shared" si="93"/>
        <v>0</v>
      </c>
      <c r="GX16" s="2042">
        <f t="shared" si="94"/>
        <v>0</v>
      </c>
      <c r="GY16" s="2042" t="str">
        <f t="shared" si="42"/>
        <v>a</v>
      </c>
      <c r="GZ16" s="2055">
        <f t="shared" si="95"/>
        <v>0</v>
      </c>
      <c r="HA16" s="2055">
        <f t="shared" si="96"/>
        <v>0</v>
      </c>
      <c r="HB16" s="2055"/>
      <c r="HC16" s="2046">
        <f t="shared" si="97"/>
        <v>0</v>
      </c>
      <c r="HD16" s="2055">
        <f t="shared" si="98"/>
        <v>0</v>
      </c>
      <c r="HE16" s="2055">
        <f t="shared" si="99"/>
        <v>0</v>
      </c>
      <c r="HF16" s="2055">
        <f t="shared" si="100"/>
        <v>0</v>
      </c>
      <c r="HG16" s="2282" cm="1">
        <f t="array" ref="HG16">IF(AND(HE16=0,GJ16=0),0,IF(HE16=0,1,IF(OR(GJ16*1000/HE16/HF16&gt;INDEX(Pflanzen!$AD$5:$AD$109,CX16)/INDEX(Pflanzen!$M$5:$M$109,CX16)*$HG$1,GJ16*1000/HE16/HF16&lt;INDEX(Pflanzen!$AD$5:$AD$109,CX16)/INDEX(Pflanzen!$M$5:$M$109,CX16)/$HG$1),1,0)))</f>
        <v>0</v>
      </c>
      <c r="HH16" s="2282" cm="1">
        <f t="array" ref="HH16">IF(AND(GK16=0,HE16=0),0,IF(HE16=0,1,IF(OR(GK16*1000/HE16/HF16&gt;INDEX(Pflanzen!$AE$5:$AE$109,CX16)/INDEX(Pflanzen!$M$5:$M$109,CX16)*$HG$1,GK16*1000/HE16/HF16&lt;INDEX(Pflanzen!$AE$5:$AE$109,CX16)/INDEX(Pflanzen!$M$5:$M$109,CX16)/$HG$1),1,0)))</f>
        <v>0</v>
      </c>
      <c r="HI16" s="2042">
        <f t="shared" si="101"/>
        <v>3</v>
      </c>
      <c r="HJ16" s="2042"/>
      <c r="HL16" s="2042"/>
      <c r="HM16" s="2052" t="str">
        <f>Tiere!B42</f>
        <v>Zuchtsauen mit 25 Ferkel bis 8 kg, Standard</v>
      </c>
      <c r="HN16" s="2042">
        <v>13</v>
      </c>
      <c r="HO16" s="2053">
        <f>SUMIF('Berechnung Nährstoffe und Lager'!$BM$68:$BM$81,'Lagerhaltung (freiwillig)'!HN16,'Berechnung Nährstoffe und Lager'!$Z$68:$Z$81)+SUMIF('Berechnung Nährstoffe und Lager'!$BM$68:$BM$81,'Lagerhaltung (freiwillig)'!HN16,'Berechnung Nährstoffe und Lager'!$AA$68:$AA$81)</f>
        <v>0</v>
      </c>
      <c r="HP16" s="2042" cm="1">
        <f t="array" ref="HP16">INDEX(Tiere!$C$30:$C$85,'Lagerhaltung (freiwillig)'!HN16)</f>
        <v>2</v>
      </c>
      <c r="HQ16" s="2042" cm="1">
        <f t="array" ref="HQ16">INDEX(Tiere!$H$30:$H$85,'Lagerhaltung (freiwillig)'!HN16)</f>
        <v>0</v>
      </c>
      <c r="HR16" s="2042">
        <f t="shared" si="12"/>
        <v>0</v>
      </c>
      <c r="HS16" s="2042" cm="1">
        <f t="array" ref="HS16">INDEX(Tiere!$I$30:$I$85,'Lagerhaltung (freiwillig)'!HN16)</f>
        <v>0</v>
      </c>
      <c r="HT16" s="2042">
        <f t="shared" si="13"/>
        <v>0</v>
      </c>
      <c r="HU16" s="2042" cm="1">
        <f t="array" ref="HU16">INDEX(Tiere!$BC$30:$BC$85,'Lagerhaltung (freiwillig)'!HN16)</f>
        <v>5.12</v>
      </c>
      <c r="HV16" s="2042">
        <f t="shared" si="6"/>
        <v>0</v>
      </c>
      <c r="HW16" s="2042" cm="1">
        <f t="array" ref="HW16">INDEX(Tiere!$BD$30:$BD$85,'Lagerhaltung (freiwillig)'!HN16)</f>
        <v>2.34</v>
      </c>
      <c r="HX16" s="2042">
        <f t="shared" si="7"/>
        <v>0</v>
      </c>
      <c r="HY16" s="2042"/>
      <c r="HZ16" s="2042"/>
      <c r="IA16" s="2042"/>
      <c r="IB16" s="2042"/>
      <c r="IC16" s="2042"/>
      <c r="ID16" s="2042"/>
      <c r="IE16" s="2042"/>
      <c r="IF16" s="2042"/>
      <c r="IG16" s="2042"/>
      <c r="IH16" s="2042"/>
      <c r="II16" s="2042"/>
      <c r="IJ16" s="2042"/>
    </row>
    <row r="17" spans="1:244" ht="15.6" customHeight="1" x14ac:dyDescent="0.2">
      <c r="A17" s="1159"/>
      <c r="B17" s="1160"/>
      <c r="C17" s="1160"/>
      <c r="D17" s="1160"/>
      <c r="E17" s="1160"/>
      <c r="F17" s="2014" cm="1">
        <f t="array" ref="F17">INDEX(Pflanzen!$M$5:$M$109,BR17)</f>
        <v>0</v>
      </c>
      <c r="G17" s="2015" cm="1">
        <f t="array" ref="G17">INDEX(Pflanzen!$AD$5:$AD$109,BR17)</f>
        <v>0</v>
      </c>
      <c r="H17" s="2299" cm="1">
        <f t="array" ref="H17">INDEX(Pflanzen!$AE$5:$AE$109,BR17)</f>
        <v>0</v>
      </c>
      <c r="I17" s="1259"/>
      <c r="J17" s="1256"/>
      <c r="K17" s="1259"/>
      <c r="L17" s="1970"/>
      <c r="M17" s="1246"/>
      <c r="N17" s="1870"/>
      <c r="O17" s="1870"/>
      <c r="P17" s="2211"/>
      <c r="Q17" s="2196"/>
      <c r="R17" s="1970"/>
      <c r="S17" s="1246"/>
      <c r="T17" s="1256"/>
      <c r="U17" s="1159"/>
      <c r="V17" s="2316" t="str">
        <f t="shared" si="82"/>
        <v/>
      </c>
      <c r="Y17" s="2005" t="str" cm="1">
        <f t="array" ref="Y17">IFERROR(INDEX($CW$4:$CW$171,AY17),"")</f>
        <v/>
      </c>
      <c r="Z17" s="510"/>
      <c r="AA17" s="510"/>
      <c r="AB17" s="510"/>
      <c r="AC17" s="2031" t="str" cm="1">
        <f t="array" ref="AC17">IFERROR(INDEX($GL$4:$GL$171,AY17),"")</f>
        <v/>
      </c>
      <c r="AD17" s="2031" t="str" cm="1">
        <f t="array" ref="AD17">IFERROR(INDEX($GM$4:$GM$171,AY17),"")</f>
        <v/>
      </c>
      <c r="AE17" s="2031" t="str" cm="1">
        <f t="array" ref="AE17">IFERROR(INDEX($GH$4:$GH$171,AY17),"")</f>
        <v/>
      </c>
      <c r="AF17" s="2031" t="str" cm="1">
        <f t="array" ref="AF17">IFERROR(INDEX($GI$4:$GI$171,AY17),"")</f>
        <v/>
      </c>
      <c r="AG17" s="2031" t="str" cm="1">
        <f t="array" ref="AG17">IFERROR(INDEX($GO$4:$GO$171,AY17),"")</f>
        <v/>
      </c>
      <c r="AH17" s="2031" t="str" cm="1">
        <f t="array" ref="AH17">IFERROR(INDEX($GP$4:$GP$171,AY17),"")</f>
        <v/>
      </c>
      <c r="AI17" s="2031" t="str" cm="1">
        <f t="array" ref="AI17">IFERROR(INDEX($GF$4:$GF$171,AY17),"")</f>
        <v/>
      </c>
      <c r="AJ17" s="2031" t="str" cm="1">
        <f t="array" ref="AJ17">IFERROR(INDEX($GG$4:$GG$171,AY17),"")</f>
        <v/>
      </c>
      <c r="AK17" s="2031" t="str" cm="1">
        <f t="array" ref="AK17">IFERROR(INDEX($GS$4:$GS$171,AY17),"")</f>
        <v/>
      </c>
      <c r="AL17" s="2032" t="str" cm="1">
        <f t="array" ref="AL17">IFERROR(INDEX($GT$4:$GT$171,AY17),"")</f>
        <v/>
      </c>
      <c r="AM17" s="2031" t="str" cm="1">
        <f t="array" ref="AM17">IFERROR(INDEX($GB$4:$GB$171,AY17),"")</f>
        <v/>
      </c>
      <c r="AN17" s="2031" t="str" cm="1">
        <f t="array" ref="AN17">IFERROR(INDEX($GC$4:$GC$171,AY17),"")</f>
        <v/>
      </c>
      <c r="AO17" s="2032" t="str" cm="1">
        <f t="array" ref="AO17">IFERROR(INDEX($GU$4:$GU$171,AY17),"")</f>
        <v/>
      </c>
      <c r="AP17" s="2032" t="str" cm="1">
        <f t="array" ref="AP17">IFERROR(INDEX($GX$4:$GX$171,AY17),"")</f>
        <v/>
      </c>
      <c r="AQ17" s="1316"/>
      <c r="AR17" s="2031" t="str" cm="1">
        <f t="array" ref="AR17">IFERROR(INDEX($HD$4:$HD$171,AY17),"")</f>
        <v/>
      </c>
      <c r="AS17" s="2031" t="str" cm="1">
        <f t="array" ref="AS17">IFERROR(INDEX($HE$4:$HE$171,AY17),"")</f>
        <v/>
      </c>
      <c r="AT17" s="2031" t="str" cm="1">
        <f t="array" ref="AT17">IFERROR(INDEX($HF$4:$HF$171,AY17),"")</f>
        <v/>
      </c>
      <c r="AU17" s="2031" t="str" cm="1">
        <f t="array" ref="AU17">IFERROR(INDEX($GJ$4:$GJ$171,AY17),"")</f>
        <v/>
      </c>
      <c r="AV17" s="2031" t="str" cm="1">
        <f t="array" ref="AV17">IFERROR(INDEX($GK$4:$GK$171,AY17),"")</f>
        <v/>
      </c>
      <c r="AY17" s="2042" t="str" cm="1">
        <f t="array" ref="AY17">IFERROR(SMALL(IF($HI$4:$HI$171=1,ROW($HI$4:$HI$171)-3),ROW(W5)),IFERROR(SMALL(IF($HI$4:$HI$171=2,ROW($HI$4:$HI$171)-3),ROW(W5)-COUNTIF($HI$4:$HI$171,1)),IFERROR(SMALL(IF($HI$4:$HI$171=0,ROW($HI$4:$HI$171)-3),ROW(W5)-COUNTIF($HI$4:$HI$171,1)-COUNTIF($HI$4:$HI$171,2)),"")))</f>
        <v/>
      </c>
      <c r="AZ17" s="2042" t="str">
        <f t="shared" si="59"/>
        <v>a</v>
      </c>
      <c r="BA17" s="2053" t="e">
        <f t="shared" si="60"/>
        <v>#VALUE!</v>
      </c>
      <c r="BB17" s="2053" cm="1">
        <f t="array" ref="BB17">IFERROR(INDEX($HI$4:$HI$171,AY17),0)</f>
        <v>0</v>
      </c>
      <c r="BC17" s="2053">
        <f t="shared" si="61"/>
        <v>0</v>
      </c>
      <c r="BD17" s="2053"/>
      <c r="BE17" s="2307"/>
      <c r="BF17" s="2307"/>
      <c r="BG17" s="2307"/>
      <c r="BH17" s="2307"/>
      <c r="BI17" s="2307"/>
      <c r="BJ17" s="2307"/>
      <c r="BK17" s="2307"/>
      <c r="BL17" s="2307"/>
      <c r="BM17" s="2307"/>
      <c r="BN17" s="2307"/>
      <c r="BO17" s="2307"/>
      <c r="BP17" s="2043"/>
      <c r="BQ17" s="2042"/>
      <c r="BR17" s="2042">
        <v>1</v>
      </c>
      <c r="BS17" s="2042"/>
      <c r="BT17" s="2042" t="b">
        <v>0</v>
      </c>
      <c r="BU17" s="2058"/>
      <c r="BV17" s="2058"/>
      <c r="BW17" s="2042">
        <f t="shared" si="62"/>
        <v>12</v>
      </c>
      <c r="BX17" s="2042">
        <f t="shared" si="63"/>
        <v>0</v>
      </c>
      <c r="BY17" s="2042">
        <f t="shared" si="64"/>
        <v>12</v>
      </c>
      <c r="BZ17" s="2042" cm="1">
        <f t="array" ref="BZ17">INDEX(Pflanzen!$AI$5:$AI$119,'Lagerhaltung (freiwillig)'!BR17)</f>
        <v>0</v>
      </c>
      <c r="CA17" s="2042" cm="1">
        <f t="array" ref="CA17">IF(BZ17=1,INDEX(Pflanzen!$AJ$5:$AJ$119,BR17),N17)</f>
        <v>0</v>
      </c>
      <c r="CB17" s="2042" cm="1">
        <f t="array" ref="CB17">IF(BZ17=1,INDEX(Pflanzen!$AK$5:$AK$119,BR17),O17)</f>
        <v>0</v>
      </c>
      <c r="CC17" s="2042">
        <f t="shared" si="65"/>
        <v>12</v>
      </c>
      <c r="CD17" s="2042">
        <f t="shared" si="66"/>
        <v>0</v>
      </c>
      <c r="CE17" s="2042">
        <f t="shared" si="67"/>
        <v>12</v>
      </c>
      <c r="CF17" s="2042" cm="1">
        <f t="array" ref="CF17">INDEX(Pflanzen!$F$5:$F$119,BR17)</f>
        <v>0</v>
      </c>
      <c r="CG17" s="2042" cm="1">
        <f t="array" ref="CG17">INDEX(Pflanzen!$H$5:$H$119,BR17)</f>
        <v>0</v>
      </c>
      <c r="CH17" s="2042">
        <f t="shared" si="68"/>
        <v>0</v>
      </c>
      <c r="CI17" s="2042">
        <f t="shared" si="69"/>
        <v>0</v>
      </c>
      <c r="CJ17" s="2042">
        <f t="shared" si="70"/>
        <v>0</v>
      </c>
      <c r="CK17" s="2042">
        <f t="shared" si="71"/>
        <v>0</v>
      </c>
      <c r="CL17" s="2042">
        <f t="shared" si="72"/>
        <v>0</v>
      </c>
      <c r="CM17" s="2042">
        <f t="shared" si="73"/>
        <v>0</v>
      </c>
      <c r="CN17" s="2042">
        <f t="shared" si="74"/>
        <v>0</v>
      </c>
      <c r="CO17" s="2042">
        <f t="shared" si="75"/>
        <v>0</v>
      </c>
      <c r="CP17" s="2042">
        <f t="shared" si="76"/>
        <v>0</v>
      </c>
      <c r="CQ17" s="2042">
        <f t="shared" si="77"/>
        <v>0</v>
      </c>
      <c r="CR17" s="2042">
        <f t="shared" si="78"/>
        <v>0</v>
      </c>
      <c r="CS17" s="2042">
        <f t="shared" si="79"/>
        <v>0</v>
      </c>
      <c r="CT17" s="2042">
        <f t="shared" si="80"/>
        <v>0</v>
      </c>
      <c r="CU17" s="2042">
        <f t="shared" si="81"/>
        <v>0</v>
      </c>
      <c r="CV17" s="2042"/>
      <c r="CW17" s="609" t="str">
        <f>Pflanzen!A13</f>
        <v xml:space="preserve">Wintergerste </v>
      </c>
      <c r="CX17" s="2042">
        <f>IFERROR(MATCH($CW17,Pflanzen!$C$5:$C$119,0),1)</f>
        <v>9</v>
      </c>
      <c r="CY17" s="609" cm="1">
        <f t="array" ref="CY17">INDEX(Pflanzen!$I$5:$I$119,'Lagerhaltung (freiwillig)'!CX17)</f>
        <v>2</v>
      </c>
      <c r="CZ17" s="2042">
        <f t="shared" si="30"/>
        <v>0</v>
      </c>
      <c r="DA17" s="2042">
        <f t="shared" si="30"/>
        <v>0</v>
      </c>
      <c r="DB17" s="2042">
        <f t="shared" si="30"/>
        <v>0</v>
      </c>
      <c r="DC17" s="2042">
        <f t="shared" si="30"/>
        <v>0</v>
      </c>
      <c r="DD17" s="2042">
        <f t="shared" si="30"/>
        <v>0</v>
      </c>
      <c r="DE17" s="2042">
        <f t="shared" si="30"/>
        <v>0</v>
      </c>
      <c r="DF17" s="2042">
        <f t="shared" si="30"/>
        <v>0</v>
      </c>
      <c r="DG17" s="2042">
        <f t="shared" si="30"/>
        <v>0</v>
      </c>
      <c r="DH17" s="2042">
        <f t="shared" si="30"/>
        <v>0</v>
      </c>
      <c r="DI17" s="2042">
        <f t="shared" si="30"/>
        <v>0</v>
      </c>
      <c r="DJ17" s="2042">
        <f t="shared" si="30"/>
        <v>0</v>
      </c>
      <c r="DK17" s="2042">
        <f t="shared" si="30"/>
        <v>0</v>
      </c>
      <c r="DL17" s="2042"/>
      <c r="DM17" s="2042">
        <f t="shared" si="31"/>
        <v>0</v>
      </c>
      <c r="DN17" s="2042">
        <f t="shared" si="31"/>
        <v>0</v>
      </c>
      <c r="DO17" s="2042">
        <f t="shared" si="31"/>
        <v>0</v>
      </c>
      <c r="DP17" s="2042">
        <f t="shared" si="31"/>
        <v>0</v>
      </c>
      <c r="DQ17" s="2042">
        <f t="shared" si="31"/>
        <v>0</v>
      </c>
      <c r="DR17" s="2042">
        <f t="shared" si="31"/>
        <v>0</v>
      </c>
      <c r="DS17" s="2042">
        <f t="shared" si="31"/>
        <v>0</v>
      </c>
      <c r="DT17" s="2042">
        <f t="shared" si="31"/>
        <v>0</v>
      </c>
      <c r="DU17" s="2042">
        <f t="shared" si="31"/>
        <v>0</v>
      </c>
      <c r="DV17" s="2042">
        <f t="shared" si="31"/>
        <v>0</v>
      </c>
      <c r="DW17" s="2042">
        <f t="shared" si="31"/>
        <v>0</v>
      </c>
      <c r="DX17" s="2042">
        <f t="shared" si="31"/>
        <v>0</v>
      </c>
      <c r="DY17" s="2042"/>
      <c r="DZ17" s="2042">
        <f t="shared" si="32"/>
        <v>0</v>
      </c>
      <c r="EA17" s="2042">
        <f t="shared" si="32"/>
        <v>0</v>
      </c>
      <c r="EB17" s="2042">
        <f t="shared" si="32"/>
        <v>0</v>
      </c>
      <c r="EC17" s="2042">
        <f t="shared" si="32"/>
        <v>0</v>
      </c>
      <c r="ED17" s="2042">
        <f t="shared" si="32"/>
        <v>0</v>
      </c>
      <c r="EE17" s="2042">
        <f t="shared" si="32"/>
        <v>0</v>
      </c>
      <c r="EF17" s="2042">
        <f t="shared" si="32"/>
        <v>0</v>
      </c>
      <c r="EG17" s="2042">
        <f t="shared" si="32"/>
        <v>0</v>
      </c>
      <c r="EH17" s="2042">
        <f t="shared" si="32"/>
        <v>0</v>
      </c>
      <c r="EI17" s="2042">
        <f t="shared" si="32"/>
        <v>0</v>
      </c>
      <c r="EJ17" s="2042">
        <f t="shared" si="32"/>
        <v>0</v>
      </c>
      <c r="EK17" s="2042">
        <f t="shared" si="32"/>
        <v>0</v>
      </c>
      <c r="EL17" s="2042"/>
      <c r="EM17" s="2042">
        <f t="shared" si="33"/>
        <v>0</v>
      </c>
      <c r="EN17" s="2042">
        <f t="shared" si="33"/>
        <v>0</v>
      </c>
      <c r="EO17" s="2042">
        <f t="shared" si="33"/>
        <v>0</v>
      </c>
      <c r="EP17" s="2042">
        <f t="shared" si="33"/>
        <v>0</v>
      </c>
      <c r="EQ17" s="2042">
        <f t="shared" si="33"/>
        <v>0</v>
      </c>
      <c r="ER17" s="2042">
        <f t="shared" si="33"/>
        <v>0</v>
      </c>
      <c r="ES17" s="2042">
        <f t="shared" si="33"/>
        <v>0</v>
      </c>
      <c r="ET17" s="2042">
        <f t="shared" si="33"/>
        <v>0</v>
      </c>
      <c r="EU17" s="2042">
        <f t="shared" si="33"/>
        <v>0</v>
      </c>
      <c r="EV17" s="2042">
        <f t="shared" si="33"/>
        <v>0</v>
      </c>
      <c r="EW17" s="2042">
        <f t="shared" si="33"/>
        <v>0</v>
      </c>
      <c r="EX17" s="2042">
        <f t="shared" si="33"/>
        <v>0</v>
      </c>
      <c r="EY17" s="2042"/>
      <c r="EZ17" s="2045">
        <f t="shared" si="50"/>
        <v>0</v>
      </c>
      <c r="FA17" s="2042">
        <f>EZ17+CZ17+DZ17                 -         SUMIF('Berechnung Nährstoffe und Lager'!$AX$113:$AX$155,$CX17,'Berechnung Nährstoffe und Lager'!$U$113:$U$155)/12  -$GB17*$HC17/12</f>
        <v>0</v>
      </c>
      <c r="FB17" s="2042">
        <f>FA17+DA17+EA17                 -         SUMIF('Berechnung Nährstoffe und Lager'!$AX$113:$AX$155,$CX17,'Berechnung Nährstoffe und Lager'!$U$113:$U$155)/12  -$GB17*$HC17/12</f>
        <v>0</v>
      </c>
      <c r="FC17" s="2042">
        <f>FB17+DB17+EB17                 -         SUMIF('Berechnung Nährstoffe und Lager'!$AX$113:$AX$155,$CX17,'Berechnung Nährstoffe und Lager'!$U$113:$U$155)/12  -$GB17*$HC17/12</f>
        <v>0</v>
      </c>
      <c r="FD17" s="2042">
        <f>FC17+DC17+EC17                 -         SUMIF('Berechnung Nährstoffe und Lager'!$AX$113:$AX$155,$CX17,'Berechnung Nährstoffe und Lager'!$U$113:$U$155)/12  -$GB17*$HC17/12</f>
        <v>0</v>
      </c>
      <c r="FE17" s="2042">
        <f>FD17+DD17+ED17                 -         SUMIF('Berechnung Nährstoffe und Lager'!$AX$113:$AX$155,$CX17,'Berechnung Nährstoffe und Lager'!$U$113:$U$155)/12  -$GB17*$HC17/12</f>
        <v>0</v>
      </c>
      <c r="FF17" s="2042">
        <f>FE17+DE17+EE17                 -         SUMIF('Berechnung Nährstoffe und Lager'!$AX$113:$AX$155,$CX17,'Berechnung Nährstoffe und Lager'!$U$113:$U$155)/12  -$GB17*$HC17/12</f>
        <v>0</v>
      </c>
      <c r="FG17" s="2042">
        <f>FF17+DF17+EF17                 -         SUMIF('Berechnung Nährstoffe und Lager'!$AX$113:$AX$155,$CX17,'Berechnung Nährstoffe und Lager'!$U$113:$U$155)/12  -$GB17*$HC17/12</f>
        <v>0</v>
      </c>
      <c r="FH17" s="2042">
        <f>FG17+DG17+EG17                 -         SUMIF('Berechnung Nährstoffe und Lager'!$AX$113:$AX$155,$CX17,'Berechnung Nährstoffe und Lager'!$U$113:$U$155)/12  -$GB17*$HC17/12</f>
        <v>0</v>
      </c>
      <c r="FI17" s="2042">
        <f>FH17+DH17+EH17                 -         SUMIF('Berechnung Nährstoffe und Lager'!$AX$113:$AX$155,$CX17,'Berechnung Nährstoffe und Lager'!$U$113:$U$155)/12  -$GB17*$HC17/12</f>
        <v>0</v>
      </c>
      <c r="FJ17" s="2042">
        <f>FI17+DI17+EI17                 -         SUMIF('Berechnung Nährstoffe und Lager'!$AX$113:$AX$155,$CX17,'Berechnung Nährstoffe und Lager'!$U$113:$U$155)/12  -$GB17*$HC17/12</f>
        <v>0</v>
      </c>
      <c r="FK17" s="2042">
        <f>FJ17+DJ17+EJ17                 -         SUMIF('Berechnung Nährstoffe und Lager'!$AX$113:$AX$155,$CX17,'Berechnung Nährstoffe und Lager'!$U$113:$U$155)/12  -$GB17*$HC17/12</f>
        <v>0</v>
      </c>
      <c r="FL17" s="2042">
        <f>FK17+DK17+EK17                 -         SUMIF('Berechnung Nährstoffe und Lager'!$AX$113:$AX$155,$CX17,'Berechnung Nährstoffe und Lager'!$U$113:$U$155)/12  -$GB17*$HC17/12</f>
        <v>0</v>
      </c>
      <c r="FM17" s="2042"/>
      <c r="FN17" s="2045">
        <f t="shared" si="51"/>
        <v>0</v>
      </c>
      <c r="FO17" s="2042">
        <f>FN17+DM17+EM17                 -         SUMIF('Berechnung Nährstoffe und Lager'!$AX$113:$AX$155,$CX17,'Berechnung Nährstoffe und Lager'!$V$113:$V$155)/12  -$GC17*$HC17/12</f>
        <v>0</v>
      </c>
      <c r="FP17" s="2042">
        <f>FO17+DN17+EN17                 -         SUMIF('Berechnung Nährstoffe und Lager'!$AX$113:$AX$155,$CX17,'Berechnung Nährstoffe und Lager'!$V$113:$V$155)/12  -$GC17*$HC17/12</f>
        <v>0</v>
      </c>
      <c r="FQ17" s="2042">
        <f>FP17+DO17+EO17                 -         SUMIF('Berechnung Nährstoffe und Lager'!$AX$113:$AX$155,$CX17,'Berechnung Nährstoffe und Lager'!$V$113:$V$155)/12  -$GC17*$HC17/12</f>
        <v>0</v>
      </c>
      <c r="FR17" s="2042">
        <f>FQ17+DP17+EP17                 -         SUMIF('Berechnung Nährstoffe und Lager'!$AX$113:$AX$155,$CX17,'Berechnung Nährstoffe und Lager'!$V$113:$V$155)/12  -$GC17*$HC17/12</f>
        <v>0</v>
      </c>
      <c r="FS17" s="2042">
        <f>FR17+DQ17+EQ17                 -         SUMIF('Berechnung Nährstoffe und Lager'!$AX$113:$AX$155,$CX17,'Berechnung Nährstoffe und Lager'!$V$113:$V$155)/12  -$GC17*$HC17/12</f>
        <v>0</v>
      </c>
      <c r="FT17" s="2042">
        <f>FS17+DR17+ER17                 -         SUMIF('Berechnung Nährstoffe und Lager'!$AX$113:$AX$155,$CX17,'Berechnung Nährstoffe und Lager'!$V$113:$V$155)/12  -$GC17*$HC17/12</f>
        <v>0</v>
      </c>
      <c r="FU17" s="2042">
        <f>FT17+DS17+ES17                 -         SUMIF('Berechnung Nährstoffe und Lager'!$AX$113:$AX$155,$CX17,'Berechnung Nährstoffe und Lager'!$V$113:$V$155)/12  -$GC17*$HC17/12</f>
        <v>0</v>
      </c>
      <c r="FV17" s="2042">
        <f>FU17+DT17+ET17                 -         SUMIF('Berechnung Nährstoffe und Lager'!$AX$113:$AX$155,$CX17,'Berechnung Nährstoffe und Lager'!$V$113:$V$155)/12  -$GC17*$HC17/12</f>
        <v>0</v>
      </c>
      <c r="FW17" s="2042">
        <f>FV17+DU17+EU17                 -         SUMIF('Berechnung Nährstoffe und Lager'!$AX$113:$AX$155,$CX17,'Berechnung Nährstoffe und Lager'!$V$113:$V$155)/12  -$GC17*$HC17/12</f>
        <v>0</v>
      </c>
      <c r="FX17" s="2042">
        <f>FW17+DV17+EV17                 -         SUMIF('Berechnung Nährstoffe und Lager'!$AX$113:$AX$155,$CX17,'Berechnung Nährstoffe und Lager'!$V$113:$V$155)/12  -$GC17*$HC17/12</f>
        <v>0</v>
      </c>
      <c r="FY17" s="2042">
        <f>FX17+DW17+EW17                 -         SUMIF('Berechnung Nährstoffe und Lager'!$AX$113:$AX$155,$CX17,'Berechnung Nährstoffe und Lager'!$V$113:$V$155)/12  -$GC17*$HC17/12</f>
        <v>0</v>
      </c>
      <c r="FZ17" s="2042">
        <f>FY17+DX17+EX17                 -         SUMIF('Berechnung Nährstoffe und Lager'!$AX$113:$AX$155,$CX17,'Berechnung Nährstoffe und Lager'!$V$113:$V$155)/12  -$GC17*$HC17/12</f>
        <v>0</v>
      </c>
      <c r="GA17" s="2042"/>
      <c r="GB17" s="2042">
        <f>SUMIFS($CI$14:$CI$68,$BR$14:$BR$68,$CX17)+SUMIFS($CM$14:$CM$68,$BR$14:$BR$68,$CX17)+SUMIFS($CR$14:$CR$68,$BR$14:$BR$68,$CX17)  -         SUMIF('Berechnung Nährstoffe und Lager'!$AX$113:$AX$155,$CX17,'Berechnung Nährstoffe und Lager'!$U$113:$U$155)</f>
        <v>0</v>
      </c>
      <c r="GC17" s="2042">
        <f>SUMIFS($CJ$14:$CJ$68,$BR$14:$BR$68,$CX17)+SUMIFS($CO$14:$CO$68,$BR$14:$BR$68,$CX17)+SUMIFS($CT$14:$CT$68,$BR$14:$BR$68,$CX17)  -         SUMIF('Berechnung Nährstoffe und Lager'!$AX$113:$AX$155,$CX17,'Berechnung Nährstoffe und Lager'!$V$113:$V$155)</f>
        <v>0</v>
      </c>
      <c r="GD17" s="2042"/>
      <c r="GE17" s="2042"/>
      <c r="GF17" s="2042">
        <f>SUMIF('Berechnung Nährstoffe und Lager'!$AX$113:$AX$155,$CX17,'Berechnung Nährstoffe und Lager'!$U$113:$U$155)</f>
        <v>0</v>
      </c>
      <c r="GG17" s="2042">
        <f>SUMIF('Berechnung Nährstoffe und Lager'!$AX$113:$AX$155,$CX17,'Berechnung Nährstoffe und Lager'!$V$113:$V$155)</f>
        <v>0</v>
      </c>
      <c r="GH17" s="2042">
        <f t="shared" si="52"/>
        <v>0</v>
      </c>
      <c r="GI17" s="2042">
        <f t="shared" si="53"/>
        <v>0</v>
      </c>
      <c r="GJ17" s="2042">
        <f t="shared" si="34"/>
        <v>0</v>
      </c>
      <c r="GK17" s="2042">
        <f t="shared" si="35"/>
        <v>0</v>
      </c>
      <c r="GL17" s="2042">
        <f t="shared" si="36"/>
        <v>0</v>
      </c>
      <c r="GM17" s="2042" cm="1">
        <f t="array" ref="GM17">IF(GL17=0,0,(IFERROR(SUMPRODUCT($J$14:$J$68,$CH$14:$CH$68,($BR$14:$BR$68=CX17)*1)+SUMPRODUCT($L$14:$L$68,$M$14:$M$68,$CK$14:$CK$68,($BR$14:$BR$68=CX17)*1,($BT$14:$BT$68=FALSE)*1)/10+SUMPRODUCT($R$14:$R$68,$CP$14:$CP$68,($BR$14:$BR$68=CX17)*1),0))/GL17)</f>
        <v>0</v>
      </c>
      <c r="GN17" s="2042">
        <f t="shared" si="54"/>
        <v>0</v>
      </c>
      <c r="GO17" s="2042">
        <f>(SUMIF('Berechnung Nährstoffe und Lager'!$AX$113:$AX$130,'Lagerhaltung (freiwillig)'!CX17,'Berechnung Nährstoffe und Lager'!$D$113:$D$130)+SUMIF('Berechnung Nährstoffe und Lager'!$AX$137:$AX$155,'Lagerhaltung (freiwillig)'!CX17,'Berechnung Nährstoffe und Lager'!$E$137:$E$155))</f>
        <v>0</v>
      </c>
      <c r="GP17" s="2042" cm="1">
        <f t="array" ref="GP17">IF(GO17=0,0,(IFERROR(SUMPRODUCT('Berechnung Nährstoffe und Lager'!$D$113:$D$130,'Berechnung Nährstoffe und Lager'!$F$113:$F$130,('Berechnung Nährstoffe und Lager'!$AX$113:$AX$130='Lagerhaltung (freiwillig)'!CX17)*1)+SUMPRODUCT('Berechnung Nährstoffe und Lager'!$E$137:$E$155,'Berechnung Nährstoffe und Lager'!$F$137:$F$155,('Berechnung Nährstoffe und Lager'!$AX$137:$AX$155='Lagerhaltung (freiwillig)'!CX17)*1),0))/GO17)</f>
        <v>0</v>
      </c>
      <c r="GQ17" s="2042">
        <f t="shared" si="55"/>
        <v>0</v>
      </c>
      <c r="GR17" s="2042">
        <f t="shared" si="56"/>
        <v>0</v>
      </c>
      <c r="GS17" s="2042">
        <f t="shared" si="57"/>
        <v>0</v>
      </c>
      <c r="GT17" s="2042">
        <f t="shared" si="58"/>
        <v>0</v>
      </c>
      <c r="GU17" s="2045" t="str">
        <f t="shared" si="39"/>
        <v xml:space="preserve"> </v>
      </c>
      <c r="GV17" s="2045" t="str">
        <f t="shared" si="39"/>
        <v xml:space="preserve"> </v>
      </c>
      <c r="GW17" s="2054">
        <f t="shared" si="40"/>
        <v>0</v>
      </c>
      <c r="GX17" s="2042">
        <f t="shared" si="41"/>
        <v>0</v>
      </c>
      <c r="GY17" s="2042" t="str">
        <f t="shared" si="42"/>
        <v>a</v>
      </c>
      <c r="GZ17" s="2055">
        <f t="shared" si="43"/>
        <v>0</v>
      </c>
      <c r="HA17" s="2055">
        <f t="shared" si="44"/>
        <v>0</v>
      </c>
      <c r="HB17" s="2055"/>
      <c r="HC17" s="2046">
        <f t="shared" si="45"/>
        <v>0</v>
      </c>
      <c r="HD17" s="2055">
        <f t="shared" si="46"/>
        <v>0</v>
      </c>
      <c r="HE17" s="2055">
        <f t="shared" si="47"/>
        <v>0</v>
      </c>
      <c r="HF17" s="2055">
        <f t="shared" si="48"/>
        <v>0</v>
      </c>
      <c r="HG17" s="2282" cm="1">
        <f t="array" ref="HG17">IF(AND(HE17=0,GJ17=0),0,IF(HE17=0,1,IF(OR(GJ17*1000/HE17/HF17&gt;INDEX(Pflanzen!$AD$5:$AD$109,CX17)/INDEX(Pflanzen!$M$5:$M$109,CX17)*$HG$1,GJ17*1000/HE17/HF17&lt;INDEX(Pflanzen!$AD$5:$AD$109,CX17)/INDEX(Pflanzen!$M$5:$M$109,CX17)/$HG$1),1,0)))</f>
        <v>0</v>
      </c>
      <c r="HH17" s="2282" cm="1">
        <f t="array" ref="HH17">IF(AND(GK17=0,HE17=0),0,IF(HE17=0,1,IF(OR(GK17*1000/HE17/HF17&gt;INDEX(Pflanzen!$AE$5:$AE$109,CX17)/INDEX(Pflanzen!$M$5:$M$109,CX17)*$HG$1,GK17*1000/HE17/HF17&lt;INDEX(Pflanzen!$AE$5:$AE$109,CX17)/INDEX(Pflanzen!$M$5:$M$109,CX17)/$HG$1),1,0)))</f>
        <v>0</v>
      </c>
      <c r="HI17" s="2042">
        <f t="shared" si="49"/>
        <v>3</v>
      </c>
      <c r="HJ17" s="2042"/>
      <c r="HL17" s="2042"/>
      <c r="HM17" s="2052" t="str">
        <f>Tiere!B43</f>
        <v xml:space="preserve">Zuchtsauen mit 25 Ferkel bis 8 kg, N-/P-reduziert </v>
      </c>
      <c r="HN17" s="2042">
        <v>14</v>
      </c>
      <c r="HO17" s="2053">
        <f>SUMIF('Berechnung Nährstoffe und Lager'!$BM$68:$BM$81,'Lagerhaltung (freiwillig)'!HN17,'Berechnung Nährstoffe und Lager'!$Z$68:$Z$81)+SUMIF('Berechnung Nährstoffe und Lager'!$BM$68:$BM$81,'Lagerhaltung (freiwillig)'!HN17,'Berechnung Nährstoffe und Lager'!$AA$68:$AA$81)</f>
        <v>0</v>
      </c>
      <c r="HP17" s="2042" cm="1">
        <f t="array" ref="HP17">INDEX(Tiere!$C$30:$C$85,'Lagerhaltung (freiwillig)'!HN17)</f>
        <v>2</v>
      </c>
      <c r="HQ17" s="2042" cm="1">
        <f t="array" ref="HQ17">INDEX(Tiere!$H$30:$H$85,'Lagerhaltung (freiwillig)'!HN17)</f>
        <v>0</v>
      </c>
      <c r="HR17" s="2042">
        <f t="shared" si="12"/>
        <v>0</v>
      </c>
      <c r="HS17" s="2042" cm="1">
        <f t="array" ref="HS17">INDEX(Tiere!$I$30:$I$85,'Lagerhaltung (freiwillig)'!HN17)</f>
        <v>0</v>
      </c>
      <c r="HT17" s="2042">
        <f t="shared" si="13"/>
        <v>0</v>
      </c>
      <c r="HU17" s="2042" cm="1">
        <f t="array" ref="HU17">INDEX(Tiere!$BC$30:$BC$85,'Lagerhaltung (freiwillig)'!HN17)</f>
        <v>5.12</v>
      </c>
      <c r="HV17" s="2042">
        <f t="shared" si="6"/>
        <v>0</v>
      </c>
      <c r="HW17" s="2042" cm="1">
        <f t="array" ref="HW17">INDEX(Tiere!$BD$30:$BD$85,'Lagerhaltung (freiwillig)'!HN17)</f>
        <v>2.34</v>
      </c>
      <c r="HX17" s="2042">
        <f t="shared" si="7"/>
        <v>0</v>
      </c>
      <c r="HY17" s="2042"/>
      <c r="HZ17" s="2042"/>
      <c r="IA17" s="2042"/>
      <c r="IB17" s="2042"/>
      <c r="IC17" s="2042"/>
      <c r="ID17" s="2042"/>
      <c r="IE17" s="2042"/>
      <c r="IF17" s="2042"/>
      <c r="IG17" s="2042"/>
      <c r="IH17" s="2042"/>
      <c r="II17" s="2042"/>
      <c r="IJ17" s="2042"/>
    </row>
    <row r="18" spans="1:244" ht="15.6" customHeight="1" x14ac:dyDescent="0.2">
      <c r="A18" s="1159"/>
      <c r="B18" s="1160"/>
      <c r="C18" s="1160"/>
      <c r="D18" s="1160"/>
      <c r="E18" s="1160"/>
      <c r="F18" s="2014" cm="1">
        <f t="array" ref="F18">INDEX(Pflanzen!$M$5:$M$109,BR18)</f>
        <v>0</v>
      </c>
      <c r="G18" s="2015" cm="1">
        <f t="array" ref="G18">INDEX(Pflanzen!$AD$5:$AD$109,BR18)</f>
        <v>0</v>
      </c>
      <c r="H18" s="2299" cm="1">
        <f t="array" ref="H18">INDEX(Pflanzen!$AE$5:$AE$109,BR18)</f>
        <v>0</v>
      </c>
      <c r="I18" s="1259"/>
      <c r="J18" s="1256"/>
      <c r="K18" s="1259"/>
      <c r="L18" s="1970"/>
      <c r="M18" s="1246"/>
      <c r="N18" s="1870"/>
      <c r="O18" s="1870"/>
      <c r="P18" s="2211"/>
      <c r="Q18" s="2196"/>
      <c r="R18" s="1970"/>
      <c r="S18" s="1246"/>
      <c r="T18" s="1256"/>
      <c r="U18" s="1322"/>
      <c r="V18" s="2316" t="str">
        <f t="shared" si="82"/>
        <v/>
      </c>
      <c r="Y18" s="2005" t="str" cm="1">
        <f t="array" ref="Y18">IFERROR(INDEX($CW$4:$CW$171,AY18),"")</f>
        <v/>
      </c>
      <c r="Z18" s="510"/>
      <c r="AA18" s="510"/>
      <c r="AB18" s="510"/>
      <c r="AC18" s="2031" t="str" cm="1">
        <f t="array" ref="AC18">IFERROR(INDEX($GL$4:$GL$171,AY18),"")</f>
        <v/>
      </c>
      <c r="AD18" s="2031" t="str" cm="1">
        <f t="array" ref="AD18">IFERROR(INDEX($GM$4:$GM$171,AY18),"")</f>
        <v/>
      </c>
      <c r="AE18" s="2031" t="str" cm="1">
        <f t="array" ref="AE18">IFERROR(INDEX($GH$4:$GH$171,AY18),"")</f>
        <v/>
      </c>
      <c r="AF18" s="2031" t="str" cm="1">
        <f t="array" ref="AF18">IFERROR(INDEX($GI$4:$GI$171,AY18),"")</f>
        <v/>
      </c>
      <c r="AG18" s="2031" t="str" cm="1">
        <f t="array" ref="AG18">IFERROR(INDEX($GO$4:$GO$171,AY18),"")</f>
        <v/>
      </c>
      <c r="AH18" s="2031" t="str" cm="1">
        <f t="array" ref="AH18">IFERROR(INDEX($GP$4:$GP$171,AY18),"")</f>
        <v/>
      </c>
      <c r="AI18" s="2031" t="str" cm="1">
        <f t="array" ref="AI18">IFERROR(INDEX($GF$4:$GF$171,AY18),"")</f>
        <v/>
      </c>
      <c r="AJ18" s="2031" t="str" cm="1">
        <f t="array" ref="AJ18">IFERROR(INDEX($GG$4:$GG$171,AY18),"")</f>
        <v/>
      </c>
      <c r="AK18" s="2031" t="str" cm="1">
        <f t="array" ref="AK18">IFERROR(INDEX($GS$4:$GS$171,AY18),"")</f>
        <v/>
      </c>
      <c r="AL18" s="2032" t="str" cm="1">
        <f t="array" ref="AL18">IFERROR(INDEX($GT$4:$GT$171,AY18),"")</f>
        <v/>
      </c>
      <c r="AM18" s="2031" t="str" cm="1">
        <f t="array" ref="AM18">IFERROR(INDEX($GB$4:$GB$171,AY18),"")</f>
        <v/>
      </c>
      <c r="AN18" s="2031" t="str" cm="1">
        <f t="array" ref="AN18">IFERROR(INDEX($GC$4:$GC$171,AY18),"")</f>
        <v/>
      </c>
      <c r="AO18" s="2032" t="str" cm="1">
        <f t="array" ref="AO18">IFERROR(INDEX($GU$4:$GU$171,AY18),"")</f>
        <v/>
      </c>
      <c r="AP18" s="2032" t="str" cm="1">
        <f t="array" ref="AP18">IFERROR(INDEX($GX$4:$GX$171,AY18),"")</f>
        <v/>
      </c>
      <c r="AQ18" s="1316"/>
      <c r="AR18" s="2031" t="str" cm="1">
        <f t="array" ref="AR18">IFERROR(INDEX($HD$4:$HD$171,AY18),"")</f>
        <v/>
      </c>
      <c r="AS18" s="2031" t="str" cm="1">
        <f t="array" ref="AS18">IFERROR(INDEX($HE$4:$HE$171,AY18),"")</f>
        <v/>
      </c>
      <c r="AT18" s="2031" t="str" cm="1">
        <f t="array" ref="AT18">IFERROR(INDEX($HF$4:$HF$171,AY18),"")</f>
        <v/>
      </c>
      <c r="AU18" s="2031" t="str" cm="1">
        <f t="array" ref="AU18">IFERROR(INDEX($GJ$4:$GJ$171,AY18),"")</f>
        <v/>
      </c>
      <c r="AV18" s="2031" t="str" cm="1">
        <f t="array" ref="AV18">IFERROR(INDEX($GK$4:$GK$171,AY18),"")</f>
        <v/>
      </c>
      <c r="AY18" s="2042" t="str" cm="1">
        <f t="array" ref="AY18">IFERROR(SMALL(IF($HI$4:$HI$171=1,ROW($HI$4:$HI$171)-3),ROW(W6)),IFERROR(SMALL(IF($HI$4:$HI$171=2,ROW($HI$4:$HI$171)-3),ROW(W6)-COUNTIF($HI$4:$HI$171,1)),IFERROR(SMALL(IF($HI$4:$HI$171=0,ROW($HI$4:$HI$171)-3),ROW(W6)-COUNTIF($HI$4:$HI$171,1)-COUNTIF($HI$4:$HI$171,2)),"")))</f>
        <v/>
      </c>
      <c r="AZ18" s="2042" t="str">
        <f t="shared" si="59"/>
        <v>a</v>
      </c>
      <c r="BA18" s="2053" t="e">
        <f t="shared" si="60"/>
        <v>#VALUE!</v>
      </c>
      <c r="BB18" s="2053" cm="1">
        <f t="array" ref="BB18">IFERROR(INDEX($HI$4:$HI$171,AY18),0)</f>
        <v>0</v>
      </c>
      <c r="BC18" s="2053">
        <f t="shared" si="61"/>
        <v>0</v>
      </c>
      <c r="BD18" s="2053"/>
      <c r="BE18" s="2307"/>
      <c r="BF18" s="2307"/>
      <c r="BG18" s="2307"/>
      <c r="BH18" s="2307"/>
      <c r="BI18" s="2307"/>
      <c r="BJ18" s="2307"/>
      <c r="BK18" s="2307"/>
      <c r="BL18" s="2307"/>
      <c r="BM18" s="2307"/>
      <c r="BN18" s="2307"/>
      <c r="BO18" s="2307"/>
      <c r="BP18" s="2043"/>
      <c r="BQ18" s="2042"/>
      <c r="BR18" s="2042">
        <v>1</v>
      </c>
      <c r="BS18" s="2042"/>
      <c r="BT18" s="2042" t="b">
        <v>0</v>
      </c>
      <c r="BU18" s="2058"/>
      <c r="BV18" s="2058"/>
      <c r="BW18" s="2042">
        <f t="shared" si="62"/>
        <v>12</v>
      </c>
      <c r="BX18" s="2042">
        <f t="shared" si="63"/>
        <v>0</v>
      </c>
      <c r="BY18" s="2042">
        <f t="shared" si="64"/>
        <v>12</v>
      </c>
      <c r="BZ18" s="2042" cm="1">
        <f t="array" ref="BZ18">INDEX(Pflanzen!$AI$5:$AI$119,'Lagerhaltung (freiwillig)'!BR18)</f>
        <v>0</v>
      </c>
      <c r="CA18" s="2042" cm="1">
        <f t="array" ref="CA18">IF(BZ18=1,INDEX(Pflanzen!$AJ$5:$AJ$119,BR18),N18)</f>
        <v>0</v>
      </c>
      <c r="CB18" s="2042" cm="1">
        <f t="array" ref="CB18">IF(BZ18=1,INDEX(Pflanzen!$AK$5:$AK$119,BR18),O18)</f>
        <v>0</v>
      </c>
      <c r="CC18" s="2042">
        <f t="shared" si="65"/>
        <v>12</v>
      </c>
      <c r="CD18" s="2042">
        <f t="shared" si="66"/>
        <v>0</v>
      </c>
      <c r="CE18" s="2042">
        <f t="shared" si="67"/>
        <v>12</v>
      </c>
      <c r="CF18" s="2042" cm="1">
        <f t="array" ref="CF18">INDEX(Pflanzen!$F$5:$F$119,BR18)</f>
        <v>0</v>
      </c>
      <c r="CG18" s="2042" cm="1">
        <f t="array" ref="CG18">INDEX(Pflanzen!$H$5:$H$119,BR18)</f>
        <v>0</v>
      </c>
      <c r="CH18" s="2042">
        <f t="shared" si="68"/>
        <v>0</v>
      </c>
      <c r="CI18" s="2042">
        <f t="shared" si="69"/>
        <v>0</v>
      </c>
      <c r="CJ18" s="2042">
        <f t="shared" si="70"/>
        <v>0</v>
      </c>
      <c r="CK18" s="2042">
        <f t="shared" si="71"/>
        <v>0</v>
      </c>
      <c r="CL18" s="2042">
        <f t="shared" si="72"/>
        <v>0</v>
      </c>
      <c r="CM18" s="2042">
        <f t="shared" si="73"/>
        <v>0</v>
      </c>
      <c r="CN18" s="2042">
        <f t="shared" si="74"/>
        <v>0</v>
      </c>
      <c r="CO18" s="2042">
        <f t="shared" si="75"/>
        <v>0</v>
      </c>
      <c r="CP18" s="2042">
        <f t="shared" si="76"/>
        <v>0</v>
      </c>
      <c r="CQ18" s="2042">
        <f t="shared" si="77"/>
        <v>0</v>
      </c>
      <c r="CR18" s="2042">
        <f t="shared" si="78"/>
        <v>0</v>
      </c>
      <c r="CS18" s="2042">
        <f t="shared" si="79"/>
        <v>0</v>
      </c>
      <c r="CT18" s="2042">
        <f t="shared" si="80"/>
        <v>0</v>
      </c>
      <c r="CU18" s="2042">
        <f t="shared" si="81"/>
        <v>0</v>
      </c>
      <c r="CV18" s="2042"/>
      <c r="CW18" s="609" t="str">
        <f>Pflanzen!A14</f>
        <v>Sommerfuttergerste</v>
      </c>
      <c r="CX18" s="2042">
        <f>IFERROR(MATCH($CW18,Pflanzen!$C$5:$C$119,0),1)</f>
        <v>10</v>
      </c>
      <c r="CY18" s="609" cm="1">
        <f t="array" ref="CY18">INDEX(Pflanzen!$I$5:$I$119,'Lagerhaltung (freiwillig)'!CX18)</f>
        <v>2</v>
      </c>
      <c r="CZ18" s="2042">
        <f t="shared" si="30"/>
        <v>0</v>
      </c>
      <c r="DA18" s="2042">
        <f t="shared" si="30"/>
        <v>0</v>
      </c>
      <c r="DB18" s="2042">
        <f t="shared" si="30"/>
        <v>0</v>
      </c>
      <c r="DC18" s="2042">
        <f t="shared" si="30"/>
        <v>0</v>
      </c>
      <c r="DD18" s="2042">
        <f t="shared" si="30"/>
        <v>0</v>
      </c>
      <c r="DE18" s="2042">
        <f t="shared" si="30"/>
        <v>0</v>
      </c>
      <c r="DF18" s="2042">
        <f t="shared" si="30"/>
        <v>0</v>
      </c>
      <c r="DG18" s="2042">
        <f t="shared" si="30"/>
        <v>0</v>
      </c>
      <c r="DH18" s="2042">
        <f t="shared" si="30"/>
        <v>0</v>
      </c>
      <c r="DI18" s="2042">
        <f t="shared" si="30"/>
        <v>0</v>
      </c>
      <c r="DJ18" s="2042">
        <f t="shared" si="30"/>
        <v>0</v>
      </c>
      <c r="DK18" s="2042">
        <f t="shared" si="30"/>
        <v>0</v>
      </c>
      <c r="DL18" s="2042"/>
      <c r="DM18" s="2042">
        <f t="shared" si="31"/>
        <v>0</v>
      </c>
      <c r="DN18" s="2042">
        <f t="shared" si="31"/>
        <v>0</v>
      </c>
      <c r="DO18" s="2042">
        <f t="shared" si="31"/>
        <v>0</v>
      </c>
      <c r="DP18" s="2042">
        <f t="shared" si="31"/>
        <v>0</v>
      </c>
      <c r="DQ18" s="2042">
        <f t="shared" si="31"/>
        <v>0</v>
      </c>
      <c r="DR18" s="2042">
        <f t="shared" si="31"/>
        <v>0</v>
      </c>
      <c r="DS18" s="2042">
        <f t="shared" si="31"/>
        <v>0</v>
      </c>
      <c r="DT18" s="2042">
        <f t="shared" si="31"/>
        <v>0</v>
      </c>
      <c r="DU18" s="2042">
        <f t="shared" si="31"/>
        <v>0</v>
      </c>
      <c r="DV18" s="2042">
        <f t="shared" si="31"/>
        <v>0</v>
      </c>
      <c r="DW18" s="2042">
        <f t="shared" si="31"/>
        <v>0</v>
      </c>
      <c r="DX18" s="2042">
        <f t="shared" si="31"/>
        <v>0</v>
      </c>
      <c r="DY18" s="2042"/>
      <c r="DZ18" s="2042">
        <f t="shared" si="32"/>
        <v>0</v>
      </c>
      <c r="EA18" s="2042">
        <f t="shared" si="32"/>
        <v>0</v>
      </c>
      <c r="EB18" s="2042">
        <f t="shared" si="32"/>
        <v>0</v>
      </c>
      <c r="EC18" s="2042">
        <f t="shared" si="32"/>
        <v>0</v>
      </c>
      <c r="ED18" s="2042">
        <f t="shared" si="32"/>
        <v>0</v>
      </c>
      <c r="EE18" s="2042">
        <f t="shared" si="32"/>
        <v>0</v>
      </c>
      <c r="EF18" s="2042">
        <f t="shared" si="32"/>
        <v>0</v>
      </c>
      <c r="EG18" s="2042">
        <f t="shared" si="32"/>
        <v>0</v>
      </c>
      <c r="EH18" s="2042">
        <f t="shared" si="32"/>
        <v>0</v>
      </c>
      <c r="EI18" s="2042">
        <f t="shared" si="32"/>
        <v>0</v>
      </c>
      <c r="EJ18" s="2042">
        <f t="shared" si="32"/>
        <v>0</v>
      </c>
      <c r="EK18" s="2042">
        <f t="shared" si="32"/>
        <v>0</v>
      </c>
      <c r="EL18" s="2042"/>
      <c r="EM18" s="2042">
        <f t="shared" si="33"/>
        <v>0</v>
      </c>
      <c r="EN18" s="2042">
        <f t="shared" si="33"/>
        <v>0</v>
      </c>
      <c r="EO18" s="2042">
        <f t="shared" si="33"/>
        <v>0</v>
      </c>
      <c r="EP18" s="2042">
        <f t="shared" si="33"/>
        <v>0</v>
      </c>
      <c r="EQ18" s="2042">
        <f t="shared" si="33"/>
        <v>0</v>
      </c>
      <c r="ER18" s="2042">
        <f t="shared" si="33"/>
        <v>0</v>
      </c>
      <c r="ES18" s="2042">
        <f t="shared" si="33"/>
        <v>0</v>
      </c>
      <c r="ET18" s="2042">
        <f t="shared" si="33"/>
        <v>0</v>
      </c>
      <c r="EU18" s="2042">
        <f t="shared" si="33"/>
        <v>0</v>
      </c>
      <c r="EV18" s="2042">
        <f t="shared" si="33"/>
        <v>0</v>
      </c>
      <c r="EW18" s="2042">
        <f t="shared" si="33"/>
        <v>0</v>
      </c>
      <c r="EX18" s="2042">
        <f t="shared" si="33"/>
        <v>0</v>
      </c>
      <c r="EY18" s="2042"/>
      <c r="EZ18" s="2045">
        <f t="shared" si="50"/>
        <v>0</v>
      </c>
      <c r="FA18" s="2042">
        <f>EZ18+CZ18+DZ18                 -         SUMIF('Berechnung Nährstoffe und Lager'!$AX$113:$AX$155,$CX18,'Berechnung Nährstoffe und Lager'!$U$113:$U$155)/12  -$GB18*$HC18/12</f>
        <v>0</v>
      </c>
      <c r="FB18" s="2042">
        <f>FA18+DA18+EA18                 -         SUMIF('Berechnung Nährstoffe und Lager'!$AX$113:$AX$155,$CX18,'Berechnung Nährstoffe und Lager'!$U$113:$U$155)/12  -$GB18*$HC18/12</f>
        <v>0</v>
      </c>
      <c r="FC18" s="2042">
        <f>FB18+DB18+EB18                 -         SUMIF('Berechnung Nährstoffe und Lager'!$AX$113:$AX$155,$CX18,'Berechnung Nährstoffe und Lager'!$U$113:$U$155)/12  -$GB18*$HC18/12</f>
        <v>0</v>
      </c>
      <c r="FD18" s="2042">
        <f>FC18+DC18+EC18                 -         SUMIF('Berechnung Nährstoffe und Lager'!$AX$113:$AX$155,$CX18,'Berechnung Nährstoffe und Lager'!$U$113:$U$155)/12  -$GB18*$HC18/12</f>
        <v>0</v>
      </c>
      <c r="FE18" s="2042">
        <f>FD18+DD18+ED18                 -         SUMIF('Berechnung Nährstoffe und Lager'!$AX$113:$AX$155,$CX18,'Berechnung Nährstoffe und Lager'!$U$113:$U$155)/12  -$GB18*$HC18/12</f>
        <v>0</v>
      </c>
      <c r="FF18" s="2042">
        <f>FE18+DE18+EE18                 -         SUMIF('Berechnung Nährstoffe und Lager'!$AX$113:$AX$155,$CX18,'Berechnung Nährstoffe und Lager'!$U$113:$U$155)/12  -$GB18*$HC18/12</f>
        <v>0</v>
      </c>
      <c r="FG18" s="2042">
        <f>FF18+DF18+EF18                 -         SUMIF('Berechnung Nährstoffe und Lager'!$AX$113:$AX$155,$CX18,'Berechnung Nährstoffe und Lager'!$U$113:$U$155)/12  -$GB18*$HC18/12</f>
        <v>0</v>
      </c>
      <c r="FH18" s="2042">
        <f>FG18+DG18+EG18                 -         SUMIF('Berechnung Nährstoffe und Lager'!$AX$113:$AX$155,$CX18,'Berechnung Nährstoffe und Lager'!$U$113:$U$155)/12  -$GB18*$HC18/12</f>
        <v>0</v>
      </c>
      <c r="FI18" s="2042">
        <f>FH18+DH18+EH18                 -         SUMIF('Berechnung Nährstoffe und Lager'!$AX$113:$AX$155,$CX18,'Berechnung Nährstoffe und Lager'!$U$113:$U$155)/12  -$GB18*$HC18/12</f>
        <v>0</v>
      </c>
      <c r="FJ18" s="2042">
        <f>FI18+DI18+EI18                 -         SUMIF('Berechnung Nährstoffe und Lager'!$AX$113:$AX$155,$CX18,'Berechnung Nährstoffe und Lager'!$U$113:$U$155)/12  -$GB18*$HC18/12</f>
        <v>0</v>
      </c>
      <c r="FK18" s="2042">
        <f>FJ18+DJ18+EJ18                 -         SUMIF('Berechnung Nährstoffe und Lager'!$AX$113:$AX$155,$CX18,'Berechnung Nährstoffe und Lager'!$U$113:$U$155)/12  -$GB18*$HC18/12</f>
        <v>0</v>
      </c>
      <c r="FL18" s="2042">
        <f>FK18+DK18+EK18                 -         SUMIF('Berechnung Nährstoffe und Lager'!$AX$113:$AX$155,$CX18,'Berechnung Nährstoffe und Lager'!$U$113:$U$155)/12  -$GB18*$HC18/12</f>
        <v>0</v>
      </c>
      <c r="FM18" s="2042"/>
      <c r="FN18" s="2045">
        <f t="shared" si="51"/>
        <v>0</v>
      </c>
      <c r="FO18" s="2042">
        <f>FN18+DM18+EM18                 -         SUMIF('Berechnung Nährstoffe und Lager'!$AX$113:$AX$155,$CX18,'Berechnung Nährstoffe und Lager'!$V$113:$V$155)/12  -$GC18*$HC18/12</f>
        <v>0</v>
      </c>
      <c r="FP18" s="2042">
        <f>FO18+DN18+EN18                 -         SUMIF('Berechnung Nährstoffe und Lager'!$AX$113:$AX$155,$CX18,'Berechnung Nährstoffe und Lager'!$V$113:$V$155)/12  -$GC18*$HC18/12</f>
        <v>0</v>
      </c>
      <c r="FQ18" s="2042">
        <f>FP18+DO18+EO18                 -         SUMIF('Berechnung Nährstoffe und Lager'!$AX$113:$AX$155,$CX18,'Berechnung Nährstoffe und Lager'!$V$113:$V$155)/12  -$GC18*$HC18/12</f>
        <v>0</v>
      </c>
      <c r="FR18" s="2042">
        <f>FQ18+DP18+EP18                 -         SUMIF('Berechnung Nährstoffe und Lager'!$AX$113:$AX$155,$CX18,'Berechnung Nährstoffe und Lager'!$V$113:$V$155)/12  -$GC18*$HC18/12</f>
        <v>0</v>
      </c>
      <c r="FS18" s="2042">
        <f>FR18+DQ18+EQ18                 -         SUMIF('Berechnung Nährstoffe und Lager'!$AX$113:$AX$155,$CX18,'Berechnung Nährstoffe und Lager'!$V$113:$V$155)/12  -$GC18*$HC18/12</f>
        <v>0</v>
      </c>
      <c r="FT18" s="2042">
        <f>FS18+DR18+ER18                 -         SUMIF('Berechnung Nährstoffe und Lager'!$AX$113:$AX$155,$CX18,'Berechnung Nährstoffe und Lager'!$V$113:$V$155)/12  -$GC18*$HC18/12</f>
        <v>0</v>
      </c>
      <c r="FU18" s="2042">
        <f>FT18+DS18+ES18                 -         SUMIF('Berechnung Nährstoffe und Lager'!$AX$113:$AX$155,$CX18,'Berechnung Nährstoffe und Lager'!$V$113:$V$155)/12  -$GC18*$HC18/12</f>
        <v>0</v>
      </c>
      <c r="FV18" s="2042">
        <f>FU18+DT18+ET18                 -         SUMIF('Berechnung Nährstoffe und Lager'!$AX$113:$AX$155,$CX18,'Berechnung Nährstoffe und Lager'!$V$113:$V$155)/12  -$GC18*$HC18/12</f>
        <v>0</v>
      </c>
      <c r="FW18" s="2042">
        <f>FV18+DU18+EU18                 -         SUMIF('Berechnung Nährstoffe und Lager'!$AX$113:$AX$155,$CX18,'Berechnung Nährstoffe und Lager'!$V$113:$V$155)/12  -$GC18*$HC18/12</f>
        <v>0</v>
      </c>
      <c r="FX18" s="2042">
        <f>FW18+DV18+EV18                 -         SUMIF('Berechnung Nährstoffe und Lager'!$AX$113:$AX$155,$CX18,'Berechnung Nährstoffe und Lager'!$V$113:$V$155)/12  -$GC18*$HC18/12</f>
        <v>0</v>
      </c>
      <c r="FY18" s="2042">
        <f>FX18+DW18+EW18                 -         SUMIF('Berechnung Nährstoffe und Lager'!$AX$113:$AX$155,$CX18,'Berechnung Nährstoffe und Lager'!$V$113:$V$155)/12  -$GC18*$HC18/12</f>
        <v>0</v>
      </c>
      <c r="FZ18" s="2042">
        <f>FY18+DX18+EX18                 -         SUMIF('Berechnung Nährstoffe und Lager'!$AX$113:$AX$155,$CX18,'Berechnung Nährstoffe und Lager'!$V$113:$V$155)/12  -$GC18*$HC18/12</f>
        <v>0</v>
      </c>
      <c r="GA18" s="2042"/>
      <c r="GB18" s="2042">
        <f>SUMIFS($CI$14:$CI$68,$BR$14:$BR$68,$CX18)+SUMIFS($CM$14:$CM$68,$BR$14:$BR$68,$CX18)+SUMIFS($CR$14:$CR$68,$BR$14:$BR$68,$CX18)  -         SUMIF('Berechnung Nährstoffe und Lager'!$AX$113:$AX$155,$CX18,'Berechnung Nährstoffe und Lager'!$U$113:$U$155)</f>
        <v>0</v>
      </c>
      <c r="GC18" s="2042">
        <f>SUMIFS($CJ$14:$CJ$68,$BR$14:$BR$68,$CX18)+SUMIFS($CO$14:$CO$68,$BR$14:$BR$68,$CX18)+SUMIFS($CT$14:$CT$68,$BR$14:$BR$68,$CX18)  -         SUMIF('Berechnung Nährstoffe und Lager'!$AX$113:$AX$155,$CX18,'Berechnung Nährstoffe und Lager'!$V$113:$V$155)</f>
        <v>0</v>
      </c>
      <c r="GD18" s="2042"/>
      <c r="GE18" s="2042"/>
      <c r="GF18" s="2042">
        <f>SUMIF('Berechnung Nährstoffe und Lager'!$AX$113:$AX$155,$CX18,'Berechnung Nährstoffe und Lager'!$U$113:$U$155)</f>
        <v>0</v>
      </c>
      <c r="GG18" s="2042">
        <f>SUMIF('Berechnung Nährstoffe und Lager'!$AX$113:$AX$155,$CX18,'Berechnung Nährstoffe und Lager'!$V$113:$V$155)</f>
        <v>0</v>
      </c>
      <c r="GH18" s="2042">
        <f t="shared" si="52"/>
        <v>0</v>
      </c>
      <c r="GI18" s="2042">
        <f t="shared" si="53"/>
        <v>0</v>
      </c>
      <c r="GJ18" s="2042">
        <f t="shared" si="34"/>
        <v>0</v>
      </c>
      <c r="GK18" s="2042">
        <f t="shared" si="35"/>
        <v>0</v>
      </c>
      <c r="GL18" s="2042">
        <f t="shared" si="36"/>
        <v>0</v>
      </c>
      <c r="GM18" s="2042" cm="1">
        <f t="array" ref="GM18">IF(GL18=0,0,(IFERROR(SUMPRODUCT($J$14:$J$68,$CH$14:$CH$68,($BR$14:$BR$68=CX18)*1)+SUMPRODUCT($L$14:$L$68,$M$14:$M$68,$CK$14:$CK$68,($BR$14:$BR$68=CX18)*1,($BT$14:$BT$68=FALSE)*1)/10+SUMPRODUCT($R$14:$R$68,$CP$14:$CP$68,($BR$14:$BR$68=CX18)*1),0))/GL18)</f>
        <v>0</v>
      </c>
      <c r="GN18" s="2042">
        <f t="shared" si="54"/>
        <v>0</v>
      </c>
      <c r="GO18" s="2042">
        <f>(SUMIF('Berechnung Nährstoffe und Lager'!$AX$113:$AX$130,'Lagerhaltung (freiwillig)'!CX18,'Berechnung Nährstoffe und Lager'!$D$113:$D$130)+SUMIF('Berechnung Nährstoffe und Lager'!$AX$137:$AX$155,'Lagerhaltung (freiwillig)'!CX18,'Berechnung Nährstoffe und Lager'!$E$137:$E$155))</f>
        <v>0</v>
      </c>
      <c r="GP18" s="2042" cm="1">
        <f t="array" ref="GP18">IF(GO18=0,0,(IFERROR(SUMPRODUCT('Berechnung Nährstoffe und Lager'!$D$113:$D$130,'Berechnung Nährstoffe und Lager'!$F$113:$F$130,('Berechnung Nährstoffe und Lager'!$AX$113:$AX$130='Lagerhaltung (freiwillig)'!CX18)*1)+SUMPRODUCT('Berechnung Nährstoffe und Lager'!$E$137:$E$155,'Berechnung Nährstoffe und Lager'!$F$137:$F$155,('Berechnung Nährstoffe und Lager'!$AX$137:$AX$155='Lagerhaltung (freiwillig)'!CX18)*1),0))/GO18)</f>
        <v>0</v>
      </c>
      <c r="GQ18" s="2042">
        <f t="shared" si="55"/>
        <v>0</v>
      </c>
      <c r="GR18" s="2042">
        <f t="shared" si="56"/>
        <v>0</v>
      </c>
      <c r="GS18" s="2042">
        <f t="shared" si="57"/>
        <v>0</v>
      </c>
      <c r="GT18" s="2042">
        <f t="shared" si="58"/>
        <v>0</v>
      </c>
      <c r="GU18" s="2045" t="str">
        <f t="shared" si="39"/>
        <v xml:space="preserve"> </v>
      </c>
      <c r="GV18" s="2045" t="str">
        <f t="shared" si="39"/>
        <v xml:space="preserve"> </v>
      </c>
      <c r="GW18" s="2054">
        <f t="shared" si="40"/>
        <v>0</v>
      </c>
      <c r="GX18" s="2042">
        <f t="shared" si="41"/>
        <v>0</v>
      </c>
      <c r="GY18" s="2042" t="str">
        <f t="shared" si="42"/>
        <v>a</v>
      </c>
      <c r="GZ18" s="2055">
        <f t="shared" si="43"/>
        <v>0</v>
      </c>
      <c r="HA18" s="2055">
        <f t="shared" si="44"/>
        <v>0</v>
      </c>
      <c r="HB18" s="2055"/>
      <c r="HC18" s="2046">
        <f t="shared" si="45"/>
        <v>0</v>
      </c>
      <c r="HD18" s="2055">
        <f t="shared" si="46"/>
        <v>0</v>
      </c>
      <c r="HE18" s="2055">
        <f t="shared" si="47"/>
        <v>0</v>
      </c>
      <c r="HF18" s="2055">
        <f t="shared" si="48"/>
        <v>0</v>
      </c>
      <c r="HG18" s="2282" cm="1">
        <f t="array" ref="HG18">IF(AND(HE18=0,GJ18=0),0,IF(HE18=0,1,IF(OR(GJ18*1000/HE18/HF18&gt;INDEX(Pflanzen!$AD$5:$AD$109,CX18)/INDEX(Pflanzen!$M$5:$M$109,CX18)*$HG$1,GJ18*1000/HE18/HF18&lt;INDEX(Pflanzen!$AD$5:$AD$109,CX18)/INDEX(Pflanzen!$M$5:$M$109,CX18)/$HG$1),1,0)))</f>
        <v>0</v>
      </c>
      <c r="HH18" s="2282" cm="1">
        <f t="array" ref="HH18">IF(AND(GK18=0,HE18=0),0,IF(HE18=0,1,IF(OR(GK18*1000/HE18/HF18&gt;INDEX(Pflanzen!$AE$5:$AE$109,CX18)/INDEX(Pflanzen!$M$5:$M$109,CX18)*$HG$1,GK18*1000/HE18/HF18&lt;INDEX(Pflanzen!$AE$5:$AE$109,CX18)/INDEX(Pflanzen!$M$5:$M$109,CX18)/$HG$1),1,0)))</f>
        <v>0</v>
      </c>
      <c r="HI18" s="2042">
        <f t="shared" si="49"/>
        <v>3</v>
      </c>
      <c r="HJ18" s="2042"/>
      <c r="HL18" s="2042"/>
      <c r="HM18" s="2052" t="str">
        <f>Tiere!B44</f>
        <v>Zuchtsauen mit 28 Ferkel bis 8 kg, Standard</v>
      </c>
      <c r="HN18" s="2042">
        <v>15</v>
      </c>
      <c r="HO18" s="2053">
        <f>SUMIF('Berechnung Nährstoffe und Lager'!$BM$68:$BM$81,'Lagerhaltung (freiwillig)'!HN18,'Berechnung Nährstoffe und Lager'!$Z$68:$Z$81)+SUMIF('Berechnung Nährstoffe und Lager'!$BM$68:$BM$81,'Lagerhaltung (freiwillig)'!HN18,'Berechnung Nährstoffe und Lager'!$AA$68:$AA$81)</f>
        <v>0</v>
      </c>
      <c r="HP18" s="2042" cm="1">
        <f t="array" ref="HP18">INDEX(Tiere!$C$30:$C$85,'Lagerhaltung (freiwillig)'!HN18)</f>
        <v>2</v>
      </c>
      <c r="HQ18" s="2042" cm="1">
        <f t="array" ref="HQ18">INDEX(Tiere!$H$30:$H$85,'Lagerhaltung (freiwillig)'!HN18)</f>
        <v>0</v>
      </c>
      <c r="HR18" s="2042">
        <f t="shared" si="12"/>
        <v>0</v>
      </c>
      <c r="HS18" s="2042" cm="1">
        <f t="array" ref="HS18">INDEX(Tiere!$I$30:$I$85,'Lagerhaltung (freiwillig)'!HN18)</f>
        <v>0</v>
      </c>
      <c r="HT18" s="2042">
        <f t="shared" si="13"/>
        <v>0</v>
      </c>
      <c r="HU18" s="2042" cm="1">
        <f t="array" ref="HU18">INDEX(Tiere!$BC$30:$BC$85,'Lagerhaltung (freiwillig)'!HN18)</f>
        <v>5.7344000000000008</v>
      </c>
      <c r="HV18" s="2042">
        <f t="shared" si="6"/>
        <v>0</v>
      </c>
      <c r="HW18" s="2042" cm="1">
        <f t="array" ref="HW18">INDEX(Tiere!$BD$30:$BD$85,'Lagerhaltung (freiwillig)'!HN18)</f>
        <v>2.6208</v>
      </c>
      <c r="HX18" s="2042">
        <f t="shared" si="7"/>
        <v>0</v>
      </c>
      <c r="HY18" s="2042"/>
      <c r="HZ18" s="2042"/>
      <c r="IA18" s="2042"/>
      <c r="IB18" s="2042"/>
      <c r="IC18" s="2042"/>
      <c r="ID18" s="2042"/>
      <c r="IE18" s="2042"/>
      <c r="IF18" s="2042"/>
      <c r="IG18" s="2042"/>
      <c r="IH18" s="2042"/>
      <c r="II18" s="2042"/>
      <c r="IJ18" s="2042"/>
    </row>
    <row r="19" spans="1:244" ht="15.6" customHeight="1" x14ac:dyDescent="0.2">
      <c r="A19" s="1159"/>
      <c r="B19" s="1160"/>
      <c r="C19" s="1160"/>
      <c r="D19" s="1160"/>
      <c r="E19" s="1160"/>
      <c r="F19" s="2014" cm="1">
        <f t="array" ref="F19">INDEX(Pflanzen!$M$5:$M$109,BR19)</f>
        <v>0</v>
      </c>
      <c r="G19" s="2015" cm="1">
        <f t="array" ref="G19">INDEX(Pflanzen!$AD$5:$AD$109,BR19)</f>
        <v>0</v>
      </c>
      <c r="H19" s="2299" cm="1">
        <f t="array" ref="H19">INDEX(Pflanzen!$AE$5:$AE$109,BR19)</f>
        <v>0</v>
      </c>
      <c r="I19" s="1259"/>
      <c r="J19" s="1256"/>
      <c r="K19" s="1259"/>
      <c r="L19" s="1970"/>
      <c r="M19" s="1246"/>
      <c r="N19" s="1870"/>
      <c r="O19" s="1870"/>
      <c r="P19" s="2211"/>
      <c r="Q19" s="2196"/>
      <c r="R19" s="1970"/>
      <c r="S19" s="1246"/>
      <c r="T19" s="1256"/>
      <c r="U19" s="1159"/>
      <c r="V19" s="2316" t="str">
        <f t="shared" si="82"/>
        <v/>
      </c>
      <c r="Y19" s="2005" t="str" cm="1">
        <f t="array" ref="Y19">IFERROR(INDEX($CW$4:$CW$171,AY19),"")</f>
        <v/>
      </c>
      <c r="Z19" s="510"/>
      <c r="AA19" s="510"/>
      <c r="AB19" s="510"/>
      <c r="AC19" s="2031" t="str" cm="1">
        <f t="array" ref="AC19">IFERROR(INDEX($GL$4:$GL$171,AY19),"")</f>
        <v/>
      </c>
      <c r="AD19" s="2031" t="str" cm="1">
        <f t="array" ref="AD19">IFERROR(INDEX($GM$4:$GM$171,AY19),"")</f>
        <v/>
      </c>
      <c r="AE19" s="2031" t="str" cm="1">
        <f t="array" ref="AE19">IFERROR(INDEX($GH$4:$GH$171,AY19),"")</f>
        <v/>
      </c>
      <c r="AF19" s="2031" t="str" cm="1">
        <f t="array" ref="AF19">IFERROR(INDEX($GI$4:$GI$171,AY19),"")</f>
        <v/>
      </c>
      <c r="AG19" s="2031" t="str" cm="1">
        <f t="array" ref="AG19">IFERROR(INDEX($GO$4:$GO$171,AY19),"")</f>
        <v/>
      </c>
      <c r="AH19" s="2031" t="str" cm="1">
        <f t="array" ref="AH19">IFERROR(INDEX($GP$4:$GP$171,AY19),"")</f>
        <v/>
      </c>
      <c r="AI19" s="2031" t="str" cm="1">
        <f t="array" ref="AI19">IFERROR(INDEX($GF$4:$GF$171,AY19),"")</f>
        <v/>
      </c>
      <c r="AJ19" s="2031" t="str" cm="1">
        <f t="array" ref="AJ19">IFERROR(INDEX($GG$4:$GG$171,AY19),"")</f>
        <v/>
      </c>
      <c r="AK19" s="2031" t="str" cm="1">
        <f t="array" ref="AK19">IFERROR(INDEX($GS$4:$GS$171,AY19),"")</f>
        <v/>
      </c>
      <c r="AL19" s="2032" t="str" cm="1">
        <f t="array" ref="AL19">IFERROR(INDEX($GT$4:$GT$171,AY19),"")</f>
        <v/>
      </c>
      <c r="AM19" s="2031" t="str" cm="1">
        <f t="array" ref="AM19">IFERROR(INDEX($GB$4:$GB$171,AY19),"")</f>
        <v/>
      </c>
      <c r="AN19" s="2031" t="str" cm="1">
        <f t="array" ref="AN19">IFERROR(INDEX($GC$4:$GC$171,AY19),"")</f>
        <v/>
      </c>
      <c r="AO19" s="2031" t="str" cm="1">
        <f t="array" ref="AO19">IFERROR(INDEX($GU$4:$GU$171,AY19),"")</f>
        <v/>
      </c>
      <c r="AP19" s="2031" t="str" cm="1">
        <f t="array" ref="AP19">IFERROR(INDEX($GX$4:$GX$171,AY19),"")</f>
        <v/>
      </c>
      <c r="AQ19" s="1316"/>
      <c r="AR19" s="2031" t="str" cm="1">
        <f t="array" ref="AR19">IFERROR(INDEX($HD$4:$HD$171,AY19),"")</f>
        <v/>
      </c>
      <c r="AS19" s="2031" t="str" cm="1">
        <f t="array" ref="AS19">IFERROR(INDEX($HE$4:$HE$171,AY19),"")</f>
        <v/>
      </c>
      <c r="AT19" s="2031" t="str" cm="1">
        <f t="array" ref="AT19">IFERROR(INDEX($HF$4:$HF$171,AY19),"")</f>
        <v/>
      </c>
      <c r="AU19" s="2031" t="str" cm="1">
        <f t="array" ref="AU19">IFERROR(INDEX($GJ$4:$GJ$171,AY19),"")</f>
        <v/>
      </c>
      <c r="AV19" s="2031" t="str" cm="1">
        <f t="array" ref="AV19">IFERROR(INDEX($GK$4:$GK$171,AY19),"")</f>
        <v/>
      </c>
      <c r="AY19" s="2042" t="str" cm="1">
        <f t="array" ref="AY19">IFERROR(SMALL(IF($HI$4:$HI$171=1,ROW($HI$4:$HI$171)-3),ROW(W7)),IFERROR(SMALL(IF($HI$4:$HI$171=2,ROW($HI$4:$HI$171)-3),ROW(W7)-COUNTIF($HI$4:$HI$171,1)),IFERROR(SMALL(IF($HI$4:$HI$171=0,ROW($HI$4:$HI$171)-3),ROW(W7)-COUNTIF($HI$4:$HI$171,1)-COUNTIF($HI$4:$HI$171,2)),"")))</f>
        <v/>
      </c>
      <c r="AZ19" s="2042" t="str">
        <f t="shared" si="59"/>
        <v>a</v>
      </c>
      <c r="BA19" s="2053" t="e">
        <f t="shared" si="60"/>
        <v>#VALUE!</v>
      </c>
      <c r="BB19" s="2053" cm="1">
        <f t="array" ref="BB19">IFERROR(INDEX($HI$4:$HI$171,AY19),0)</f>
        <v>0</v>
      </c>
      <c r="BC19" s="2053">
        <f t="shared" si="61"/>
        <v>0</v>
      </c>
      <c r="BD19" s="2053"/>
      <c r="BE19" s="2307"/>
      <c r="BF19" s="2307"/>
      <c r="BG19" s="2307"/>
      <c r="BH19" s="2307"/>
      <c r="BI19" s="2307"/>
      <c r="BJ19" s="2307"/>
      <c r="BK19" s="2307"/>
      <c r="BL19" s="2307"/>
      <c r="BM19" s="2307"/>
      <c r="BN19" s="2307"/>
      <c r="BO19" s="2307"/>
      <c r="BP19" s="2043"/>
      <c r="BQ19" s="2042"/>
      <c r="BR19" s="2042">
        <v>1</v>
      </c>
      <c r="BS19" s="2042"/>
      <c r="BT19" s="2042" t="b">
        <v>0</v>
      </c>
      <c r="BU19" s="2058"/>
      <c r="BV19" s="2058"/>
      <c r="BW19" s="2042">
        <f t="shared" si="62"/>
        <v>12</v>
      </c>
      <c r="BX19" s="2042">
        <f t="shared" si="63"/>
        <v>0</v>
      </c>
      <c r="BY19" s="2042">
        <f t="shared" si="64"/>
        <v>12</v>
      </c>
      <c r="BZ19" s="2042" cm="1">
        <f t="array" ref="BZ19">INDEX(Pflanzen!$AI$5:$AI$119,'Lagerhaltung (freiwillig)'!BR19)</f>
        <v>0</v>
      </c>
      <c r="CA19" s="2042" cm="1">
        <f t="array" ref="CA19">IF(BZ19=1,INDEX(Pflanzen!$AJ$5:$AJ$119,BR19),N19)</f>
        <v>0</v>
      </c>
      <c r="CB19" s="2042" cm="1">
        <f t="array" ref="CB19">IF(BZ19=1,INDEX(Pflanzen!$AK$5:$AK$119,BR19),O19)</f>
        <v>0</v>
      </c>
      <c r="CC19" s="2042">
        <f t="shared" si="65"/>
        <v>12</v>
      </c>
      <c r="CD19" s="2042">
        <f t="shared" si="66"/>
        <v>0</v>
      </c>
      <c r="CE19" s="2042">
        <f t="shared" si="67"/>
        <v>12</v>
      </c>
      <c r="CF19" s="2042" cm="1">
        <f t="array" ref="CF19">INDEX(Pflanzen!$F$5:$F$119,BR19)</f>
        <v>0</v>
      </c>
      <c r="CG19" s="2042" cm="1">
        <f t="array" ref="CG19">INDEX(Pflanzen!$H$5:$H$119,BR19)</f>
        <v>0</v>
      </c>
      <c r="CH19" s="2042">
        <f t="shared" si="68"/>
        <v>0</v>
      </c>
      <c r="CI19" s="2042">
        <f t="shared" si="69"/>
        <v>0</v>
      </c>
      <c r="CJ19" s="2042">
        <f t="shared" si="70"/>
        <v>0</v>
      </c>
      <c r="CK19" s="2042">
        <f t="shared" si="71"/>
        <v>0</v>
      </c>
      <c r="CL19" s="2042">
        <f t="shared" si="72"/>
        <v>0</v>
      </c>
      <c r="CM19" s="2042">
        <f t="shared" si="73"/>
        <v>0</v>
      </c>
      <c r="CN19" s="2042">
        <f t="shared" si="74"/>
        <v>0</v>
      </c>
      <c r="CO19" s="2042">
        <f t="shared" si="75"/>
        <v>0</v>
      </c>
      <c r="CP19" s="2042">
        <f t="shared" si="76"/>
        <v>0</v>
      </c>
      <c r="CQ19" s="2042">
        <f t="shared" si="77"/>
        <v>0</v>
      </c>
      <c r="CR19" s="2042">
        <f t="shared" si="78"/>
        <v>0</v>
      </c>
      <c r="CS19" s="2042">
        <f t="shared" si="79"/>
        <v>0</v>
      </c>
      <c r="CT19" s="2042">
        <f t="shared" si="80"/>
        <v>0</v>
      </c>
      <c r="CU19" s="2042">
        <f t="shared" si="81"/>
        <v>0</v>
      </c>
      <c r="CV19" s="2042"/>
      <c r="CW19" s="609" t="str">
        <f>Pflanzen!A15</f>
        <v>Sommerbraugerste</v>
      </c>
      <c r="CX19" s="2042">
        <f>IFERROR(MATCH($CW19,Pflanzen!$C$5:$C$119,0),1)</f>
        <v>11</v>
      </c>
      <c r="CY19" s="609" cm="1">
        <f t="array" ref="CY19">INDEX(Pflanzen!$I$5:$I$119,'Lagerhaltung (freiwillig)'!CX19)</f>
        <v>2</v>
      </c>
      <c r="CZ19" s="2042">
        <f t="shared" ref="CZ19:DK28" si="102">SUMIFS($CQ$14:$CQ$68,$BW$14:$BW$68,1,$BX$14:$BX$68,CZ$2,$BR$14:$BR$68,$CX19)+    SUMIFS($CQ$14:$CQ$68,$BW$14:$BW$68,"&gt;1",$BX$14:$BX$68,"&lt;="&amp;CZ$2,$BY$14:$BY$68,"&gt;="&amp;CZ$2,$BR$14:$BR$68,$CX19)</f>
        <v>0</v>
      </c>
      <c r="DA19" s="2042">
        <f t="shared" si="102"/>
        <v>0</v>
      </c>
      <c r="DB19" s="2042">
        <f t="shared" si="102"/>
        <v>0</v>
      </c>
      <c r="DC19" s="2042">
        <f t="shared" si="102"/>
        <v>0</v>
      </c>
      <c r="DD19" s="2042">
        <f t="shared" si="102"/>
        <v>0</v>
      </c>
      <c r="DE19" s="2042">
        <f t="shared" si="102"/>
        <v>0</v>
      </c>
      <c r="DF19" s="2042">
        <f t="shared" si="102"/>
        <v>0</v>
      </c>
      <c r="DG19" s="2042">
        <f t="shared" si="102"/>
        <v>0</v>
      </c>
      <c r="DH19" s="2042">
        <f t="shared" si="102"/>
        <v>0</v>
      </c>
      <c r="DI19" s="2042">
        <f t="shared" si="102"/>
        <v>0</v>
      </c>
      <c r="DJ19" s="2042">
        <f t="shared" si="102"/>
        <v>0</v>
      </c>
      <c r="DK19" s="2042">
        <f t="shared" si="102"/>
        <v>0</v>
      </c>
      <c r="DL19" s="2042"/>
      <c r="DM19" s="2042">
        <f t="shared" ref="DM19:DX28" si="103">SUMIFS($CS$14:$CS$68,$BW$14:$BW$68,1,$BX$14:$BX$68,DM$2,$BR$14:$BR$68,$CX19)+    SUMIFS($CS$14:$CS$68,$BW$14:$BW$68,"&gt;1",$BX$14:$BX$68,"&lt;="&amp;DM$2,$BY$14:$BY$68,"&gt;="&amp;DM$2,$BR$14:$BR$68,$CX19)</f>
        <v>0</v>
      </c>
      <c r="DN19" s="2042">
        <f t="shared" si="103"/>
        <v>0</v>
      </c>
      <c r="DO19" s="2042">
        <f t="shared" si="103"/>
        <v>0</v>
      </c>
      <c r="DP19" s="2042">
        <f t="shared" si="103"/>
        <v>0</v>
      </c>
      <c r="DQ19" s="2042">
        <f t="shared" si="103"/>
        <v>0</v>
      </c>
      <c r="DR19" s="2042">
        <f t="shared" si="103"/>
        <v>0</v>
      </c>
      <c r="DS19" s="2042">
        <f t="shared" si="103"/>
        <v>0</v>
      </c>
      <c r="DT19" s="2042">
        <f t="shared" si="103"/>
        <v>0</v>
      </c>
      <c r="DU19" s="2042">
        <f t="shared" si="103"/>
        <v>0</v>
      </c>
      <c r="DV19" s="2042">
        <f t="shared" si="103"/>
        <v>0</v>
      </c>
      <c r="DW19" s="2042">
        <f t="shared" si="103"/>
        <v>0</v>
      </c>
      <c r="DX19" s="2042">
        <f t="shared" si="103"/>
        <v>0</v>
      </c>
      <c r="DY19" s="2042"/>
      <c r="DZ19" s="2042">
        <f t="shared" ref="DZ19:EK28" si="104">SUMIFS($CL$14:$CL$68,$CC$14:$CC$68,1,$CD$14:$CD$68,DZ$2,$BR$14:$BR$68,$CX19)+         SUMIFS($CL$14:$CL$68,$CC$14:$CC$68,"&gt;1",$CD$14:$CD$68,"&lt;="&amp;DZ$2,$CE$14:$CE$68,"&gt;="&amp;DZ$2,$BR$14:$BR$68,$CX19)</f>
        <v>0</v>
      </c>
      <c r="EA19" s="2042">
        <f t="shared" si="104"/>
        <v>0</v>
      </c>
      <c r="EB19" s="2042">
        <f t="shared" si="104"/>
        <v>0</v>
      </c>
      <c r="EC19" s="2042">
        <f t="shared" si="104"/>
        <v>0</v>
      </c>
      <c r="ED19" s="2042">
        <f t="shared" si="104"/>
        <v>0</v>
      </c>
      <c r="EE19" s="2042">
        <f t="shared" si="104"/>
        <v>0</v>
      </c>
      <c r="EF19" s="2042">
        <f t="shared" si="104"/>
        <v>0</v>
      </c>
      <c r="EG19" s="2042">
        <f t="shared" si="104"/>
        <v>0</v>
      </c>
      <c r="EH19" s="2042">
        <f t="shared" si="104"/>
        <v>0</v>
      </c>
      <c r="EI19" s="2042">
        <f t="shared" si="104"/>
        <v>0</v>
      </c>
      <c r="EJ19" s="2042">
        <f t="shared" si="104"/>
        <v>0</v>
      </c>
      <c r="EK19" s="2042">
        <f t="shared" si="104"/>
        <v>0</v>
      </c>
      <c r="EL19" s="2042"/>
      <c r="EM19" s="2042">
        <f t="shared" ref="EM19:EX28" si="105">SUMIFS($CN$14:$CN$68,$CC$14:$CC$68,1,$CD$14:$CD$68,EM$2,$BR$14:$BR$68,$CX19)+         SUMIFS($CN$14:$CN$68,$CC$14:$CC$68,"&gt;1",$CD$14:$CD$68,"&lt;="&amp;EM$2,$CE$14:$CE$68,"&gt;="&amp;EM$2,$BR$14:$BR$68,$CX19)</f>
        <v>0</v>
      </c>
      <c r="EN19" s="2042">
        <f t="shared" si="105"/>
        <v>0</v>
      </c>
      <c r="EO19" s="2042">
        <f t="shared" si="105"/>
        <v>0</v>
      </c>
      <c r="EP19" s="2042">
        <f t="shared" si="105"/>
        <v>0</v>
      </c>
      <c r="EQ19" s="2042">
        <f t="shared" si="105"/>
        <v>0</v>
      </c>
      <c r="ER19" s="2042">
        <f t="shared" si="105"/>
        <v>0</v>
      </c>
      <c r="ES19" s="2042">
        <f t="shared" si="105"/>
        <v>0</v>
      </c>
      <c r="ET19" s="2042">
        <f t="shared" si="105"/>
        <v>0</v>
      </c>
      <c r="EU19" s="2042">
        <f t="shared" si="105"/>
        <v>0</v>
      </c>
      <c r="EV19" s="2042">
        <f t="shared" si="105"/>
        <v>0</v>
      </c>
      <c r="EW19" s="2042">
        <f t="shared" si="105"/>
        <v>0</v>
      </c>
      <c r="EX19" s="2042">
        <f t="shared" si="105"/>
        <v>0</v>
      </c>
      <c r="EY19" s="2042"/>
      <c r="EZ19" s="2045">
        <f t="shared" si="50"/>
        <v>0</v>
      </c>
      <c r="FA19" s="2042">
        <f>EZ19+CZ19+DZ19                 -         SUMIF('Berechnung Nährstoffe und Lager'!$AX$113:$AX$155,$CX19,'Berechnung Nährstoffe und Lager'!$U$113:$U$155)/12  -$GB19*$HC19/12</f>
        <v>0</v>
      </c>
      <c r="FB19" s="2042">
        <f>FA19+DA19+EA19                 -         SUMIF('Berechnung Nährstoffe und Lager'!$AX$113:$AX$155,$CX19,'Berechnung Nährstoffe und Lager'!$U$113:$U$155)/12  -$GB19*$HC19/12</f>
        <v>0</v>
      </c>
      <c r="FC19" s="2042">
        <f>FB19+DB19+EB19                 -         SUMIF('Berechnung Nährstoffe und Lager'!$AX$113:$AX$155,$CX19,'Berechnung Nährstoffe und Lager'!$U$113:$U$155)/12  -$GB19*$HC19/12</f>
        <v>0</v>
      </c>
      <c r="FD19" s="2042">
        <f>FC19+DC19+EC19                 -         SUMIF('Berechnung Nährstoffe und Lager'!$AX$113:$AX$155,$CX19,'Berechnung Nährstoffe und Lager'!$U$113:$U$155)/12  -$GB19*$HC19/12</f>
        <v>0</v>
      </c>
      <c r="FE19" s="2042">
        <f>FD19+DD19+ED19                 -         SUMIF('Berechnung Nährstoffe und Lager'!$AX$113:$AX$155,$CX19,'Berechnung Nährstoffe und Lager'!$U$113:$U$155)/12  -$GB19*$HC19/12</f>
        <v>0</v>
      </c>
      <c r="FF19" s="2042">
        <f>FE19+DE19+EE19                 -         SUMIF('Berechnung Nährstoffe und Lager'!$AX$113:$AX$155,$CX19,'Berechnung Nährstoffe und Lager'!$U$113:$U$155)/12  -$GB19*$HC19/12</f>
        <v>0</v>
      </c>
      <c r="FG19" s="2042">
        <f>FF19+DF19+EF19                 -         SUMIF('Berechnung Nährstoffe und Lager'!$AX$113:$AX$155,$CX19,'Berechnung Nährstoffe und Lager'!$U$113:$U$155)/12  -$GB19*$HC19/12</f>
        <v>0</v>
      </c>
      <c r="FH19" s="2042">
        <f>FG19+DG19+EG19                 -         SUMIF('Berechnung Nährstoffe und Lager'!$AX$113:$AX$155,$CX19,'Berechnung Nährstoffe und Lager'!$U$113:$U$155)/12  -$GB19*$HC19/12</f>
        <v>0</v>
      </c>
      <c r="FI19" s="2042">
        <f>FH19+DH19+EH19                 -         SUMIF('Berechnung Nährstoffe und Lager'!$AX$113:$AX$155,$CX19,'Berechnung Nährstoffe und Lager'!$U$113:$U$155)/12  -$GB19*$HC19/12</f>
        <v>0</v>
      </c>
      <c r="FJ19" s="2042">
        <f>FI19+DI19+EI19                 -         SUMIF('Berechnung Nährstoffe und Lager'!$AX$113:$AX$155,$CX19,'Berechnung Nährstoffe und Lager'!$U$113:$U$155)/12  -$GB19*$HC19/12</f>
        <v>0</v>
      </c>
      <c r="FK19" s="2042">
        <f>FJ19+DJ19+EJ19                 -         SUMIF('Berechnung Nährstoffe und Lager'!$AX$113:$AX$155,$CX19,'Berechnung Nährstoffe und Lager'!$U$113:$U$155)/12  -$GB19*$HC19/12</f>
        <v>0</v>
      </c>
      <c r="FL19" s="2042">
        <f>FK19+DK19+EK19                 -         SUMIF('Berechnung Nährstoffe und Lager'!$AX$113:$AX$155,$CX19,'Berechnung Nährstoffe und Lager'!$U$113:$U$155)/12  -$GB19*$HC19/12</f>
        <v>0</v>
      </c>
      <c r="FM19" s="2042"/>
      <c r="FN19" s="2045">
        <f t="shared" si="51"/>
        <v>0</v>
      </c>
      <c r="FO19" s="2042">
        <f>FN19+DM19+EM19                 -         SUMIF('Berechnung Nährstoffe und Lager'!$AX$113:$AX$155,$CX19,'Berechnung Nährstoffe und Lager'!$V$113:$V$155)/12  -$GC19*$HC19/12</f>
        <v>0</v>
      </c>
      <c r="FP19" s="2042">
        <f>FO19+DN19+EN19                 -         SUMIF('Berechnung Nährstoffe und Lager'!$AX$113:$AX$155,$CX19,'Berechnung Nährstoffe und Lager'!$V$113:$V$155)/12  -$GC19*$HC19/12</f>
        <v>0</v>
      </c>
      <c r="FQ19" s="2042">
        <f>FP19+DO19+EO19                 -         SUMIF('Berechnung Nährstoffe und Lager'!$AX$113:$AX$155,$CX19,'Berechnung Nährstoffe und Lager'!$V$113:$V$155)/12  -$GC19*$HC19/12</f>
        <v>0</v>
      </c>
      <c r="FR19" s="2042">
        <f>FQ19+DP19+EP19                 -         SUMIF('Berechnung Nährstoffe und Lager'!$AX$113:$AX$155,$CX19,'Berechnung Nährstoffe und Lager'!$V$113:$V$155)/12  -$GC19*$HC19/12</f>
        <v>0</v>
      </c>
      <c r="FS19" s="2042">
        <f>FR19+DQ19+EQ19                 -         SUMIF('Berechnung Nährstoffe und Lager'!$AX$113:$AX$155,$CX19,'Berechnung Nährstoffe und Lager'!$V$113:$V$155)/12  -$GC19*$HC19/12</f>
        <v>0</v>
      </c>
      <c r="FT19" s="2042">
        <f>FS19+DR19+ER19                 -         SUMIF('Berechnung Nährstoffe und Lager'!$AX$113:$AX$155,$CX19,'Berechnung Nährstoffe und Lager'!$V$113:$V$155)/12  -$GC19*$HC19/12</f>
        <v>0</v>
      </c>
      <c r="FU19" s="2042">
        <f>FT19+DS19+ES19                 -         SUMIF('Berechnung Nährstoffe und Lager'!$AX$113:$AX$155,$CX19,'Berechnung Nährstoffe und Lager'!$V$113:$V$155)/12  -$GC19*$HC19/12</f>
        <v>0</v>
      </c>
      <c r="FV19" s="2042">
        <f>FU19+DT19+ET19                 -         SUMIF('Berechnung Nährstoffe und Lager'!$AX$113:$AX$155,$CX19,'Berechnung Nährstoffe und Lager'!$V$113:$V$155)/12  -$GC19*$HC19/12</f>
        <v>0</v>
      </c>
      <c r="FW19" s="2042">
        <f>FV19+DU19+EU19                 -         SUMIF('Berechnung Nährstoffe und Lager'!$AX$113:$AX$155,$CX19,'Berechnung Nährstoffe und Lager'!$V$113:$V$155)/12  -$GC19*$HC19/12</f>
        <v>0</v>
      </c>
      <c r="FX19" s="2042">
        <f>FW19+DV19+EV19                 -         SUMIF('Berechnung Nährstoffe und Lager'!$AX$113:$AX$155,$CX19,'Berechnung Nährstoffe und Lager'!$V$113:$V$155)/12  -$GC19*$HC19/12</f>
        <v>0</v>
      </c>
      <c r="FY19" s="2042">
        <f>FX19+DW19+EW19                 -         SUMIF('Berechnung Nährstoffe und Lager'!$AX$113:$AX$155,$CX19,'Berechnung Nährstoffe und Lager'!$V$113:$V$155)/12  -$GC19*$HC19/12</f>
        <v>0</v>
      </c>
      <c r="FZ19" s="2042">
        <f>FY19+DX19+EX19                 -         SUMIF('Berechnung Nährstoffe und Lager'!$AX$113:$AX$155,$CX19,'Berechnung Nährstoffe und Lager'!$V$113:$V$155)/12  -$GC19*$HC19/12</f>
        <v>0</v>
      </c>
      <c r="GA19" s="2042"/>
      <c r="GB19" s="2042">
        <f>SUMIFS($CI$14:$CI$68,$BR$14:$BR$68,$CX19)+SUMIFS($CM$14:$CM$68,$BR$14:$BR$68,$CX19)+SUMIFS($CR$14:$CR$68,$BR$14:$BR$68,$CX19)  -         SUMIF('Berechnung Nährstoffe und Lager'!$AX$113:$AX$155,$CX19,'Berechnung Nährstoffe und Lager'!$U$113:$U$155)</f>
        <v>0</v>
      </c>
      <c r="GC19" s="2042">
        <f>SUMIFS($CJ$14:$CJ$68,$BR$14:$BR$68,$CX19)+SUMIFS($CO$14:$CO$68,$BR$14:$BR$68,$CX19)+SUMIFS($CT$14:$CT$68,$BR$14:$BR$68,$CX19)  -         SUMIF('Berechnung Nährstoffe und Lager'!$AX$113:$AX$155,$CX19,'Berechnung Nährstoffe und Lager'!$V$113:$V$155)</f>
        <v>0</v>
      </c>
      <c r="GD19" s="2042"/>
      <c r="GE19" s="2042"/>
      <c r="GF19" s="2042">
        <f>SUMIF('Berechnung Nährstoffe und Lager'!$AX$113:$AX$155,$CX19,'Berechnung Nährstoffe und Lager'!$U$113:$U$155)</f>
        <v>0</v>
      </c>
      <c r="GG19" s="2042">
        <f>SUMIF('Berechnung Nährstoffe und Lager'!$AX$113:$AX$155,$CX19,'Berechnung Nährstoffe und Lager'!$V$113:$V$155)</f>
        <v>0</v>
      </c>
      <c r="GH19" s="2042">
        <f t="shared" si="52"/>
        <v>0</v>
      </c>
      <c r="GI19" s="2042">
        <f t="shared" si="53"/>
        <v>0</v>
      </c>
      <c r="GJ19" s="2042">
        <f t="shared" si="34"/>
        <v>0</v>
      </c>
      <c r="GK19" s="2042">
        <f t="shared" si="35"/>
        <v>0</v>
      </c>
      <c r="GL19" s="2042">
        <f t="shared" si="36"/>
        <v>0</v>
      </c>
      <c r="GM19" s="2042" cm="1">
        <f t="array" ref="GM19">IF(GL19=0,0,(IFERROR(SUMPRODUCT($J$14:$J$68,$CH$14:$CH$68,($BR$14:$BR$68=CX19)*1)+SUMPRODUCT($L$14:$L$68,$M$14:$M$68,$CK$14:$CK$68,($BR$14:$BR$68=CX19)*1,($BT$14:$BT$68=FALSE)*1)/10+SUMPRODUCT($R$14:$R$68,$CP$14:$CP$68,($BR$14:$BR$68=CX19)*1),0))/GL19)</f>
        <v>0</v>
      </c>
      <c r="GN19" s="2042">
        <f t="shared" si="54"/>
        <v>0</v>
      </c>
      <c r="GO19" s="2042">
        <f>(SUMIF('Berechnung Nährstoffe und Lager'!$AX$113:$AX$130,'Lagerhaltung (freiwillig)'!CX19,'Berechnung Nährstoffe und Lager'!$D$113:$D$130)+SUMIF('Berechnung Nährstoffe und Lager'!$AX$137:$AX$155,'Lagerhaltung (freiwillig)'!CX19,'Berechnung Nährstoffe und Lager'!$E$137:$E$155))</f>
        <v>0</v>
      </c>
      <c r="GP19" s="2042" cm="1">
        <f t="array" ref="GP19">IF(GO19=0,0,(IFERROR(SUMPRODUCT('Berechnung Nährstoffe und Lager'!$D$113:$D$130,'Berechnung Nährstoffe und Lager'!$F$113:$F$130,('Berechnung Nährstoffe und Lager'!$AX$113:$AX$130='Lagerhaltung (freiwillig)'!CX19)*1)+SUMPRODUCT('Berechnung Nährstoffe und Lager'!$E$137:$E$155,'Berechnung Nährstoffe und Lager'!$F$137:$F$155,('Berechnung Nährstoffe und Lager'!$AX$137:$AX$155='Lagerhaltung (freiwillig)'!CX19)*1),0))/GO19)</f>
        <v>0</v>
      </c>
      <c r="GQ19" s="2042">
        <f t="shared" si="55"/>
        <v>0</v>
      </c>
      <c r="GR19" s="2042">
        <f t="shared" si="56"/>
        <v>0</v>
      </c>
      <c r="GS19" s="2042">
        <f t="shared" si="57"/>
        <v>0</v>
      </c>
      <c r="GT19" s="2042">
        <f t="shared" si="58"/>
        <v>0</v>
      </c>
      <c r="GU19" s="2045" t="str">
        <f t="shared" si="39"/>
        <v xml:space="preserve"> </v>
      </c>
      <c r="GV19" s="2045" t="str">
        <f t="shared" si="39"/>
        <v xml:space="preserve"> </v>
      </c>
      <c r="GW19" s="2054">
        <f t="shared" si="40"/>
        <v>0</v>
      </c>
      <c r="GX19" s="2042">
        <f t="shared" si="41"/>
        <v>0</v>
      </c>
      <c r="GY19" s="2042" t="str">
        <f t="shared" si="42"/>
        <v>a</v>
      </c>
      <c r="GZ19" s="2055">
        <f t="shared" si="43"/>
        <v>0</v>
      </c>
      <c r="HA19" s="2055">
        <f t="shared" si="44"/>
        <v>0</v>
      </c>
      <c r="HB19" s="2055"/>
      <c r="HC19" s="2046">
        <f t="shared" si="45"/>
        <v>0</v>
      </c>
      <c r="HD19" s="2055">
        <f t="shared" si="46"/>
        <v>0</v>
      </c>
      <c r="HE19" s="2055">
        <f t="shared" si="47"/>
        <v>0</v>
      </c>
      <c r="HF19" s="2055">
        <f t="shared" si="48"/>
        <v>0</v>
      </c>
      <c r="HG19" s="2282" cm="1">
        <f t="array" ref="HG19">IF(AND(HE19=0,GJ19=0),0,IF(HE19=0,1,IF(OR(GJ19*1000/HE19/HF19&gt;INDEX(Pflanzen!$AD$5:$AD$109,CX19)/INDEX(Pflanzen!$M$5:$M$109,CX19)*$HG$1,GJ19*1000/HE19/HF19&lt;INDEX(Pflanzen!$AD$5:$AD$109,CX19)/INDEX(Pflanzen!$M$5:$M$109,CX19)/$HG$1),1,0)))</f>
        <v>0</v>
      </c>
      <c r="HH19" s="2282" cm="1">
        <f t="array" ref="HH19">IF(AND(GK19=0,HE19=0),0,IF(HE19=0,1,IF(OR(GK19*1000/HE19/HF19&gt;INDEX(Pflanzen!$AE$5:$AE$109,CX19)/INDEX(Pflanzen!$M$5:$M$109,CX19)*$HG$1,GK19*1000/HE19/HF19&lt;INDEX(Pflanzen!$AE$5:$AE$109,CX19)/INDEX(Pflanzen!$M$5:$M$109,CX19)/$HG$1),1,0)))</f>
        <v>0</v>
      </c>
      <c r="HI19" s="2042">
        <f t="shared" si="49"/>
        <v>3</v>
      </c>
      <c r="HJ19" s="2042"/>
      <c r="HL19" s="2042"/>
      <c r="HM19" s="2052" t="str">
        <f>Tiere!B45</f>
        <v>Zuchtsauen mit 28 Ferkel bis 8 kg, N-/P-reduziert</v>
      </c>
      <c r="HN19" s="2042">
        <v>16</v>
      </c>
      <c r="HO19" s="2053">
        <f>SUMIF('Berechnung Nährstoffe und Lager'!$BM$68:$BM$81,'Lagerhaltung (freiwillig)'!HN19,'Berechnung Nährstoffe und Lager'!$Z$68:$Z$81)+SUMIF('Berechnung Nährstoffe und Lager'!$BM$68:$BM$81,'Lagerhaltung (freiwillig)'!HN19,'Berechnung Nährstoffe und Lager'!$AA$68:$AA$81)</f>
        <v>0</v>
      </c>
      <c r="HP19" s="2042" cm="1">
        <f t="array" ref="HP19">INDEX(Tiere!$C$30:$C$85,'Lagerhaltung (freiwillig)'!HN19)</f>
        <v>2</v>
      </c>
      <c r="HQ19" s="2042" cm="1">
        <f t="array" ref="HQ19">INDEX(Tiere!$H$30:$H$85,'Lagerhaltung (freiwillig)'!HN19)</f>
        <v>0</v>
      </c>
      <c r="HR19" s="2042">
        <f t="shared" si="12"/>
        <v>0</v>
      </c>
      <c r="HS19" s="2042" cm="1">
        <f t="array" ref="HS19">INDEX(Tiere!$I$30:$I$85,'Lagerhaltung (freiwillig)'!HN19)</f>
        <v>0</v>
      </c>
      <c r="HT19" s="2042">
        <f t="shared" si="13"/>
        <v>0</v>
      </c>
      <c r="HU19" s="2042" cm="1">
        <f t="array" ref="HU19">INDEX(Tiere!$BC$30:$BC$85,'Lagerhaltung (freiwillig)'!HN19)</f>
        <v>5.7344000000000008</v>
      </c>
      <c r="HV19" s="2042">
        <f t="shared" si="6"/>
        <v>0</v>
      </c>
      <c r="HW19" s="2042" cm="1">
        <f t="array" ref="HW19">INDEX(Tiere!$BD$30:$BD$85,'Lagerhaltung (freiwillig)'!HN19)</f>
        <v>2.6208</v>
      </c>
      <c r="HX19" s="2042">
        <f t="shared" si="7"/>
        <v>0</v>
      </c>
      <c r="HY19" s="2042"/>
      <c r="HZ19" s="2042"/>
      <c r="IA19" s="2042"/>
      <c r="IB19" s="2042"/>
      <c r="IC19" s="2042"/>
      <c r="ID19" s="2042"/>
      <c r="IE19" s="2042"/>
      <c r="IF19" s="2042"/>
      <c r="IG19" s="2042"/>
      <c r="IH19" s="2042"/>
      <c r="II19" s="2042"/>
      <c r="IJ19" s="2042"/>
    </row>
    <row r="20" spans="1:244" ht="15.6" customHeight="1" x14ac:dyDescent="0.2">
      <c r="A20" s="1159"/>
      <c r="B20" s="1160"/>
      <c r="C20" s="1160"/>
      <c r="D20" s="1160"/>
      <c r="E20" s="1160"/>
      <c r="F20" s="2014" cm="1">
        <f t="array" ref="F20">INDEX(Pflanzen!$M$5:$M$109,BR20)</f>
        <v>0</v>
      </c>
      <c r="G20" s="2015" cm="1">
        <f t="array" ref="G20">INDEX(Pflanzen!$AD$5:$AD$109,BR20)</f>
        <v>0</v>
      </c>
      <c r="H20" s="2299" cm="1">
        <f t="array" ref="H20">INDEX(Pflanzen!$AE$5:$AE$109,BR20)</f>
        <v>0</v>
      </c>
      <c r="I20" s="1259"/>
      <c r="J20" s="1256"/>
      <c r="K20" s="1259"/>
      <c r="L20" s="1970"/>
      <c r="M20" s="1246"/>
      <c r="N20" s="1870"/>
      <c r="O20" s="1870"/>
      <c r="P20" s="2211"/>
      <c r="Q20" s="2196"/>
      <c r="R20" s="1970"/>
      <c r="S20" s="1246"/>
      <c r="T20" s="1256"/>
      <c r="U20" s="1159"/>
      <c r="V20" s="2316" t="str">
        <f t="shared" si="82"/>
        <v/>
      </c>
      <c r="Y20" s="2005" t="str" cm="1">
        <f t="array" ref="Y20">IFERROR(INDEX($CW$4:$CW$171,AY20),"")</f>
        <v/>
      </c>
      <c r="Z20" s="510"/>
      <c r="AA20" s="510"/>
      <c r="AB20" s="510"/>
      <c r="AC20" s="2031" t="str" cm="1">
        <f t="array" ref="AC20">IFERROR(INDEX($GL$4:$GL$171,AY20),"")</f>
        <v/>
      </c>
      <c r="AD20" s="2031" t="str" cm="1">
        <f t="array" ref="AD20">IFERROR(INDEX($GM$4:$GM$171,AY20),"")</f>
        <v/>
      </c>
      <c r="AE20" s="2031" t="str" cm="1">
        <f t="array" ref="AE20">IFERROR(INDEX($GH$4:$GH$171,AY20),"")</f>
        <v/>
      </c>
      <c r="AF20" s="2031" t="str" cm="1">
        <f t="array" ref="AF20">IFERROR(INDEX($GI$4:$GI$171,AY20),"")</f>
        <v/>
      </c>
      <c r="AG20" s="2031" t="str" cm="1">
        <f t="array" ref="AG20">IFERROR(INDEX($GO$4:$GO$171,AY20),"")</f>
        <v/>
      </c>
      <c r="AH20" s="2031" t="str" cm="1">
        <f t="array" ref="AH20">IFERROR(INDEX($GP$4:$GP$171,AY20),"")</f>
        <v/>
      </c>
      <c r="AI20" s="2031" t="str" cm="1">
        <f t="array" ref="AI20">IFERROR(INDEX($GF$4:$GF$171,AY20),"")</f>
        <v/>
      </c>
      <c r="AJ20" s="2031" t="str" cm="1">
        <f t="array" ref="AJ20">IFERROR(INDEX($GG$4:$GG$171,AY20),"")</f>
        <v/>
      </c>
      <c r="AK20" s="2031" t="str" cm="1">
        <f t="array" ref="AK20">IFERROR(INDEX($GS$4:$GS$171,AY20),"")</f>
        <v/>
      </c>
      <c r="AL20" s="2032" t="str" cm="1">
        <f t="array" ref="AL20">IFERROR(INDEX($GT$4:$GT$171,AY20),"")</f>
        <v/>
      </c>
      <c r="AM20" s="2031" t="str" cm="1">
        <f t="array" ref="AM20">IFERROR(INDEX($GB$4:$GB$171,AY20),"")</f>
        <v/>
      </c>
      <c r="AN20" s="2031" t="str" cm="1">
        <f t="array" ref="AN20">IFERROR(INDEX($GC$4:$GC$171,AY20),"")</f>
        <v/>
      </c>
      <c r="AO20" s="2031" t="str" cm="1">
        <f t="array" ref="AO20">IFERROR(INDEX($GU$4:$GU$171,AY20),"")</f>
        <v/>
      </c>
      <c r="AP20" s="2031" t="str" cm="1">
        <f t="array" ref="AP20">IFERROR(INDEX($GX$4:$GX$171,AY20),"")</f>
        <v/>
      </c>
      <c r="AQ20" s="1316"/>
      <c r="AR20" s="2031" t="str" cm="1">
        <f t="array" ref="AR20">IFERROR(INDEX($HD$4:$HD$171,AY20),"")</f>
        <v/>
      </c>
      <c r="AS20" s="2031" t="str" cm="1">
        <f t="array" ref="AS20">IFERROR(INDEX($HE$4:$HE$171,AY20),"")</f>
        <v/>
      </c>
      <c r="AT20" s="2031" t="str" cm="1">
        <f t="array" ref="AT20">IFERROR(INDEX($HF$4:$HF$171,AY20),"")</f>
        <v/>
      </c>
      <c r="AU20" s="2031" t="str" cm="1">
        <f t="array" ref="AU20">IFERROR(INDEX($GJ$4:$GJ$171,AY20),"")</f>
        <v/>
      </c>
      <c r="AV20" s="2031" t="str" cm="1">
        <f t="array" ref="AV20">IFERROR(INDEX($GK$4:$GK$171,AY20),"")</f>
        <v/>
      </c>
      <c r="AY20" s="2042" t="str" cm="1">
        <f t="array" ref="AY20">IFERROR(SMALL(IF($HI$4:$HI$171=1,ROW($HI$4:$HI$171)-3),ROW(W8)),IFERROR(SMALL(IF($HI$4:$HI$171=2,ROW($HI$4:$HI$171)-3),ROW(W8)-COUNTIF($HI$4:$HI$171,1)),IFERROR(SMALL(IF($HI$4:$HI$171=0,ROW($HI$4:$HI$171)-3),ROW(W8)-COUNTIF($HI$4:$HI$171,1)-COUNTIF($HI$4:$HI$171,2)),"")))</f>
        <v/>
      </c>
      <c r="AZ20" s="2042" t="str">
        <f t="shared" si="59"/>
        <v>a</v>
      </c>
      <c r="BA20" s="2053" t="e">
        <f t="shared" si="60"/>
        <v>#VALUE!</v>
      </c>
      <c r="BB20" s="2053" cm="1">
        <f t="array" ref="BB20">IFERROR(INDEX($HI$4:$HI$171,AY20),0)</f>
        <v>0</v>
      </c>
      <c r="BC20" s="2053">
        <f t="shared" si="61"/>
        <v>0</v>
      </c>
      <c r="BD20" s="2053"/>
      <c r="BE20" s="2307"/>
      <c r="BF20" s="2307"/>
      <c r="BG20" s="2307"/>
      <c r="BH20" s="2307"/>
      <c r="BI20" s="2307"/>
      <c r="BJ20" s="2307"/>
      <c r="BK20" s="2307"/>
      <c r="BL20" s="2307"/>
      <c r="BM20" s="2307"/>
      <c r="BN20" s="2307"/>
      <c r="BO20" s="2307"/>
      <c r="BP20" s="2043"/>
      <c r="BQ20" s="2042"/>
      <c r="BR20" s="2042">
        <v>1</v>
      </c>
      <c r="BS20" s="2042"/>
      <c r="BT20" s="2042" t="b">
        <v>0</v>
      </c>
      <c r="BU20" s="2058"/>
      <c r="BV20" s="2058"/>
      <c r="BW20" s="2042">
        <f t="shared" si="62"/>
        <v>12</v>
      </c>
      <c r="BX20" s="2042">
        <f t="shared" si="63"/>
        <v>0</v>
      </c>
      <c r="BY20" s="2042">
        <f t="shared" si="64"/>
        <v>12</v>
      </c>
      <c r="BZ20" s="2042" cm="1">
        <f t="array" ref="BZ20">INDEX(Pflanzen!$AI$5:$AI$119,'Lagerhaltung (freiwillig)'!BR20)</f>
        <v>0</v>
      </c>
      <c r="CA20" s="2042" cm="1">
        <f t="array" ref="CA20">IF(BZ20=1,INDEX(Pflanzen!$AJ$5:$AJ$119,BR20),N20)</f>
        <v>0</v>
      </c>
      <c r="CB20" s="2042" cm="1">
        <f t="array" ref="CB20">IF(BZ20=1,INDEX(Pflanzen!$AK$5:$AK$119,BR20),O20)</f>
        <v>0</v>
      </c>
      <c r="CC20" s="2042">
        <f t="shared" si="65"/>
        <v>12</v>
      </c>
      <c r="CD20" s="2042">
        <f t="shared" si="66"/>
        <v>0</v>
      </c>
      <c r="CE20" s="2042">
        <f t="shared" si="67"/>
        <v>12</v>
      </c>
      <c r="CF20" s="2042" cm="1">
        <f t="array" ref="CF20">INDEX(Pflanzen!$F$5:$F$119,BR20)</f>
        <v>0</v>
      </c>
      <c r="CG20" s="2042" cm="1">
        <f t="array" ref="CG20">INDEX(Pflanzen!$H$5:$H$119,BR20)</f>
        <v>0</v>
      </c>
      <c r="CH20" s="2042">
        <f t="shared" si="68"/>
        <v>0</v>
      </c>
      <c r="CI20" s="2042">
        <f t="shared" si="69"/>
        <v>0</v>
      </c>
      <c r="CJ20" s="2042">
        <f t="shared" si="70"/>
        <v>0</v>
      </c>
      <c r="CK20" s="2042">
        <f t="shared" si="71"/>
        <v>0</v>
      </c>
      <c r="CL20" s="2042">
        <f t="shared" si="72"/>
        <v>0</v>
      </c>
      <c r="CM20" s="2042">
        <f t="shared" si="73"/>
        <v>0</v>
      </c>
      <c r="CN20" s="2042">
        <f t="shared" si="74"/>
        <v>0</v>
      </c>
      <c r="CO20" s="2042">
        <f t="shared" si="75"/>
        <v>0</v>
      </c>
      <c r="CP20" s="2042">
        <f t="shared" si="76"/>
        <v>0</v>
      </c>
      <c r="CQ20" s="2042">
        <f t="shared" si="77"/>
        <v>0</v>
      </c>
      <c r="CR20" s="2042">
        <f t="shared" si="78"/>
        <v>0</v>
      </c>
      <c r="CS20" s="2042">
        <f t="shared" si="79"/>
        <v>0</v>
      </c>
      <c r="CT20" s="2042">
        <f t="shared" si="80"/>
        <v>0</v>
      </c>
      <c r="CU20" s="2042">
        <f t="shared" si="81"/>
        <v>0</v>
      </c>
      <c r="CV20" s="2042"/>
      <c r="CW20" s="609" t="str">
        <f>Pflanzen!A16</f>
        <v>Winterroggen</v>
      </c>
      <c r="CX20" s="2042">
        <f>IFERROR(MATCH($CW20,Pflanzen!$C$5:$C$119,0),1)</f>
        <v>12</v>
      </c>
      <c r="CY20" s="609" cm="1">
        <f t="array" ref="CY20">INDEX(Pflanzen!$I$5:$I$119,'Lagerhaltung (freiwillig)'!CX20)</f>
        <v>2</v>
      </c>
      <c r="CZ20" s="2042">
        <f t="shared" si="102"/>
        <v>0</v>
      </c>
      <c r="DA20" s="2042">
        <f t="shared" si="102"/>
        <v>0</v>
      </c>
      <c r="DB20" s="2042">
        <f t="shared" si="102"/>
        <v>0</v>
      </c>
      <c r="DC20" s="2042">
        <f t="shared" si="102"/>
        <v>0</v>
      </c>
      <c r="DD20" s="2042">
        <f t="shared" si="102"/>
        <v>0</v>
      </c>
      <c r="DE20" s="2042">
        <f t="shared" si="102"/>
        <v>0</v>
      </c>
      <c r="DF20" s="2042">
        <f t="shared" si="102"/>
        <v>0</v>
      </c>
      <c r="DG20" s="2042">
        <f t="shared" si="102"/>
        <v>0</v>
      </c>
      <c r="DH20" s="2042">
        <f t="shared" si="102"/>
        <v>0</v>
      </c>
      <c r="DI20" s="2042">
        <f t="shared" si="102"/>
        <v>0</v>
      </c>
      <c r="DJ20" s="2042">
        <f t="shared" si="102"/>
        <v>0</v>
      </c>
      <c r="DK20" s="2042">
        <f t="shared" si="102"/>
        <v>0</v>
      </c>
      <c r="DL20" s="2042"/>
      <c r="DM20" s="2042">
        <f t="shared" si="103"/>
        <v>0</v>
      </c>
      <c r="DN20" s="2042">
        <f t="shared" si="103"/>
        <v>0</v>
      </c>
      <c r="DO20" s="2042">
        <f t="shared" si="103"/>
        <v>0</v>
      </c>
      <c r="DP20" s="2042">
        <f t="shared" si="103"/>
        <v>0</v>
      </c>
      <c r="DQ20" s="2042">
        <f t="shared" si="103"/>
        <v>0</v>
      </c>
      <c r="DR20" s="2042">
        <f t="shared" si="103"/>
        <v>0</v>
      </c>
      <c r="DS20" s="2042">
        <f t="shared" si="103"/>
        <v>0</v>
      </c>
      <c r="DT20" s="2042">
        <f t="shared" si="103"/>
        <v>0</v>
      </c>
      <c r="DU20" s="2042">
        <f t="shared" si="103"/>
        <v>0</v>
      </c>
      <c r="DV20" s="2042">
        <f t="shared" si="103"/>
        <v>0</v>
      </c>
      <c r="DW20" s="2042">
        <f t="shared" si="103"/>
        <v>0</v>
      </c>
      <c r="DX20" s="2042">
        <f t="shared" si="103"/>
        <v>0</v>
      </c>
      <c r="DY20" s="2042"/>
      <c r="DZ20" s="2042">
        <f t="shared" si="104"/>
        <v>0</v>
      </c>
      <c r="EA20" s="2042">
        <f t="shared" si="104"/>
        <v>0</v>
      </c>
      <c r="EB20" s="2042">
        <f t="shared" si="104"/>
        <v>0</v>
      </c>
      <c r="EC20" s="2042">
        <f t="shared" si="104"/>
        <v>0</v>
      </c>
      <c r="ED20" s="2042">
        <f t="shared" si="104"/>
        <v>0</v>
      </c>
      <c r="EE20" s="2042">
        <f t="shared" si="104"/>
        <v>0</v>
      </c>
      <c r="EF20" s="2042">
        <f t="shared" si="104"/>
        <v>0</v>
      </c>
      <c r="EG20" s="2042">
        <f t="shared" si="104"/>
        <v>0</v>
      </c>
      <c r="EH20" s="2042">
        <f t="shared" si="104"/>
        <v>0</v>
      </c>
      <c r="EI20" s="2042">
        <f t="shared" si="104"/>
        <v>0</v>
      </c>
      <c r="EJ20" s="2042">
        <f t="shared" si="104"/>
        <v>0</v>
      </c>
      <c r="EK20" s="2042">
        <f t="shared" si="104"/>
        <v>0</v>
      </c>
      <c r="EL20" s="2042"/>
      <c r="EM20" s="2042">
        <f t="shared" si="105"/>
        <v>0</v>
      </c>
      <c r="EN20" s="2042">
        <f t="shared" si="105"/>
        <v>0</v>
      </c>
      <c r="EO20" s="2042">
        <f t="shared" si="105"/>
        <v>0</v>
      </c>
      <c r="EP20" s="2042">
        <f t="shared" si="105"/>
        <v>0</v>
      </c>
      <c r="EQ20" s="2042">
        <f t="shared" si="105"/>
        <v>0</v>
      </c>
      <c r="ER20" s="2042">
        <f t="shared" si="105"/>
        <v>0</v>
      </c>
      <c r="ES20" s="2042">
        <f t="shared" si="105"/>
        <v>0</v>
      </c>
      <c r="ET20" s="2042">
        <f t="shared" si="105"/>
        <v>0</v>
      </c>
      <c r="EU20" s="2042">
        <f t="shared" si="105"/>
        <v>0</v>
      </c>
      <c r="EV20" s="2042">
        <f t="shared" si="105"/>
        <v>0</v>
      </c>
      <c r="EW20" s="2042">
        <f t="shared" si="105"/>
        <v>0</v>
      </c>
      <c r="EX20" s="2042">
        <f t="shared" si="105"/>
        <v>0</v>
      </c>
      <c r="EY20" s="2042"/>
      <c r="EZ20" s="2045">
        <f t="shared" si="50"/>
        <v>0</v>
      </c>
      <c r="FA20" s="2042">
        <f>EZ20+CZ20+DZ20                 -         SUMIF('Berechnung Nährstoffe und Lager'!$AX$113:$AX$155,$CX20,'Berechnung Nährstoffe und Lager'!$U$113:$U$155)/12  -$GB20*$HC20/12</f>
        <v>0</v>
      </c>
      <c r="FB20" s="2042">
        <f>FA20+DA20+EA20                 -         SUMIF('Berechnung Nährstoffe und Lager'!$AX$113:$AX$155,$CX20,'Berechnung Nährstoffe und Lager'!$U$113:$U$155)/12  -$GB20*$HC20/12</f>
        <v>0</v>
      </c>
      <c r="FC20" s="2042">
        <f>FB20+DB20+EB20                 -         SUMIF('Berechnung Nährstoffe und Lager'!$AX$113:$AX$155,$CX20,'Berechnung Nährstoffe und Lager'!$U$113:$U$155)/12  -$GB20*$HC20/12</f>
        <v>0</v>
      </c>
      <c r="FD20" s="2042">
        <f>FC20+DC20+EC20                 -         SUMIF('Berechnung Nährstoffe und Lager'!$AX$113:$AX$155,$CX20,'Berechnung Nährstoffe und Lager'!$U$113:$U$155)/12  -$GB20*$HC20/12</f>
        <v>0</v>
      </c>
      <c r="FE20" s="2042">
        <f>FD20+DD20+ED20                 -         SUMIF('Berechnung Nährstoffe und Lager'!$AX$113:$AX$155,$CX20,'Berechnung Nährstoffe und Lager'!$U$113:$U$155)/12  -$GB20*$HC20/12</f>
        <v>0</v>
      </c>
      <c r="FF20" s="2042">
        <f>FE20+DE20+EE20                 -         SUMIF('Berechnung Nährstoffe und Lager'!$AX$113:$AX$155,$CX20,'Berechnung Nährstoffe und Lager'!$U$113:$U$155)/12  -$GB20*$HC20/12</f>
        <v>0</v>
      </c>
      <c r="FG20" s="2042">
        <f>FF20+DF20+EF20                 -         SUMIF('Berechnung Nährstoffe und Lager'!$AX$113:$AX$155,$CX20,'Berechnung Nährstoffe und Lager'!$U$113:$U$155)/12  -$GB20*$HC20/12</f>
        <v>0</v>
      </c>
      <c r="FH20" s="2042">
        <f>FG20+DG20+EG20                 -         SUMIF('Berechnung Nährstoffe und Lager'!$AX$113:$AX$155,$CX20,'Berechnung Nährstoffe und Lager'!$U$113:$U$155)/12  -$GB20*$HC20/12</f>
        <v>0</v>
      </c>
      <c r="FI20" s="2042">
        <f>FH20+DH20+EH20                 -         SUMIF('Berechnung Nährstoffe und Lager'!$AX$113:$AX$155,$CX20,'Berechnung Nährstoffe und Lager'!$U$113:$U$155)/12  -$GB20*$HC20/12</f>
        <v>0</v>
      </c>
      <c r="FJ20" s="2042">
        <f>FI20+DI20+EI20                 -         SUMIF('Berechnung Nährstoffe und Lager'!$AX$113:$AX$155,$CX20,'Berechnung Nährstoffe und Lager'!$U$113:$U$155)/12  -$GB20*$HC20/12</f>
        <v>0</v>
      </c>
      <c r="FK20" s="2042">
        <f>FJ20+DJ20+EJ20                 -         SUMIF('Berechnung Nährstoffe und Lager'!$AX$113:$AX$155,$CX20,'Berechnung Nährstoffe und Lager'!$U$113:$U$155)/12  -$GB20*$HC20/12</f>
        <v>0</v>
      </c>
      <c r="FL20" s="2042">
        <f>FK20+DK20+EK20                 -         SUMIF('Berechnung Nährstoffe und Lager'!$AX$113:$AX$155,$CX20,'Berechnung Nährstoffe und Lager'!$U$113:$U$155)/12  -$GB20*$HC20/12</f>
        <v>0</v>
      </c>
      <c r="FM20" s="2042"/>
      <c r="FN20" s="2045">
        <f t="shared" si="51"/>
        <v>0</v>
      </c>
      <c r="FO20" s="2042">
        <f>FN20+DM20+EM20                 -         SUMIF('Berechnung Nährstoffe und Lager'!$AX$113:$AX$155,$CX20,'Berechnung Nährstoffe und Lager'!$V$113:$V$155)/12  -$GC20*$HC20/12</f>
        <v>0</v>
      </c>
      <c r="FP20" s="2042">
        <f>FO20+DN20+EN20                 -         SUMIF('Berechnung Nährstoffe und Lager'!$AX$113:$AX$155,$CX20,'Berechnung Nährstoffe und Lager'!$V$113:$V$155)/12  -$GC20*$HC20/12</f>
        <v>0</v>
      </c>
      <c r="FQ20" s="2042">
        <f>FP20+DO20+EO20                 -         SUMIF('Berechnung Nährstoffe und Lager'!$AX$113:$AX$155,$CX20,'Berechnung Nährstoffe und Lager'!$V$113:$V$155)/12  -$GC20*$HC20/12</f>
        <v>0</v>
      </c>
      <c r="FR20" s="2042">
        <f>FQ20+DP20+EP20                 -         SUMIF('Berechnung Nährstoffe und Lager'!$AX$113:$AX$155,$CX20,'Berechnung Nährstoffe und Lager'!$V$113:$V$155)/12  -$GC20*$HC20/12</f>
        <v>0</v>
      </c>
      <c r="FS20" s="2042">
        <f>FR20+DQ20+EQ20                 -         SUMIF('Berechnung Nährstoffe und Lager'!$AX$113:$AX$155,$CX20,'Berechnung Nährstoffe und Lager'!$V$113:$V$155)/12  -$GC20*$HC20/12</f>
        <v>0</v>
      </c>
      <c r="FT20" s="2042">
        <f>FS20+DR20+ER20                 -         SUMIF('Berechnung Nährstoffe und Lager'!$AX$113:$AX$155,$CX20,'Berechnung Nährstoffe und Lager'!$V$113:$V$155)/12  -$GC20*$HC20/12</f>
        <v>0</v>
      </c>
      <c r="FU20" s="2042">
        <f>FT20+DS20+ES20                 -         SUMIF('Berechnung Nährstoffe und Lager'!$AX$113:$AX$155,$CX20,'Berechnung Nährstoffe und Lager'!$V$113:$V$155)/12  -$GC20*$HC20/12</f>
        <v>0</v>
      </c>
      <c r="FV20" s="2042">
        <f>FU20+DT20+ET20                 -         SUMIF('Berechnung Nährstoffe und Lager'!$AX$113:$AX$155,$CX20,'Berechnung Nährstoffe und Lager'!$V$113:$V$155)/12  -$GC20*$HC20/12</f>
        <v>0</v>
      </c>
      <c r="FW20" s="2042">
        <f>FV20+DU20+EU20                 -         SUMIF('Berechnung Nährstoffe und Lager'!$AX$113:$AX$155,$CX20,'Berechnung Nährstoffe und Lager'!$V$113:$V$155)/12  -$GC20*$HC20/12</f>
        <v>0</v>
      </c>
      <c r="FX20" s="2042">
        <f>FW20+DV20+EV20                 -         SUMIF('Berechnung Nährstoffe und Lager'!$AX$113:$AX$155,$CX20,'Berechnung Nährstoffe und Lager'!$V$113:$V$155)/12  -$GC20*$HC20/12</f>
        <v>0</v>
      </c>
      <c r="FY20" s="2042">
        <f>FX20+DW20+EW20                 -         SUMIF('Berechnung Nährstoffe und Lager'!$AX$113:$AX$155,$CX20,'Berechnung Nährstoffe und Lager'!$V$113:$V$155)/12  -$GC20*$HC20/12</f>
        <v>0</v>
      </c>
      <c r="FZ20" s="2042">
        <f>FY20+DX20+EX20                 -         SUMIF('Berechnung Nährstoffe und Lager'!$AX$113:$AX$155,$CX20,'Berechnung Nährstoffe und Lager'!$V$113:$V$155)/12  -$GC20*$HC20/12</f>
        <v>0</v>
      </c>
      <c r="GA20" s="2042"/>
      <c r="GB20" s="2042">
        <f>SUMIFS($CI$14:$CI$68,$BR$14:$BR$68,$CX20)+SUMIFS($CM$14:$CM$68,$BR$14:$BR$68,$CX20)+SUMIFS($CR$14:$CR$68,$BR$14:$BR$68,$CX20)  -         SUMIF('Berechnung Nährstoffe und Lager'!$AX$113:$AX$155,$CX20,'Berechnung Nährstoffe und Lager'!$U$113:$U$155)</f>
        <v>0</v>
      </c>
      <c r="GC20" s="2042">
        <f>SUMIFS($CJ$14:$CJ$68,$BR$14:$BR$68,$CX20)+SUMIFS($CO$14:$CO$68,$BR$14:$BR$68,$CX20)+SUMIFS($CT$14:$CT$68,$BR$14:$BR$68,$CX20)  -         SUMIF('Berechnung Nährstoffe und Lager'!$AX$113:$AX$155,$CX20,'Berechnung Nährstoffe und Lager'!$V$113:$V$155)</f>
        <v>0</v>
      </c>
      <c r="GD20" s="2042"/>
      <c r="GE20" s="2042"/>
      <c r="GF20" s="2042">
        <f>SUMIF('Berechnung Nährstoffe und Lager'!$AX$113:$AX$155,$CX20,'Berechnung Nährstoffe und Lager'!$U$113:$U$155)</f>
        <v>0</v>
      </c>
      <c r="GG20" s="2042">
        <f>SUMIF('Berechnung Nährstoffe und Lager'!$AX$113:$AX$155,$CX20,'Berechnung Nährstoffe und Lager'!$V$113:$V$155)</f>
        <v>0</v>
      </c>
      <c r="GH20" s="2042">
        <f t="shared" si="52"/>
        <v>0</v>
      </c>
      <c r="GI20" s="2042">
        <f t="shared" si="53"/>
        <v>0</v>
      </c>
      <c r="GJ20" s="2042">
        <f t="shared" si="34"/>
        <v>0</v>
      </c>
      <c r="GK20" s="2042">
        <f t="shared" si="35"/>
        <v>0</v>
      </c>
      <c r="GL20" s="2042">
        <f t="shared" si="36"/>
        <v>0</v>
      </c>
      <c r="GM20" s="2042" cm="1">
        <f t="array" ref="GM20">IF(GL20=0,0,(IFERROR(SUMPRODUCT($J$14:$J$68,$CH$14:$CH$68,($BR$14:$BR$68=CX20)*1)+SUMPRODUCT($L$14:$L$68,$M$14:$M$68,$CK$14:$CK$68,($BR$14:$BR$68=CX20)*1,($BT$14:$BT$68=FALSE)*1)/10+SUMPRODUCT($R$14:$R$68,$CP$14:$CP$68,($BR$14:$BR$68=CX20)*1),0))/GL20)</f>
        <v>0</v>
      </c>
      <c r="GN20" s="2042">
        <f t="shared" si="54"/>
        <v>0</v>
      </c>
      <c r="GO20" s="2042">
        <f>(SUMIF('Berechnung Nährstoffe und Lager'!$AX$113:$AX$130,'Lagerhaltung (freiwillig)'!CX20,'Berechnung Nährstoffe und Lager'!$D$113:$D$130)+SUMIF('Berechnung Nährstoffe und Lager'!$AX$137:$AX$155,'Lagerhaltung (freiwillig)'!CX20,'Berechnung Nährstoffe und Lager'!$E$137:$E$155))</f>
        <v>0</v>
      </c>
      <c r="GP20" s="2042" cm="1">
        <f t="array" ref="GP20">IF(GO20=0,0,(IFERROR(SUMPRODUCT('Berechnung Nährstoffe und Lager'!$D$113:$D$130,'Berechnung Nährstoffe und Lager'!$F$113:$F$130,('Berechnung Nährstoffe und Lager'!$AX$113:$AX$130='Lagerhaltung (freiwillig)'!CX20)*1)+SUMPRODUCT('Berechnung Nährstoffe und Lager'!$E$137:$E$155,'Berechnung Nährstoffe und Lager'!$F$137:$F$155,('Berechnung Nährstoffe und Lager'!$AX$137:$AX$155='Lagerhaltung (freiwillig)'!CX20)*1),0))/GO20)</f>
        <v>0</v>
      </c>
      <c r="GQ20" s="2042">
        <f t="shared" si="55"/>
        <v>0</v>
      </c>
      <c r="GR20" s="2042">
        <f t="shared" si="56"/>
        <v>0</v>
      </c>
      <c r="GS20" s="2042">
        <f t="shared" si="57"/>
        <v>0</v>
      </c>
      <c r="GT20" s="2042">
        <f t="shared" si="58"/>
        <v>0</v>
      </c>
      <c r="GU20" s="2045" t="str">
        <f t="shared" si="39"/>
        <v xml:space="preserve"> </v>
      </c>
      <c r="GV20" s="2045" t="str">
        <f t="shared" si="39"/>
        <v xml:space="preserve"> </v>
      </c>
      <c r="GW20" s="2054">
        <f t="shared" si="40"/>
        <v>0</v>
      </c>
      <c r="GX20" s="2042">
        <f t="shared" si="41"/>
        <v>0</v>
      </c>
      <c r="GY20" s="2042" t="str">
        <f t="shared" si="42"/>
        <v>a</v>
      </c>
      <c r="GZ20" s="2055">
        <f t="shared" si="43"/>
        <v>0</v>
      </c>
      <c r="HA20" s="2055">
        <f t="shared" si="44"/>
        <v>0</v>
      </c>
      <c r="HB20" s="2055"/>
      <c r="HC20" s="2046">
        <f t="shared" si="45"/>
        <v>0</v>
      </c>
      <c r="HD20" s="2055">
        <f t="shared" si="46"/>
        <v>0</v>
      </c>
      <c r="HE20" s="2055">
        <f t="shared" si="47"/>
        <v>0</v>
      </c>
      <c r="HF20" s="2055">
        <f t="shared" si="48"/>
        <v>0</v>
      </c>
      <c r="HG20" s="2282" cm="1">
        <f t="array" ref="HG20">IF(AND(HE20=0,GJ20=0),0,IF(HE20=0,1,IF(OR(GJ20*1000/HE20/HF20&gt;INDEX(Pflanzen!$AD$5:$AD$109,CX20)/INDEX(Pflanzen!$M$5:$M$109,CX20)*$HG$1,GJ20*1000/HE20/HF20&lt;INDEX(Pflanzen!$AD$5:$AD$109,CX20)/INDEX(Pflanzen!$M$5:$M$109,CX20)/$HG$1),1,0)))</f>
        <v>0</v>
      </c>
      <c r="HH20" s="2282" cm="1">
        <f t="array" ref="HH20">IF(AND(GK20=0,HE20=0),0,IF(HE20=0,1,IF(OR(GK20*1000/HE20/HF20&gt;INDEX(Pflanzen!$AE$5:$AE$109,CX20)/INDEX(Pflanzen!$M$5:$M$109,CX20)*$HG$1,GK20*1000/HE20/HF20&lt;INDEX(Pflanzen!$AE$5:$AE$109,CX20)/INDEX(Pflanzen!$M$5:$M$109,CX20)/$HG$1),1,0)))</f>
        <v>0</v>
      </c>
      <c r="HI20" s="2042">
        <f t="shared" si="49"/>
        <v>3</v>
      </c>
      <c r="HJ20" s="2042"/>
      <c r="HL20" s="2042"/>
      <c r="HM20" s="2052" t="str">
        <f>Tiere!B46</f>
        <v>Zuchtsauen mit 25 Ferkel bis 28 kg, Standard</v>
      </c>
      <c r="HN20" s="2042">
        <v>17</v>
      </c>
      <c r="HO20" s="2053">
        <f>SUMIF('Berechnung Nährstoffe und Lager'!$BM$68:$BM$81,'Lagerhaltung (freiwillig)'!HN20,'Berechnung Nährstoffe und Lager'!$Z$68:$Z$81)+SUMIF('Berechnung Nährstoffe und Lager'!$BM$68:$BM$81,'Lagerhaltung (freiwillig)'!HN20,'Berechnung Nährstoffe und Lager'!$AA$68:$AA$81)</f>
        <v>0</v>
      </c>
      <c r="HP20" s="2042" cm="1">
        <f t="array" ref="HP20">INDEX(Tiere!$C$30:$C$85,'Lagerhaltung (freiwillig)'!HN20)</f>
        <v>2</v>
      </c>
      <c r="HQ20" s="2042" cm="1">
        <f t="array" ref="HQ20">INDEX(Tiere!$H$30:$H$85,'Lagerhaltung (freiwillig)'!HN20)</f>
        <v>0</v>
      </c>
      <c r="HR20" s="2042">
        <f t="shared" si="12"/>
        <v>0</v>
      </c>
      <c r="HS20" s="2042" cm="1">
        <f t="array" ref="HS20">INDEX(Tiere!$I$30:$I$85,'Lagerhaltung (freiwillig)'!HN20)</f>
        <v>0</v>
      </c>
      <c r="HT20" s="2042">
        <f t="shared" si="13"/>
        <v>0</v>
      </c>
      <c r="HU20" s="2042" cm="1">
        <f t="array" ref="HU20">INDEX(Tiere!$BC$30:$BC$85,'Lagerhaltung (freiwillig)'!HN20)</f>
        <v>17.920000000000002</v>
      </c>
      <c r="HV20" s="2042">
        <f t="shared" si="6"/>
        <v>0</v>
      </c>
      <c r="HW20" s="2042" cm="1">
        <f t="array" ref="HW20">INDEX(Tiere!$BD$30:$BD$85,'Lagerhaltung (freiwillig)'!HN20)</f>
        <v>8.19</v>
      </c>
      <c r="HX20" s="2042">
        <f t="shared" si="7"/>
        <v>0</v>
      </c>
      <c r="HY20" s="2042"/>
      <c r="HZ20" s="2042"/>
      <c r="IA20" s="2042"/>
      <c r="IB20" s="2042"/>
      <c r="IC20" s="2042"/>
      <c r="ID20" s="2042"/>
      <c r="IE20" s="2042"/>
      <c r="IF20" s="2042"/>
      <c r="IG20" s="2042"/>
      <c r="IH20" s="2042"/>
      <c r="II20" s="2042"/>
      <c r="IJ20" s="2042"/>
    </row>
    <row r="21" spans="1:244" ht="15.6" customHeight="1" x14ac:dyDescent="0.2">
      <c r="A21" s="1159"/>
      <c r="B21" s="1160"/>
      <c r="C21" s="1160"/>
      <c r="D21" s="1160"/>
      <c r="E21" s="1160"/>
      <c r="F21" s="2014" cm="1">
        <f t="array" ref="F21">INDEX(Pflanzen!$M$5:$M$109,BR21)</f>
        <v>0</v>
      </c>
      <c r="G21" s="2015" cm="1">
        <f t="array" ref="G21">INDEX(Pflanzen!$AD$5:$AD$109,BR21)</f>
        <v>0</v>
      </c>
      <c r="H21" s="2299" cm="1">
        <f t="array" ref="H21">INDEX(Pflanzen!$AE$5:$AE$109,BR21)</f>
        <v>0</v>
      </c>
      <c r="I21" s="1259"/>
      <c r="J21" s="1256"/>
      <c r="K21" s="1259"/>
      <c r="L21" s="1970"/>
      <c r="M21" s="1246"/>
      <c r="N21" s="1870"/>
      <c r="O21" s="1870"/>
      <c r="P21" s="2211"/>
      <c r="Q21" s="2196"/>
      <c r="R21" s="1970"/>
      <c r="S21" s="1246"/>
      <c r="T21" s="1256"/>
      <c r="U21" s="1159"/>
      <c r="V21" s="2316" t="str">
        <f t="shared" si="82"/>
        <v/>
      </c>
      <c r="Y21" s="2005" t="str" cm="1">
        <f t="array" ref="Y21">IFERROR(INDEX($CW$4:$CW$171,AY21),"")</f>
        <v/>
      </c>
      <c r="Z21" s="510"/>
      <c r="AA21" s="510"/>
      <c r="AB21" s="510"/>
      <c r="AC21" s="2031" t="str" cm="1">
        <f t="array" ref="AC21">IFERROR(INDEX($GL$4:$GL$171,AY21),"")</f>
        <v/>
      </c>
      <c r="AD21" s="2031" t="str" cm="1">
        <f t="array" ref="AD21">IFERROR(INDEX($GM$4:$GM$171,AY21),"")</f>
        <v/>
      </c>
      <c r="AE21" s="2031" t="str" cm="1">
        <f t="array" ref="AE21">IFERROR(INDEX($GH$4:$GH$171,AY21),"")</f>
        <v/>
      </c>
      <c r="AF21" s="2031" t="str" cm="1">
        <f t="array" ref="AF21">IFERROR(INDEX($GI$4:$GI$171,AY21),"")</f>
        <v/>
      </c>
      <c r="AG21" s="2031" t="str" cm="1">
        <f t="array" ref="AG21">IFERROR(INDEX($GO$4:$GO$171,AY21),"")</f>
        <v/>
      </c>
      <c r="AH21" s="2031" t="str" cm="1">
        <f t="array" ref="AH21">IFERROR(INDEX($GP$4:$GP$171,AY21),"")</f>
        <v/>
      </c>
      <c r="AI21" s="2031" t="str" cm="1">
        <f t="array" ref="AI21">IFERROR(INDEX($GF$4:$GF$171,AY21),"")</f>
        <v/>
      </c>
      <c r="AJ21" s="2031" t="str" cm="1">
        <f t="array" ref="AJ21">IFERROR(INDEX($GG$4:$GG$171,AY21),"")</f>
        <v/>
      </c>
      <c r="AK21" s="2031" t="str" cm="1">
        <f t="array" ref="AK21">IFERROR(INDEX($GS$4:$GS$171,AY21),"")</f>
        <v/>
      </c>
      <c r="AL21" s="2032" t="str" cm="1">
        <f t="array" ref="AL21">IFERROR(INDEX($GT$4:$GT$171,AY21),"")</f>
        <v/>
      </c>
      <c r="AM21" s="2031" t="str" cm="1">
        <f t="array" ref="AM21">IFERROR(INDEX($GB$4:$GB$171,AY21),"")</f>
        <v/>
      </c>
      <c r="AN21" s="2031" t="str" cm="1">
        <f t="array" ref="AN21">IFERROR(INDEX($GC$4:$GC$171,AY21),"")</f>
        <v/>
      </c>
      <c r="AO21" s="2031" t="str" cm="1">
        <f t="array" ref="AO21">IFERROR(INDEX($GU$4:$GU$171,AY21),"")</f>
        <v/>
      </c>
      <c r="AP21" s="2031" t="str" cm="1">
        <f t="array" ref="AP21">IFERROR(INDEX($GX$4:$GX$171,AY21),"")</f>
        <v/>
      </c>
      <c r="AQ21" s="1316"/>
      <c r="AR21" s="2031" t="str" cm="1">
        <f t="array" ref="AR21">IFERROR(INDEX($HD$4:$HD$171,AY21),"")</f>
        <v/>
      </c>
      <c r="AS21" s="2031" t="str" cm="1">
        <f t="array" ref="AS21">IFERROR(INDEX($HE$4:$HE$171,AY21),"")</f>
        <v/>
      </c>
      <c r="AT21" s="2031" t="str" cm="1">
        <f t="array" ref="AT21">IFERROR(INDEX($HF$4:$HF$171,AY21),"")</f>
        <v/>
      </c>
      <c r="AU21" s="2031" t="str" cm="1">
        <f t="array" ref="AU21">IFERROR(INDEX($GJ$4:$GJ$171,AY21),"")</f>
        <v/>
      </c>
      <c r="AV21" s="2031" t="str" cm="1">
        <f t="array" ref="AV21">IFERROR(INDEX($GK$4:$GK$171,AY21),"")</f>
        <v/>
      </c>
      <c r="AY21" s="2042" t="str" cm="1">
        <f t="array" ref="AY21">IFERROR(SMALL(IF($HI$4:$HI$171=1,ROW($HI$4:$HI$171)-3),ROW(W9)),IFERROR(SMALL(IF($HI$4:$HI$171=2,ROW($HI$4:$HI$171)-3),ROW(W9)-COUNTIF($HI$4:$HI$171,1)),IFERROR(SMALL(IF($HI$4:$HI$171=0,ROW($HI$4:$HI$171)-3),ROW(W9)-COUNTIF($HI$4:$HI$171,1)-COUNTIF($HI$4:$HI$171,2)),"")))</f>
        <v/>
      </c>
      <c r="AZ21" s="2042" t="str">
        <f t="shared" si="59"/>
        <v>a</v>
      </c>
      <c r="BA21" s="2053" t="e">
        <f t="shared" si="60"/>
        <v>#VALUE!</v>
      </c>
      <c r="BB21" s="2053" cm="1">
        <f t="array" ref="BB21">IFERROR(INDEX($HI$4:$HI$171,AY21),0)</f>
        <v>0</v>
      </c>
      <c r="BC21" s="2053">
        <f t="shared" si="61"/>
        <v>0</v>
      </c>
      <c r="BD21" s="2053"/>
      <c r="BE21" s="2307"/>
      <c r="BF21" s="2307"/>
      <c r="BG21" s="2307"/>
      <c r="BH21" s="2307"/>
      <c r="BI21" s="2307"/>
      <c r="BJ21" s="2307"/>
      <c r="BK21" s="2307"/>
      <c r="BL21" s="2307"/>
      <c r="BM21" s="2307"/>
      <c r="BN21" s="2307"/>
      <c r="BO21" s="2307"/>
      <c r="BP21" s="2043"/>
      <c r="BQ21" s="2042"/>
      <c r="BR21" s="2042">
        <v>1</v>
      </c>
      <c r="BS21" s="2042"/>
      <c r="BT21" s="2042" t="b">
        <v>0</v>
      </c>
      <c r="BU21" s="2058"/>
      <c r="BV21" s="2058"/>
      <c r="BW21" s="2042">
        <f t="shared" si="62"/>
        <v>12</v>
      </c>
      <c r="BX21" s="2042">
        <f t="shared" si="63"/>
        <v>0</v>
      </c>
      <c r="BY21" s="2042">
        <f t="shared" si="64"/>
        <v>12</v>
      </c>
      <c r="BZ21" s="2042" cm="1">
        <f t="array" ref="BZ21">INDEX(Pflanzen!$AI$5:$AI$119,'Lagerhaltung (freiwillig)'!BR21)</f>
        <v>0</v>
      </c>
      <c r="CA21" s="2042" cm="1">
        <f t="array" ref="CA21">IF(BZ21=1,INDEX(Pflanzen!$AJ$5:$AJ$119,BR21),N21)</f>
        <v>0</v>
      </c>
      <c r="CB21" s="2042" cm="1">
        <f t="array" ref="CB21">IF(BZ21=1,INDEX(Pflanzen!$AK$5:$AK$119,BR21),O21)</f>
        <v>0</v>
      </c>
      <c r="CC21" s="2042">
        <f t="shared" si="65"/>
        <v>12</v>
      </c>
      <c r="CD21" s="2042">
        <f t="shared" si="66"/>
        <v>0</v>
      </c>
      <c r="CE21" s="2042">
        <f t="shared" si="67"/>
        <v>12</v>
      </c>
      <c r="CF21" s="2042" cm="1">
        <f t="array" ref="CF21">INDEX(Pflanzen!$F$5:$F$119,BR21)</f>
        <v>0</v>
      </c>
      <c r="CG21" s="2042" cm="1">
        <f t="array" ref="CG21">INDEX(Pflanzen!$H$5:$H$119,BR21)</f>
        <v>0</v>
      </c>
      <c r="CH21" s="2042">
        <f t="shared" si="68"/>
        <v>0</v>
      </c>
      <c r="CI21" s="2042">
        <f t="shared" si="69"/>
        <v>0</v>
      </c>
      <c r="CJ21" s="2042">
        <f t="shared" si="70"/>
        <v>0</v>
      </c>
      <c r="CK21" s="2042">
        <f t="shared" si="71"/>
        <v>0</v>
      </c>
      <c r="CL21" s="2042">
        <f t="shared" si="72"/>
        <v>0</v>
      </c>
      <c r="CM21" s="2042">
        <f t="shared" si="73"/>
        <v>0</v>
      </c>
      <c r="CN21" s="2042">
        <f t="shared" si="74"/>
        <v>0</v>
      </c>
      <c r="CO21" s="2042">
        <f t="shared" si="75"/>
        <v>0</v>
      </c>
      <c r="CP21" s="2042">
        <f t="shared" si="76"/>
        <v>0</v>
      </c>
      <c r="CQ21" s="2042">
        <f t="shared" si="77"/>
        <v>0</v>
      </c>
      <c r="CR21" s="2042">
        <f t="shared" si="78"/>
        <v>0</v>
      </c>
      <c r="CS21" s="2042">
        <f t="shared" si="79"/>
        <v>0</v>
      </c>
      <c r="CT21" s="2042">
        <f t="shared" si="80"/>
        <v>0</v>
      </c>
      <c r="CU21" s="2042">
        <f t="shared" si="81"/>
        <v>0</v>
      </c>
      <c r="CV21" s="2042"/>
      <c r="CW21" s="609" t="str">
        <f>Pflanzen!A17</f>
        <v>Hafer</v>
      </c>
      <c r="CX21" s="2042">
        <f>IFERROR(MATCH($CW21,Pflanzen!$C$5:$C$119,0),1)</f>
        <v>13</v>
      </c>
      <c r="CY21" s="609" cm="1">
        <f t="array" ref="CY21">INDEX(Pflanzen!$I$5:$I$119,'Lagerhaltung (freiwillig)'!CX21)</f>
        <v>2</v>
      </c>
      <c r="CZ21" s="2042">
        <f t="shared" si="102"/>
        <v>0</v>
      </c>
      <c r="DA21" s="2042">
        <f t="shared" si="102"/>
        <v>0</v>
      </c>
      <c r="DB21" s="2042">
        <f t="shared" si="102"/>
        <v>0</v>
      </c>
      <c r="DC21" s="2042">
        <f t="shared" si="102"/>
        <v>0</v>
      </c>
      <c r="DD21" s="2042">
        <f t="shared" si="102"/>
        <v>0</v>
      </c>
      <c r="DE21" s="2042">
        <f t="shared" si="102"/>
        <v>0</v>
      </c>
      <c r="DF21" s="2042">
        <f t="shared" si="102"/>
        <v>0</v>
      </c>
      <c r="DG21" s="2042">
        <f t="shared" si="102"/>
        <v>0</v>
      </c>
      <c r="DH21" s="2042">
        <f t="shared" si="102"/>
        <v>0</v>
      </c>
      <c r="DI21" s="2042">
        <f t="shared" si="102"/>
        <v>0</v>
      </c>
      <c r="DJ21" s="2042">
        <f t="shared" si="102"/>
        <v>0</v>
      </c>
      <c r="DK21" s="2042">
        <f t="shared" si="102"/>
        <v>0</v>
      </c>
      <c r="DL21" s="2042"/>
      <c r="DM21" s="2042">
        <f t="shared" si="103"/>
        <v>0</v>
      </c>
      <c r="DN21" s="2042">
        <f t="shared" si="103"/>
        <v>0</v>
      </c>
      <c r="DO21" s="2042">
        <f t="shared" si="103"/>
        <v>0</v>
      </c>
      <c r="DP21" s="2042">
        <f t="shared" si="103"/>
        <v>0</v>
      </c>
      <c r="DQ21" s="2042">
        <f t="shared" si="103"/>
        <v>0</v>
      </c>
      <c r="DR21" s="2042">
        <f t="shared" si="103"/>
        <v>0</v>
      </c>
      <c r="DS21" s="2042">
        <f t="shared" si="103"/>
        <v>0</v>
      </c>
      <c r="DT21" s="2042">
        <f t="shared" si="103"/>
        <v>0</v>
      </c>
      <c r="DU21" s="2042">
        <f t="shared" si="103"/>
        <v>0</v>
      </c>
      <c r="DV21" s="2042">
        <f t="shared" si="103"/>
        <v>0</v>
      </c>
      <c r="DW21" s="2042">
        <f t="shared" si="103"/>
        <v>0</v>
      </c>
      <c r="DX21" s="2042">
        <f t="shared" si="103"/>
        <v>0</v>
      </c>
      <c r="DY21" s="2042"/>
      <c r="DZ21" s="2042">
        <f t="shared" si="104"/>
        <v>0</v>
      </c>
      <c r="EA21" s="2042">
        <f t="shared" si="104"/>
        <v>0</v>
      </c>
      <c r="EB21" s="2042">
        <f t="shared" si="104"/>
        <v>0</v>
      </c>
      <c r="EC21" s="2042">
        <f t="shared" si="104"/>
        <v>0</v>
      </c>
      <c r="ED21" s="2042">
        <f t="shared" si="104"/>
        <v>0</v>
      </c>
      <c r="EE21" s="2042">
        <f t="shared" si="104"/>
        <v>0</v>
      </c>
      <c r="EF21" s="2042">
        <f t="shared" si="104"/>
        <v>0</v>
      </c>
      <c r="EG21" s="2042">
        <f t="shared" si="104"/>
        <v>0</v>
      </c>
      <c r="EH21" s="2042">
        <f t="shared" si="104"/>
        <v>0</v>
      </c>
      <c r="EI21" s="2042">
        <f t="shared" si="104"/>
        <v>0</v>
      </c>
      <c r="EJ21" s="2042">
        <f t="shared" si="104"/>
        <v>0</v>
      </c>
      <c r="EK21" s="2042">
        <f t="shared" si="104"/>
        <v>0</v>
      </c>
      <c r="EL21" s="2042"/>
      <c r="EM21" s="2042">
        <f t="shared" si="105"/>
        <v>0</v>
      </c>
      <c r="EN21" s="2042">
        <f t="shared" si="105"/>
        <v>0</v>
      </c>
      <c r="EO21" s="2042">
        <f t="shared" si="105"/>
        <v>0</v>
      </c>
      <c r="EP21" s="2042">
        <f t="shared" si="105"/>
        <v>0</v>
      </c>
      <c r="EQ21" s="2042">
        <f t="shared" si="105"/>
        <v>0</v>
      </c>
      <c r="ER21" s="2042">
        <f t="shared" si="105"/>
        <v>0</v>
      </c>
      <c r="ES21" s="2042">
        <f t="shared" si="105"/>
        <v>0</v>
      </c>
      <c r="ET21" s="2042">
        <f t="shared" si="105"/>
        <v>0</v>
      </c>
      <c r="EU21" s="2042">
        <f t="shared" si="105"/>
        <v>0</v>
      </c>
      <c r="EV21" s="2042">
        <f t="shared" si="105"/>
        <v>0</v>
      </c>
      <c r="EW21" s="2042">
        <f t="shared" si="105"/>
        <v>0</v>
      </c>
      <c r="EX21" s="2042">
        <f t="shared" si="105"/>
        <v>0</v>
      </c>
      <c r="EY21" s="2042"/>
      <c r="EZ21" s="2045">
        <f t="shared" si="50"/>
        <v>0</v>
      </c>
      <c r="FA21" s="2042">
        <f>EZ21+CZ21+DZ21                 -         SUMIF('Berechnung Nährstoffe und Lager'!$AX$113:$AX$155,$CX21,'Berechnung Nährstoffe und Lager'!$U$113:$U$155)/12  -$GB21*$HC21/12</f>
        <v>0</v>
      </c>
      <c r="FB21" s="2042">
        <f>FA21+DA21+EA21                 -         SUMIF('Berechnung Nährstoffe und Lager'!$AX$113:$AX$155,$CX21,'Berechnung Nährstoffe und Lager'!$U$113:$U$155)/12  -$GB21*$HC21/12</f>
        <v>0</v>
      </c>
      <c r="FC21" s="2042">
        <f>FB21+DB21+EB21                 -         SUMIF('Berechnung Nährstoffe und Lager'!$AX$113:$AX$155,$CX21,'Berechnung Nährstoffe und Lager'!$U$113:$U$155)/12  -$GB21*$HC21/12</f>
        <v>0</v>
      </c>
      <c r="FD21" s="2042">
        <f>FC21+DC21+EC21                 -         SUMIF('Berechnung Nährstoffe und Lager'!$AX$113:$AX$155,$CX21,'Berechnung Nährstoffe und Lager'!$U$113:$U$155)/12  -$GB21*$HC21/12</f>
        <v>0</v>
      </c>
      <c r="FE21" s="2042">
        <f>FD21+DD21+ED21                 -         SUMIF('Berechnung Nährstoffe und Lager'!$AX$113:$AX$155,$CX21,'Berechnung Nährstoffe und Lager'!$U$113:$U$155)/12  -$GB21*$HC21/12</f>
        <v>0</v>
      </c>
      <c r="FF21" s="2042">
        <f>FE21+DE21+EE21                 -         SUMIF('Berechnung Nährstoffe und Lager'!$AX$113:$AX$155,$CX21,'Berechnung Nährstoffe und Lager'!$U$113:$U$155)/12  -$GB21*$HC21/12</f>
        <v>0</v>
      </c>
      <c r="FG21" s="2042">
        <f>FF21+DF21+EF21                 -         SUMIF('Berechnung Nährstoffe und Lager'!$AX$113:$AX$155,$CX21,'Berechnung Nährstoffe und Lager'!$U$113:$U$155)/12  -$GB21*$HC21/12</f>
        <v>0</v>
      </c>
      <c r="FH21" s="2042">
        <f>FG21+DG21+EG21                 -         SUMIF('Berechnung Nährstoffe und Lager'!$AX$113:$AX$155,$CX21,'Berechnung Nährstoffe und Lager'!$U$113:$U$155)/12  -$GB21*$HC21/12</f>
        <v>0</v>
      </c>
      <c r="FI21" s="2042">
        <f>FH21+DH21+EH21                 -         SUMIF('Berechnung Nährstoffe und Lager'!$AX$113:$AX$155,$CX21,'Berechnung Nährstoffe und Lager'!$U$113:$U$155)/12  -$GB21*$HC21/12</f>
        <v>0</v>
      </c>
      <c r="FJ21" s="2042">
        <f>FI21+DI21+EI21                 -         SUMIF('Berechnung Nährstoffe und Lager'!$AX$113:$AX$155,$CX21,'Berechnung Nährstoffe und Lager'!$U$113:$U$155)/12  -$GB21*$HC21/12</f>
        <v>0</v>
      </c>
      <c r="FK21" s="2042">
        <f>FJ21+DJ21+EJ21                 -         SUMIF('Berechnung Nährstoffe und Lager'!$AX$113:$AX$155,$CX21,'Berechnung Nährstoffe und Lager'!$U$113:$U$155)/12  -$GB21*$HC21/12</f>
        <v>0</v>
      </c>
      <c r="FL21" s="2042">
        <f>FK21+DK21+EK21                 -         SUMIF('Berechnung Nährstoffe und Lager'!$AX$113:$AX$155,$CX21,'Berechnung Nährstoffe und Lager'!$U$113:$U$155)/12  -$GB21*$HC21/12</f>
        <v>0</v>
      </c>
      <c r="FM21" s="2042"/>
      <c r="FN21" s="2045">
        <f t="shared" si="51"/>
        <v>0</v>
      </c>
      <c r="FO21" s="2042">
        <f>FN21+DM21+EM21                 -         SUMIF('Berechnung Nährstoffe und Lager'!$AX$113:$AX$155,$CX21,'Berechnung Nährstoffe und Lager'!$V$113:$V$155)/12  -$GC21*$HC21/12</f>
        <v>0</v>
      </c>
      <c r="FP21" s="2042">
        <f>FO21+DN21+EN21                 -         SUMIF('Berechnung Nährstoffe und Lager'!$AX$113:$AX$155,$CX21,'Berechnung Nährstoffe und Lager'!$V$113:$V$155)/12  -$GC21*$HC21/12</f>
        <v>0</v>
      </c>
      <c r="FQ21" s="2042">
        <f>FP21+DO21+EO21                 -         SUMIF('Berechnung Nährstoffe und Lager'!$AX$113:$AX$155,$CX21,'Berechnung Nährstoffe und Lager'!$V$113:$V$155)/12  -$GC21*$HC21/12</f>
        <v>0</v>
      </c>
      <c r="FR21" s="2042">
        <f>FQ21+DP21+EP21                 -         SUMIF('Berechnung Nährstoffe und Lager'!$AX$113:$AX$155,$CX21,'Berechnung Nährstoffe und Lager'!$V$113:$V$155)/12  -$GC21*$HC21/12</f>
        <v>0</v>
      </c>
      <c r="FS21" s="2042">
        <f>FR21+DQ21+EQ21                 -         SUMIF('Berechnung Nährstoffe und Lager'!$AX$113:$AX$155,$CX21,'Berechnung Nährstoffe und Lager'!$V$113:$V$155)/12  -$GC21*$HC21/12</f>
        <v>0</v>
      </c>
      <c r="FT21" s="2042">
        <f>FS21+DR21+ER21                 -         SUMIF('Berechnung Nährstoffe und Lager'!$AX$113:$AX$155,$CX21,'Berechnung Nährstoffe und Lager'!$V$113:$V$155)/12  -$GC21*$HC21/12</f>
        <v>0</v>
      </c>
      <c r="FU21" s="2042">
        <f>FT21+DS21+ES21                 -         SUMIF('Berechnung Nährstoffe und Lager'!$AX$113:$AX$155,$CX21,'Berechnung Nährstoffe und Lager'!$V$113:$V$155)/12  -$GC21*$HC21/12</f>
        <v>0</v>
      </c>
      <c r="FV21" s="2042">
        <f>FU21+DT21+ET21                 -         SUMIF('Berechnung Nährstoffe und Lager'!$AX$113:$AX$155,$CX21,'Berechnung Nährstoffe und Lager'!$V$113:$V$155)/12  -$GC21*$HC21/12</f>
        <v>0</v>
      </c>
      <c r="FW21" s="2042">
        <f>FV21+DU21+EU21                 -         SUMIF('Berechnung Nährstoffe und Lager'!$AX$113:$AX$155,$CX21,'Berechnung Nährstoffe und Lager'!$V$113:$V$155)/12  -$GC21*$HC21/12</f>
        <v>0</v>
      </c>
      <c r="FX21" s="2042">
        <f>FW21+DV21+EV21                 -         SUMIF('Berechnung Nährstoffe und Lager'!$AX$113:$AX$155,$CX21,'Berechnung Nährstoffe und Lager'!$V$113:$V$155)/12  -$GC21*$HC21/12</f>
        <v>0</v>
      </c>
      <c r="FY21" s="2042">
        <f>FX21+DW21+EW21                 -         SUMIF('Berechnung Nährstoffe und Lager'!$AX$113:$AX$155,$CX21,'Berechnung Nährstoffe und Lager'!$V$113:$V$155)/12  -$GC21*$HC21/12</f>
        <v>0</v>
      </c>
      <c r="FZ21" s="2042">
        <f>FY21+DX21+EX21                 -         SUMIF('Berechnung Nährstoffe und Lager'!$AX$113:$AX$155,$CX21,'Berechnung Nährstoffe und Lager'!$V$113:$V$155)/12  -$GC21*$HC21/12</f>
        <v>0</v>
      </c>
      <c r="GA21" s="2042"/>
      <c r="GB21" s="2042">
        <f>SUMIFS($CI$14:$CI$68,$BR$14:$BR$68,$CX21)+SUMIFS($CM$14:$CM$68,$BR$14:$BR$68,$CX21)+SUMIFS($CR$14:$CR$68,$BR$14:$BR$68,$CX21)  -         SUMIF('Berechnung Nährstoffe und Lager'!$AX$113:$AX$155,$CX21,'Berechnung Nährstoffe und Lager'!$U$113:$U$155)</f>
        <v>0</v>
      </c>
      <c r="GC21" s="2042">
        <f>SUMIFS($CJ$14:$CJ$68,$BR$14:$BR$68,$CX21)+SUMIFS($CO$14:$CO$68,$BR$14:$BR$68,$CX21)+SUMIFS($CT$14:$CT$68,$BR$14:$BR$68,$CX21)  -         SUMIF('Berechnung Nährstoffe und Lager'!$AX$113:$AX$155,$CX21,'Berechnung Nährstoffe und Lager'!$V$113:$V$155)</f>
        <v>0</v>
      </c>
      <c r="GD21" s="2042"/>
      <c r="GE21" s="2042"/>
      <c r="GF21" s="2042">
        <f>SUMIF('Berechnung Nährstoffe und Lager'!$AX$113:$AX$155,$CX21,'Berechnung Nährstoffe und Lager'!$U$113:$U$155)</f>
        <v>0</v>
      </c>
      <c r="GG21" s="2042">
        <f>SUMIF('Berechnung Nährstoffe und Lager'!$AX$113:$AX$155,$CX21,'Berechnung Nährstoffe und Lager'!$V$113:$V$155)</f>
        <v>0</v>
      </c>
      <c r="GH21" s="2042">
        <f t="shared" si="52"/>
        <v>0</v>
      </c>
      <c r="GI21" s="2042">
        <f t="shared" si="53"/>
        <v>0</v>
      </c>
      <c r="GJ21" s="2042">
        <f t="shared" si="34"/>
        <v>0</v>
      </c>
      <c r="GK21" s="2042">
        <f t="shared" si="35"/>
        <v>0</v>
      </c>
      <c r="GL21" s="2042">
        <f t="shared" si="36"/>
        <v>0</v>
      </c>
      <c r="GM21" s="2042" cm="1">
        <f t="array" ref="GM21">IF(GL21=0,0,(IFERROR(SUMPRODUCT($J$14:$J$68,$CH$14:$CH$68,($BR$14:$BR$68=CX21)*1)+SUMPRODUCT($L$14:$L$68,$M$14:$M$68,$CK$14:$CK$68,($BR$14:$BR$68=CX21)*1,($BT$14:$BT$68=FALSE)*1)/10+SUMPRODUCT($R$14:$R$68,$CP$14:$CP$68,($BR$14:$BR$68=CX21)*1),0))/GL21)</f>
        <v>0</v>
      </c>
      <c r="GN21" s="2042">
        <f t="shared" si="54"/>
        <v>0</v>
      </c>
      <c r="GO21" s="2042">
        <f>(SUMIF('Berechnung Nährstoffe und Lager'!$AX$113:$AX$130,'Lagerhaltung (freiwillig)'!CX21,'Berechnung Nährstoffe und Lager'!$D$113:$D$130)+SUMIF('Berechnung Nährstoffe und Lager'!$AX$137:$AX$155,'Lagerhaltung (freiwillig)'!CX21,'Berechnung Nährstoffe und Lager'!$E$137:$E$155))</f>
        <v>0</v>
      </c>
      <c r="GP21" s="2042" cm="1">
        <f t="array" ref="GP21">IF(GO21=0,0,(IFERROR(SUMPRODUCT('Berechnung Nährstoffe und Lager'!$D$113:$D$130,'Berechnung Nährstoffe und Lager'!$F$113:$F$130,('Berechnung Nährstoffe und Lager'!$AX$113:$AX$130='Lagerhaltung (freiwillig)'!CX21)*1)+SUMPRODUCT('Berechnung Nährstoffe und Lager'!$E$137:$E$155,'Berechnung Nährstoffe und Lager'!$F$137:$F$155,('Berechnung Nährstoffe und Lager'!$AX$137:$AX$155='Lagerhaltung (freiwillig)'!CX21)*1),0))/GO21)</f>
        <v>0</v>
      </c>
      <c r="GQ21" s="2042">
        <f t="shared" si="55"/>
        <v>0</v>
      </c>
      <c r="GR21" s="2042">
        <f t="shared" si="56"/>
        <v>0</v>
      </c>
      <c r="GS21" s="2042">
        <f t="shared" si="57"/>
        <v>0</v>
      </c>
      <c r="GT21" s="2042">
        <f t="shared" si="58"/>
        <v>0</v>
      </c>
      <c r="GU21" s="2045" t="str">
        <f t="shared" si="39"/>
        <v xml:space="preserve"> </v>
      </c>
      <c r="GV21" s="2045" t="str">
        <f t="shared" si="39"/>
        <v xml:space="preserve"> </v>
      </c>
      <c r="GW21" s="2054">
        <f t="shared" si="40"/>
        <v>0</v>
      </c>
      <c r="GX21" s="2042">
        <f t="shared" si="41"/>
        <v>0</v>
      </c>
      <c r="GY21" s="2042" t="str">
        <f t="shared" si="42"/>
        <v>a</v>
      </c>
      <c r="GZ21" s="2055">
        <f t="shared" si="43"/>
        <v>0</v>
      </c>
      <c r="HA21" s="2055">
        <f t="shared" si="44"/>
        <v>0</v>
      </c>
      <c r="HB21" s="2055"/>
      <c r="HC21" s="2046">
        <f t="shared" si="45"/>
        <v>0</v>
      </c>
      <c r="HD21" s="2055">
        <f t="shared" si="46"/>
        <v>0</v>
      </c>
      <c r="HE21" s="2055">
        <f t="shared" si="47"/>
        <v>0</v>
      </c>
      <c r="HF21" s="2055">
        <f t="shared" si="48"/>
        <v>0</v>
      </c>
      <c r="HG21" s="2282" cm="1">
        <f t="array" ref="HG21">IF(AND(HE21=0,GJ21=0),0,IF(HE21=0,1,IF(OR(GJ21*1000/HE21/HF21&gt;INDEX(Pflanzen!$AD$5:$AD$109,CX21)/INDEX(Pflanzen!$M$5:$M$109,CX21)*$HG$1,GJ21*1000/HE21/HF21&lt;INDEX(Pflanzen!$AD$5:$AD$109,CX21)/INDEX(Pflanzen!$M$5:$M$109,CX21)/$HG$1),1,0)))</f>
        <v>0</v>
      </c>
      <c r="HH21" s="2282" cm="1">
        <f t="array" ref="HH21">IF(AND(GK21=0,HE21=0),0,IF(HE21=0,1,IF(OR(GK21*1000/HE21/HF21&gt;INDEX(Pflanzen!$AE$5:$AE$109,CX21)/INDEX(Pflanzen!$M$5:$M$109,CX21)*$HG$1,GK21*1000/HE21/HF21&lt;INDEX(Pflanzen!$AE$5:$AE$109,CX21)/INDEX(Pflanzen!$M$5:$M$109,CX21)/$HG$1),1,0)))</f>
        <v>0</v>
      </c>
      <c r="HI21" s="2042">
        <f t="shared" si="49"/>
        <v>3</v>
      </c>
      <c r="HJ21" s="2042"/>
      <c r="HL21" s="2042"/>
      <c r="HM21" s="2052" t="str">
        <f>Tiere!B47</f>
        <v>Zuchtsauen mit 25 Ferkel bis 28 kg, N-/P-reduziert</v>
      </c>
      <c r="HN21" s="2042">
        <v>18</v>
      </c>
      <c r="HO21" s="2053">
        <f>SUMIF('Berechnung Nährstoffe und Lager'!$BM$68:$BM$81,'Lagerhaltung (freiwillig)'!HN21,'Berechnung Nährstoffe und Lager'!$Z$68:$Z$81)+SUMIF('Berechnung Nährstoffe und Lager'!$BM$68:$BM$81,'Lagerhaltung (freiwillig)'!HN21,'Berechnung Nährstoffe und Lager'!$AA$68:$AA$81)</f>
        <v>0</v>
      </c>
      <c r="HP21" s="2042" cm="1">
        <f t="array" ref="HP21">INDEX(Tiere!$C$30:$C$85,'Lagerhaltung (freiwillig)'!HN21)</f>
        <v>2</v>
      </c>
      <c r="HQ21" s="2042" cm="1">
        <f t="array" ref="HQ21">INDEX(Tiere!$H$30:$H$85,'Lagerhaltung (freiwillig)'!HN21)</f>
        <v>0</v>
      </c>
      <c r="HR21" s="2042">
        <f t="shared" si="12"/>
        <v>0</v>
      </c>
      <c r="HS21" s="2042" cm="1">
        <f t="array" ref="HS21">INDEX(Tiere!$I$30:$I$85,'Lagerhaltung (freiwillig)'!HN21)</f>
        <v>0</v>
      </c>
      <c r="HT21" s="2042">
        <f t="shared" si="13"/>
        <v>0</v>
      </c>
      <c r="HU21" s="2042" cm="1">
        <f t="array" ref="HU21">INDEX(Tiere!$BC$30:$BC$85,'Lagerhaltung (freiwillig)'!HN21)</f>
        <v>17.920000000000002</v>
      </c>
      <c r="HV21" s="2042">
        <f t="shared" si="6"/>
        <v>0</v>
      </c>
      <c r="HW21" s="2042" cm="1">
        <f t="array" ref="HW21">INDEX(Tiere!$BD$30:$BD$85,'Lagerhaltung (freiwillig)'!HN21)</f>
        <v>8.19</v>
      </c>
      <c r="HX21" s="2042">
        <f t="shared" si="7"/>
        <v>0</v>
      </c>
      <c r="HY21" s="2042"/>
      <c r="HZ21" s="2042"/>
      <c r="IA21" s="2042"/>
      <c r="IB21" s="2042"/>
      <c r="IC21" s="2042"/>
      <c r="ID21" s="2042"/>
      <c r="IE21" s="2042"/>
      <c r="IF21" s="2042"/>
      <c r="IG21" s="2042"/>
      <c r="IH21" s="2042"/>
      <c r="II21" s="2042"/>
      <c r="IJ21" s="2042"/>
    </row>
    <row r="22" spans="1:244" ht="15.6" customHeight="1" x14ac:dyDescent="0.2">
      <c r="A22" s="1159"/>
      <c r="B22" s="1160"/>
      <c r="C22" s="1160"/>
      <c r="D22" s="1160"/>
      <c r="E22" s="1160"/>
      <c r="F22" s="2014" cm="1">
        <f t="array" ref="F22">INDEX(Pflanzen!$M$5:$M$109,BR22)</f>
        <v>0</v>
      </c>
      <c r="G22" s="2015" cm="1">
        <f t="array" ref="G22">INDEX(Pflanzen!$AD$5:$AD$109,BR22)</f>
        <v>0</v>
      </c>
      <c r="H22" s="2299" cm="1">
        <f t="array" ref="H22">INDEX(Pflanzen!$AE$5:$AE$109,BR22)</f>
        <v>0</v>
      </c>
      <c r="I22" s="1259"/>
      <c r="J22" s="1256"/>
      <c r="K22" s="1259"/>
      <c r="L22" s="1970"/>
      <c r="M22" s="1246"/>
      <c r="N22" s="1870"/>
      <c r="O22" s="1870"/>
      <c r="P22" s="2211"/>
      <c r="Q22" s="2196"/>
      <c r="R22" s="1970"/>
      <c r="S22" s="1246"/>
      <c r="T22" s="1256"/>
      <c r="U22" s="1159"/>
      <c r="V22" s="2316" t="str">
        <f t="shared" si="82"/>
        <v/>
      </c>
      <c r="Y22" s="2005" t="str" cm="1">
        <f t="array" ref="Y22">IFERROR(INDEX($CW$4:$CW$171,AY22),"")</f>
        <v/>
      </c>
      <c r="Z22" s="510"/>
      <c r="AA22" s="510"/>
      <c r="AB22" s="510"/>
      <c r="AC22" s="2031" t="str" cm="1">
        <f t="array" ref="AC22">IFERROR(INDEX($GL$4:$GL$171,AY22),"")</f>
        <v/>
      </c>
      <c r="AD22" s="2031" t="str" cm="1">
        <f t="array" ref="AD22">IFERROR(INDEX($GM$4:$GM$171,AY22),"")</f>
        <v/>
      </c>
      <c r="AE22" s="2031" t="str" cm="1">
        <f t="array" ref="AE22">IFERROR(INDEX($GH$4:$GH$171,AY22),"")</f>
        <v/>
      </c>
      <c r="AF22" s="2031" t="str" cm="1">
        <f t="array" ref="AF22">IFERROR(INDEX($GI$4:$GI$171,AY22),"")</f>
        <v/>
      </c>
      <c r="AG22" s="2031" t="str" cm="1">
        <f t="array" ref="AG22">IFERROR(INDEX($GO$4:$GO$171,AY22),"")</f>
        <v/>
      </c>
      <c r="AH22" s="2031" t="str" cm="1">
        <f t="array" ref="AH22">IFERROR(INDEX($GP$4:$GP$171,AY22),"")</f>
        <v/>
      </c>
      <c r="AI22" s="2031" t="str" cm="1">
        <f t="array" ref="AI22">IFERROR(INDEX($GF$4:$GF$171,AY22),"")</f>
        <v/>
      </c>
      <c r="AJ22" s="2031" t="str" cm="1">
        <f t="array" ref="AJ22">IFERROR(INDEX($GG$4:$GG$171,AY22),"")</f>
        <v/>
      </c>
      <c r="AK22" s="2031" t="str" cm="1">
        <f t="array" ref="AK22">IFERROR(INDEX($GS$4:$GS$171,AY22),"")</f>
        <v/>
      </c>
      <c r="AL22" s="2032" t="str" cm="1">
        <f t="array" ref="AL22">IFERROR(INDEX($GT$4:$GT$171,AY22),"")</f>
        <v/>
      </c>
      <c r="AM22" s="2031" t="str" cm="1">
        <f t="array" ref="AM22">IFERROR(INDEX($GB$4:$GB$171,AY22),"")</f>
        <v/>
      </c>
      <c r="AN22" s="2031" t="str" cm="1">
        <f t="array" ref="AN22">IFERROR(INDEX($GC$4:$GC$171,AY22),"")</f>
        <v/>
      </c>
      <c r="AO22" s="2031" t="str" cm="1">
        <f t="array" ref="AO22">IFERROR(INDEX($GU$4:$GU$171,AY22),"")</f>
        <v/>
      </c>
      <c r="AP22" s="2031" t="str" cm="1">
        <f t="array" ref="AP22">IFERROR(INDEX($GX$4:$GX$171,AY22),"")</f>
        <v/>
      </c>
      <c r="AQ22" s="1316"/>
      <c r="AR22" s="2031" t="str" cm="1">
        <f t="array" ref="AR22">IFERROR(INDEX($HD$4:$HD$171,AY22),"")</f>
        <v/>
      </c>
      <c r="AS22" s="2031" t="str" cm="1">
        <f t="array" ref="AS22">IFERROR(INDEX($HE$4:$HE$171,AY22),"")</f>
        <v/>
      </c>
      <c r="AT22" s="2031" t="str" cm="1">
        <f t="array" ref="AT22">IFERROR(INDEX($HF$4:$HF$171,AY22),"")</f>
        <v/>
      </c>
      <c r="AU22" s="2031" t="str" cm="1">
        <f t="array" ref="AU22">IFERROR(INDEX($GJ$4:$GJ$171,AY22),"")</f>
        <v/>
      </c>
      <c r="AV22" s="2031" t="str" cm="1">
        <f t="array" ref="AV22">IFERROR(INDEX($GK$4:$GK$171,AY22),"")</f>
        <v/>
      </c>
      <c r="AY22" s="2042" t="str" cm="1">
        <f t="array" ref="AY22">IFERROR(SMALL(IF($HI$4:$HI$171=1,ROW($HI$4:$HI$171)-3),ROW(W10)),IFERROR(SMALL(IF($HI$4:$HI$171=2,ROW($HI$4:$HI$171)-3),ROW(W10)-COUNTIF($HI$4:$HI$171,1)),IFERROR(SMALL(IF($HI$4:$HI$171=0,ROW($HI$4:$HI$171)-3),ROW(W10)-COUNTIF($HI$4:$HI$171,1)-COUNTIF($HI$4:$HI$171,2)),"")))</f>
        <v/>
      </c>
      <c r="AZ22" s="2042" t="str">
        <f t="shared" si="59"/>
        <v>a</v>
      </c>
      <c r="BA22" s="2053" t="e">
        <f t="shared" si="60"/>
        <v>#VALUE!</v>
      </c>
      <c r="BB22" s="2053" cm="1">
        <f t="array" ref="BB22">IFERROR(INDEX($HI$4:$HI$171,AY22),0)</f>
        <v>0</v>
      </c>
      <c r="BC22" s="2053">
        <f t="shared" si="61"/>
        <v>0</v>
      </c>
      <c r="BD22" s="2053"/>
      <c r="BE22" s="2307"/>
      <c r="BF22" s="2307"/>
      <c r="BG22" s="2307"/>
      <c r="BH22" s="2307"/>
      <c r="BI22" s="2307"/>
      <c r="BJ22" s="2307"/>
      <c r="BK22" s="2307"/>
      <c r="BL22" s="2307"/>
      <c r="BM22" s="2307"/>
      <c r="BN22" s="2307"/>
      <c r="BO22" s="2307"/>
      <c r="BP22" s="2043"/>
      <c r="BQ22" s="2042"/>
      <c r="BR22" s="2042">
        <v>1</v>
      </c>
      <c r="BS22" s="2042"/>
      <c r="BT22" s="2042" t="b">
        <v>0</v>
      </c>
      <c r="BU22" s="2058"/>
      <c r="BV22" s="2058"/>
      <c r="BW22" s="2042">
        <f t="shared" si="62"/>
        <v>12</v>
      </c>
      <c r="BX22" s="2042">
        <f t="shared" si="63"/>
        <v>0</v>
      </c>
      <c r="BY22" s="2042">
        <f t="shared" si="64"/>
        <v>12</v>
      </c>
      <c r="BZ22" s="2042" cm="1">
        <f t="array" ref="BZ22">INDEX(Pflanzen!$AI$5:$AI$119,'Lagerhaltung (freiwillig)'!BR22)</f>
        <v>0</v>
      </c>
      <c r="CA22" s="2042" cm="1">
        <f t="array" ref="CA22">IF(BZ22=1,INDEX(Pflanzen!$AJ$5:$AJ$119,BR22),N22)</f>
        <v>0</v>
      </c>
      <c r="CB22" s="2042" cm="1">
        <f t="array" ref="CB22">IF(BZ22=1,INDEX(Pflanzen!$AK$5:$AK$119,BR22),O22)</f>
        <v>0</v>
      </c>
      <c r="CC22" s="2042">
        <f t="shared" si="65"/>
        <v>12</v>
      </c>
      <c r="CD22" s="2042">
        <f t="shared" si="66"/>
        <v>0</v>
      </c>
      <c r="CE22" s="2042">
        <f t="shared" si="67"/>
        <v>12</v>
      </c>
      <c r="CF22" s="2042" cm="1">
        <f t="array" ref="CF22">INDEX(Pflanzen!$F$5:$F$119,BR22)</f>
        <v>0</v>
      </c>
      <c r="CG22" s="2042" cm="1">
        <f t="array" ref="CG22">INDEX(Pflanzen!$H$5:$H$119,BR22)</f>
        <v>0</v>
      </c>
      <c r="CH22" s="2042">
        <f t="shared" si="68"/>
        <v>0</v>
      </c>
      <c r="CI22" s="2042">
        <f t="shared" si="69"/>
        <v>0</v>
      </c>
      <c r="CJ22" s="2042">
        <f t="shared" si="70"/>
        <v>0</v>
      </c>
      <c r="CK22" s="2042">
        <f t="shared" si="71"/>
        <v>0</v>
      </c>
      <c r="CL22" s="2042">
        <f t="shared" si="72"/>
        <v>0</v>
      </c>
      <c r="CM22" s="2042">
        <f t="shared" si="73"/>
        <v>0</v>
      </c>
      <c r="CN22" s="2042">
        <f t="shared" si="74"/>
        <v>0</v>
      </c>
      <c r="CO22" s="2042">
        <f t="shared" si="75"/>
        <v>0</v>
      </c>
      <c r="CP22" s="2042">
        <f t="shared" si="76"/>
        <v>0</v>
      </c>
      <c r="CQ22" s="2042">
        <f t="shared" si="77"/>
        <v>0</v>
      </c>
      <c r="CR22" s="2042">
        <f t="shared" si="78"/>
        <v>0</v>
      </c>
      <c r="CS22" s="2042">
        <f t="shared" si="79"/>
        <v>0</v>
      </c>
      <c r="CT22" s="2042">
        <f t="shared" si="80"/>
        <v>0</v>
      </c>
      <c r="CU22" s="2042">
        <f t="shared" si="81"/>
        <v>0</v>
      </c>
      <c r="CV22" s="2042"/>
      <c r="CW22" s="609" t="str">
        <f>Pflanzen!A18</f>
        <v>Triticale</v>
      </c>
      <c r="CX22" s="2042">
        <f>IFERROR(MATCH($CW22,Pflanzen!$C$5:$C$119,0),1)</f>
        <v>14</v>
      </c>
      <c r="CY22" s="609" cm="1">
        <f t="array" ref="CY22">INDEX(Pflanzen!$I$5:$I$119,'Lagerhaltung (freiwillig)'!CX22)</f>
        <v>2</v>
      </c>
      <c r="CZ22" s="2042">
        <f t="shared" si="102"/>
        <v>0</v>
      </c>
      <c r="DA22" s="2042">
        <f t="shared" si="102"/>
        <v>0</v>
      </c>
      <c r="DB22" s="2042">
        <f t="shared" si="102"/>
        <v>0</v>
      </c>
      <c r="DC22" s="2042">
        <f t="shared" si="102"/>
        <v>0</v>
      </c>
      <c r="DD22" s="2042">
        <f t="shared" si="102"/>
        <v>0</v>
      </c>
      <c r="DE22" s="2042">
        <f t="shared" si="102"/>
        <v>0</v>
      </c>
      <c r="DF22" s="2042">
        <f t="shared" si="102"/>
        <v>0</v>
      </c>
      <c r="DG22" s="2042">
        <f t="shared" si="102"/>
        <v>0</v>
      </c>
      <c r="DH22" s="2042">
        <f t="shared" si="102"/>
        <v>0</v>
      </c>
      <c r="DI22" s="2042">
        <f t="shared" si="102"/>
        <v>0</v>
      </c>
      <c r="DJ22" s="2042">
        <f t="shared" si="102"/>
        <v>0</v>
      </c>
      <c r="DK22" s="2042">
        <f t="shared" si="102"/>
        <v>0</v>
      </c>
      <c r="DL22" s="2042"/>
      <c r="DM22" s="2042">
        <f t="shared" si="103"/>
        <v>0</v>
      </c>
      <c r="DN22" s="2042">
        <f t="shared" si="103"/>
        <v>0</v>
      </c>
      <c r="DO22" s="2042">
        <f t="shared" si="103"/>
        <v>0</v>
      </c>
      <c r="DP22" s="2042">
        <f t="shared" si="103"/>
        <v>0</v>
      </c>
      <c r="DQ22" s="2042">
        <f t="shared" si="103"/>
        <v>0</v>
      </c>
      <c r="DR22" s="2042">
        <f t="shared" si="103"/>
        <v>0</v>
      </c>
      <c r="DS22" s="2042">
        <f t="shared" si="103"/>
        <v>0</v>
      </c>
      <c r="DT22" s="2042">
        <f t="shared" si="103"/>
        <v>0</v>
      </c>
      <c r="DU22" s="2042">
        <f t="shared" si="103"/>
        <v>0</v>
      </c>
      <c r="DV22" s="2042">
        <f t="shared" si="103"/>
        <v>0</v>
      </c>
      <c r="DW22" s="2042">
        <f t="shared" si="103"/>
        <v>0</v>
      </c>
      <c r="DX22" s="2042">
        <f t="shared" si="103"/>
        <v>0</v>
      </c>
      <c r="DY22" s="2042"/>
      <c r="DZ22" s="2042">
        <f t="shared" si="104"/>
        <v>0</v>
      </c>
      <c r="EA22" s="2042">
        <f t="shared" si="104"/>
        <v>0</v>
      </c>
      <c r="EB22" s="2042">
        <f t="shared" si="104"/>
        <v>0</v>
      </c>
      <c r="EC22" s="2042">
        <f t="shared" si="104"/>
        <v>0</v>
      </c>
      <c r="ED22" s="2042">
        <f t="shared" si="104"/>
        <v>0</v>
      </c>
      <c r="EE22" s="2042">
        <f t="shared" si="104"/>
        <v>0</v>
      </c>
      <c r="EF22" s="2042">
        <f t="shared" si="104"/>
        <v>0</v>
      </c>
      <c r="EG22" s="2042">
        <f t="shared" si="104"/>
        <v>0</v>
      </c>
      <c r="EH22" s="2042">
        <f t="shared" si="104"/>
        <v>0</v>
      </c>
      <c r="EI22" s="2042">
        <f t="shared" si="104"/>
        <v>0</v>
      </c>
      <c r="EJ22" s="2042">
        <f t="shared" si="104"/>
        <v>0</v>
      </c>
      <c r="EK22" s="2042">
        <f t="shared" si="104"/>
        <v>0</v>
      </c>
      <c r="EL22" s="2042"/>
      <c r="EM22" s="2042">
        <f t="shared" si="105"/>
        <v>0</v>
      </c>
      <c r="EN22" s="2042">
        <f t="shared" si="105"/>
        <v>0</v>
      </c>
      <c r="EO22" s="2042">
        <f t="shared" si="105"/>
        <v>0</v>
      </c>
      <c r="EP22" s="2042">
        <f t="shared" si="105"/>
        <v>0</v>
      </c>
      <c r="EQ22" s="2042">
        <f t="shared" si="105"/>
        <v>0</v>
      </c>
      <c r="ER22" s="2042">
        <f t="shared" si="105"/>
        <v>0</v>
      </c>
      <c r="ES22" s="2042">
        <f t="shared" si="105"/>
        <v>0</v>
      </c>
      <c r="ET22" s="2042">
        <f t="shared" si="105"/>
        <v>0</v>
      </c>
      <c r="EU22" s="2042">
        <f t="shared" si="105"/>
        <v>0</v>
      </c>
      <c r="EV22" s="2042">
        <f t="shared" si="105"/>
        <v>0</v>
      </c>
      <c r="EW22" s="2042">
        <f t="shared" si="105"/>
        <v>0</v>
      </c>
      <c r="EX22" s="2042">
        <f t="shared" si="105"/>
        <v>0</v>
      </c>
      <c r="EY22" s="2042"/>
      <c r="EZ22" s="2045">
        <f t="shared" si="50"/>
        <v>0</v>
      </c>
      <c r="FA22" s="2042">
        <f>EZ22+CZ22+DZ22                 -         SUMIF('Berechnung Nährstoffe und Lager'!$AX$113:$AX$155,$CX22,'Berechnung Nährstoffe und Lager'!$U$113:$U$155)/12  -$GB22*$HC22/12</f>
        <v>0</v>
      </c>
      <c r="FB22" s="2042">
        <f>FA22+DA22+EA22                 -         SUMIF('Berechnung Nährstoffe und Lager'!$AX$113:$AX$155,$CX22,'Berechnung Nährstoffe und Lager'!$U$113:$U$155)/12  -$GB22*$HC22/12</f>
        <v>0</v>
      </c>
      <c r="FC22" s="2042">
        <f>FB22+DB22+EB22                 -         SUMIF('Berechnung Nährstoffe und Lager'!$AX$113:$AX$155,$CX22,'Berechnung Nährstoffe und Lager'!$U$113:$U$155)/12  -$GB22*$HC22/12</f>
        <v>0</v>
      </c>
      <c r="FD22" s="2042">
        <f>FC22+DC22+EC22                 -         SUMIF('Berechnung Nährstoffe und Lager'!$AX$113:$AX$155,$CX22,'Berechnung Nährstoffe und Lager'!$U$113:$U$155)/12  -$GB22*$HC22/12</f>
        <v>0</v>
      </c>
      <c r="FE22" s="2042">
        <f>FD22+DD22+ED22                 -         SUMIF('Berechnung Nährstoffe und Lager'!$AX$113:$AX$155,$CX22,'Berechnung Nährstoffe und Lager'!$U$113:$U$155)/12  -$GB22*$HC22/12</f>
        <v>0</v>
      </c>
      <c r="FF22" s="2042">
        <f>FE22+DE22+EE22                 -         SUMIF('Berechnung Nährstoffe und Lager'!$AX$113:$AX$155,$CX22,'Berechnung Nährstoffe und Lager'!$U$113:$U$155)/12  -$GB22*$HC22/12</f>
        <v>0</v>
      </c>
      <c r="FG22" s="2042">
        <f>FF22+DF22+EF22                 -         SUMIF('Berechnung Nährstoffe und Lager'!$AX$113:$AX$155,$CX22,'Berechnung Nährstoffe und Lager'!$U$113:$U$155)/12  -$GB22*$HC22/12</f>
        <v>0</v>
      </c>
      <c r="FH22" s="2042">
        <f>FG22+DG22+EG22                 -         SUMIF('Berechnung Nährstoffe und Lager'!$AX$113:$AX$155,$CX22,'Berechnung Nährstoffe und Lager'!$U$113:$U$155)/12  -$GB22*$HC22/12</f>
        <v>0</v>
      </c>
      <c r="FI22" s="2042">
        <f>FH22+DH22+EH22                 -         SUMIF('Berechnung Nährstoffe und Lager'!$AX$113:$AX$155,$CX22,'Berechnung Nährstoffe und Lager'!$U$113:$U$155)/12  -$GB22*$HC22/12</f>
        <v>0</v>
      </c>
      <c r="FJ22" s="2042">
        <f>FI22+DI22+EI22                 -         SUMIF('Berechnung Nährstoffe und Lager'!$AX$113:$AX$155,$CX22,'Berechnung Nährstoffe und Lager'!$U$113:$U$155)/12  -$GB22*$HC22/12</f>
        <v>0</v>
      </c>
      <c r="FK22" s="2042">
        <f>FJ22+DJ22+EJ22                 -         SUMIF('Berechnung Nährstoffe und Lager'!$AX$113:$AX$155,$CX22,'Berechnung Nährstoffe und Lager'!$U$113:$U$155)/12  -$GB22*$HC22/12</f>
        <v>0</v>
      </c>
      <c r="FL22" s="2042">
        <f>FK22+DK22+EK22                 -         SUMIF('Berechnung Nährstoffe und Lager'!$AX$113:$AX$155,$CX22,'Berechnung Nährstoffe und Lager'!$U$113:$U$155)/12  -$GB22*$HC22/12</f>
        <v>0</v>
      </c>
      <c r="FM22" s="2042"/>
      <c r="FN22" s="2045">
        <f t="shared" si="51"/>
        <v>0</v>
      </c>
      <c r="FO22" s="2042">
        <f>FN22+DM22+EM22                 -         SUMIF('Berechnung Nährstoffe und Lager'!$AX$113:$AX$155,$CX22,'Berechnung Nährstoffe und Lager'!$V$113:$V$155)/12  -$GC22*$HC22/12</f>
        <v>0</v>
      </c>
      <c r="FP22" s="2042">
        <f>FO22+DN22+EN22                 -         SUMIF('Berechnung Nährstoffe und Lager'!$AX$113:$AX$155,$CX22,'Berechnung Nährstoffe und Lager'!$V$113:$V$155)/12  -$GC22*$HC22/12</f>
        <v>0</v>
      </c>
      <c r="FQ22" s="2042">
        <f>FP22+DO22+EO22                 -         SUMIF('Berechnung Nährstoffe und Lager'!$AX$113:$AX$155,$CX22,'Berechnung Nährstoffe und Lager'!$V$113:$V$155)/12  -$GC22*$HC22/12</f>
        <v>0</v>
      </c>
      <c r="FR22" s="2042">
        <f>FQ22+DP22+EP22                 -         SUMIF('Berechnung Nährstoffe und Lager'!$AX$113:$AX$155,$CX22,'Berechnung Nährstoffe und Lager'!$V$113:$V$155)/12  -$GC22*$HC22/12</f>
        <v>0</v>
      </c>
      <c r="FS22" s="2042">
        <f>FR22+DQ22+EQ22                 -         SUMIF('Berechnung Nährstoffe und Lager'!$AX$113:$AX$155,$CX22,'Berechnung Nährstoffe und Lager'!$V$113:$V$155)/12  -$GC22*$HC22/12</f>
        <v>0</v>
      </c>
      <c r="FT22" s="2042">
        <f>FS22+DR22+ER22                 -         SUMIF('Berechnung Nährstoffe und Lager'!$AX$113:$AX$155,$CX22,'Berechnung Nährstoffe und Lager'!$V$113:$V$155)/12  -$GC22*$HC22/12</f>
        <v>0</v>
      </c>
      <c r="FU22" s="2042">
        <f>FT22+DS22+ES22                 -         SUMIF('Berechnung Nährstoffe und Lager'!$AX$113:$AX$155,$CX22,'Berechnung Nährstoffe und Lager'!$V$113:$V$155)/12  -$GC22*$HC22/12</f>
        <v>0</v>
      </c>
      <c r="FV22" s="2042">
        <f>FU22+DT22+ET22                 -         SUMIF('Berechnung Nährstoffe und Lager'!$AX$113:$AX$155,$CX22,'Berechnung Nährstoffe und Lager'!$V$113:$V$155)/12  -$GC22*$HC22/12</f>
        <v>0</v>
      </c>
      <c r="FW22" s="2042">
        <f>FV22+DU22+EU22                 -         SUMIF('Berechnung Nährstoffe und Lager'!$AX$113:$AX$155,$CX22,'Berechnung Nährstoffe und Lager'!$V$113:$V$155)/12  -$GC22*$HC22/12</f>
        <v>0</v>
      </c>
      <c r="FX22" s="2042">
        <f>FW22+DV22+EV22                 -         SUMIF('Berechnung Nährstoffe und Lager'!$AX$113:$AX$155,$CX22,'Berechnung Nährstoffe und Lager'!$V$113:$V$155)/12  -$GC22*$HC22/12</f>
        <v>0</v>
      </c>
      <c r="FY22" s="2042">
        <f>FX22+DW22+EW22                 -         SUMIF('Berechnung Nährstoffe und Lager'!$AX$113:$AX$155,$CX22,'Berechnung Nährstoffe und Lager'!$V$113:$V$155)/12  -$GC22*$HC22/12</f>
        <v>0</v>
      </c>
      <c r="FZ22" s="2042">
        <f>FY22+DX22+EX22                 -         SUMIF('Berechnung Nährstoffe und Lager'!$AX$113:$AX$155,$CX22,'Berechnung Nährstoffe und Lager'!$V$113:$V$155)/12  -$GC22*$HC22/12</f>
        <v>0</v>
      </c>
      <c r="GA22" s="2042"/>
      <c r="GB22" s="2042">
        <f>SUMIFS($CI$14:$CI$68,$BR$14:$BR$68,$CX22)+SUMIFS($CM$14:$CM$68,$BR$14:$BR$68,$CX22)+SUMIFS($CR$14:$CR$68,$BR$14:$BR$68,$CX22)  -         SUMIF('Berechnung Nährstoffe und Lager'!$AX$113:$AX$155,$CX22,'Berechnung Nährstoffe und Lager'!$U$113:$U$155)</f>
        <v>0</v>
      </c>
      <c r="GC22" s="2042">
        <f>SUMIFS($CJ$14:$CJ$68,$BR$14:$BR$68,$CX22)+SUMIFS($CO$14:$CO$68,$BR$14:$BR$68,$CX22)+SUMIFS($CT$14:$CT$68,$BR$14:$BR$68,$CX22)  -         SUMIF('Berechnung Nährstoffe und Lager'!$AX$113:$AX$155,$CX22,'Berechnung Nährstoffe und Lager'!$V$113:$V$155)</f>
        <v>0</v>
      </c>
      <c r="GD22" s="2042"/>
      <c r="GE22" s="2042"/>
      <c r="GF22" s="2042">
        <f>SUMIF('Berechnung Nährstoffe und Lager'!$AX$113:$AX$155,$CX22,'Berechnung Nährstoffe und Lager'!$U$113:$U$155)</f>
        <v>0</v>
      </c>
      <c r="GG22" s="2042">
        <f>SUMIF('Berechnung Nährstoffe und Lager'!$AX$113:$AX$155,$CX22,'Berechnung Nährstoffe und Lager'!$V$113:$V$155)</f>
        <v>0</v>
      </c>
      <c r="GH22" s="2042">
        <f t="shared" si="52"/>
        <v>0</v>
      </c>
      <c r="GI22" s="2042">
        <f t="shared" si="53"/>
        <v>0</v>
      </c>
      <c r="GJ22" s="2042">
        <f t="shared" si="34"/>
        <v>0</v>
      </c>
      <c r="GK22" s="2042">
        <f t="shared" si="35"/>
        <v>0</v>
      </c>
      <c r="GL22" s="2042">
        <f t="shared" si="36"/>
        <v>0</v>
      </c>
      <c r="GM22" s="2042" cm="1">
        <f t="array" ref="GM22">IF(GL22=0,0,(IFERROR(SUMPRODUCT($J$14:$J$68,$CH$14:$CH$68,($BR$14:$BR$68=CX22)*1)+SUMPRODUCT($L$14:$L$68,$M$14:$M$68,$CK$14:$CK$68,($BR$14:$BR$68=CX22)*1,($BT$14:$BT$68=FALSE)*1)/10+SUMPRODUCT($R$14:$R$68,$CP$14:$CP$68,($BR$14:$BR$68=CX22)*1),0))/GL22)</f>
        <v>0</v>
      </c>
      <c r="GN22" s="2042">
        <f t="shared" si="54"/>
        <v>0</v>
      </c>
      <c r="GO22" s="2042">
        <f>(SUMIF('Berechnung Nährstoffe und Lager'!$AX$113:$AX$130,'Lagerhaltung (freiwillig)'!CX22,'Berechnung Nährstoffe und Lager'!$D$113:$D$130)+SUMIF('Berechnung Nährstoffe und Lager'!$AX$137:$AX$155,'Lagerhaltung (freiwillig)'!CX22,'Berechnung Nährstoffe und Lager'!$E$137:$E$155))</f>
        <v>0</v>
      </c>
      <c r="GP22" s="2042" cm="1">
        <f t="array" ref="GP22">IF(GO22=0,0,(IFERROR(SUMPRODUCT('Berechnung Nährstoffe und Lager'!$D$113:$D$130,'Berechnung Nährstoffe und Lager'!$F$113:$F$130,('Berechnung Nährstoffe und Lager'!$AX$113:$AX$130='Lagerhaltung (freiwillig)'!CX22)*1)+SUMPRODUCT('Berechnung Nährstoffe und Lager'!$E$137:$E$155,'Berechnung Nährstoffe und Lager'!$F$137:$F$155,('Berechnung Nährstoffe und Lager'!$AX$137:$AX$155='Lagerhaltung (freiwillig)'!CX22)*1),0))/GO22)</f>
        <v>0</v>
      </c>
      <c r="GQ22" s="2042">
        <f t="shared" si="55"/>
        <v>0</v>
      </c>
      <c r="GR22" s="2042">
        <f t="shared" si="56"/>
        <v>0</v>
      </c>
      <c r="GS22" s="2042">
        <f t="shared" si="57"/>
        <v>0</v>
      </c>
      <c r="GT22" s="2042">
        <f t="shared" si="58"/>
        <v>0</v>
      </c>
      <c r="GU22" s="2045" t="str">
        <f t="shared" si="39"/>
        <v xml:space="preserve"> </v>
      </c>
      <c r="GV22" s="2045" t="str">
        <f t="shared" si="39"/>
        <v xml:space="preserve"> </v>
      </c>
      <c r="GW22" s="2054">
        <f t="shared" si="40"/>
        <v>0</v>
      </c>
      <c r="GX22" s="2042">
        <f t="shared" si="41"/>
        <v>0</v>
      </c>
      <c r="GY22" s="2042" t="str">
        <f t="shared" si="42"/>
        <v>a</v>
      </c>
      <c r="GZ22" s="2055">
        <f t="shared" si="43"/>
        <v>0</v>
      </c>
      <c r="HA22" s="2055">
        <f t="shared" si="44"/>
        <v>0</v>
      </c>
      <c r="HB22" s="2055"/>
      <c r="HC22" s="2046">
        <f t="shared" si="45"/>
        <v>0</v>
      </c>
      <c r="HD22" s="2055">
        <f t="shared" si="46"/>
        <v>0</v>
      </c>
      <c r="HE22" s="2055">
        <f t="shared" si="47"/>
        <v>0</v>
      </c>
      <c r="HF22" s="2055">
        <f t="shared" si="48"/>
        <v>0</v>
      </c>
      <c r="HG22" s="2282" cm="1">
        <f t="array" ref="HG22">IF(AND(HE22=0,GJ22=0),0,IF(HE22=0,1,IF(OR(GJ22*1000/HE22/HF22&gt;INDEX(Pflanzen!$AD$5:$AD$109,CX22)/INDEX(Pflanzen!$M$5:$M$109,CX22)*$HG$1,GJ22*1000/HE22/HF22&lt;INDEX(Pflanzen!$AD$5:$AD$109,CX22)/INDEX(Pflanzen!$M$5:$M$109,CX22)/$HG$1),1,0)))</f>
        <v>0</v>
      </c>
      <c r="HH22" s="2282" cm="1">
        <f t="array" ref="HH22">IF(AND(GK22=0,HE22=0),0,IF(HE22=0,1,IF(OR(GK22*1000/HE22/HF22&gt;INDEX(Pflanzen!$AE$5:$AE$109,CX22)/INDEX(Pflanzen!$M$5:$M$109,CX22)*$HG$1,GK22*1000/HE22/HF22&lt;INDEX(Pflanzen!$AE$5:$AE$109,CX22)/INDEX(Pflanzen!$M$5:$M$109,CX22)/$HG$1),1,0)))</f>
        <v>0</v>
      </c>
      <c r="HI22" s="2042">
        <f t="shared" si="49"/>
        <v>3</v>
      </c>
      <c r="HJ22" s="2042"/>
      <c r="HL22" s="2042"/>
      <c r="HM22" s="2052" t="str">
        <f>Tiere!B48</f>
        <v>Zuchtsauen mit 28 Ferkel bis 28 kg, Standard</v>
      </c>
      <c r="HN22" s="2042">
        <v>19</v>
      </c>
      <c r="HO22" s="2053">
        <f>SUMIF('Berechnung Nährstoffe und Lager'!$BM$68:$BM$81,'Lagerhaltung (freiwillig)'!HN22,'Berechnung Nährstoffe und Lager'!$Z$68:$Z$81)+SUMIF('Berechnung Nährstoffe und Lager'!$BM$68:$BM$81,'Lagerhaltung (freiwillig)'!HN22,'Berechnung Nährstoffe und Lager'!$AA$68:$AA$81)</f>
        <v>0</v>
      </c>
      <c r="HP22" s="2042" cm="1">
        <f t="array" ref="HP22">INDEX(Tiere!$C$30:$C$85,'Lagerhaltung (freiwillig)'!HN22)</f>
        <v>2</v>
      </c>
      <c r="HQ22" s="2042" cm="1">
        <f t="array" ref="HQ22">INDEX(Tiere!$H$30:$H$85,'Lagerhaltung (freiwillig)'!HN22)</f>
        <v>0</v>
      </c>
      <c r="HR22" s="2042">
        <f t="shared" si="12"/>
        <v>0</v>
      </c>
      <c r="HS22" s="2042" cm="1">
        <f t="array" ref="HS22">INDEX(Tiere!$I$30:$I$85,'Lagerhaltung (freiwillig)'!HN22)</f>
        <v>0</v>
      </c>
      <c r="HT22" s="2042">
        <f t="shared" si="13"/>
        <v>0</v>
      </c>
      <c r="HU22" s="2042" cm="1">
        <f t="array" ref="HU22">INDEX(Tiere!$BC$30:$BC$85,'Lagerhaltung (freiwillig)'!HN22)</f>
        <v>20.070399999999999</v>
      </c>
      <c r="HV22" s="2042">
        <f t="shared" si="6"/>
        <v>0</v>
      </c>
      <c r="HW22" s="2042" cm="1">
        <f t="array" ref="HW22">INDEX(Tiere!$BD$30:$BD$85,'Lagerhaltung (freiwillig)'!HN22)</f>
        <v>9.1727999999999987</v>
      </c>
      <c r="HX22" s="2042">
        <f t="shared" si="7"/>
        <v>0</v>
      </c>
      <c r="HY22" s="2042"/>
      <c r="HZ22" s="2042"/>
      <c r="IA22" s="2042"/>
      <c r="IB22" s="2042"/>
      <c r="IC22" s="2042"/>
      <c r="ID22" s="2042"/>
      <c r="IE22" s="2042"/>
      <c r="IF22" s="2042"/>
      <c r="IG22" s="2042"/>
      <c r="IH22" s="2042"/>
      <c r="II22" s="2042"/>
      <c r="IJ22" s="2042"/>
    </row>
    <row r="23" spans="1:244" ht="15.6" customHeight="1" x14ac:dyDescent="0.2">
      <c r="A23" s="1159"/>
      <c r="B23" s="1160"/>
      <c r="C23" s="1160"/>
      <c r="D23" s="1160"/>
      <c r="E23" s="1160"/>
      <c r="F23" s="2014" cm="1">
        <f t="array" ref="F23">INDEX(Pflanzen!$M$5:$M$109,BR23)</f>
        <v>0</v>
      </c>
      <c r="G23" s="2015" cm="1">
        <f t="array" ref="G23">INDEX(Pflanzen!$AD$5:$AD$109,BR23)</f>
        <v>0</v>
      </c>
      <c r="H23" s="2299" cm="1">
        <f t="array" ref="H23">INDEX(Pflanzen!$AE$5:$AE$109,BR23)</f>
        <v>0</v>
      </c>
      <c r="I23" s="1259"/>
      <c r="J23" s="1256"/>
      <c r="K23" s="1259"/>
      <c r="L23" s="1970"/>
      <c r="M23" s="1246"/>
      <c r="N23" s="1870"/>
      <c r="O23" s="1870"/>
      <c r="P23" s="2211"/>
      <c r="Q23" s="2196"/>
      <c r="R23" s="1970"/>
      <c r="S23" s="1246"/>
      <c r="T23" s="1256"/>
      <c r="U23" s="1159"/>
      <c r="V23" s="2316" t="str">
        <f t="shared" si="82"/>
        <v/>
      </c>
      <c r="Y23" s="2005" t="str" cm="1">
        <f t="array" ref="Y23">IFERROR(INDEX($CW$4:$CW$171,AY23),"")</f>
        <v/>
      </c>
      <c r="Z23" s="510"/>
      <c r="AA23" s="510"/>
      <c r="AB23" s="510"/>
      <c r="AC23" s="2031" t="str" cm="1">
        <f t="array" ref="AC23">IFERROR(INDEX($GL$4:$GL$171,AY23),"")</f>
        <v/>
      </c>
      <c r="AD23" s="2031" t="str" cm="1">
        <f t="array" ref="AD23">IFERROR(INDEX($GM$4:$GM$171,AY23),"")</f>
        <v/>
      </c>
      <c r="AE23" s="2031" t="str" cm="1">
        <f t="array" ref="AE23">IFERROR(INDEX($GH$4:$GH$171,AY23),"")</f>
        <v/>
      </c>
      <c r="AF23" s="2031" t="str" cm="1">
        <f t="array" ref="AF23">IFERROR(INDEX($GI$4:$GI$171,AY23),"")</f>
        <v/>
      </c>
      <c r="AG23" s="2031" t="str" cm="1">
        <f t="array" ref="AG23">IFERROR(INDEX($GO$4:$GO$171,AY23),"")</f>
        <v/>
      </c>
      <c r="AH23" s="2031" t="str" cm="1">
        <f t="array" ref="AH23">IFERROR(INDEX($GP$4:$GP$171,AY23),"")</f>
        <v/>
      </c>
      <c r="AI23" s="2031" t="str" cm="1">
        <f t="array" ref="AI23">IFERROR(INDEX($GF$4:$GF$171,AY23),"")</f>
        <v/>
      </c>
      <c r="AJ23" s="2031" t="str" cm="1">
        <f t="array" ref="AJ23">IFERROR(INDEX($GG$4:$GG$171,AY23),"")</f>
        <v/>
      </c>
      <c r="AK23" s="2031" t="str" cm="1">
        <f t="array" ref="AK23">IFERROR(INDEX($GS$4:$GS$171,AY23),"")</f>
        <v/>
      </c>
      <c r="AL23" s="2032" t="str" cm="1">
        <f t="array" ref="AL23">IFERROR(INDEX($GT$4:$GT$171,AY23),"")</f>
        <v/>
      </c>
      <c r="AM23" s="2031" t="str" cm="1">
        <f t="array" ref="AM23">IFERROR(INDEX($GB$4:$GB$171,AY23),"")</f>
        <v/>
      </c>
      <c r="AN23" s="2031" t="str" cm="1">
        <f t="array" ref="AN23">IFERROR(INDEX($GC$4:$GC$171,AY23),"")</f>
        <v/>
      </c>
      <c r="AO23" s="2031" t="str" cm="1">
        <f t="array" ref="AO23">IFERROR(INDEX($GU$4:$GU$171,AY23),"")</f>
        <v/>
      </c>
      <c r="AP23" s="2031" t="str" cm="1">
        <f t="array" ref="AP23">IFERROR(INDEX($GX$4:$GX$171,AY23),"")</f>
        <v/>
      </c>
      <c r="AQ23" s="1316"/>
      <c r="AR23" s="2031" t="str" cm="1">
        <f t="array" ref="AR23">IFERROR(INDEX($HD$4:$HD$171,AY23),"")</f>
        <v/>
      </c>
      <c r="AS23" s="2031" t="str" cm="1">
        <f t="array" ref="AS23">IFERROR(INDEX($HE$4:$HE$171,AY23),"")</f>
        <v/>
      </c>
      <c r="AT23" s="2031" t="str" cm="1">
        <f t="array" ref="AT23">IFERROR(INDEX($HF$4:$HF$171,AY23),"")</f>
        <v/>
      </c>
      <c r="AU23" s="2031" t="str" cm="1">
        <f t="array" ref="AU23">IFERROR(INDEX($GJ$4:$GJ$171,AY23),"")</f>
        <v/>
      </c>
      <c r="AV23" s="2031" t="str" cm="1">
        <f t="array" ref="AV23">IFERROR(INDEX($GK$4:$GK$171,AY23),"")</f>
        <v/>
      </c>
      <c r="AY23" s="2042" t="str" cm="1">
        <f t="array" ref="AY23">IFERROR(SMALL(IF($HI$4:$HI$171=1,ROW($HI$4:$HI$171)-3),ROW(W11)),IFERROR(SMALL(IF($HI$4:$HI$171=2,ROW($HI$4:$HI$171)-3),ROW(W11)-COUNTIF($HI$4:$HI$171,1)),IFERROR(SMALL(IF($HI$4:$HI$171=0,ROW($HI$4:$HI$171)-3),ROW(W11)-COUNTIF($HI$4:$HI$171,1)-COUNTIF($HI$4:$HI$171,2)),"")))</f>
        <v/>
      </c>
      <c r="AZ23" s="2042" t="str">
        <f t="shared" si="59"/>
        <v>a</v>
      </c>
      <c r="BA23" s="2053" t="e">
        <f t="shared" si="60"/>
        <v>#VALUE!</v>
      </c>
      <c r="BB23" s="2053" cm="1">
        <f t="array" ref="BB23">IFERROR(INDEX($HI$4:$HI$171,AY23),0)</f>
        <v>0</v>
      </c>
      <c r="BC23" s="2053">
        <f t="shared" si="61"/>
        <v>0</v>
      </c>
      <c r="BD23" s="2053"/>
      <c r="BE23" s="2307"/>
      <c r="BF23" s="2307"/>
      <c r="BG23" s="2307"/>
      <c r="BH23" s="2307"/>
      <c r="BI23" s="2307"/>
      <c r="BJ23" s="2307"/>
      <c r="BK23" s="2307"/>
      <c r="BL23" s="2307"/>
      <c r="BM23" s="2307"/>
      <c r="BN23" s="2307"/>
      <c r="BO23" s="2307"/>
      <c r="BP23" s="2043"/>
      <c r="BQ23" s="2042"/>
      <c r="BR23" s="2042">
        <v>1</v>
      </c>
      <c r="BS23" s="2042"/>
      <c r="BT23" s="2042" t="b">
        <v>0</v>
      </c>
      <c r="BU23" s="2058"/>
      <c r="BV23" s="2058"/>
      <c r="BW23" s="2042">
        <f t="shared" si="62"/>
        <v>12</v>
      </c>
      <c r="BX23" s="2042">
        <f t="shared" si="63"/>
        <v>0</v>
      </c>
      <c r="BY23" s="2042">
        <f t="shared" si="64"/>
        <v>12</v>
      </c>
      <c r="BZ23" s="2042" cm="1">
        <f t="array" ref="BZ23">INDEX(Pflanzen!$AI$5:$AI$119,'Lagerhaltung (freiwillig)'!BR23)</f>
        <v>0</v>
      </c>
      <c r="CA23" s="2042" cm="1">
        <f t="array" ref="CA23">IF(BZ23=1,INDEX(Pflanzen!$AJ$5:$AJ$119,BR23),N23)</f>
        <v>0</v>
      </c>
      <c r="CB23" s="2042" cm="1">
        <f t="array" ref="CB23">IF(BZ23=1,INDEX(Pflanzen!$AK$5:$AK$119,BR23),O23)</f>
        <v>0</v>
      </c>
      <c r="CC23" s="2042">
        <f t="shared" si="65"/>
        <v>12</v>
      </c>
      <c r="CD23" s="2042">
        <f t="shared" si="66"/>
        <v>0</v>
      </c>
      <c r="CE23" s="2042">
        <f t="shared" si="67"/>
        <v>12</v>
      </c>
      <c r="CF23" s="2042" cm="1">
        <f t="array" ref="CF23">INDEX(Pflanzen!$F$5:$F$119,BR23)</f>
        <v>0</v>
      </c>
      <c r="CG23" s="2042" cm="1">
        <f t="array" ref="CG23">INDEX(Pflanzen!$H$5:$H$119,BR23)</f>
        <v>0</v>
      </c>
      <c r="CH23" s="2042">
        <f t="shared" si="68"/>
        <v>0</v>
      </c>
      <c r="CI23" s="2042">
        <f t="shared" si="69"/>
        <v>0</v>
      </c>
      <c r="CJ23" s="2042">
        <f t="shared" si="70"/>
        <v>0</v>
      </c>
      <c r="CK23" s="2042">
        <f t="shared" si="71"/>
        <v>0</v>
      </c>
      <c r="CL23" s="2042">
        <f t="shared" si="72"/>
        <v>0</v>
      </c>
      <c r="CM23" s="2042">
        <f t="shared" si="73"/>
        <v>0</v>
      </c>
      <c r="CN23" s="2042">
        <f t="shared" si="74"/>
        <v>0</v>
      </c>
      <c r="CO23" s="2042">
        <f t="shared" si="75"/>
        <v>0</v>
      </c>
      <c r="CP23" s="2042">
        <f t="shared" si="76"/>
        <v>0</v>
      </c>
      <c r="CQ23" s="2042">
        <f t="shared" si="77"/>
        <v>0</v>
      </c>
      <c r="CR23" s="2042">
        <f t="shared" si="78"/>
        <v>0</v>
      </c>
      <c r="CS23" s="2042">
        <f t="shared" si="79"/>
        <v>0</v>
      </c>
      <c r="CT23" s="2042">
        <f t="shared" si="80"/>
        <v>0</v>
      </c>
      <c r="CU23" s="2042">
        <f t="shared" si="81"/>
        <v>0</v>
      </c>
      <c r="CV23" s="2042"/>
      <c r="CW23" s="609" t="str">
        <f>Pflanzen!A19</f>
        <v>Dinkel</v>
      </c>
      <c r="CX23" s="2042">
        <f>IFERROR(MATCH($CW23,Pflanzen!$C$5:$C$119,0),1)</f>
        <v>15</v>
      </c>
      <c r="CY23" s="609" cm="1">
        <f t="array" ref="CY23">INDEX(Pflanzen!$I$5:$I$119,'Lagerhaltung (freiwillig)'!CX23)</f>
        <v>2</v>
      </c>
      <c r="CZ23" s="2042">
        <f t="shared" si="102"/>
        <v>0</v>
      </c>
      <c r="DA23" s="2042">
        <f t="shared" si="102"/>
        <v>0</v>
      </c>
      <c r="DB23" s="2042">
        <f t="shared" si="102"/>
        <v>0</v>
      </c>
      <c r="DC23" s="2042">
        <f t="shared" si="102"/>
        <v>0</v>
      </c>
      <c r="DD23" s="2042">
        <f t="shared" si="102"/>
        <v>0</v>
      </c>
      <c r="DE23" s="2042">
        <f t="shared" si="102"/>
        <v>0</v>
      </c>
      <c r="DF23" s="2042">
        <f t="shared" si="102"/>
        <v>0</v>
      </c>
      <c r="DG23" s="2042">
        <f t="shared" si="102"/>
        <v>0</v>
      </c>
      <c r="DH23" s="2042">
        <f t="shared" si="102"/>
        <v>0</v>
      </c>
      <c r="DI23" s="2042">
        <f t="shared" si="102"/>
        <v>0</v>
      </c>
      <c r="DJ23" s="2042">
        <f t="shared" si="102"/>
        <v>0</v>
      </c>
      <c r="DK23" s="2042">
        <f t="shared" si="102"/>
        <v>0</v>
      </c>
      <c r="DL23" s="2042"/>
      <c r="DM23" s="2042">
        <f t="shared" si="103"/>
        <v>0</v>
      </c>
      <c r="DN23" s="2042">
        <f t="shared" si="103"/>
        <v>0</v>
      </c>
      <c r="DO23" s="2042">
        <f t="shared" si="103"/>
        <v>0</v>
      </c>
      <c r="DP23" s="2042">
        <f t="shared" si="103"/>
        <v>0</v>
      </c>
      <c r="DQ23" s="2042">
        <f t="shared" si="103"/>
        <v>0</v>
      </c>
      <c r="DR23" s="2042">
        <f t="shared" si="103"/>
        <v>0</v>
      </c>
      <c r="DS23" s="2042">
        <f t="shared" si="103"/>
        <v>0</v>
      </c>
      <c r="DT23" s="2042">
        <f t="shared" si="103"/>
        <v>0</v>
      </c>
      <c r="DU23" s="2042">
        <f t="shared" si="103"/>
        <v>0</v>
      </c>
      <c r="DV23" s="2042">
        <f t="shared" si="103"/>
        <v>0</v>
      </c>
      <c r="DW23" s="2042">
        <f t="shared" si="103"/>
        <v>0</v>
      </c>
      <c r="DX23" s="2042">
        <f t="shared" si="103"/>
        <v>0</v>
      </c>
      <c r="DY23" s="2042"/>
      <c r="DZ23" s="2042">
        <f t="shared" si="104"/>
        <v>0</v>
      </c>
      <c r="EA23" s="2042">
        <f t="shared" si="104"/>
        <v>0</v>
      </c>
      <c r="EB23" s="2042">
        <f t="shared" si="104"/>
        <v>0</v>
      </c>
      <c r="EC23" s="2042">
        <f t="shared" si="104"/>
        <v>0</v>
      </c>
      <c r="ED23" s="2042">
        <f t="shared" si="104"/>
        <v>0</v>
      </c>
      <c r="EE23" s="2042">
        <f t="shared" si="104"/>
        <v>0</v>
      </c>
      <c r="EF23" s="2042">
        <f t="shared" si="104"/>
        <v>0</v>
      </c>
      <c r="EG23" s="2042">
        <f t="shared" si="104"/>
        <v>0</v>
      </c>
      <c r="EH23" s="2042">
        <f t="shared" si="104"/>
        <v>0</v>
      </c>
      <c r="EI23" s="2042">
        <f t="shared" si="104"/>
        <v>0</v>
      </c>
      <c r="EJ23" s="2042">
        <f t="shared" si="104"/>
        <v>0</v>
      </c>
      <c r="EK23" s="2042">
        <f t="shared" si="104"/>
        <v>0</v>
      </c>
      <c r="EL23" s="2042"/>
      <c r="EM23" s="2042">
        <f t="shared" si="105"/>
        <v>0</v>
      </c>
      <c r="EN23" s="2042">
        <f t="shared" si="105"/>
        <v>0</v>
      </c>
      <c r="EO23" s="2042">
        <f t="shared" si="105"/>
        <v>0</v>
      </c>
      <c r="EP23" s="2042">
        <f t="shared" si="105"/>
        <v>0</v>
      </c>
      <c r="EQ23" s="2042">
        <f t="shared" si="105"/>
        <v>0</v>
      </c>
      <c r="ER23" s="2042">
        <f t="shared" si="105"/>
        <v>0</v>
      </c>
      <c r="ES23" s="2042">
        <f t="shared" si="105"/>
        <v>0</v>
      </c>
      <c r="ET23" s="2042">
        <f t="shared" si="105"/>
        <v>0</v>
      </c>
      <c r="EU23" s="2042">
        <f t="shared" si="105"/>
        <v>0</v>
      </c>
      <c r="EV23" s="2042">
        <f t="shared" si="105"/>
        <v>0</v>
      </c>
      <c r="EW23" s="2042">
        <f t="shared" si="105"/>
        <v>0</v>
      </c>
      <c r="EX23" s="2042">
        <f t="shared" si="105"/>
        <v>0</v>
      </c>
      <c r="EY23" s="2042"/>
      <c r="EZ23" s="2045">
        <f t="shared" si="50"/>
        <v>0</v>
      </c>
      <c r="FA23" s="2042">
        <f>EZ23+CZ23+DZ23                 -         SUMIF('Berechnung Nährstoffe und Lager'!$AX$113:$AX$155,$CX23,'Berechnung Nährstoffe und Lager'!$U$113:$U$155)/12  -$GB23*$HC23/12</f>
        <v>0</v>
      </c>
      <c r="FB23" s="2042">
        <f>FA23+DA23+EA23                 -         SUMIF('Berechnung Nährstoffe und Lager'!$AX$113:$AX$155,$CX23,'Berechnung Nährstoffe und Lager'!$U$113:$U$155)/12  -$GB23*$HC23/12</f>
        <v>0</v>
      </c>
      <c r="FC23" s="2042">
        <f>FB23+DB23+EB23                 -         SUMIF('Berechnung Nährstoffe und Lager'!$AX$113:$AX$155,$CX23,'Berechnung Nährstoffe und Lager'!$U$113:$U$155)/12  -$GB23*$HC23/12</f>
        <v>0</v>
      </c>
      <c r="FD23" s="2042">
        <f>FC23+DC23+EC23                 -         SUMIF('Berechnung Nährstoffe und Lager'!$AX$113:$AX$155,$CX23,'Berechnung Nährstoffe und Lager'!$U$113:$U$155)/12  -$GB23*$HC23/12</f>
        <v>0</v>
      </c>
      <c r="FE23" s="2042">
        <f>FD23+DD23+ED23                 -         SUMIF('Berechnung Nährstoffe und Lager'!$AX$113:$AX$155,$CX23,'Berechnung Nährstoffe und Lager'!$U$113:$U$155)/12  -$GB23*$HC23/12</f>
        <v>0</v>
      </c>
      <c r="FF23" s="2042">
        <f>FE23+DE23+EE23                 -         SUMIF('Berechnung Nährstoffe und Lager'!$AX$113:$AX$155,$CX23,'Berechnung Nährstoffe und Lager'!$U$113:$U$155)/12  -$GB23*$HC23/12</f>
        <v>0</v>
      </c>
      <c r="FG23" s="2042">
        <f>FF23+DF23+EF23                 -         SUMIF('Berechnung Nährstoffe und Lager'!$AX$113:$AX$155,$CX23,'Berechnung Nährstoffe und Lager'!$U$113:$U$155)/12  -$GB23*$HC23/12</f>
        <v>0</v>
      </c>
      <c r="FH23" s="2042">
        <f>FG23+DG23+EG23                 -         SUMIF('Berechnung Nährstoffe und Lager'!$AX$113:$AX$155,$CX23,'Berechnung Nährstoffe und Lager'!$U$113:$U$155)/12  -$GB23*$HC23/12</f>
        <v>0</v>
      </c>
      <c r="FI23" s="2042">
        <f>FH23+DH23+EH23                 -         SUMIF('Berechnung Nährstoffe und Lager'!$AX$113:$AX$155,$CX23,'Berechnung Nährstoffe und Lager'!$U$113:$U$155)/12  -$GB23*$HC23/12</f>
        <v>0</v>
      </c>
      <c r="FJ23" s="2042">
        <f>FI23+DI23+EI23                 -         SUMIF('Berechnung Nährstoffe und Lager'!$AX$113:$AX$155,$CX23,'Berechnung Nährstoffe und Lager'!$U$113:$U$155)/12  -$GB23*$HC23/12</f>
        <v>0</v>
      </c>
      <c r="FK23" s="2042">
        <f>FJ23+DJ23+EJ23                 -         SUMIF('Berechnung Nährstoffe und Lager'!$AX$113:$AX$155,$CX23,'Berechnung Nährstoffe und Lager'!$U$113:$U$155)/12  -$GB23*$HC23/12</f>
        <v>0</v>
      </c>
      <c r="FL23" s="2042">
        <f>FK23+DK23+EK23                 -         SUMIF('Berechnung Nährstoffe und Lager'!$AX$113:$AX$155,$CX23,'Berechnung Nährstoffe und Lager'!$U$113:$U$155)/12  -$GB23*$HC23/12</f>
        <v>0</v>
      </c>
      <c r="FM23" s="2042"/>
      <c r="FN23" s="2045">
        <f t="shared" si="51"/>
        <v>0</v>
      </c>
      <c r="FO23" s="2042">
        <f>FN23+DM23+EM23                 -         SUMIF('Berechnung Nährstoffe und Lager'!$AX$113:$AX$155,$CX23,'Berechnung Nährstoffe und Lager'!$V$113:$V$155)/12  -$GC23*$HC23/12</f>
        <v>0</v>
      </c>
      <c r="FP23" s="2042">
        <f>FO23+DN23+EN23                 -         SUMIF('Berechnung Nährstoffe und Lager'!$AX$113:$AX$155,$CX23,'Berechnung Nährstoffe und Lager'!$V$113:$V$155)/12  -$GC23*$HC23/12</f>
        <v>0</v>
      </c>
      <c r="FQ23" s="2042">
        <f>FP23+DO23+EO23                 -         SUMIF('Berechnung Nährstoffe und Lager'!$AX$113:$AX$155,$CX23,'Berechnung Nährstoffe und Lager'!$V$113:$V$155)/12  -$GC23*$HC23/12</f>
        <v>0</v>
      </c>
      <c r="FR23" s="2042">
        <f>FQ23+DP23+EP23                 -         SUMIF('Berechnung Nährstoffe und Lager'!$AX$113:$AX$155,$CX23,'Berechnung Nährstoffe und Lager'!$V$113:$V$155)/12  -$GC23*$HC23/12</f>
        <v>0</v>
      </c>
      <c r="FS23" s="2042">
        <f>FR23+DQ23+EQ23                 -         SUMIF('Berechnung Nährstoffe und Lager'!$AX$113:$AX$155,$CX23,'Berechnung Nährstoffe und Lager'!$V$113:$V$155)/12  -$GC23*$HC23/12</f>
        <v>0</v>
      </c>
      <c r="FT23" s="2042">
        <f>FS23+DR23+ER23                 -         SUMIF('Berechnung Nährstoffe und Lager'!$AX$113:$AX$155,$CX23,'Berechnung Nährstoffe und Lager'!$V$113:$V$155)/12  -$GC23*$HC23/12</f>
        <v>0</v>
      </c>
      <c r="FU23" s="2042">
        <f>FT23+DS23+ES23                 -         SUMIF('Berechnung Nährstoffe und Lager'!$AX$113:$AX$155,$CX23,'Berechnung Nährstoffe und Lager'!$V$113:$V$155)/12  -$GC23*$HC23/12</f>
        <v>0</v>
      </c>
      <c r="FV23" s="2042">
        <f>FU23+DT23+ET23                 -         SUMIF('Berechnung Nährstoffe und Lager'!$AX$113:$AX$155,$CX23,'Berechnung Nährstoffe und Lager'!$V$113:$V$155)/12  -$GC23*$HC23/12</f>
        <v>0</v>
      </c>
      <c r="FW23" s="2042">
        <f>FV23+DU23+EU23                 -         SUMIF('Berechnung Nährstoffe und Lager'!$AX$113:$AX$155,$CX23,'Berechnung Nährstoffe und Lager'!$V$113:$V$155)/12  -$GC23*$HC23/12</f>
        <v>0</v>
      </c>
      <c r="FX23" s="2042">
        <f>FW23+DV23+EV23                 -         SUMIF('Berechnung Nährstoffe und Lager'!$AX$113:$AX$155,$CX23,'Berechnung Nährstoffe und Lager'!$V$113:$V$155)/12  -$GC23*$HC23/12</f>
        <v>0</v>
      </c>
      <c r="FY23" s="2042">
        <f>FX23+DW23+EW23                 -         SUMIF('Berechnung Nährstoffe und Lager'!$AX$113:$AX$155,$CX23,'Berechnung Nährstoffe und Lager'!$V$113:$V$155)/12  -$GC23*$HC23/12</f>
        <v>0</v>
      </c>
      <c r="FZ23" s="2042">
        <f>FY23+DX23+EX23                 -         SUMIF('Berechnung Nährstoffe und Lager'!$AX$113:$AX$155,$CX23,'Berechnung Nährstoffe und Lager'!$V$113:$V$155)/12  -$GC23*$HC23/12</f>
        <v>0</v>
      </c>
      <c r="GA23" s="2042"/>
      <c r="GB23" s="2042">
        <f>SUMIFS($CI$14:$CI$68,$BR$14:$BR$68,$CX23)+SUMIFS($CM$14:$CM$68,$BR$14:$BR$68,$CX23)+SUMIFS($CR$14:$CR$68,$BR$14:$BR$68,$CX23)  -         SUMIF('Berechnung Nährstoffe und Lager'!$AX$113:$AX$155,$CX23,'Berechnung Nährstoffe und Lager'!$U$113:$U$155)</f>
        <v>0</v>
      </c>
      <c r="GC23" s="2042">
        <f>SUMIFS($CJ$14:$CJ$68,$BR$14:$BR$68,$CX23)+SUMIFS($CO$14:$CO$68,$BR$14:$BR$68,$CX23)+SUMIFS($CT$14:$CT$68,$BR$14:$BR$68,$CX23)  -         SUMIF('Berechnung Nährstoffe und Lager'!$AX$113:$AX$155,$CX23,'Berechnung Nährstoffe und Lager'!$V$113:$V$155)</f>
        <v>0</v>
      </c>
      <c r="GD23" s="2042"/>
      <c r="GE23" s="2042"/>
      <c r="GF23" s="2042">
        <f>SUMIF('Berechnung Nährstoffe und Lager'!$AX$113:$AX$155,$CX23,'Berechnung Nährstoffe und Lager'!$U$113:$U$155)</f>
        <v>0</v>
      </c>
      <c r="GG23" s="2042">
        <f>SUMIF('Berechnung Nährstoffe und Lager'!$AX$113:$AX$155,$CX23,'Berechnung Nährstoffe und Lager'!$V$113:$V$155)</f>
        <v>0</v>
      </c>
      <c r="GH23" s="2042">
        <f t="shared" si="52"/>
        <v>0</v>
      </c>
      <c r="GI23" s="2042">
        <f t="shared" si="53"/>
        <v>0</v>
      </c>
      <c r="GJ23" s="2042">
        <f t="shared" si="34"/>
        <v>0</v>
      </c>
      <c r="GK23" s="2042">
        <f t="shared" si="35"/>
        <v>0</v>
      </c>
      <c r="GL23" s="2042">
        <f t="shared" si="36"/>
        <v>0</v>
      </c>
      <c r="GM23" s="2042" cm="1">
        <f t="array" ref="GM23">IF(GL23=0,0,(IFERROR(SUMPRODUCT($J$14:$J$68,$CH$14:$CH$68,($BR$14:$BR$68=CX23)*1)+SUMPRODUCT($L$14:$L$68,$M$14:$M$68,$CK$14:$CK$68,($BR$14:$BR$68=CX23)*1,($BT$14:$BT$68=FALSE)*1)/10+SUMPRODUCT($R$14:$R$68,$CP$14:$CP$68,($BR$14:$BR$68=CX23)*1),0))/GL23)</f>
        <v>0</v>
      </c>
      <c r="GN23" s="2042">
        <f t="shared" si="54"/>
        <v>0</v>
      </c>
      <c r="GO23" s="2042">
        <f>(SUMIF('Berechnung Nährstoffe und Lager'!$AX$113:$AX$130,'Lagerhaltung (freiwillig)'!CX23,'Berechnung Nährstoffe und Lager'!$D$113:$D$130)+SUMIF('Berechnung Nährstoffe und Lager'!$AX$137:$AX$155,'Lagerhaltung (freiwillig)'!CX23,'Berechnung Nährstoffe und Lager'!$E$137:$E$155))</f>
        <v>0</v>
      </c>
      <c r="GP23" s="2042" cm="1">
        <f t="array" ref="GP23">IF(GO23=0,0,(IFERROR(SUMPRODUCT('Berechnung Nährstoffe und Lager'!$D$113:$D$130,'Berechnung Nährstoffe und Lager'!$F$113:$F$130,('Berechnung Nährstoffe und Lager'!$AX$113:$AX$130='Lagerhaltung (freiwillig)'!CX23)*1)+SUMPRODUCT('Berechnung Nährstoffe und Lager'!$E$137:$E$155,'Berechnung Nährstoffe und Lager'!$F$137:$F$155,('Berechnung Nährstoffe und Lager'!$AX$137:$AX$155='Lagerhaltung (freiwillig)'!CX23)*1),0))/GO23)</f>
        <v>0</v>
      </c>
      <c r="GQ23" s="2042">
        <f t="shared" si="55"/>
        <v>0</v>
      </c>
      <c r="GR23" s="2042">
        <f t="shared" si="56"/>
        <v>0</v>
      </c>
      <c r="GS23" s="2042">
        <f t="shared" si="57"/>
        <v>0</v>
      </c>
      <c r="GT23" s="2042">
        <f t="shared" si="58"/>
        <v>0</v>
      </c>
      <c r="GU23" s="2045" t="str">
        <f t="shared" si="39"/>
        <v xml:space="preserve"> </v>
      </c>
      <c r="GV23" s="2045" t="str">
        <f t="shared" si="39"/>
        <v xml:space="preserve"> </v>
      </c>
      <c r="GW23" s="2054">
        <f t="shared" si="40"/>
        <v>0</v>
      </c>
      <c r="GX23" s="2042">
        <f t="shared" si="41"/>
        <v>0</v>
      </c>
      <c r="GY23" s="2042" t="str">
        <f t="shared" si="42"/>
        <v>a</v>
      </c>
      <c r="GZ23" s="2055">
        <f t="shared" si="43"/>
        <v>0</v>
      </c>
      <c r="HA23" s="2055">
        <f t="shared" si="44"/>
        <v>0</v>
      </c>
      <c r="HB23" s="2055"/>
      <c r="HC23" s="2046">
        <f t="shared" si="45"/>
        <v>0</v>
      </c>
      <c r="HD23" s="2055">
        <f t="shared" si="46"/>
        <v>0</v>
      </c>
      <c r="HE23" s="2055">
        <f t="shared" si="47"/>
        <v>0</v>
      </c>
      <c r="HF23" s="2055">
        <f t="shared" si="48"/>
        <v>0</v>
      </c>
      <c r="HG23" s="2282" cm="1">
        <f t="array" ref="HG23">IF(AND(HE23=0,GJ23=0),0,IF(HE23=0,1,IF(OR(GJ23*1000/HE23/HF23&gt;INDEX(Pflanzen!$AD$5:$AD$109,CX23)/INDEX(Pflanzen!$M$5:$M$109,CX23)*$HG$1,GJ23*1000/HE23/HF23&lt;INDEX(Pflanzen!$AD$5:$AD$109,CX23)/INDEX(Pflanzen!$M$5:$M$109,CX23)/$HG$1),1,0)))</f>
        <v>0</v>
      </c>
      <c r="HH23" s="2282" cm="1">
        <f t="array" ref="HH23">IF(AND(GK23=0,HE23=0),0,IF(HE23=0,1,IF(OR(GK23*1000/HE23/HF23&gt;INDEX(Pflanzen!$AE$5:$AE$109,CX23)/INDEX(Pflanzen!$M$5:$M$109,CX23)*$HG$1,GK23*1000/HE23/HF23&lt;INDEX(Pflanzen!$AE$5:$AE$109,CX23)/INDEX(Pflanzen!$M$5:$M$109,CX23)/$HG$1),1,0)))</f>
        <v>0</v>
      </c>
      <c r="HI23" s="2042">
        <f t="shared" si="49"/>
        <v>3</v>
      </c>
      <c r="HJ23" s="2042"/>
      <c r="HL23" s="2042"/>
      <c r="HM23" s="2052" t="str">
        <f>Tiere!B49</f>
        <v>Zuchtsauen mit 28 Ferkel bis 28 kg, N-/P-reduziert</v>
      </c>
      <c r="HN23" s="2042">
        <v>20</v>
      </c>
      <c r="HO23" s="2053">
        <f>SUMIF('Berechnung Nährstoffe und Lager'!$BM$68:$BM$81,'Lagerhaltung (freiwillig)'!HN23,'Berechnung Nährstoffe und Lager'!$Z$68:$Z$81)+SUMIF('Berechnung Nährstoffe und Lager'!$BM$68:$BM$81,'Lagerhaltung (freiwillig)'!HN23,'Berechnung Nährstoffe und Lager'!$AA$68:$AA$81)</f>
        <v>0</v>
      </c>
      <c r="HP23" s="2042" cm="1">
        <f t="array" ref="HP23">INDEX(Tiere!$C$30:$C$85,'Lagerhaltung (freiwillig)'!HN23)</f>
        <v>2</v>
      </c>
      <c r="HQ23" s="2042" cm="1">
        <f t="array" ref="HQ23">INDEX(Tiere!$H$30:$H$85,'Lagerhaltung (freiwillig)'!HN23)</f>
        <v>0</v>
      </c>
      <c r="HR23" s="2042">
        <f t="shared" si="12"/>
        <v>0</v>
      </c>
      <c r="HS23" s="2042" cm="1">
        <f t="array" ref="HS23">INDEX(Tiere!$I$30:$I$85,'Lagerhaltung (freiwillig)'!HN23)</f>
        <v>0</v>
      </c>
      <c r="HT23" s="2042">
        <f t="shared" si="13"/>
        <v>0</v>
      </c>
      <c r="HU23" s="2042" cm="1">
        <f t="array" ref="HU23">INDEX(Tiere!$BC$30:$BC$85,'Lagerhaltung (freiwillig)'!HN23)</f>
        <v>20.070399999999999</v>
      </c>
      <c r="HV23" s="2042">
        <f t="shared" si="6"/>
        <v>0</v>
      </c>
      <c r="HW23" s="2042" cm="1">
        <f t="array" ref="HW23">INDEX(Tiere!$BD$30:$BD$85,'Lagerhaltung (freiwillig)'!HN23)</f>
        <v>9.1727999999999987</v>
      </c>
      <c r="HX23" s="2042">
        <f t="shared" si="7"/>
        <v>0</v>
      </c>
      <c r="HY23" s="2042"/>
      <c r="HZ23" s="2042"/>
      <c r="IA23" s="2042"/>
      <c r="IB23" s="2042"/>
      <c r="IC23" s="2042"/>
      <c r="ID23" s="2042"/>
      <c r="IE23" s="2042"/>
      <c r="IF23" s="2042"/>
      <c r="IG23" s="2042"/>
      <c r="IH23" s="2042"/>
      <c r="II23" s="2042"/>
      <c r="IJ23" s="2042"/>
    </row>
    <row r="24" spans="1:244" ht="15.6" customHeight="1" x14ac:dyDescent="0.2">
      <c r="A24" s="1159"/>
      <c r="B24" s="1160"/>
      <c r="C24" s="1160"/>
      <c r="D24" s="1160"/>
      <c r="E24" s="1160"/>
      <c r="F24" s="2014" cm="1">
        <f t="array" ref="F24">INDEX(Pflanzen!$M$5:$M$109,BR24)</f>
        <v>0</v>
      </c>
      <c r="G24" s="2015" cm="1">
        <f t="array" ref="G24">INDEX(Pflanzen!$AD$5:$AD$109,BR24)</f>
        <v>0</v>
      </c>
      <c r="H24" s="2299" cm="1">
        <f t="array" ref="H24">INDEX(Pflanzen!$AE$5:$AE$109,BR24)</f>
        <v>0</v>
      </c>
      <c r="I24" s="1259"/>
      <c r="J24" s="1256"/>
      <c r="K24" s="1259"/>
      <c r="L24" s="1970"/>
      <c r="M24" s="1246"/>
      <c r="N24" s="1870"/>
      <c r="O24" s="1870"/>
      <c r="P24" s="2211"/>
      <c r="Q24" s="2196"/>
      <c r="R24" s="1970"/>
      <c r="S24" s="1246"/>
      <c r="T24" s="1256"/>
      <c r="U24" s="1159"/>
      <c r="V24" s="2316" t="str">
        <f t="shared" si="82"/>
        <v/>
      </c>
      <c r="Y24" s="2005" t="str" cm="1">
        <f t="array" ref="Y24">IFERROR(INDEX($CW$4:$CW$171,AY24),"")</f>
        <v/>
      </c>
      <c r="Z24" s="510"/>
      <c r="AA24" s="510"/>
      <c r="AB24" s="510"/>
      <c r="AC24" s="2031" t="str" cm="1">
        <f t="array" ref="AC24">IFERROR(INDEX($GL$4:$GL$171,AY24),"")</f>
        <v/>
      </c>
      <c r="AD24" s="2031" t="str" cm="1">
        <f t="array" ref="AD24">IFERROR(INDEX($GM$4:$GM$171,AY24),"")</f>
        <v/>
      </c>
      <c r="AE24" s="2031" t="str" cm="1">
        <f t="array" ref="AE24">IFERROR(INDEX($GH$4:$GH$171,AY24),"")</f>
        <v/>
      </c>
      <c r="AF24" s="2031" t="str" cm="1">
        <f t="array" ref="AF24">IFERROR(INDEX($GI$4:$GI$171,AY24),"")</f>
        <v/>
      </c>
      <c r="AG24" s="2031" t="str" cm="1">
        <f t="array" ref="AG24">IFERROR(INDEX($GO$4:$GO$171,AY24),"")</f>
        <v/>
      </c>
      <c r="AH24" s="2031" t="str" cm="1">
        <f t="array" ref="AH24">IFERROR(INDEX($GP$4:$GP$171,AY24),"")</f>
        <v/>
      </c>
      <c r="AI24" s="2031" t="str" cm="1">
        <f t="array" ref="AI24">IFERROR(INDEX($GF$4:$GF$171,AY24),"")</f>
        <v/>
      </c>
      <c r="AJ24" s="2031" t="str" cm="1">
        <f t="array" ref="AJ24">IFERROR(INDEX($GG$4:$GG$171,AY24),"")</f>
        <v/>
      </c>
      <c r="AK24" s="2031" t="str" cm="1">
        <f t="array" ref="AK24">IFERROR(INDEX($GS$4:$GS$171,AY24),"")</f>
        <v/>
      </c>
      <c r="AL24" s="2032" t="str" cm="1">
        <f t="array" ref="AL24">IFERROR(INDEX($GT$4:$GT$171,AY24),"")</f>
        <v/>
      </c>
      <c r="AM24" s="2031" t="str" cm="1">
        <f t="array" ref="AM24">IFERROR(INDEX($GB$4:$GB$171,AY24),"")</f>
        <v/>
      </c>
      <c r="AN24" s="2031" t="str" cm="1">
        <f t="array" ref="AN24">IFERROR(INDEX($GC$4:$GC$171,AY24),"")</f>
        <v/>
      </c>
      <c r="AO24" s="2031" t="str" cm="1">
        <f t="array" ref="AO24">IFERROR(INDEX($GU$4:$GU$171,AY24),"")</f>
        <v/>
      </c>
      <c r="AP24" s="2031" t="str" cm="1">
        <f t="array" ref="AP24">IFERROR(INDEX($GX$4:$GX$171,AY24),"")</f>
        <v/>
      </c>
      <c r="AQ24" s="1316"/>
      <c r="AR24" s="2031" t="str" cm="1">
        <f t="array" ref="AR24">IFERROR(INDEX($HD$4:$HD$171,AY24),"")</f>
        <v/>
      </c>
      <c r="AS24" s="2031" t="str" cm="1">
        <f t="array" ref="AS24">IFERROR(INDEX($HE$4:$HE$171,AY24),"")</f>
        <v/>
      </c>
      <c r="AT24" s="2031" t="str" cm="1">
        <f t="array" ref="AT24">IFERROR(INDEX($HF$4:$HF$171,AY24),"")</f>
        <v/>
      </c>
      <c r="AU24" s="2031" t="str" cm="1">
        <f t="array" ref="AU24">IFERROR(INDEX($GJ$4:$GJ$171,AY24),"")</f>
        <v/>
      </c>
      <c r="AV24" s="2031" t="str" cm="1">
        <f t="array" ref="AV24">IFERROR(INDEX($GK$4:$GK$171,AY24),"")</f>
        <v/>
      </c>
      <c r="AY24" s="2042" t="str" cm="1">
        <f t="array" ref="AY24">IFERROR(SMALL(IF($HI$4:$HI$171=1,ROW($HI$4:$HI$171)-3),ROW(W12)),IFERROR(SMALL(IF($HI$4:$HI$171=2,ROW($HI$4:$HI$171)-3),ROW(W12)-COUNTIF($HI$4:$HI$171,1)),IFERROR(SMALL(IF($HI$4:$HI$171=0,ROW($HI$4:$HI$171)-3),ROW(W12)-COUNTIF($HI$4:$HI$171,1)-COUNTIF($HI$4:$HI$171,2)),"")))</f>
        <v/>
      </c>
      <c r="AZ24" s="2042" t="str">
        <f t="shared" si="59"/>
        <v>a</v>
      </c>
      <c r="BA24" s="2053" t="e">
        <f t="shared" si="60"/>
        <v>#VALUE!</v>
      </c>
      <c r="BB24" s="2053" cm="1">
        <f t="array" ref="BB24">IFERROR(INDEX($HI$4:$HI$171,AY24),0)</f>
        <v>0</v>
      </c>
      <c r="BC24" s="2053">
        <f t="shared" si="61"/>
        <v>0</v>
      </c>
      <c r="BD24" s="2053"/>
      <c r="BE24" s="2307"/>
      <c r="BF24" s="2307"/>
      <c r="BG24" s="2307"/>
      <c r="BH24" s="2307"/>
      <c r="BI24" s="2307"/>
      <c r="BJ24" s="2307"/>
      <c r="BK24" s="2307"/>
      <c r="BL24" s="2307"/>
      <c r="BM24" s="2307"/>
      <c r="BN24" s="2307"/>
      <c r="BO24" s="2307"/>
      <c r="BP24" s="2043"/>
      <c r="BQ24" s="2042"/>
      <c r="BR24" s="2042">
        <v>1</v>
      </c>
      <c r="BS24" s="2042"/>
      <c r="BT24" s="2042" t="b">
        <v>0</v>
      </c>
      <c r="BU24" s="2058"/>
      <c r="BV24" s="2058"/>
      <c r="BW24" s="2042">
        <f t="shared" si="62"/>
        <v>12</v>
      </c>
      <c r="BX24" s="2042">
        <f t="shared" si="63"/>
        <v>0</v>
      </c>
      <c r="BY24" s="2042">
        <f t="shared" si="64"/>
        <v>12</v>
      </c>
      <c r="BZ24" s="2042" cm="1">
        <f t="array" ref="BZ24">INDEX(Pflanzen!$AI$5:$AI$119,'Lagerhaltung (freiwillig)'!BR24)</f>
        <v>0</v>
      </c>
      <c r="CA24" s="2042" cm="1">
        <f t="array" ref="CA24">IF(BZ24=1,INDEX(Pflanzen!$AJ$5:$AJ$119,BR24),N24)</f>
        <v>0</v>
      </c>
      <c r="CB24" s="2042" cm="1">
        <f t="array" ref="CB24">IF(BZ24=1,INDEX(Pflanzen!$AK$5:$AK$119,BR24),O24)</f>
        <v>0</v>
      </c>
      <c r="CC24" s="2042">
        <f t="shared" si="65"/>
        <v>12</v>
      </c>
      <c r="CD24" s="2042">
        <f t="shared" si="66"/>
        <v>0</v>
      </c>
      <c r="CE24" s="2042">
        <f t="shared" si="67"/>
        <v>12</v>
      </c>
      <c r="CF24" s="2042" cm="1">
        <f t="array" ref="CF24">INDEX(Pflanzen!$F$5:$F$119,BR24)</f>
        <v>0</v>
      </c>
      <c r="CG24" s="2042" cm="1">
        <f t="array" ref="CG24">INDEX(Pflanzen!$H$5:$H$119,BR24)</f>
        <v>0</v>
      </c>
      <c r="CH24" s="2042">
        <f t="shared" si="68"/>
        <v>0</v>
      </c>
      <c r="CI24" s="2042">
        <f t="shared" si="69"/>
        <v>0</v>
      </c>
      <c r="CJ24" s="2042">
        <f t="shared" si="70"/>
        <v>0</v>
      </c>
      <c r="CK24" s="2042">
        <f t="shared" si="71"/>
        <v>0</v>
      </c>
      <c r="CL24" s="2042">
        <f t="shared" si="72"/>
        <v>0</v>
      </c>
      <c r="CM24" s="2042">
        <f t="shared" si="73"/>
        <v>0</v>
      </c>
      <c r="CN24" s="2042">
        <f t="shared" si="74"/>
        <v>0</v>
      </c>
      <c r="CO24" s="2042">
        <f t="shared" si="75"/>
        <v>0</v>
      </c>
      <c r="CP24" s="2042">
        <f t="shared" si="76"/>
        <v>0</v>
      </c>
      <c r="CQ24" s="2042">
        <f t="shared" si="77"/>
        <v>0</v>
      </c>
      <c r="CR24" s="2042">
        <f t="shared" si="78"/>
        <v>0</v>
      </c>
      <c r="CS24" s="2042">
        <f t="shared" si="79"/>
        <v>0</v>
      </c>
      <c r="CT24" s="2042">
        <f t="shared" si="80"/>
        <v>0</v>
      </c>
      <c r="CU24" s="2042">
        <f t="shared" si="81"/>
        <v>0</v>
      </c>
      <c r="CV24" s="2042"/>
      <c r="CW24" s="609" t="str">
        <f>Pflanzen!A20</f>
        <v>Hartweizen (Durum)</v>
      </c>
      <c r="CX24" s="2042">
        <f>IFERROR(MATCH($CW24,Pflanzen!$C$5:$C$119,0),1)</f>
        <v>16</v>
      </c>
      <c r="CY24" s="609" cm="1">
        <f t="array" ref="CY24">INDEX(Pflanzen!$I$5:$I$119,'Lagerhaltung (freiwillig)'!CX24)</f>
        <v>2</v>
      </c>
      <c r="CZ24" s="2042">
        <f t="shared" si="102"/>
        <v>0</v>
      </c>
      <c r="DA24" s="2042">
        <f t="shared" si="102"/>
        <v>0</v>
      </c>
      <c r="DB24" s="2042">
        <f t="shared" si="102"/>
        <v>0</v>
      </c>
      <c r="DC24" s="2042">
        <f t="shared" si="102"/>
        <v>0</v>
      </c>
      <c r="DD24" s="2042">
        <f t="shared" si="102"/>
        <v>0</v>
      </c>
      <c r="DE24" s="2042">
        <f t="shared" si="102"/>
        <v>0</v>
      </c>
      <c r="DF24" s="2042">
        <f t="shared" si="102"/>
        <v>0</v>
      </c>
      <c r="DG24" s="2042">
        <f t="shared" si="102"/>
        <v>0</v>
      </c>
      <c r="DH24" s="2042">
        <f t="shared" si="102"/>
        <v>0</v>
      </c>
      <c r="DI24" s="2042">
        <f t="shared" si="102"/>
        <v>0</v>
      </c>
      <c r="DJ24" s="2042">
        <f t="shared" si="102"/>
        <v>0</v>
      </c>
      <c r="DK24" s="2042">
        <f t="shared" si="102"/>
        <v>0</v>
      </c>
      <c r="DL24" s="2042"/>
      <c r="DM24" s="2042">
        <f t="shared" si="103"/>
        <v>0</v>
      </c>
      <c r="DN24" s="2042">
        <f t="shared" si="103"/>
        <v>0</v>
      </c>
      <c r="DO24" s="2042">
        <f t="shared" si="103"/>
        <v>0</v>
      </c>
      <c r="DP24" s="2042">
        <f t="shared" si="103"/>
        <v>0</v>
      </c>
      <c r="DQ24" s="2042">
        <f t="shared" si="103"/>
        <v>0</v>
      </c>
      <c r="DR24" s="2042">
        <f t="shared" si="103"/>
        <v>0</v>
      </c>
      <c r="DS24" s="2042">
        <f t="shared" si="103"/>
        <v>0</v>
      </c>
      <c r="DT24" s="2042">
        <f t="shared" si="103"/>
        <v>0</v>
      </c>
      <c r="DU24" s="2042">
        <f t="shared" si="103"/>
        <v>0</v>
      </c>
      <c r="DV24" s="2042">
        <f t="shared" si="103"/>
        <v>0</v>
      </c>
      <c r="DW24" s="2042">
        <f t="shared" si="103"/>
        <v>0</v>
      </c>
      <c r="DX24" s="2042">
        <f t="shared" si="103"/>
        <v>0</v>
      </c>
      <c r="DY24" s="2042"/>
      <c r="DZ24" s="2042">
        <f t="shared" si="104"/>
        <v>0</v>
      </c>
      <c r="EA24" s="2042">
        <f t="shared" si="104"/>
        <v>0</v>
      </c>
      <c r="EB24" s="2042">
        <f t="shared" si="104"/>
        <v>0</v>
      </c>
      <c r="EC24" s="2042">
        <f t="shared" si="104"/>
        <v>0</v>
      </c>
      <c r="ED24" s="2042">
        <f t="shared" si="104"/>
        <v>0</v>
      </c>
      <c r="EE24" s="2042">
        <f t="shared" si="104"/>
        <v>0</v>
      </c>
      <c r="EF24" s="2042">
        <f t="shared" si="104"/>
        <v>0</v>
      </c>
      <c r="EG24" s="2042">
        <f t="shared" si="104"/>
        <v>0</v>
      </c>
      <c r="EH24" s="2042">
        <f t="shared" si="104"/>
        <v>0</v>
      </c>
      <c r="EI24" s="2042">
        <f t="shared" si="104"/>
        <v>0</v>
      </c>
      <c r="EJ24" s="2042">
        <f t="shared" si="104"/>
        <v>0</v>
      </c>
      <c r="EK24" s="2042">
        <f t="shared" si="104"/>
        <v>0</v>
      </c>
      <c r="EL24" s="2042"/>
      <c r="EM24" s="2042">
        <f t="shared" si="105"/>
        <v>0</v>
      </c>
      <c r="EN24" s="2042">
        <f t="shared" si="105"/>
        <v>0</v>
      </c>
      <c r="EO24" s="2042">
        <f t="shared" si="105"/>
        <v>0</v>
      </c>
      <c r="EP24" s="2042">
        <f t="shared" si="105"/>
        <v>0</v>
      </c>
      <c r="EQ24" s="2042">
        <f t="shared" si="105"/>
        <v>0</v>
      </c>
      <c r="ER24" s="2042">
        <f t="shared" si="105"/>
        <v>0</v>
      </c>
      <c r="ES24" s="2042">
        <f t="shared" si="105"/>
        <v>0</v>
      </c>
      <c r="ET24" s="2042">
        <f t="shared" si="105"/>
        <v>0</v>
      </c>
      <c r="EU24" s="2042">
        <f t="shared" si="105"/>
        <v>0</v>
      </c>
      <c r="EV24" s="2042">
        <f t="shared" si="105"/>
        <v>0</v>
      </c>
      <c r="EW24" s="2042">
        <f t="shared" si="105"/>
        <v>0</v>
      </c>
      <c r="EX24" s="2042">
        <f t="shared" si="105"/>
        <v>0</v>
      </c>
      <c r="EY24" s="2042"/>
      <c r="EZ24" s="2045">
        <f t="shared" si="50"/>
        <v>0</v>
      </c>
      <c r="FA24" s="2042">
        <f>EZ24+CZ24+DZ24                 -         SUMIF('Berechnung Nährstoffe und Lager'!$AX$113:$AX$155,$CX24,'Berechnung Nährstoffe und Lager'!$U$113:$U$155)/12  -$GB24*$HC24/12</f>
        <v>0</v>
      </c>
      <c r="FB24" s="2042">
        <f>FA24+DA24+EA24                 -         SUMIF('Berechnung Nährstoffe und Lager'!$AX$113:$AX$155,$CX24,'Berechnung Nährstoffe und Lager'!$U$113:$U$155)/12  -$GB24*$HC24/12</f>
        <v>0</v>
      </c>
      <c r="FC24" s="2042">
        <f>FB24+DB24+EB24                 -         SUMIF('Berechnung Nährstoffe und Lager'!$AX$113:$AX$155,$CX24,'Berechnung Nährstoffe und Lager'!$U$113:$U$155)/12  -$GB24*$HC24/12</f>
        <v>0</v>
      </c>
      <c r="FD24" s="2042">
        <f>FC24+DC24+EC24                 -         SUMIF('Berechnung Nährstoffe und Lager'!$AX$113:$AX$155,$CX24,'Berechnung Nährstoffe und Lager'!$U$113:$U$155)/12  -$GB24*$HC24/12</f>
        <v>0</v>
      </c>
      <c r="FE24" s="2042">
        <f>FD24+DD24+ED24                 -         SUMIF('Berechnung Nährstoffe und Lager'!$AX$113:$AX$155,$CX24,'Berechnung Nährstoffe und Lager'!$U$113:$U$155)/12  -$GB24*$HC24/12</f>
        <v>0</v>
      </c>
      <c r="FF24" s="2042">
        <f>FE24+DE24+EE24                 -         SUMIF('Berechnung Nährstoffe und Lager'!$AX$113:$AX$155,$CX24,'Berechnung Nährstoffe und Lager'!$U$113:$U$155)/12  -$GB24*$HC24/12</f>
        <v>0</v>
      </c>
      <c r="FG24" s="2042">
        <f>FF24+DF24+EF24                 -         SUMIF('Berechnung Nährstoffe und Lager'!$AX$113:$AX$155,$CX24,'Berechnung Nährstoffe und Lager'!$U$113:$U$155)/12  -$GB24*$HC24/12</f>
        <v>0</v>
      </c>
      <c r="FH24" s="2042">
        <f>FG24+DG24+EG24                 -         SUMIF('Berechnung Nährstoffe und Lager'!$AX$113:$AX$155,$CX24,'Berechnung Nährstoffe und Lager'!$U$113:$U$155)/12  -$GB24*$HC24/12</f>
        <v>0</v>
      </c>
      <c r="FI24" s="2042">
        <f>FH24+DH24+EH24                 -         SUMIF('Berechnung Nährstoffe und Lager'!$AX$113:$AX$155,$CX24,'Berechnung Nährstoffe und Lager'!$U$113:$U$155)/12  -$GB24*$HC24/12</f>
        <v>0</v>
      </c>
      <c r="FJ24" s="2042">
        <f>FI24+DI24+EI24                 -         SUMIF('Berechnung Nährstoffe und Lager'!$AX$113:$AX$155,$CX24,'Berechnung Nährstoffe und Lager'!$U$113:$U$155)/12  -$GB24*$HC24/12</f>
        <v>0</v>
      </c>
      <c r="FK24" s="2042">
        <f>FJ24+DJ24+EJ24                 -         SUMIF('Berechnung Nährstoffe und Lager'!$AX$113:$AX$155,$CX24,'Berechnung Nährstoffe und Lager'!$U$113:$U$155)/12  -$GB24*$HC24/12</f>
        <v>0</v>
      </c>
      <c r="FL24" s="2042">
        <f>FK24+DK24+EK24                 -         SUMIF('Berechnung Nährstoffe und Lager'!$AX$113:$AX$155,$CX24,'Berechnung Nährstoffe und Lager'!$U$113:$U$155)/12  -$GB24*$HC24/12</f>
        <v>0</v>
      </c>
      <c r="FM24" s="2042"/>
      <c r="FN24" s="2045">
        <f t="shared" si="51"/>
        <v>0</v>
      </c>
      <c r="FO24" s="2042">
        <f>FN24+DM24+EM24                 -         SUMIF('Berechnung Nährstoffe und Lager'!$AX$113:$AX$155,$CX24,'Berechnung Nährstoffe und Lager'!$V$113:$V$155)/12  -$GC24*$HC24/12</f>
        <v>0</v>
      </c>
      <c r="FP24" s="2042">
        <f>FO24+DN24+EN24                 -         SUMIF('Berechnung Nährstoffe und Lager'!$AX$113:$AX$155,$CX24,'Berechnung Nährstoffe und Lager'!$V$113:$V$155)/12  -$GC24*$HC24/12</f>
        <v>0</v>
      </c>
      <c r="FQ24" s="2042">
        <f>FP24+DO24+EO24                 -         SUMIF('Berechnung Nährstoffe und Lager'!$AX$113:$AX$155,$CX24,'Berechnung Nährstoffe und Lager'!$V$113:$V$155)/12  -$GC24*$HC24/12</f>
        <v>0</v>
      </c>
      <c r="FR24" s="2042">
        <f>FQ24+DP24+EP24                 -         SUMIF('Berechnung Nährstoffe und Lager'!$AX$113:$AX$155,$CX24,'Berechnung Nährstoffe und Lager'!$V$113:$V$155)/12  -$GC24*$HC24/12</f>
        <v>0</v>
      </c>
      <c r="FS24" s="2042">
        <f>FR24+DQ24+EQ24                 -         SUMIF('Berechnung Nährstoffe und Lager'!$AX$113:$AX$155,$CX24,'Berechnung Nährstoffe und Lager'!$V$113:$V$155)/12  -$GC24*$HC24/12</f>
        <v>0</v>
      </c>
      <c r="FT24" s="2042">
        <f>FS24+DR24+ER24                 -         SUMIF('Berechnung Nährstoffe und Lager'!$AX$113:$AX$155,$CX24,'Berechnung Nährstoffe und Lager'!$V$113:$V$155)/12  -$GC24*$HC24/12</f>
        <v>0</v>
      </c>
      <c r="FU24" s="2042">
        <f>FT24+DS24+ES24                 -         SUMIF('Berechnung Nährstoffe und Lager'!$AX$113:$AX$155,$CX24,'Berechnung Nährstoffe und Lager'!$V$113:$V$155)/12  -$GC24*$HC24/12</f>
        <v>0</v>
      </c>
      <c r="FV24" s="2042">
        <f>FU24+DT24+ET24                 -         SUMIF('Berechnung Nährstoffe und Lager'!$AX$113:$AX$155,$CX24,'Berechnung Nährstoffe und Lager'!$V$113:$V$155)/12  -$GC24*$HC24/12</f>
        <v>0</v>
      </c>
      <c r="FW24" s="2042">
        <f>FV24+DU24+EU24                 -         SUMIF('Berechnung Nährstoffe und Lager'!$AX$113:$AX$155,$CX24,'Berechnung Nährstoffe und Lager'!$V$113:$V$155)/12  -$GC24*$HC24/12</f>
        <v>0</v>
      </c>
      <c r="FX24" s="2042">
        <f>FW24+DV24+EV24                 -         SUMIF('Berechnung Nährstoffe und Lager'!$AX$113:$AX$155,$CX24,'Berechnung Nährstoffe und Lager'!$V$113:$V$155)/12  -$GC24*$HC24/12</f>
        <v>0</v>
      </c>
      <c r="FY24" s="2042">
        <f>FX24+DW24+EW24                 -         SUMIF('Berechnung Nährstoffe und Lager'!$AX$113:$AX$155,$CX24,'Berechnung Nährstoffe und Lager'!$V$113:$V$155)/12  -$GC24*$HC24/12</f>
        <v>0</v>
      </c>
      <c r="FZ24" s="2042">
        <f>FY24+DX24+EX24                 -         SUMIF('Berechnung Nährstoffe und Lager'!$AX$113:$AX$155,$CX24,'Berechnung Nährstoffe und Lager'!$V$113:$V$155)/12  -$GC24*$HC24/12</f>
        <v>0</v>
      </c>
      <c r="GA24" s="2042"/>
      <c r="GB24" s="2042">
        <f>SUMIFS($CI$14:$CI$68,$BR$14:$BR$68,$CX24)+SUMIFS($CM$14:$CM$68,$BR$14:$BR$68,$CX24)+SUMIFS($CR$14:$CR$68,$BR$14:$BR$68,$CX24)  -         SUMIF('Berechnung Nährstoffe und Lager'!$AX$113:$AX$155,$CX24,'Berechnung Nährstoffe und Lager'!$U$113:$U$155)</f>
        <v>0</v>
      </c>
      <c r="GC24" s="2042">
        <f>SUMIFS($CJ$14:$CJ$68,$BR$14:$BR$68,$CX24)+SUMIFS($CO$14:$CO$68,$BR$14:$BR$68,$CX24)+SUMIFS($CT$14:$CT$68,$BR$14:$BR$68,$CX24)  -         SUMIF('Berechnung Nährstoffe und Lager'!$AX$113:$AX$155,$CX24,'Berechnung Nährstoffe und Lager'!$V$113:$V$155)</f>
        <v>0</v>
      </c>
      <c r="GD24" s="2042"/>
      <c r="GE24" s="2042"/>
      <c r="GF24" s="2042">
        <f>SUMIF('Berechnung Nährstoffe und Lager'!$AX$113:$AX$155,$CX24,'Berechnung Nährstoffe und Lager'!$U$113:$U$155)</f>
        <v>0</v>
      </c>
      <c r="GG24" s="2042">
        <f>SUMIF('Berechnung Nährstoffe und Lager'!$AX$113:$AX$155,$CX24,'Berechnung Nährstoffe und Lager'!$V$113:$V$155)</f>
        <v>0</v>
      </c>
      <c r="GH24" s="2042">
        <f t="shared" si="52"/>
        <v>0</v>
      </c>
      <c r="GI24" s="2042">
        <f t="shared" si="53"/>
        <v>0</v>
      </c>
      <c r="GJ24" s="2042">
        <f t="shared" si="34"/>
        <v>0</v>
      </c>
      <c r="GK24" s="2042">
        <f t="shared" si="35"/>
        <v>0</v>
      </c>
      <c r="GL24" s="2042">
        <f t="shared" si="36"/>
        <v>0</v>
      </c>
      <c r="GM24" s="2042" cm="1">
        <f t="array" ref="GM24">IF(GL24=0,0,(IFERROR(SUMPRODUCT($J$14:$J$68,$CH$14:$CH$68,($BR$14:$BR$68=CX24)*1)+SUMPRODUCT($L$14:$L$68,$M$14:$M$68,$CK$14:$CK$68,($BR$14:$BR$68=CX24)*1,($BT$14:$BT$68=FALSE)*1)/10+SUMPRODUCT($R$14:$R$68,$CP$14:$CP$68,($BR$14:$BR$68=CX24)*1),0))/GL24)</f>
        <v>0</v>
      </c>
      <c r="GN24" s="2042">
        <f t="shared" si="54"/>
        <v>0</v>
      </c>
      <c r="GO24" s="2042">
        <f>(SUMIF('Berechnung Nährstoffe und Lager'!$AX$113:$AX$130,'Lagerhaltung (freiwillig)'!CX24,'Berechnung Nährstoffe und Lager'!$D$113:$D$130)+SUMIF('Berechnung Nährstoffe und Lager'!$AX$137:$AX$155,'Lagerhaltung (freiwillig)'!CX24,'Berechnung Nährstoffe und Lager'!$E$137:$E$155))</f>
        <v>0</v>
      </c>
      <c r="GP24" s="2042" cm="1">
        <f t="array" ref="GP24">IF(GO24=0,0,(IFERROR(SUMPRODUCT('Berechnung Nährstoffe und Lager'!$D$113:$D$130,'Berechnung Nährstoffe und Lager'!$F$113:$F$130,('Berechnung Nährstoffe und Lager'!$AX$113:$AX$130='Lagerhaltung (freiwillig)'!CX24)*1)+SUMPRODUCT('Berechnung Nährstoffe und Lager'!$E$137:$E$155,'Berechnung Nährstoffe und Lager'!$F$137:$F$155,('Berechnung Nährstoffe und Lager'!$AX$137:$AX$155='Lagerhaltung (freiwillig)'!CX24)*1),0))/GO24)</f>
        <v>0</v>
      </c>
      <c r="GQ24" s="2042">
        <f t="shared" si="55"/>
        <v>0</v>
      </c>
      <c r="GR24" s="2042">
        <f t="shared" si="56"/>
        <v>0</v>
      </c>
      <c r="GS24" s="2042">
        <f t="shared" si="57"/>
        <v>0</v>
      </c>
      <c r="GT24" s="2042">
        <f t="shared" si="58"/>
        <v>0</v>
      </c>
      <c r="GU24" s="2045" t="str">
        <f t="shared" si="39"/>
        <v xml:space="preserve"> </v>
      </c>
      <c r="GV24" s="2045" t="str">
        <f t="shared" si="39"/>
        <v xml:space="preserve"> </v>
      </c>
      <c r="GW24" s="2054">
        <f t="shared" si="40"/>
        <v>0</v>
      </c>
      <c r="GX24" s="2042">
        <f t="shared" si="41"/>
        <v>0</v>
      </c>
      <c r="GY24" s="2042" t="str">
        <f t="shared" si="42"/>
        <v>a</v>
      </c>
      <c r="GZ24" s="2055">
        <f t="shared" si="43"/>
        <v>0</v>
      </c>
      <c r="HA24" s="2055">
        <f t="shared" si="44"/>
        <v>0</v>
      </c>
      <c r="HB24" s="2055"/>
      <c r="HC24" s="2046">
        <f t="shared" si="45"/>
        <v>0</v>
      </c>
      <c r="HD24" s="2055">
        <f t="shared" si="46"/>
        <v>0</v>
      </c>
      <c r="HE24" s="2055">
        <f t="shared" si="47"/>
        <v>0</v>
      </c>
      <c r="HF24" s="2055">
        <f t="shared" si="48"/>
        <v>0</v>
      </c>
      <c r="HG24" s="2282" cm="1">
        <f t="array" ref="HG24">IF(AND(HE24=0,GJ24=0),0,IF(HE24=0,1,IF(OR(GJ24*1000/HE24/HF24&gt;INDEX(Pflanzen!$AD$5:$AD$109,CX24)/INDEX(Pflanzen!$M$5:$M$109,CX24)*$HG$1,GJ24*1000/HE24/HF24&lt;INDEX(Pflanzen!$AD$5:$AD$109,CX24)/INDEX(Pflanzen!$M$5:$M$109,CX24)/$HG$1),1,0)))</f>
        <v>0</v>
      </c>
      <c r="HH24" s="2282" cm="1">
        <f t="array" ref="HH24">IF(AND(GK24=0,HE24=0),0,IF(HE24=0,1,IF(OR(GK24*1000/HE24/HF24&gt;INDEX(Pflanzen!$AE$5:$AE$109,CX24)/INDEX(Pflanzen!$M$5:$M$109,CX24)*$HG$1,GK24*1000/HE24/HF24&lt;INDEX(Pflanzen!$AE$5:$AE$109,CX24)/INDEX(Pflanzen!$M$5:$M$109,CX24)/$HG$1),1,0)))</f>
        <v>0</v>
      </c>
      <c r="HI24" s="2042">
        <f t="shared" si="49"/>
        <v>3</v>
      </c>
      <c r="HJ24" s="2042"/>
      <c r="HL24" s="2042"/>
      <c r="HM24" s="2052" t="str">
        <f>Tiere!B50</f>
        <v>Ferkel von 8 bis 28 kg, Standard</v>
      </c>
      <c r="HN24" s="2042">
        <v>21</v>
      </c>
      <c r="HO24" s="2053">
        <f>SUMIF('Berechnung Nährstoffe und Lager'!$BM$68:$BM$81,'Lagerhaltung (freiwillig)'!HN24,'Berechnung Nährstoffe und Lager'!$Z$68:$Z$81)+SUMIF('Berechnung Nährstoffe und Lager'!$BM$68:$BM$81,'Lagerhaltung (freiwillig)'!HN24,'Berechnung Nährstoffe und Lager'!$AA$68:$AA$81)</f>
        <v>0</v>
      </c>
      <c r="HP24" s="2042" cm="1">
        <f t="array" ref="HP24">INDEX(Tiere!$C$30:$C$85,'Lagerhaltung (freiwillig)'!HN24)</f>
        <v>2</v>
      </c>
      <c r="HQ24" s="2042" cm="1">
        <f t="array" ref="HQ24">INDEX(Tiere!$H$30:$H$85,'Lagerhaltung (freiwillig)'!HN24)</f>
        <v>0</v>
      </c>
      <c r="HR24" s="2042">
        <f t="shared" si="12"/>
        <v>0</v>
      </c>
      <c r="HS24" s="2042" cm="1">
        <f t="array" ref="HS24">INDEX(Tiere!$I$30:$I$85,'Lagerhaltung (freiwillig)'!HN24)</f>
        <v>0</v>
      </c>
      <c r="HT24" s="2042">
        <f t="shared" si="13"/>
        <v>0</v>
      </c>
      <c r="HU24" s="2042" cm="1">
        <f t="array" ref="HU24">INDEX(Tiere!$BC$30:$BC$85,'Lagerhaltung (freiwillig)'!HN24)</f>
        <v>4.2048000000000005</v>
      </c>
      <c r="HV24" s="2042">
        <f t="shared" si="6"/>
        <v>0</v>
      </c>
      <c r="HW24" s="2042" cm="1">
        <f t="array" ref="HW24">INDEX(Tiere!$BD$30:$BD$85,'Lagerhaltung (freiwillig)'!HN24)</f>
        <v>1.9217249999999999</v>
      </c>
      <c r="HX24" s="2042">
        <f t="shared" si="7"/>
        <v>0</v>
      </c>
      <c r="HY24" s="2042"/>
      <c r="HZ24" s="2042"/>
      <c r="IA24" s="2042"/>
      <c r="IB24" s="2042"/>
      <c r="IC24" s="2042"/>
      <c r="ID24" s="2042"/>
      <c r="IE24" s="2042"/>
      <c r="IF24" s="2042"/>
      <c r="IG24" s="2042"/>
      <c r="IH24" s="2042"/>
      <c r="II24" s="2042"/>
      <c r="IJ24" s="2042"/>
    </row>
    <row r="25" spans="1:244" ht="15.6" customHeight="1" x14ac:dyDescent="0.2">
      <c r="A25" s="1159"/>
      <c r="B25" s="1160"/>
      <c r="C25" s="1160"/>
      <c r="D25" s="1160"/>
      <c r="E25" s="1160"/>
      <c r="F25" s="2014" cm="1">
        <f t="array" ref="F25">INDEX(Pflanzen!$M$5:$M$109,BR25)</f>
        <v>0</v>
      </c>
      <c r="G25" s="2015" cm="1">
        <f t="array" ref="G25">INDEX(Pflanzen!$AD$5:$AD$109,BR25)</f>
        <v>0</v>
      </c>
      <c r="H25" s="2299" cm="1">
        <f t="array" ref="H25">INDEX(Pflanzen!$AE$5:$AE$109,BR25)</f>
        <v>0</v>
      </c>
      <c r="I25" s="1259"/>
      <c r="J25" s="1256"/>
      <c r="K25" s="1259"/>
      <c r="L25" s="1970"/>
      <c r="M25" s="1246"/>
      <c r="N25" s="1870"/>
      <c r="O25" s="1870"/>
      <c r="P25" s="2211"/>
      <c r="Q25" s="2196"/>
      <c r="R25" s="1970"/>
      <c r="S25" s="1246"/>
      <c r="T25" s="1256"/>
      <c r="U25" s="1159"/>
      <c r="V25" s="2316" t="str">
        <f t="shared" si="82"/>
        <v/>
      </c>
      <c r="Y25" s="2005" t="str" cm="1">
        <f t="array" ref="Y25">IFERROR(INDEX($CW$4:$CW$171,AY25),"")</f>
        <v/>
      </c>
      <c r="Z25" s="510"/>
      <c r="AA25" s="510"/>
      <c r="AB25" s="510"/>
      <c r="AC25" s="2031" t="str" cm="1">
        <f t="array" ref="AC25">IFERROR(INDEX($GL$4:$GL$171,AY25),"")</f>
        <v/>
      </c>
      <c r="AD25" s="2031" t="str" cm="1">
        <f t="array" ref="AD25">IFERROR(INDEX($GM$4:$GM$171,AY25),"")</f>
        <v/>
      </c>
      <c r="AE25" s="2031" t="str" cm="1">
        <f t="array" ref="AE25">IFERROR(INDEX($GH$4:$GH$171,AY25),"")</f>
        <v/>
      </c>
      <c r="AF25" s="2031" t="str" cm="1">
        <f t="array" ref="AF25">IFERROR(INDEX($GI$4:$GI$171,AY25),"")</f>
        <v/>
      </c>
      <c r="AG25" s="2031" t="str" cm="1">
        <f t="array" ref="AG25">IFERROR(INDEX($GO$4:$GO$171,AY25),"")</f>
        <v/>
      </c>
      <c r="AH25" s="2031" t="str" cm="1">
        <f t="array" ref="AH25">IFERROR(INDEX($GP$4:$GP$171,AY25),"")</f>
        <v/>
      </c>
      <c r="AI25" s="2031" t="str" cm="1">
        <f t="array" ref="AI25">IFERROR(INDEX($GF$4:$GF$171,AY25),"")</f>
        <v/>
      </c>
      <c r="AJ25" s="2031" t="str" cm="1">
        <f t="array" ref="AJ25">IFERROR(INDEX($GG$4:$GG$171,AY25),"")</f>
        <v/>
      </c>
      <c r="AK25" s="2031" t="str" cm="1">
        <f t="array" ref="AK25">IFERROR(INDEX($GS$4:$GS$171,AY25),"")</f>
        <v/>
      </c>
      <c r="AL25" s="2032" t="str" cm="1">
        <f t="array" ref="AL25">IFERROR(INDEX($GT$4:$GT$171,AY25),"")</f>
        <v/>
      </c>
      <c r="AM25" s="2031" t="str" cm="1">
        <f t="array" ref="AM25">IFERROR(INDEX($GB$4:$GB$171,AY25),"")</f>
        <v/>
      </c>
      <c r="AN25" s="2031" t="str" cm="1">
        <f t="array" ref="AN25">IFERROR(INDEX($GC$4:$GC$171,AY25),"")</f>
        <v/>
      </c>
      <c r="AO25" s="2031" t="str" cm="1">
        <f t="array" ref="AO25">IFERROR(INDEX($GU$4:$GU$171,AY25),"")</f>
        <v/>
      </c>
      <c r="AP25" s="2031" t="str" cm="1">
        <f t="array" ref="AP25">IFERROR(INDEX($GX$4:$GX$171,AY25),"")</f>
        <v/>
      </c>
      <c r="AQ25" s="1316"/>
      <c r="AR25" s="2031" t="str" cm="1">
        <f t="array" ref="AR25">IFERROR(INDEX($HD$4:$HD$171,AY25),"")</f>
        <v/>
      </c>
      <c r="AS25" s="2031" t="str" cm="1">
        <f t="array" ref="AS25">IFERROR(INDEX($HE$4:$HE$171,AY25),"")</f>
        <v/>
      </c>
      <c r="AT25" s="2031" t="str" cm="1">
        <f t="array" ref="AT25">IFERROR(INDEX($HF$4:$HF$171,AY25),"")</f>
        <v/>
      </c>
      <c r="AU25" s="2031" t="str" cm="1">
        <f t="array" ref="AU25">IFERROR(INDEX($GJ$4:$GJ$171,AY25),"")</f>
        <v/>
      </c>
      <c r="AV25" s="2031" t="str" cm="1">
        <f t="array" ref="AV25">IFERROR(INDEX($GK$4:$GK$171,AY25),"")</f>
        <v/>
      </c>
      <c r="AY25" s="2042" t="str" cm="1">
        <f t="array" ref="AY25">IFERROR(SMALL(IF($HI$4:$HI$171=1,ROW($HI$4:$HI$171)-3),ROW(W13)),IFERROR(SMALL(IF($HI$4:$HI$171=2,ROW($HI$4:$HI$171)-3),ROW(W13)-COUNTIF($HI$4:$HI$171,1)),IFERROR(SMALL(IF($HI$4:$HI$171=0,ROW($HI$4:$HI$171)-3),ROW(W13)-COUNTIF($HI$4:$HI$171,1)-COUNTIF($HI$4:$HI$171,2)),"")))</f>
        <v/>
      </c>
      <c r="AZ25" s="2042" t="str">
        <f t="shared" si="59"/>
        <v>a</v>
      </c>
      <c r="BA25" s="2053" t="e">
        <f t="shared" si="60"/>
        <v>#VALUE!</v>
      </c>
      <c r="BB25" s="2053" cm="1">
        <f t="array" ref="BB25">IFERROR(INDEX($HI$4:$HI$171,AY25),0)</f>
        <v>0</v>
      </c>
      <c r="BC25" s="2053">
        <f t="shared" si="61"/>
        <v>0</v>
      </c>
      <c r="BD25" s="2053"/>
      <c r="BE25" s="2307"/>
      <c r="BF25" s="2307"/>
      <c r="BG25" s="2307"/>
      <c r="BH25" s="2307"/>
      <c r="BI25" s="2307"/>
      <c r="BJ25" s="2307"/>
      <c r="BK25" s="2307"/>
      <c r="BL25" s="2307"/>
      <c r="BM25" s="2307"/>
      <c r="BN25" s="2307"/>
      <c r="BO25" s="2307"/>
      <c r="BP25" s="2043"/>
      <c r="BQ25" s="2042"/>
      <c r="BR25" s="2042">
        <v>1</v>
      </c>
      <c r="BS25" s="2042"/>
      <c r="BT25" s="2042" t="b">
        <v>0</v>
      </c>
      <c r="BU25" s="2058"/>
      <c r="BV25" s="2058"/>
      <c r="BW25" s="2042">
        <f t="shared" si="62"/>
        <v>12</v>
      </c>
      <c r="BX25" s="2042">
        <f t="shared" si="63"/>
        <v>0</v>
      </c>
      <c r="BY25" s="2042">
        <f t="shared" si="64"/>
        <v>12</v>
      </c>
      <c r="BZ25" s="2042" cm="1">
        <f t="array" ref="BZ25">INDEX(Pflanzen!$AI$5:$AI$119,'Lagerhaltung (freiwillig)'!BR25)</f>
        <v>0</v>
      </c>
      <c r="CA25" s="2042" cm="1">
        <f t="array" ref="CA25">IF(BZ25=1,INDEX(Pflanzen!$AJ$5:$AJ$119,BR25),N25)</f>
        <v>0</v>
      </c>
      <c r="CB25" s="2042" cm="1">
        <f t="array" ref="CB25">IF(BZ25=1,INDEX(Pflanzen!$AK$5:$AK$119,BR25),O25)</f>
        <v>0</v>
      </c>
      <c r="CC25" s="2042">
        <f t="shared" si="65"/>
        <v>12</v>
      </c>
      <c r="CD25" s="2042">
        <f t="shared" si="66"/>
        <v>0</v>
      </c>
      <c r="CE25" s="2042">
        <f t="shared" si="67"/>
        <v>12</v>
      </c>
      <c r="CF25" s="2042" cm="1">
        <f t="array" ref="CF25">INDEX(Pflanzen!$F$5:$F$119,BR25)</f>
        <v>0</v>
      </c>
      <c r="CG25" s="2042" cm="1">
        <f t="array" ref="CG25">INDEX(Pflanzen!$H$5:$H$119,BR25)</f>
        <v>0</v>
      </c>
      <c r="CH25" s="2042">
        <f t="shared" si="68"/>
        <v>0</v>
      </c>
      <c r="CI25" s="2042">
        <f t="shared" si="69"/>
        <v>0</v>
      </c>
      <c r="CJ25" s="2042">
        <f t="shared" si="70"/>
        <v>0</v>
      </c>
      <c r="CK25" s="2042">
        <f t="shared" si="71"/>
        <v>0</v>
      </c>
      <c r="CL25" s="2042">
        <f t="shared" si="72"/>
        <v>0</v>
      </c>
      <c r="CM25" s="2042">
        <f t="shared" si="73"/>
        <v>0</v>
      </c>
      <c r="CN25" s="2042">
        <f t="shared" si="74"/>
        <v>0</v>
      </c>
      <c r="CO25" s="2042">
        <f t="shared" si="75"/>
        <v>0</v>
      </c>
      <c r="CP25" s="2042">
        <f t="shared" si="76"/>
        <v>0</v>
      </c>
      <c r="CQ25" s="2042">
        <f t="shared" si="77"/>
        <v>0</v>
      </c>
      <c r="CR25" s="2042">
        <f t="shared" si="78"/>
        <v>0</v>
      </c>
      <c r="CS25" s="2042">
        <f t="shared" si="79"/>
        <v>0</v>
      </c>
      <c r="CT25" s="2042">
        <f t="shared" si="80"/>
        <v>0</v>
      </c>
      <c r="CU25" s="2042">
        <f t="shared" si="81"/>
        <v>0</v>
      </c>
      <c r="CV25" s="2042"/>
      <c r="CW25" s="609" t="str">
        <f>Pflanzen!A21</f>
        <v>Körnermaisstroh</v>
      </c>
      <c r="CX25" s="2042">
        <f>IFERROR(MATCH($CW25,Pflanzen!$C$5:$C$119,0),1)</f>
        <v>17</v>
      </c>
      <c r="CY25" s="609" cm="1">
        <f t="array" ref="CY25">INDEX(Pflanzen!$I$5:$I$119,'Lagerhaltung (freiwillig)'!CX25)</f>
        <v>0</v>
      </c>
      <c r="CZ25" s="2042">
        <f t="shared" si="102"/>
        <v>0</v>
      </c>
      <c r="DA25" s="2042">
        <f t="shared" si="102"/>
        <v>0</v>
      </c>
      <c r="DB25" s="2042">
        <f t="shared" si="102"/>
        <v>0</v>
      </c>
      <c r="DC25" s="2042">
        <f t="shared" si="102"/>
        <v>0</v>
      </c>
      <c r="DD25" s="2042">
        <f t="shared" si="102"/>
        <v>0</v>
      </c>
      <c r="DE25" s="2042">
        <f t="shared" si="102"/>
        <v>0</v>
      </c>
      <c r="DF25" s="2042">
        <f t="shared" si="102"/>
        <v>0</v>
      </c>
      <c r="DG25" s="2042">
        <f t="shared" si="102"/>
        <v>0</v>
      </c>
      <c r="DH25" s="2042">
        <f t="shared" si="102"/>
        <v>0</v>
      </c>
      <c r="DI25" s="2042">
        <f t="shared" si="102"/>
        <v>0</v>
      </c>
      <c r="DJ25" s="2042">
        <f t="shared" si="102"/>
        <v>0</v>
      </c>
      <c r="DK25" s="2042">
        <f t="shared" si="102"/>
        <v>0</v>
      </c>
      <c r="DL25" s="2042"/>
      <c r="DM25" s="2042">
        <f t="shared" si="103"/>
        <v>0</v>
      </c>
      <c r="DN25" s="2042">
        <f t="shared" si="103"/>
        <v>0</v>
      </c>
      <c r="DO25" s="2042">
        <f t="shared" si="103"/>
        <v>0</v>
      </c>
      <c r="DP25" s="2042">
        <f t="shared" si="103"/>
        <v>0</v>
      </c>
      <c r="DQ25" s="2042">
        <f t="shared" si="103"/>
        <v>0</v>
      </c>
      <c r="DR25" s="2042">
        <f t="shared" si="103"/>
        <v>0</v>
      </c>
      <c r="DS25" s="2042">
        <f t="shared" si="103"/>
        <v>0</v>
      </c>
      <c r="DT25" s="2042">
        <f t="shared" si="103"/>
        <v>0</v>
      </c>
      <c r="DU25" s="2042">
        <f t="shared" si="103"/>
        <v>0</v>
      </c>
      <c r="DV25" s="2042">
        <f t="shared" si="103"/>
        <v>0</v>
      </c>
      <c r="DW25" s="2042">
        <f t="shared" si="103"/>
        <v>0</v>
      </c>
      <c r="DX25" s="2042">
        <f t="shared" si="103"/>
        <v>0</v>
      </c>
      <c r="DY25" s="2042"/>
      <c r="DZ25" s="2042">
        <f t="shared" si="104"/>
        <v>0</v>
      </c>
      <c r="EA25" s="2042">
        <f t="shared" si="104"/>
        <v>0</v>
      </c>
      <c r="EB25" s="2042">
        <f t="shared" si="104"/>
        <v>0</v>
      </c>
      <c r="EC25" s="2042">
        <f t="shared" si="104"/>
        <v>0</v>
      </c>
      <c r="ED25" s="2042">
        <f t="shared" si="104"/>
        <v>0</v>
      </c>
      <c r="EE25" s="2042">
        <f t="shared" si="104"/>
        <v>0</v>
      </c>
      <c r="EF25" s="2042">
        <f t="shared" si="104"/>
        <v>0</v>
      </c>
      <c r="EG25" s="2042">
        <f t="shared" si="104"/>
        <v>0</v>
      </c>
      <c r="EH25" s="2042">
        <f t="shared" si="104"/>
        <v>0</v>
      </c>
      <c r="EI25" s="2042">
        <f t="shared" si="104"/>
        <v>0</v>
      </c>
      <c r="EJ25" s="2042">
        <f t="shared" si="104"/>
        <v>0</v>
      </c>
      <c r="EK25" s="2042">
        <f t="shared" si="104"/>
        <v>0</v>
      </c>
      <c r="EL25" s="2042"/>
      <c r="EM25" s="2042">
        <f t="shared" si="105"/>
        <v>0</v>
      </c>
      <c r="EN25" s="2042">
        <f t="shared" si="105"/>
        <v>0</v>
      </c>
      <c r="EO25" s="2042">
        <f t="shared" si="105"/>
        <v>0</v>
      </c>
      <c r="EP25" s="2042">
        <f t="shared" si="105"/>
        <v>0</v>
      </c>
      <c r="EQ25" s="2042">
        <f t="shared" si="105"/>
        <v>0</v>
      </c>
      <c r="ER25" s="2042">
        <f t="shared" si="105"/>
        <v>0</v>
      </c>
      <c r="ES25" s="2042">
        <f t="shared" si="105"/>
        <v>0</v>
      </c>
      <c r="ET25" s="2042">
        <f t="shared" si="105"/>
        <v>0</v>
      </c>
      <c r="EU25" s="2042">
        <f t="shared" si="105"/>
        <v>0</v>
      </c>
      <c r="EV25" s="2042">
        <f t="shared" si="105"/>
        <v>0</v>
      </c>
      <c r="EW25" s="2042">
        <f t="shared" si="105"/>
        <v>0</v>
      </c>
      <c r="EX25" s="2042">
        <f t="shared" si="105"/>
        <v>0</v>
      </c>
      <c r="EY25" s="2042"/>
      <c r="EZ25" s="2045">
        <f t="shared" si="50"/>
        <v>0</v>
      </c>
      <c r="FA25" s="2042">
        <f>EZ25+CZ25+DZ25                 -         SUMIF('Berechnung Nährstoffe und Lager'!$AX$113:$AX$155,$CX25,'Berechnung Nährstoffe und Lager'!$U$113:$U$155)/12  -$GB25*$HC25/12</f>
        <v>0</v>
      </c>
      <c r="FB25" s="2042">
        <f>FA25+DA25+EA25                 -         SUMIF('Berechnung Nährstoffe und Lager'!$AX$113:$AX$155,$CX25,'Berechnung Nährstoffe und Lager'!$U$113:$U$155)/12  -$GB25*$HC25/12</f>
        <v>0</v>
      </c>
      <c r="FC25" s="2042">
        <f>FB25+DB25+EB25                 -         SUMIF('Berechnung Nährstoffe und Lager'!$AX$113:$AX$155,$CX25,'Berechnung Nährstoffe und Lager'!$U$113:$U$155)/12  -$GB25*$HC25/12</f>
        <v>0</v>
      </c>
      <c r="FD25" s="2042">
        <f>FC25+DC25+EC25                 -         SUMIF('Berechnung Nährstoffe und Lager'!$AX$113:$AX$155,$CX25,'Berechnung Nährstoffe und Lager'!$U$113:$U$155)/12  -$GB25*$HC25/12</f>
        <v>0</v>
      </c>
      <c r="FE25" s="2042">
        <f>FD25+DD25+ED25                 -         SUMIF('Berechnung Nährstoffe und Lager'!$AX$113:$AX$155,$CX25,'Berechnung Nährstoffe und Lager'!$U$113:$U$155)/12  -$GB25*$HC25/12</f>
        <v>0</v>
      </c>
      <c r="FF25" s="2042">
        <f>FE25+DE25+EE25                 -         SUMIF('Berechnung Nährstoffe und Lager'!$AX$113:$AX$155,$CX25,'Berechnung Nährstoffe und Lager'!$U$113:$U$155)/12  -$GB25*$HC25/12</f>
        <v>0</v>
      </c>
      <c r="FG25" s="2042">
        <f>FF25+DF25+EF25                 -         SUMIF('Berechnung Nährstoffe und Lager'!$AX$113:$AX$155,$CX25,'Berechnung Nährstoffe und Lager'!$U$113:$U$155)/12  -$GB25*$HC25/12</f>
        <v>0</v>
      </c>
      <c r="FH25" s="2042">
        <f>FG25+DG25+EG25                 -         SUMIF('Berechnung Nährstoffe und Lager'!$AX$113:$AX$155,$CX25,'Berechnung Nährstoffe und Lager'!$U$113:$U$155)/12  -$GB25*$HC25/12</f>
        <v>0</v>
      </c>
      <c r="FI25" s="2042">
        <f>FH25+DH25+EH25                 -         SUMIF('Berechnung Nährstoffe und Lager'!$AX$113:$AX$155,$CX25,'Berechnung Nährstoffe und Lager'!$U$113:$U$155)/12  -$GB25*$HC25/12</f>
        <v>0</v>
      </c>
      <c r="FJ25" s="2042">
        <f>FI25+DI25+EI25                 -         SUMIF('Berechnung Nährstoffe und Lager'!$AX$113:$AX$155,$CX25,'Berechnung Nährstoffe und Lager'!$U$113:$U$155)/12  -$GB25*$HC25/12</f>
        <v>0</v>
      </c>
      <c r="FK25" s="2042">
        <f>FJ25+DJ25+EJ25                 -         SUMIF('Berechnung Nährstoffe und Lager'!$AX$113:$AX$155,$CX25,'Berechnung Nährstoffe und Lager'!$U$113:$U$155)/12  -$GB25*$HC25/12</f>
        <v>0</v>
      </c>
      <c r="FL25" s="2042">
        <f>FK25+DK25+EK25                 -         SUMIF('Berechnung Nährstoffe und Lager'!$AX$113:$AX$155,$CX25,'Berechnung Nährstoffe und Lager'!$U$113:$U$155)/12  -$GB25*$HC25/12</f>
        <v>0</v>
      </c>
      <c r="FM25" s="2042"/>
      <c r="FN25" s="2045">
        <f t="shared" si="51"/>
        <v>0</v>
      </c>
      <c r="FO25" s="2042">
        <f>FN25+DM25+EM25                 -         SUMIF('Berechnung Nährstoffe und Lager'!$AX$113:$AX$155,$CX25,'Berechnung Nährstoffe und Lager'!$V$113:$V$155)/12  -$GC25*$HC25/12</f>
        <v>0</v>
      </c>
      <c r="FP25" s="2042">
        <f>FO25+DN25+EN25                 -         SUMIF('Berechnung Nährstoffe und Lager'!$AX$113:$AX$155,$CX25,'Berechnung Nährstoffe und Lager'!$V$113:$V$155)/12  -$GC25*$HC25/12</f>
        <v>0</v>
      </c>
      <c r="FQ25" s="2042">
        <f>FP25+DO25+EO25                 -         SUMIF('Berechnung Nährstoffe und Lager'!$AX$113:$AX$155,$CX25,'Berechnung Nährstoffe und Lager'!$V$113:$V$155)/12  -$GC25*$HC25/12</f>
        <v>0</v>
      </c>
      <c r="FR25" s="2042">
        <f>FQ25+DP25+EP25                 -         SUMIF('Berechnung Nährstoffe und Lager'!$AX$113:$AX$155,$CX25,'Berechnung Nährstoffe und Lager'!$V$113:$V$155)/12  -$GC25*$HC25/12</f>
        <v>0</v>
      </c>
      <c r="FS25" s="2042">
        <f>FR25+DQ25+EQ25                 -         SUMIF('Berechnung Nährstoffe und Lager'!$AX$113:$AX$155,$CX25,'Berechnung Nährstoffe und Lager'!$V$113:$V$155)/12  -$GC25*$HC25/12</f>
        <v>0</v>
      </c>
      <c r="FT25" s="2042">
        <f>FS25+DR25+ER25                 -         SUMIF('Berechnung Nährstoffe und Lager'!$AX$113:$AX$155,$CX25,'Berechnung Nährstoffe und Lager'!$V$113:$V$155)/12  -$GC25*$HC25/12</f>
        <v>0</v>
      </c>
      <c r="FU25" s="2042">
        <f>FT25+DS25+ES25                 -         SUMIF('Berechnung Nährstoffe und Lager'!$AX$113:$AX$155,$CX25,'Berechnung Nährstoffe und Lager'!$V$113:$V$155)/12  -$GC25*$HC25/12</f>
        <v>0</v>
      </c>
      <c r="FV25" s="2042">
        <f>FU25+DT25+ET25                 -         SUMIF('Berechnung Nährstoffe und Lager'!$AX$113:$AX$155,$CX25,'Berechnung Nährstoffe und Lager'!$V$113:$V$155)/12  -$GC25*$HC25/12</f>
        <v>0</v>
      </c>
      <c r="FW25" s="2042">
        <f>FV25+DU25+EU25                 -         SUMIF('Berechnung Nährstoffe und Lager'!$AX$113:$AX$155,$CX25,'Berechnung Nährstoffe und Lager'!$V$113:$V$155)/12  -$GC25*$HC25/12</f>
        <v>0</v>
      </c>
      <c r="FX25" s="2042">
        <f>FW25+DV25+EV25                 -         SUMIF('Berechnung Nährstoffe und Lager'!$AX$113:$AX$155,$CX25,'Berechnung Nährstoffe und Lager'!$V$113:$V$155)/12  -$GC25*$HC25/12</f>
        <v>0</v>
      </c>
      <c r="FY25" s="2042">
        <f>FX25+DW25+EW25                 -         SUMIF('Berechnung Nährstoffe und Lager'!$AX$113:$AX$155,$CX25,'Berechnung Nährstoffe und Lager'!$V$113:$V$155)/12  -$GC25*$HC25/12</f>
        <v>0</v>
      </c>
      <c r="FZ25" s="2042">
        <f>FY25+DX25+EX25                 -         SUMIF('Berechnung Nährstoffe und Lager'!$AX$113:$AX$155,$CX25,'Berechnung Nährstoffe und Lager'!$V$113:$V$155)/12  -$GC25*$HC25/12</f>
        <v>0</v>
      </c>
      <c r="GA25" s="2042"/>
      <c r="GB25" s="2042">
        <f>SUMIFS($CI$14:$CI$68,$BR$14:$BR$68,$CX25)+SUMIFS($CM$14:$CM$68,$BR$14:$BR$68,$CX25)+SUMIFS($CR$14:$CR$68,$BR$14:$BR$68,$CX25)  -         SUMIF('Berechnung Nährstoffe und Lager'!$AX$113:$AX$155,$CX25,'Berechnung Nährstoffe und Lager'!$U$113:$U$155)</f>
        <v>0</v>
      </c>
      <c r="GC25" s="2042">
        <f>SUMIFS($CJ$14:$CJ$68,$BR$14:$BR$68,$CX25)+SUMIFS($CO$14:$CO$68,$BR$14:$BR$68,$CX25)+SUMIFS($CT$14:$CT$68,$BR$14:$BR$68,$CX25)  -         SUMIF('Berechnung Nährstoffe und Lager'!$AX$113:$AX$155,$CX25,'Berechnung Nährstoffe und Lager'!$V$113:$V$155)</f>
        <v>0</v>
      </c>
      <c r="GD25" s="2042"/>
      <c r="GE25" s="2042"/>
      <c r="GF25" s="2042">
        <f>SUMIF('Berechnung Nährstoffe und Lager'!$AX$113:$AX$155,$CX25,'Berechnung Nährstoffe und Lager'!$U$113:$U$155)</f>
        <v>0</v>
      </c>
      <c r="GG25" s="2042">
        <f>SUMIF('Berechnung Nährstoffe und Lager'!$AX$113:$AX$155,$CX25,'Berechnung Nährstoffe und Lager'!$V$113:$V$155)</f>
        <v>0</v>
      </c>
      <c r="GH25" s="2042">
        <f t="shared" si="52"/>
        <v>0</v>
      </c>
      <c r="GI25" s="2042">
        <f t="shared" si="53"/>
        <v>0</v>
      </c>
      <c r="GJ25" s="2042">
        <f t="shared" si="34"/>
        <v>0</v>
      </c>
      <c r="GK25" s="2042">
        <f t="shared" si="35"/>
        <v>0</v>
      </c>
      <c r="GL25" s="2042">
        <f t="shared" si="36"/>
        <v>0</v>
      </c>
      <c r="GM25" s="2042" cm="1">
        <f t="array" ref="GM25">IF(GL25=0,0,(IFERROR(SUMPRODUCT($J$14:$J$68,$CH$14:$CH$68,($BR$14:$BR$68=CX25)*1)+SUMPRODUCT($L$14:$L$68,$M$14:$M$68,$CK$14:$CK$68,($BR$14:$BR$68=CX25)*1,($BT$14:$BT$68=FALSE)*1)/10+SUMPRODUCT($R$14:$R$68,$CP$14:$CP$68,($BR$14:$BR$68=CX25)*1),0))/GL25)</f>
        <v>0</v>
      </c>
      <c r="GN25" s="2042">
        <f t="shared" si="54"/>
        <v>0</v>
      </c>
      <c r="GO25" s="2042">
        <f>(SUMIF('Berechnung Nährstoffe und Lager'!$AX$113:$AX$130,'Lagerhaltung (freiwillig)'!CX25,'Berechnung Nährstoffe und Lager'!$D$113:$D$130)+SUMIF('Berechnung Nährstoffe und Lager'!$AX$137:$AX$155,'Lagerhaltung (freiwillig)'!CX25,'Berechnung Nährstoffe und Lager'!$E$137:$E$155))</f>
        <v>0</v>
      </c>
      <c r="GP25" s="2042" cm="1">
        <f t="array" ref="GP25">IF(GO25=0,0,(IFERROR(SUMPRODUCT('Berechnung Nährstoffe und Lager'!$D$113:$D$130,'Berechnung Nährstoffe und Lager'!$F$113:$F$130,('Berechnung Nährstoffe und Lager'!$AX$113:$AX$130='Lagerhaltung (freiwillig)'!CX25)*1)+SUMPRODUCT('Berechnung Nährstoffe und Lager'!$E$137:$E$155,'Berechnung Nährstoffe und Lager'!$F$137:$F$155,('Berechnung Nährstoffe und Lager'!$AX$137:$AX$155='Lagerhaltung (freiwillig)'!CX25)*1),0))/GO25)</f>
        <v>0</v>
      </c>
      <c r="GQ25" s="2042">
        <f t="shared" si="55"/>
        <v>0</v>
      </c>
      <c r="GR25" s="2042">
        <f t="shared" si="56"/>
        <v>0</v>
      </c>
      <c r="GS25" s="2042">
        <f t="shared" si="57"/>
        <v>0</v>
      </c>
      <c r="GT25" s="2042">
        <f t="shared" si="58"/>
        <v>0</v>
      </c>
      <c r="GU25" s="2045" t="str">
        <f t="shared" si="39"/>
        <v xml:space="preserve"> </v>
      </c>
      <c r="GV25" s="2045" t="str">
        <f t="shared" si="39"/>
        <v xml:space="preserve"> </v>
      </c>
      <c r="GW25" s="2054">
        <f t="shared" si="40"/>
        <v>0</v>
      </c>
      <c r="GX25" s="2042">
        <f t="shared" si="41"/>
        <v>0</v>
      </c>
      <c r="GY25" s="2042" t="str">
        <f t="shared" si="42"/>
        <v>a</v>
      </c>
      <c r="GZ25" s="2055">
        <f t="shared" si="43"/>
        <v>0</v>
      </c>
      <c r="HA25" s="2055">
        <f t="shared" si="44"/>
        <v>0</v>
      </c>
      <c r="HB25" s="2055"/>
      <c r="HC25" s="2046">
        <f t="shared" si="45"/>
        <v>0</v>
      </c>
      <c r="HD25" s="2055">
        <f t="shared" si="46"/>
        <v>0</v>
      </c>
      <c r="HE25" s="2055">
        <f t="shared" si="47"/>
        <v>0</v>
      </c>
      <c r="HF25" s="2055">
        <f t="shared" si="48"/>
        <v>0</v>
      </c>
      <c r="HG25" s="2282" cm="1">
        <f t="array" ref="HG25">IF(AND(HE25=0,GJ25=0),0,IF(HE25=0,1,IF(OR(GJ25*1000/HE25/HF25&gt;INDEX(Pflanzen!$AD$5:$AD$109,CX25)/INDEX(Pflanzen!$M$5:$M$109,CX25)*$HG$1,GJ25*1000/HE25/HF25&lt;INDEX(Pflanzen!$AD$5:$AD$109,CX25)/INDEX(Pflanzen!$M$5:$M$109,CX25)/$HG$1),1,0)))</f>
        <v>0</v>
      </c>
      <c r="HH25" s="2282" cm="1">
        <f t="array" ref="HH25">IF(AND(GK25=0,HE25=0),0,IF(HE25=0,1,IF(OR(GK25*1000/HE25/HF25&gt;INDEX(Pflanzen!$AE$5:$AE$109,CX25)/INDEX(Pflanzen!$M$5:$M$109,CX25)*$HG$1,GK25*1000/HE25/HF25&lt;INDEX(Pflanzen!$AE$5:$AE$109,CX25)/INDEX(Pflanzen!$M$5:$M$109,CX25)/$HG$1),1,0)))</f>
        <v>0</v>
      </c>
      <c r="HI25" s="2042">
        <f t="shared" si="49"/>
        <v>3</v>
      </c>
      <c r="HJ25" s="2042"/>
      <c r="HL25" s="2042"/>
      <c r="HM25" s="2052" t="str">
        <f>Tiere!B51</f>
        <v>Ferkel von 8 bis 28 kg, N-/P-reduziert</v>
      </c>
      <c r="HN25" s="2042">
        <v>22</v>
      </c>
      <c r="HO25" s="2053">
        <f>SUMIF('Berechnung Nährstoffe und Lager'!$BM$68:$BM$81,'Lagerhaltung (freiwillig)'!HN25,'Berechnung Nährstoffe und Lager'!$Z$68:$Z$81)+SUMIF('Berechnung Nährstoffe und Lager'!$BM$68:$BM$81,'Lagerhaltung (freiwillig)'!HN25,'Berechnung Nährstoffe und Lager'!$AA$68:$AA$81)</f>
        <v>0</v>
      </c>
      <c r="HP25" s="2042" cm="1">
        <f t="array" ref="HP25">INDEX(Tiere!$C$30:$C$85,'Lagerhaltung (freiwillig)'!HN25)</f>
        <v>2</v>
      </c>
      <c r="HQ25" s="2042" cm="1">
        <f t="array" ref="HQ25">INDEX(Tiere!$H$30:$H$85,'Lagerhaltung (freiwillig)'!HN25)</f>
        <v>0</v>
      </c>
      <c r="HR25" s="2042">
        <f t="shared" si="12"/>
        <v>0</v>
      </c>
      <c r="HS25" s="2042" cm="1">
        <f t="array" ref="HS25">INDEX(Tiere!$I$30:$I$85,'Lagerhaltung (freiwillig)'!HN25)</f>
        <v>0</v>
      </c>
      <c r="HT25" s="2042">
        <f t="shared" si="13"/>
        <v>0</v>
      </c>
      <c r="HU25" s="2042" cm="1">
        <f t="array" ref="HU25">INDEX(Tiere!$BC$30:$BC$85,'Lagerhaltung (freiwillig)'!HN25)</f>
        <v>4.2048000000000005</v>
      </c>
      <c r="HV25" s="2042">
        <f t="shared" si="6"/>
        <v>0</v>
      </c>
      <c r="HW25" s="2042" cm="1">
        <f t="array" ref="HW25">INDEX(Tiere!$BD$30:$BD$85,'Lagerhaltung (freiwillig)'!HN25)</f>
        <v>1.9217249999999999</v>
      </c>
      <c r="HX25" s="2042">
        <f t="shared" si="7"/>
        <v>0</v>
      </c>
      <c r="HY25" s="2042"/>
      <c r="HZ25" s="2042"/>
      <c r="IA25" s="2042"/>
      <c r="IB25" s="2042"/>
      <c r="IC25" s="2042"/>
      <c r="ID25" s="2042"/>
      <c r="IE25" s="2042"/>
      <c r="IF25" s="2042"/>
      <c r="IG25" s="2042"/>
      <c r="IH25" s="2042"/>
      <c r="II25" s="2042"/>
      <c r="IJ25" s="2042"/>
    </row>
    <row r="26" spans="1:244" ht="15.6" customHeight="1" x14ac:dyDescent="0.2">
      <c r="A26" s="1159"/>
      <c r="B26" s="1160"/>
      <c r="C26" s="1160"/>
      <c r="D26" s="1160"/>
      <c r="E26" s="1160"/>
      <c r="F26" s="2014" cm="1">
        <f t="array" ref="F26">INDEX(Pflanzen!$M$5:$M$109,BR26)</f>
        <v>0</v>
      </c>
      <c r="G26" s="2015" cm="1">
        <f t="array" ref="G26">INDEX(Pflanzen!$AD$5:$AD$109,BR26)</f>
        <v>0</v>
      </c>
      <c r="H26" s="2299" cm="1">
        <f t="array" ref="H26">INDEX(Pflanzen!$AE$5:$AE$109,BR26)</f>
        <v>0</v>
      </c>
      <c r="I26" s="1259"/>
      <c r="J26" s="1256"/>
      <c r="K26" s="1259"/>
      <c r="L26" s="1970"/>
      <c r="M26" s="1246"/>
      <c r="N26" s="1870"/>
      <c r="O26" s="1870"/>
      <c r="P26" s="2211"/>
      <c r="Q26" s="2196"/>
      <c r="R26" s="1970"/>
      <c r="S26" s="1246"/>
      <c r="T26" s="1256"/>
      <c r="U26" s="1159"/>
      <c r="V26" s="2316" t="str">
        <f t="shared" si="82"/>
        <v/>
      </c>
      <c r="Y26" s="2005" t="str" cm="1">
        <f t="array" ref="Y26">IFERROR(INDEX($CW$4:$CW$171,AY26),"")</f>
        <v/>
      </c>
      <c r="Z26" s="510"/>
      <c r="AA26" s="510"/>
      <c r="AB26" s="510"/>
      <c r="AC26" s="2031" t="str" cm="1">
        <f t="array" ref="AC26">IFERROR(INDEX($GL$4:$GL$171,AY26),"")</f>
        <v/>
      </c>
      <c r="AD26" s="2031" t="str" cm="1">
        <f t="array" ref="AD26">IFERROR(INDEX($GM$4:$GM$171,AY26),"")</f>
        <v/>
      </c>
      <c r="AE26" s="2031" t="str" cm="1">
        <f t="array" ref="AE26">IFERROR(INDEX($GH$4:$GH$171,AY26),"")</f>
        <v/>
      </c>
      <c r="AF26" s="2031" t="str" cm="1">
        <f t="array" ref="AF26">IFERROR(INDEX($GI$4:$GI$171,AY26),"")</f>
        <v/>
      </c>
      <c r="AG26" s="2031" t="str" cm="1">
        <f t="array" ref="AG26">IFERROR(INDEX($GO$4:$GO$171,AY26),"")</f>
        <v/>
      </c>
      <c r="AH26" s="2031" t="str" cm="1">
        <f t="array" ref="AH26">IFERROR(INDEX($GP$4:$GP$171,AY26),"")</f>
        <v/>
      </c>
      <c r="AI26" s="2031" t="str" cm="1">
        <f t="array" ref="AI26">IFERROR(INDEX($GF$4:$GF$171,AY26),"")</f>
        <v/>
      </c>
      <c r="AJ26" s="2031" t="str" cm="1">
        <f t="array" ref="AJ26">IFERROR(INDEX($GG$4:$GG$171,AY26),"")</f>
        <v/>
      </c>
      <c r="AK26" s="2031" t="str" cm="1">
        <f t="array" ref="AK26">IFERROR(INDEX($GS$4:$GS$171,AY26),"")</f>
        <v/>
      </c>
      <c r="AL26" s="2032" t="str" cm="1">
        <f t="array" ref="AL26">IFERROR(INDEX($GT$4:$GT$171,AY26),"")</f>
        <v/>
      </c>
      <c r="AM26" s="2031" t="str" cm="1">
        <f t="array" ref="AM26">IFERROR(INDEX($GB$4:$GB$171,AY26),"")</f>
        <v/>
      </c>
      <c r="AN26" s="2031" t="str" cm="1">
        <f t="array" ref="AN26">IFERROR(INDEX($GC$4:$GC$171,AY26),"")</f>
        <v/>
      </c>
      <c r="AO26" s="2031" t="str" cm="1">
        <f t="array" ref="AO26">IFERROR(INDEX($GU$4:$GU$171,AY26),"")</f>
        <v/>
      </c>
      <c r="AP26" s="2031" t="str" cm="1">
        <f t="array" ref="AP26">IFERROR(INDEX($GX$4:$GX$171,AY26),"")</f>
        <v/>
      </c>
      <c r="AQ26" s="1316"/>
      <c r="AR26" s="2031" t="str" cm="1">
        <f t="array" ref="AR26">IFERROR(INDEX($HD$4:$HD$171,AY26),"")</f>
        <v/>
      </c>
      <c r="AS26" s="2031" t="str" cm="1">
        <f t="array" ref="AS26">IFERROR(INDEX($HE$4:$HE$171,AY26),"")</f>
        <v/>
      </c>
      <c r="AT26" s="2031" t="str" cm="1">
        <f t="array" ref="AT26">IFERROR(INDEX($HF$4:$HF$171,AY26),"")</f>
        <v/>
      </c>
      <c r="AU26" s="2031" t="str" cm="1">
        <f t="array" ref="AU26">IFERROR(INDEX($GJ$4:$GJ$171,AY26),"")</f>
        <v/>
      </c>
      <c r="AV26" s="2031" t="str" cm="1">
        <f t="array" ref="AV26">IFERROR(INDEX($GK$4:$GK$171,AY26),"")</f>
        <v/>
      </c>
      <c r="AY26" s="2042" t="str" cm="1">
        <f t="array" ref="AY26">IFERROR(SMALL(IF($HI$4:$HI$171=1,ROW($HI$4:$HI$171)-3),ROW(W14)),IFERROR(SMALL(IF($HI$4:$HI$171=2,ROW($HI$4:$HI$171)-3),ROW(W14)-COUNTIF($HI$4:$HI$171,1)),IFERROR(SMALL(IF($HI$4:$HI$171=0,ROW($HI$4:$HI$171)-3),ROW(W14)-COUNTIF($HI$4:$HI$171,1)-COUNTIF($HI$4:$HI$171,2)),"")))</f>
        <v/>
      </c>
      <c r="AZ26" s="2042" t="str">
        <f t="shared" si="59"/>
        <v>a</v>
      </c>
      <c r="BA26" s="2053" t="e">
        <f t="shared" si="60"/>
        <v>#VALUE!</v>
      </c>
      <c r="BB26" s="2053" cm="1">
        <f t="array" ref="BB26">IFERROR(INDEX($HI$4:$HI$171,AY26),0)</f>
        <v>0</v>
      </c>
      <c r="BC26" s="2053">
        <f t="shared" si="61"/>
        <v>0</v>
      </c>
      <c r="BD26" s="2053"/>
      <c r="BE26" s="2307"/>
      <c r="BF26" s="2307"/>
      <c r="BG26" s="2307"/>
      <c r="BH26" s="2307"/>
      <c r="BI26" s="2307"/>
      <c r="BJ26" s="2307"/>
      <c r="BK26" s="2307"/>
      <c r="BL26" s="2307"/>
      <c r="BM26" s="2307"/>
      <c r="BN26" s="2307"/>
      <c r="BO26" s="2307"/>
      <c r="BP26" s="2043"/>
      <c r="BQ26" s="2042"/>
      <c r="BR26" s="2042">
        <v>1</v>
      </c>
      <c r="BS26" s="2042"/>
      <c r="BT26" s="2042" t="b">
        <v>0</v>
      </c>
      <c r="BU26" s="2058"/>
      <c r="BV26" s="2058"/>
      <c r="BW26" s="2042">
        <f t="shared" si="62"/>
        <v>12</v>
      </c>
      <c r="BX26" s="2042">
        <f t="shared" si="63"/>
        <v>0</v>
      </c>
      <c r="BY26" s="2042">
        <f t="shared" si="64"/>
        <v>12</v>
      </c>
      <c r="BZ26" s="2042" cm="1">
        <f t="array" ref="BZ26">INDEX(Pflanzen!$AI$5:$AI$119,'Lagerhaltung (freiwillig)'!BR26)</f>
        <v>0</v>
      </c>
      <c r="CA26" s="2042" cm="1">
        <f t="array" ref="CA26">IF(BZ26=1,INDEX(Pflanzen!$AJ$5:$AJ$119,BR26),N26)</f>
        <v>0</v>
      </c>
      <c r="CB26" s="2042" cm="1">
        <f t="array" ref="CB26">IF(BZ26=1,INDEX(Pflanzen!$AK$5:$AK$119,BR26),O26)</f>
        <v>0</v>
      </c>
      <c r="CC26" s="2042">
        <f t="shared" si="65"/>
        <v>12</v>
      </c>
      <c r="CD26" s="2042">
        <f t="shared" si="66"/>
        <v>0</v>
      </c>
      <c r="CE26" s="2042">
        <f t="shared" si="67"/>
        <v>12</v>
      </c>
      <c r="CF26" s="2042" cm="1">
        <f t="array" ref="CF26">INDEX(Pflanzen!$F$5:$F$119,BR26)</f>
        <v>0</v>
      </c>
      <c r="CG26" s="2042" cm="1">
        <f t="array" ref="CG26">INDEX(Pflanzen!$H$5:$H$119,BR26)</f>
        <v>0</v>
      </c>
      <c r="CH26" s="2042">
        <f t="shared" si="68"/>
        <v>0</v>
      </c>
      <c r="CI26" s="2042">
        <f t="shared" si="69"/>
        <v>0</v>
      </c>
      <c r="CJ26" s="2042">
        <f t="shared" si="70"/>
        <v>0</v>
      </c>
      <c r="CK26" s="2042">
        <f t="shared" si="71"/>
        <v>0</v>
      </c>
      <c r="CL26" s="2042">
        <f t="shared" si="72"/>
        <v>0</v>
      </c>
      <c r="CM26" s="2042">
        <f t="shared" si="73"/>
        <v>0</v>
      </c>
      <c r="CN26" s="2042">
        <f t="shared" si="74"/>
        <v>0</v>
      </c>
      <c r="CO26" s="2042">
        <f t="shared" si="75"/>
        <v>0</v>
      </c>
      <c r="CP26" s="2042">
        <f t="shared" si="76"/>
        <v>0</v>
      </c>
      <c r="CQ26" s="2042">
        <f t="shared" si="77"/>
        <v>0</v>
      </c>
      <c r="CR26" s="2042">
        <f t="shared" si="78"/>
        <v>0</v>
      </c>
      <c r="CS26" s="2042">
        <f t="shared" si="79"/>
        <v>0</v>
      </c>
      <c r="CT26" s="2042">
        <f t="shared" si="80"/>
        <v>0</v>
      </c>
      <c r="CU26" s="2042">
        <f t="shared" si="81"/>
        <v>0</v>
      </c>
      <c r="CV26" s="2042"/>
      <c r="CW26" s="609" t="str">
        <f>Pflanzen!A22</f>
        <v xml:space="preserve">Körnermais </v>
      </c>
      <c r="CX26" s="2042">
        <f>IFERROR(MATCH($CW26,Pflanzen!$C$5:$C$119,0),1)</f>
        <v>18</v>
      </c>
      <c r="CY26" s="609" cm="1">
        <f t="array" ref="CY26">INDEX(Pflanzen!$I$5:$I$119,'Lagerhaltung (freiwillig)'!CX26)</f>
        <v>2</v>
      </c>
      <c r="CZ26" s="2042">
        <f t="shared" si="102"/>
        <v>0</v>
      </c>
      <c r="DA26" s="2042">
        <f t="shared" si="102"/>
        <v>0</v>
      </c>
      <c r="DB26" s="2042">
        <f t="shared" si="102"/>
        <v>0</v>
      </c>
      <c r="DC26" s="2042">
        <f t="shared" si="102"/>
        <v>0</v>
      </c>
      <c r="DD26" s="2042">
        <f t="shared" si="102"/>
        <v>0</v>
      </c>
      <c r="DE26" s="2042">
        <f t="shared" si="102"/>
        <v>0</v>
      </c>
      <c r="DF26" s="2042">
        <f t="shared" si="102"/>
        <v>0</v>
      </c>
      <c r="DG26" s="2042">
        <f t="shared" si="102"/>
        <v>0</v>
      </c>
      <c r="DH26" s="2042">
        <f t="shared" si="102"/>
        <v>0</v>
      </c>
      <c r="DI26" s="2042">
        <f t="shared" si="102"/>
        <v>0</v>
      </c>
      <c r="DJ26" s="2042">
        <f t="shared" si="102"/>
        <v>0</v>
      </c>
      <c r="DK26" s="2042">
        <f t="shared" si="102"/>
        <v>0</v>
      </c>
      <c r="DL26" s="2042"/>
      <c r="DM26" s="2042">
        <f t="shared" si="103"/>
        <v>0</v>
      </c>
      <c r="DN26" s="2042">
        <f t="shared" si="103"/>
        <v>0</v>
      </c>
      <c r="DO26" s="2042">
        <f t="shared" si="103"/>
        <v>0</v>
      </c>
      <c r="DP26" s="2042">
        <f t="shared" si="103"/>
        <v>0</v>
      </c>
      <c r="DQ26" s="2042">
        <f t="shared" si="103"/>
        <v>0</v>
      </c>
      <c r="DR26" s="2042">
        <f t="shared" si="103"/>
        <v>0</v>
      </c>
      <c r="DS26" s="2042">
        <f t="shared" si="103"/>
        <v>0</v>
      </c>
      <c r="DT26" s="2042">
        <f t="shared" si="103"/>
        <v>0</v>
      </c>
      <c r="DU26" s="2042">
        <f t="shared" si="103"/>
        <v>0</v>
      </c>
      <c r="DV26" s="2042">
        <f t="shared" si="103"/>
        <v>0</v>
      </c>
      <c r="DW26" s="2042">
        <f t="shared" si="103"/>
        <v>0</v>
      </c>
      <c r="DX26" s="2042">
        <f t="shared" si="103"/>
        <v>0</v>
      </c>
      <c r="DY26" s="2042"/>
      <c r="DZ26" s="2042">
        <f t="shared" si="104"/>
        <v>0</v>
      </c>
      <c r="EA26" s="2042">
        <f t="shared" si="104"/>
        <v>0</v>
      </c>
      <c r="EB26" s="2042">
        <f t="shared" si="104"/>
        <v>0</v>
      </c>
      <c r="EC26" s="2042">
        <f t="shared" si="104"/>
        <v>0</v>
      </c>
      <c r="ED26" s="2042">
        <f t="shared" si="104"/>
        <v>0</v>
      </c>
      <c r="EE26" s="2042">
        <f t="shared" si="104"/>
        <v>0</v>
      </c>
      <c r="EF26" s="2042">
        <f t="shared" si="104"/>
        <v>0</v>
      </c>
      <c r="EG26" s="2042">
        <f t="shared" si="104"/>
        <v>0</v>
      </c>
      <c r="EH26" s="2042">
        <f t="shared" si="104"/>
        <v>0</v>
      </c>
      <c r="EI26" s="2042">
        <f t="shared" si="104"/>
        <v>0</v>
      </c>
      <c r="EJ26" s="2042">
        <f t="shared" si="104"/>
        <v>0</v>
      </c>
      <c r="EK26" s="2042">
        <f t="shared" si="104"/>
        <v>0</v>
      </c>
      <c r="EL26" s="2042"/>
      <c r="EM26" s="2042">
        <f t="shared" si="105"/>
        <v>0</v>
      </c>
      <c r="EN26" s="2042">
        <f t="shared" si="105"/>
        <v>0</v>
      </c>
      <c r="EO26" s="2042">
        <f t="shared" si="105"/>
        <v>0</v>
      </c>
      <c r="EP26" s="2042">
        <f t="shared" si="105"/>
        <v>0</v>
      </c>
      <c r="EQ26" s="2042">
        <f t="shared" si="105"/>
        <v>0</v>
      </c>
      <c r="ER26" s="2042">
        <f t="shared" si="105"/>
        <v>0</v>
      </c>
      <c r="ES26" s="2042">
        <f t="shared" si="105"/>
        <v>0</v>
      </c>
      <c r="ET26" s="2042">
        <f t="shared" si="105"/>
        <v>0</v>
      </c>
      <c r="EU26" s="2042">
        <f t="shared" si="105"/>
        <v>0</v>
      </c>
      <c r="EV26" s="2042">
        <f t="shared" si="105"/>
        <v>0</v>
      </c>
      <c r="EW26" s="2042">
        <f t="shared" si="105"/>
        <v>0</v>
      </c>
      <c r="EX26" s="2042">
        <f t="shared" si="105"/>
        <v>0</v>
      </c>
      <c r="EY26" s="2042"/>
      <c r="EZ26" s="2045">
        <f t="shared" si="50"/>
        <v>0</v>
      </c>
      <c r="FA26" s="2042">
        <f>EZ26+CZ26+DZ26                 -         SUMIF('Berechnung Nährstoffe und Lager'!$AX$113:$AX$155,$CX26,'Berechnung Nährstoffe und Lager'!$U$113:$U$155)/12  -$GB26*$HC26/12</f>
        <v>0</v>
      </c>
      <c r="FB26" s="2042">
        <f>FA26+DA26+EA26                 -         SUMIF('Berechnung Nährstoffe und Lager'!$AX$113:$AX$155,$CX26,'Berechnung Nährstoffe und Lager'!$U$113:$U$155)/12  -$GB26*$HC26/12</f>
        <v>0</v>
      </c>
      <c r="FC26" s="2042">
        <f>FB26+DB26+EB26                 -         SUMIF('Berechnung Nährstoffe und Lager'!$AX$113:$AX$155,$CX26,'Berechnung Nährstoffe und Lager'!$U$113:$U$155)/12  -$GB26*$HC26/12</f>
        <v>0</v>
      </c>
      <c r="FD26" s="2042">
        <f>FC26+DC26+EC26                 -         SUMIF('Berechnung Nährstoffe und Lager'!$AX$113:$AX$155,$CX26,'Berechnung Nährstoffe und Lager'!$U$113:$U$155)/12  -$GB26*$HC26/12</f>
        <v>0</v>
      </c>
      <c r="FE26" s="2042">
        <f>FD26+DD26+ED26                 -         SUMIF('Berechnung Nährstoffe und Lager'!$AX$113:$AX$155,$CX26,'Berechnung Nährstoffe und Lager'!$U$113:$U$155)/12  -$GB26*$HC26/12</f>
        <v>0</v>
      </c>
      <c r="FF26" s="2042">
        <f>FE26+DE26+EE26                 -         SUMIF('Berechnung Nährstoffe und Lager'!$AX$113:$AX$155,$CX26,'Berechnung Nährstoffe und Lager'!$U$113:$U$155)/12  -$GB26*$HC26/12</f>
        <v>0</v>
      </c>
      <c r="FG26" s="2042">
        <f>FF26+DF26+EF26                 -         SUMIF('Berechnung Nährstoffe und Lager'!$AX$113:$AX$155,$CX26,'Berechnung Nährstoffe und Lager'!$U$113:$U$155)/12  -$GB26*$HC26/12</f>
        <v>0</v>
      </c>
      <c r="FH26" s="2042">
        <f>FG26+DG26+EG26                 -         SUMIF('Berechnung Nährstoffe und Lager'!$AX$113:$AX$155,$CX26,'Berechnung Nährstoffe und Lager'!$U$113:$U$155)/12  -$GB26*$HC26/12</f>
        <v>0</v>
      </c>
      <c r="FI26" s="2042">
        <f>FH26+DH26+EH26                 -         SUMIF('Berechnung Nährstoffe und Lager'!$AX$113:$AX$155,$CX26,'Berechnung Nährstoffe und Lager'!$U$113:$U$155)/12  -$GB26*$HC26/12</f>
        <v>0</v>
      </c>
      <c r="FJ26" s="2042">
        <f>FI26+DI26+EI26                 -         SUMIF('Berechnung Nährstoffe und Lager'!$AX$113:$AX$155,$CX26,'Berechnung Nährstoffe und Lager'!$U$113:$U$155)/12  -$GB26*$HC26/12</f>
        <v>0</v>
      </c>
      <c r="FK26" s="2042">
        <f>FJ26+DJ26+EJ26                 -         SUMIF('Berechnung Nährstoffe und Lager'!$AX$113:$AX$155,$CX26,'Berechnung Nährstoffe und Lager'!$U$113:$U$155)/12  -$GB26*$HC26/12</f>
        <v>0</v>
      </c>
      <c r="FL26" s="2042">
        <f>FK26+DK26+EK26                 -         SUMIF('Berechnung Nährstoffe und Lager'!$AX$113:$AX$155,$CX26,'Berechnung Nährstoffe und Lager'!$U$113:$U$155)/12  -$GB26*$HC26/12</f>
        <v>0</v>
      </c>
      <c r="FM26" s="2042"/>
      <c r="FN26" s="2045">
        <f t="shared" si="51"/>
        <v>0</v>
      </c>
      <c r="FO26" s="2042">
        <f>FN26+DM26+EM26                 -         SUMIF('Berechnung Nährstoffe und Lager'!$AX$113:$AX$155,$CX26,'Berechnung Nährstoffe und Lager'!$V$113:$V$155)/12  -$GC26*$HC26/12</f>
        <v>0</v>
      </c>
      <c r="FP26" s="2042">
        <f>FO26+DN26+EN26                 -         SUMIF('Berechnung Nährstoffe und Lager'!$AX$113:$AX$155,$CX26,'Berechnung Nährstoffe und Lager'!$V$113:$V$155)/12  -$GC26*$HC26/12</f>
        <v>0</v>
      </c>
      <c r="FQ26" s="2042">
        <f>FP26+DO26+EO26                 -         SUMIF('Berechnung Nährstoffe und Lager'!$AX$113:$AX$155,$CX26,'Berechnung Nährstoffe und Lager'!$V$113:$V$155)/12  -$GC26*$HC26/12</f>
        <v>0</v>
      </c>
      <c r="FR26" s="2042">
        <f>FQ26+DP26+EP26                 -         SUMIF('Berechnung Nährstoffe und Lager'!$AX$113:$AX$155,$CX26,'Berechnung Nährstoffe und Lager'!$V$113:$V$155)/12  -$GC26*$HC26/12</f>
        <v>0</v>
      </c>
      <c r="FS26" s="2042">
        <f>FR26+DQ26+EQ26                 -         SUMIF('Berechnung Nährstoffe und Lager'!$AX$113:$AX$155,$CX26,'Berechnung Nährstoffe und Lager'!$V$113:$V$155)/12  -$GC26*$HC26/12</f>
        <v>0</v>
      </c>
      <c r="FT26" s="2042">
        <f>FS26+DR26+ER26                 -         SUMIF('Berechnung Nährstoffe und Lager'!$AX$113:$AX$155,$CX26,'Berechnung Nährstoffe und Lager'!$V$113:$V$155)/12  -$GC26*$HC26/12</f>
        <v>0</v>
      </c>
      <c r="FU26" s="2042">
        <f>FT26+DS26+ES26                 -         SUMIF('Berechnung Nährstoffe und Lager'!$AX$113:$AX$155,$CX26,'Berechnung Nährstoffe und Lager'!$V$113:$V$155)/12  -$GC26*$HC26/12</f>
        <v>0</v>
      </c>
      <c r="FV26" s="2042">
        <f>FU26+DT26+ET26                 -         SUMIF('Berechnung Nährstoffe und Lager'!$AX$113:$AX$155,$CX26,'Berechnung Nährstoffe und Lager'!$V$113:$V$155)/12  -$GC26*$HC26/12</f>
        <v>0</v>
      </c>
      <c r="FW26" s="2042">
        <f>FV26+DU26+EU26                 -         SUMIF('Berechnung Nährstoffe und Lager'!$AX$113:$AX$155,$CX26,'Berechnung Nährstoffe und Lager'!$V$113:$V$155)/12  -$GC26*$HC26/12</f>
        <v>0</v>
      </c>
      <c r="FX26" s="2042">
        <f>FW26+DV26+EV26                 -         SUMIF('Berechnung Nährstoffe und Lager'!$AX$113:$AX$155,$CX26,'Berechnung Nährstoffe und Lager'!$V$113:$V$155)/12  -$GC26*$HC26/12</f>
        <v>0</v>
      </c>
      <c r="FY26" s="2042">
        <f>FX26+DW26+EW26                 -         SUMIF('Berechnung Nährstoffe und Lager'!$AX$113:$AX$155,$CX26,'Berechnung Nährstoffe und Lager'!$V$113:$V$155)/12  -$GC26*$HC26/12</f>
        <v>0</v>
      </c>
      <c r="FZ26" s="2042">
        <f>FY26+DX26+EX26                 -         SUMIF('Berechnung Nährstoffe und Lager'!$AX$113:$AX$155,$CX26,'Berechnung Nährstoffe und Lager'!$V$113:$V$155)/12  -$GC26*$HC26/12</f>
        <v>0</v>
      </c>
      <c r="GA26" s="2042"/>
      <c r="GB26" s="2042">
        <f>SUMIFS($CI$14:$CI$68,$BR$14:$BR$68,$CX26)+SUMIFS($CM$14:$CM$68,$BR$14:$BR$68,$CX26)+SUMIFS($CR$14:$CR$68,$BR$14:$BR$68,$CX26)  -         SUMIF('Berechnung Nährstoffe und Lager'!$AX$113:$AX$155,$CX26,'Berechnung Nährstoffe und Lager'!$U$113:$U$155)</f>
        <v>0</v>
      </c>
      <c r="GC26" s="2042">
        <f>SUMIFS($CJ$14:$CJ$68,$BR$14:$BR$68,$CX26)+SUMIFS($CO$14:$CO$68,$BR$14:$BR$68,$CX26)+SUMIFS($CT$14:$CT$68,$BR$14:$BR$68,$CX26)  -         SUMIF('Berechnung Nährstoffe und Lager'!$AX$113:$AX$155,$CX26,'Berechnung Nährstoffe und Lager'!$V$113:$V$155)</f>
        <v>0</v>
      </c>
      <c r="GD26" s="2042"/>
      <c r="GE26" s="2042"/>
      <c r="GF26" s="2042">
        <f>SUMIF('Berechnung Nährstoffe und Lager'!$AX$113:$AX$155,$CX26,'Berechnung Nährstoffe und Lager'!$U$113:$U$155)</f>
        <v>0</v>
      </c>
      <c r="GG26" s="2042">
        <f>SUMIF('Berechnung Nährstoffe und Lager'!$AX$113:$AX$155,$CX26,'Berechnung Nährstoffe und Lager'!$V$113:$V$155)</f>
        <v>0</v>
      </c>
      <c r="GH26" s="2042">
        <f t="shared" si="52"/>
        <v>0</v>
      </c>
      <c r="GI26" s="2042">
        <f t="shared" si="53"/>
        <v>0</v>
      </c>
      <c r="GJ26" s="2042">
        <f t="shared" si="34"/>
        <v>0</v>
      </c>
      <c r="GK26" s="2042">
        <f t="shared" si="35"/>
        <v>0</v>
      </c>
      <c r="GL26" s="2042">
        <f t="shared" si="36"/>
        <v>0</v>
      </c>
      <c r="GM26" s="2042" cm="1">
        <f t="array" ref="GM26">IF(GL26=0,0,(IFERROR(SUMPRODUCT($J$14:$J$68,$CH$14:$CH$68,($BR$14:$BR$68=CX26)*1)+SUMPRODUCT($L$14:$L$68,$M$14:$M$68,$CK$14:$CK$68,($BR$14:$BR$68=CX26)*1,($BT$14:$BT$68=FALSE)*1)/10+SUMPRODUCT($R$14:$R$68,$CP$14:$CP$68,($BR$14:$BR$68=CX26)*1),0))/GL26)</f>
        <v>0</v>
      </c>
      <c r="GN26" s="2042">
        <f t="shared" si="54"/>
        <v>0</v>
      </c>
      <c r="GO26" s="2042">
        <f>(SUMIF('Berechnung Nährstoffe und Lager'!$AX$113:$AX$130,'Lagerhaltung (freiwillig)'!CX26,'Berechnung Nährstoffe und Lager'!$D$113:$D$130)+SUMIF('Berechnung Nährstoffe und Lager'!$AX$137:$AX$155,'Lagerhaltung (freiwillig)'!CX26,'Berechnung Nährstoffe und Lager'!$E$137:$E$155))</f>
        <v>0</v>
      </c>
      <c r="GP26" s="2042" cm="1">
        <f t="array" ref="GP26">IF(GO26=0,0,(IFERROR(SUMPRODUCT('Berechnung Nährstoffe und Lager'!$D$113:$D$130,'Berechnung Nährstoffe und Lager'!$F$113:$F$130,('Berechnung Nährstoffe und Lager'!$AX$113:$AX$130='Lagerhaltung (freiwillig)'!CX26)*1)+SUMPRODUCT('Berechnung Nährstoffe und Lager'!$E$137:$E$155,'Berechnung Nährstoffe und Lager'!$F$137:$F$155,('Berechnung Nährstoffe und Lager'!$AX$137:$AX$155='Lagerhaltung (freiwillig)'!CX26)*1),0))/GO26)</f>
        <v>0</v>
      </c>
      <c r="GQ26" s="2042">
        <f t="shared" si="55"/>
        <v>0</v>
      </c>
      <c r="GR26" s="2042">
        <f t="shared" si="56"/>
        <v>0</v>
      </c>
      <c r="GS26" s="2042">
        <f t="shared" si="57"/>
        <v>0</v>
      </c>
      <c r="GT26" s="2042">
        <f t="shared" si="58"/>
        <v>0</v>
      </c>
      <c r="GU26" s="2045" t="str">
        <f t="shared" si="39"/>
        <v xml:space="preserve"> </v>
      </c>
      <c r="GV26" s="2045" t="str">
        <f t="shared" si="39"/>
        <v xml:space="preserve"> </v>
      </c>
      <c r="GW26" s="2054">
        <f t="shared" si="40"/>
        <v>0</v>
      </c>
      <c r="GX26" s="2042">
        <f t="shared" si="41"/>
        <v>0</v>
      </c>
      <c r="GY26" s="2042" t="str">
        <f t="shared" si="42"/>
        <v>a</v>
      </c>
      <c r="GZ26" s="2055">
        <f t="shared" si="43"/>
        <v>0</v>
      </c>
      <c r="HA26" s="2055">
        <f t="shared" si="44"/>
        <v>0</v>
      </c>
      <c r="HB26" s="2055"/>
      <c r="HC26" s="2046">
        <f t="shared" si="45"/>
        <v>0</v>
      </c>
      <c r="HD26" s="2055">
        <f t="shared" si="46"/>
        <v>0</v>
      </c>
      <c r="HE26" s="2055">
        <f t="shared" si="47"/>
        <v>0</v>
      </c>
      <c r="HF26" s="2055">
        <f t="shared" si="48"/>
        <v>0</v>
      </c>
      <c r="HG26" s="2282" cm="1">
        <f t="array" ref="HG26">IF(AND(HE26=0,GJ26=0),0,IF(HE26=0,1,IF(OR(GJ26*1000/HE26/HF26&gt;INDEX(Pflanzen!$AD$5:$AD$109,CX26)/INDEX(Pflanzen!$M$5:$M$109,CX26)*$HG$1,GJ26*1000/HE26/HF26&lt;INDEX(Pflanzen!$AD$5:$AD$109,CX26)/INDEX(Pflanzen!$M$5:$M$109,CX26)/$HG$1),1,0)))</f>
        <v>0</v>
      </c>
      <c r="HH26" s="2282" cm="1">
        <f t="array" ref="HH26">IF(AND(GK26=0,HE26=0),0,IF(HE26=0,1,IF(OR(GK26*1000/HE26/HF26&gt;INDEX(Pflanzen!$AE$5:$AE$109,CX26)/INDEX(Pflanzen!$M$5:$M$109,CX26)*$HG$1,GK26*1000/HE26/HF26&lt;INDEX(Pflanzen!$AE$5:$AE$109,CX26)/INDEX(Pflanzen!$M$5:$M$109,CX26)/$HG$1),1,0)))</f>
        <v>0</v>
      </c>
      <c r="HI26" s="2042">
        <f t="shared" si="49"/>
        <v>3</v>
      </c>
      <c r="HJ26" s="2042"/>
      <c r="HL26" s="2042"/>
      <c r="HM26" s="2052" t="str">
        <f>Tiere!B52</f>
        <v>Jungsaueneingliederung, Standard</v>
      </c>
      <c r="HN26" s="2042">
        <v>23</v>
      </c>
      <c r="HO26" s="2053">
        <f>SUMIF('Berechnung Nährstoffe und Lager'!$BM$68:$BM$81,'Lagerhaltung (freiwillig)'!HN26,'Berechnung Nährstoffe und Lager'!$Z$68:$Z$81)+SUMIF('Berechnung Nährstoffe und Lager'!$BM$68:$BM$81,'Lagerhaltung (freiwillig)'!HN26,'Berechnung Nährstoffe und Lager'!$AA$68:$AA$81)</f>
        <v>0</v>
      </c>
      <c r="HP26" s="2042" cm="1">
        <f t="array" ref="HP26">INDEX(Tiere!$C$30:$C$85,'Lagerhaltung (freiwillig)'!HN26)</f>
        <v>2</v>
      </c>
      <c r="HQ26" s="2042" cm="1">
        <f t="array" ref="HQ26">INDEX(Tiere!$H$30:$H$85,'Lagerhaltung (freiwillig)'!HN26)</f>
        <v>0</v>
      </c>
      <c r="HR26" s="2042">
        <f t="shared" si="12"/>
        <v>0</v>
      </c>
      <c r="HS26" s="2042" cm="1">
        <f t="array" ref="HS26">INDEX(Tiere!$I$30:$I$85,'Lagerhaltung (freiwillig)'!HN26)</f>
        <v>0</v>
      </c>
      <c r="HT26" s="2042">
        <f t="shared" si="13"/>
        <v>0</v>
      </c>
      <c r="HU26" s="2042" cm="1">
        <f t="array" ref="HU26">INDEX(Tiere!$BC$30:$BC$85,'Lagerhaltung (freiwillig)'!HN26)</f>
        <v>6.5408000000000008</v>
      </c>
      <c r="HV26" s="2042">
        <f t="shared" si="6"/>
        <v>0</v>
      </c>
      <c r="HW26" s="2042" cm="1">
        <f t="array" ref="HW26">INDEX(Tiere!$BD$30:$BD$85,'Lagerhaltung (freiwillig)'!HN26)</f>
        <v>2.98935</v>
      </c>
      <c r="HX26" s="2042">
        <f t="shared" si="7"/>
        <v>0</v>
      </c>
      <c r="HY26" s="2042"/>
      <c r="HZ26" s="2042"/>
      <c r="IA26" s="2042"/>
      <c r="IB26" s="2042"/>
      <c r="IC26" s="2042"/>
      <c r="ID26" s="2042"/>
      <c r="IE26" s="2042"/>
      <c r="IF26" s="2042"/>
      <c r="IG26" s="2042"/>
      <c r="IH26" s="2042"/>
      <c r="II26" s="2042"/>
      <c r="IJ26" s="2042"/>
    </row>
    <row r="27" spans="1:244" ht="15.6" customHeight="1" x14ac:dyDescent="0.2">
      <c r="A27" s="1159"/>
      <c r="B27" s="1160"/>
      <c r="C27" s="1160"/>
      <c r="D27" s="1160"/>
      <c r="E27" s="1160"/>
      <c r="F27" s="2014" cm="1">
        <f t="array" ref="F27">INDEX(Pflanzen!$M$5:$M$109,BR27)</f>
        <v>0</v>
      </c>
      <c r="G27" s="2015" cm="1">
        <f t="array" ref="G27">INDEX(Pflanzen!$AD$5:$AD$109,BR27)</f>
        <v>0</v>
      </c>
      <c r="H27" s="2299" cm="1">
        <f t="array" ref="H27">INDEX(Pflanzen!$AE$5:$AE$109,BR27)</f>
        <v>0</v>
      </c>
      <c r="I27" s="1259"/>
      <c r="J27" s="1256"/>
      <c r="K27" s="1259"/>
      <c r="L27" s="1970"/>
      <c r="M27" s="1246"/>
      <c r="N27" s="1870"/>
      <c r="O27" s="1870"/>
      <c r="P27" s="2211"/>
      <c r="Q27" s="2196"/>
      <c r="R27" s="1970"/>
      <c r="S27" s="1246"/>
      <c r="T27" s="1256"/>
      <c r="U27" s="1159"/>
      <c r="V27" s="2316" t="str">
        <f t="shared" si="82"/>
        <v/>
      </c>
      <c r="Y27" s="2005" t="str" cm="1">
        <f t="array" ref="Y27">IFERROR(INDEX($CW$4:$CW$171,AY27),"")</f>
        <v/>
      </c>
      <c r="Z27" s="510"/>
      <c r="AA27" s="510"/>
      <c r="AB27" s="510"/>
      <c r="AC27" s="2031" t="str" cm="1">
        <f t="array" ref="AC27">IFERROR(INDEX($GL$4:$GL$171,AY27),"")</f>
        <v/>
      </c>
      <c r="AD27" s="2031" t="str" cm="1">
        <f t="array" ref="AD27">IFERROR(INDEX($GM$4:$GM$171,AY27),"")</f>
        <v/>
      </c>
      <c r="AE27" s="2031" t="str" cm="1">
        <f t="array" ref="AE27">IFERROR(INDEX($GH$4:$GH$171,AY27),"")</f>
        <v/>
      </c>
      <c r="AF27" s="2031" t="str" cm="1">
        <f t="array" ref="AF27">IFERROR(INDEX($GI$4:$GI$171,AY27),"")</f>
        <v/>
      </c>
      <c r="AG27" s="2031" t="str" cm="1">
        <f t="array" ref="AG27">IFERROR(INDEX($GO$4:$GO$171,AY27),"")</f>
        <v/>
      </c>
      <c r="AH27" s="2031" t="str" cm="1">
        <f t="array" ref="AH27">IFERROR(INDEX($GP$4:$GP$171,AY27),"")</f>
        <v/>
      </c>
      <c r="AI27" s="2031" t="str" cm="1">
        <f t="array" ref="AI27">IFERROR(INDEX($GF$4:$GF$171,AY27),"")</f>
        <v/>
      </c>
      <c r="AJ27" s="2031" t="str" cm="1">
        <f t="array" ref="AJ27">IFERROR(INDEX($GG$4:$GG$171,AY27),"")</f>
        <v/>
      </c>
      <c r="AK27" s="2031" t="str" cm="1">
        <f t="array" ref="AK27">IFERROR(INDEX($GS$4:$GS$171,AY27),"")</f>
        <v/>
      </c>
      <c r="AL27" s="2032" t="str" cm="1">
        <f t="array" ref="AL27">IFERROR(INDEX($GT$4:$GT$171,AY27),"")</f>
        <v/>
      </c>
      <c r="AM27" s="2031" t="str" cm="1">
        <f t="array" ref="AM27">IFERROR(INDEX($GB$4:$GB$171,AY27),"")</f>
        <v/>
      </c>
      <c r="AN27" s="2031" t="str" cm="1">
        <f t="array" ref="AN27">IFERROR(INDEX($GC$4:$GC$171,AY27),"")</f>
        <v/>
      </c>
      <c r="AO27" s="2031" t="str" cm="1">
        <f t="array" ref="AO27">IFERROR(INDEX($GU$4:$GU$171,AY27),"")</f>
        <v/>
      </c>
      <c r="AP27" s="2031" t="str" cm="1">
        <f t="array" ref="AP27">IFERROR(INDEX($GX$4:$GX$171,AY27),"")</f>
        <v/>
      </c>
      <c r="AQ27" s="1316"/>
      <c r="AR27" s="2031" t="str" cm="1">
        <f t="array" ref="AR27">IFERROR(INDEX($HD$4:$HD$171,AY27),"")</f>
        <v/>
      </c>
      <c r="AS27" s="2031" t="str" cm="1">
        <f t="array" ref="AS27">IFERROR(INDEX($HE$4:$HE$171,AY27),"")</f>
        <v/>
      </c>
      <c r="AT27" s="2031" t="str" cm="1">
        <f t="array" ref="AT27">IFERROR(INDEX($HF$4:$HF$171,AY27),"")</f>
        <v/>
      </c>
      <c r="AU27" s="2031" t="str" cm="1">
        <f t="array" ref="AU27">IFERROR(INDEX($GJ$4:$GJ$171,AY27),"")</f>
        <v/>
      </c>
      <c r="AV27" s="2031" t="str" cm="1">
        <f t="array" ref="AV27">IFERROR(INDEX($GK$4:$GK$171,AY27),"")</f>
        <v/>
      </c>
      <c r="AY27" s="2042" t="str" cm="1">
        <f t="array" ref="AY27">IFERROR(SMALL(IF($HI$4:$HI$171=1,ROW($HI$4:$HI$171)-3),ROW(W15)),IFERROR(SMALL(IF($HI$4:$HI$171=2,ROW($HI$4:$HI$171)-3),ROW(W15)-COUNTIF($HI$4:$HI$171,1)),IFERROR(SMALL(IF($HI$4:$HI$171=0,ROW($HI$4:$HI$171)-3),ROW(W15)-COUNTIF($HI$4:$HI$171,1)-COUNTIF($HI$4:$HI$171,2)),"")))</f>
        <v/>
      </c>
      <c r="AZ27" s="2042" t="str">
        <f t="shared" si="59"/>
        <v>a</v>
      </c>
      <c r="BA27" s="2053" t="e">
        <f t="shared" si="60"/>
        <v>#VALUE!</v>
      </c>
      <c r="BB27" s="2053" cm="1">
        <f t="array" ref="BB27">IFERROR(INDEX($HI$4:$HI$171,AY27),0)</f>
        <v>0</v>
      </c>
      <c r="BC27" s="2053">
        <f t="shared" si="61"/>
        <v>0</v>
      </c>
      <c r="BD27" s="2053"/>
      <c r="BE27" s="2307"/>
      <c r="BF27" s="2307"/>
      <c r="BG27" s="2307"/>
      <c r="BH27" s="2307"/>
      <c r="BI27" s="2307"/>
      <c r="BJ27" s="2307"/>
      <c r="BK27" s="2307"/>
      <c r="BL27" s="2307"/>
      <c r="BM27" s="2307"/>
      <c r="BN27" s="2307"/>
      <c r="BO27" s="2307"/>
      <c r="BP27" s="2043"/>
      <c r="BQ27" s="2042"/>
      <c r="BR27" s="2042">
        <v>1</v>
      </c>
      <c r="BS27" s="2042"/>
      <c r="BT27" s="2042" t="b">
        <v>0</v>
      </c>
      <c r="BU27" s="2058"/>
      <c r="BV27" s="2058"/>
      <c r="BW27" s="2042">
        <f t="shared" si="62"/>
        <v>12</v>
      </c>
      <c r="BX27" s="2042">
        <f t="shared" si="63"/>
        <v>0</v>
      </c>
      <c r="BY27" s="2042">
        <f t="shared" si="64"/>
        <v>12</v>
      </c>
      <c r="BZ27" s="2042" cm="1">
        <f t="array" ref="BZ27">INDEX(Pflanzen!$AI$5:$AI$119,'Lagerhaltung (freiwillig)'!BR27)</f>
        <v>0</v>
      </c>
      <c r="CA27" s="2042" cm="1">
        <f t="array" ref="CA27">IF(BZ27=1,INDEX(Pflanzen!$AJ$5:$AJ$119,BR27),N27)</f>
        <v>0</v>
      </c>
      <c r="CB27" s="2042" cm="1">
        <f t="array" ref="CB27">IF(BZ27=1,INDEX(Pflanzen!$AK$5:$AK$119,BR27),O27)</f>
        <v>0</v>
      </c>
      <c r="CC27" s="2042">
        <f t="shared" si="65"/>
        <v>12</v>
      </c>
      <c r="CD27" s="2042">
        <f t="shared" si="66"/>
        <v>0</v>
      </c>
      <c r="CE27" s="2042">
        <f t="shared" si="67"/>
        <v>12</v>
      </c>
      <c r="CF27" s="2042" cm="1">
        <f t="array" ref="CF27">INDEX(Pflanzen!$F$5:$F$119,BR27)</f>
        <v>0</v>
      </c>
      <c r="CG27" s="2042" cm="1">
        <f t="array" ref="CG27">INDEX(Pflanzen!$H$5:$H$119,BR27)</f>
        <v>0</v>
      </c>
      <c r="CH27" s="2042">
        <f t="shared" si="68"/>
        <v>0</v>
      </c>
      <c r="CI27" s="2042">
        <f t="shared" si="69"/>
        <v>0</v>
      </c>
      <c r="CJ27" s="2042">
        <f t="shared" si="70"/>
        <v>0</v>
      </c>
      <c r="CK27" s="2042">
        <f t="shared" si="71"/>
        <v>0</v>
      </c>
      <c r="CL27" s="2042">
        <f t="shared" si="72"/>
        <v>0</v>
      </c>
      <c r="CM27" s="2042">
        <f t="shared" si="73"/>
        <v>0</v>
      </c>
      <c r="CN27" s="2042">
        <f t="shared" si="74"/>
        <v>0</v>
      </c>
      <c r="CO27" s="2042">
        <f t="shared" si="75"/>
        <v>0</v>
      </c>
      <c r="CP27" s="2042">
        <f t="shared" si="76"/>
        <v>0</v>
      </c>
      <c r="CQ27" s="2042">
        <f t="shared" si="77"/>
        <v>0</v>
      </c>
      <c r="CR27" s="2042">
        <f t="shared" si="78"/>
        <v>0</v>
      </c>
      <c r="CS27" s="2042">
        <f t="shared" si="79"/>
        <v>0</v>
      </c>
      <c r="CT27" s="2042">
        <f t="shared" si="80"/>
        <v>0</v>
      </c>
      <c r="CU27" s="2042">
        <f t="shared" si="81"/>
        <v>0</v>
      </c>
      <c r="CV27" s="2042"/>
      <c r="CW27" s="609" t="str">
        <f>Pflanzen!A23</f>
        <v xml:space="preserve"> +++Körnerleguminosen+++</v>
      </c>
      <c r="CX27" s="2042">
        <f>IFERROR(MATCH($CW27,Pflanzen!$C$5:$C$119,0),1)</f>
        <v>19</v>
      </c>
      <c r="CY27" s="609" cm="1">
        <f t="array" ref="CY27">INDEX(Pflanzen!$I$5:$I$119,'Lagerhaltung (freiwillig)'!CX27)</f>
        <v>0</v>
      </c>
      <c r="CZ27" s="2042">
        <f t="shared" si="102"/>
        <v>0</v>
      </c>
      <c r="DA27" s="2042">
        <f t="shared" si="102"/>
        <v>0</v>
      </c>
      <c r="DB27" s="2042">
        <f t="shared" si="102"/>
        <v>0</v>
      </c>
      <c r="DC27" s="2042">
        <f t="shared" si="102"/>
        <v>0</v>
      </c>
      <c r="DD27" s="2042">
        <f t="shared" si="102"/>
        <v>0</v>
      </c>
      <c r="DE27" s="2042">
        <f t="shared" si="102"/>
        <v>0</v>
      </c>
      <c r="DF27" s="2042">
        <f t="shared" si="102"/>
        <v>0</v>
      </c>
      <c r="DG27" s="2042">
        <f t="shared" si="102"/>
        <v>0</v>
      </c>
      <c r="DH27" s="2042">
        <f t="shared" si="102"/>
        <v>0</v>
      </c>
      <c r="DI27" s="2042">
        <f t="shared" si="102"/>
        <v>0</v>
      </c>
      <c r="DJ27" s="2042">
        <f t="shared" si="102"/>
        <v>0</v>
      </c>
      <c r="DK27" s="2042">
        <f t="shared" si="102"/>
        <v>0</v>
      </c>
      <c r="DL27" s="2042"/>
      <c r="DM27" s="2042">
        <f t="shared" si="103"/>
        <v>0</v>
      </c>
      <c r="DN27" s="2042">
        <f t="shared" si="103"/>
        <v>0</v>
      </c>
      <c r="DO27" s="2042">
        <f t="shared" si="103"/>
        <v>0</v>
      </c>
      <c r="DP27" s="2042">
        <f t="shared" si="103"/>
        <v>0</v>
      </c>
      <c r="DQ27" s="2042">
        <f t="shared" si="103"/>
        <v>0</v>
      </c>
      <c r="DR27" s="2042">
        <f t="shared" si="103"/>
        <v>0</v>
      </c>
      <c r="DS27" s="2042">
        <f t="shared" si="103"/>
        <v>0</v>
      </c>
      <c r="DT27" s="2042">
        <f t="shared" si="103"/>
        <v>0</v>
      </c>
      <c r="DU27" s="2042">
        <f t="shared" si="103"/>
        <v>0</v>
      </c>
      <c r="DV27" s="2042">
        <f t="shared" si="103"/>
        <v>0</v>
      </c>
      <c r="DW27" s="2042">
        <f t="shared" si="103"/>
        <v>0</v>
      </c>
      <c r="DX27" s="2042">
        <f t="shared" si="103"/>
        <v>0</v>
      </c>
      <c r="DY27" s="2042"/>
      <c r="DZ27" s="2042">
        <f t="shared" si="104"/>
        <v>0</v>
      </c>
      <c r="EA27" s="2042">
        <f t="shared" si="104"/>
        <v>0</v>
      </c>
      <c r="EB27" s="2042">
        <f t="shared" si="104"/>
        <v>0</v>
      </c>
      <c r="EC27" s="2042">
        <f t="shared" si="104"/>
        <v>0</v>
      </c>
      <c r="ED27" s="2042">
        <f t="shared" si="104"/>
        <v>0</v>
      </c>
      <c r="EE27" s="2042">
        <f t="shared" si="104"/>
        <v>0</v>
      </c>
      <c r="EF27" s="2042">
        <f t="shared" si="104"/>
        <v>0</v>
      </c>
      <c r="EG27" s="2042">
        <f t="shared" si="104"/>
        <v>0</v>
      </c>
      <c r="EH27" s="2042">
        <f t="shared" si="104"/>
        <v>0</v>
      </c>
      <c r="EI27" s="2042">
        <f t="shared" si="104"/>
        <v>0</v>
      </c>
      <c r="EJ27" s="2042">
        <f t="shared" si="104"/>
        <v>0</v>
      </c>
      <c r="EK27" s="2042">
        <f t="shared" si="104"/>
        <v>0</v>
      </c>
      <c r="EL27" s="2042"/>
      <c r="EM27" s="2042">
        <f t="shared" si="105"/>
        <v>0</v>
      </c>
      <c r="EN27" s="2042">
        <f t="shared" si="105"/>
        <v>0</v>
      </c>
      <c r="EO27" s="2042">
        <f t="shared" si="105"/>
        <v>0</v>
      </c>
      <c r="EP27" s="2042">
        <f t="shared" si="105"/>
        <v>0</v>
      </c>
      <c r="EQ27" s="2042">
        <f t="shared" si="105"/>
        <v>0</v>
      </c>
      <c r="ER27" s="2042">
        <f t="shared" si="105"/>
        <v>0</v>
      </c>
      <c r="ES27" s="2042">
        <f t="shared" si="105"/>
        <v>0</v>
      </c>
      <c r="ET27" s="2042">
        <f t="shared" si="105"/>
        <v>0</v>
      </c>
      <c r="EU27" s="2042">
        <f t="shared" si="105"/>
        <v>0</v>
      </c>
      <c r="EV27" s="2042">
        <f t="shared" si="105"/>
        <v>0</v>
      </c>
      <c r="EW27" s="2042">
        <f t="shared" si="105"/>
        <v>0</v>
      </c>
      <c r="EX27" s="2042">
        <f t="shared" si="105"/>
        <v>0</v>
      </c>
      <c r="EY27" s="2042"/>
      <c r="EZ27" s="2045">
        <f t="shared" si="50"/>
        <v>0</v>
      </c>
      <c r="FA27" s="2042">
        <f>EZ27+CZ27+DZ27                 -         SUMIF('Berechnung Nährstoffe und Lager'!$AX$113:$AX$155,$CX27,'Berechnung Nährstoffe und Lager'!$U$113:$U$155)/12  -$GB27*$HC27/12</f>
        <v>0</v>
      </c>
      <c r="FB27" s="2042">
        <f>FA27+DA27+EA27                 -         SUMIF('Berechnung Nährstoffe und Lager'!$AX$113:$AX$155,$CX27,'Berechnung Nährstoffe und Lager'!$U$113:$U$155)/12  -$GB27*$HC27/12</f>
        <v>0</v>
      </c>
      <c r="FC27" s="2042">
        <f>FB27+DB27+EB27                 -         SUMIF('Berechnung Nährstoffe und Lager'!$AX$113:$AX$155,$CX27,'Berechnung Nährstoffe und Lager'!$U$113:$U$155)/12  -$GB27*$HC27/12</f>
        <v>0</v>
      </c>
      <c r="FD27" s="2042">
        <f>FC27+DC27+EC27                 -         SUMIF('Berechnung Nährstoffe und Lager'!$AX$113:$AX$155,$CX27,'Berechnung Nährstoffe und Lager'!$U$113:$U$155)/12  -$GB27*$HC27/12</f>
        <v>0</v>
      </c>
      <c r="FE27" s="2042">
        <f>FD27+DD27+ED27                 -         SUMIF('Berechnung Nährstoffe und Lager'!$AX$113:$AX$155,$CX27,'Berechnung Nährstoffe und Lager'!$U$113:$U$155)/12  -$GB27*$HC27/12</f>
        <v>0</v>
      </c>
      <c r="FF27" s="2042">
        <f>FE27+DE27+EE27                 -         SUMIF('Berechnung Nährstoffe und Lager'!$AX$113:$AX$155,$CX27,'Berechnung Nährstoffe und Lager'!$U$113:$U$155)/12  -$GB27*$HC27/12</f>
        <v>0</v>
      </c>
      <c r="FG27" s="2042">
        <f>FF27+DF27+EF27                 -         SUMIF('Berechnung Nährstoffe und Lager'!$AX$113:$AX$155,$CX27,'Berechnung Nährstoffe und Lager'!$U$113:$U$155)/12  -$GB27*$HC27/12</f>
        <v>0</v>
      </c>
      <c r="FH27" s="2042">
        <f>FG27+DG27+EG27                 -         SUMIF('Berechnung Nährstoffe und Lager'!$AX$113:$AX$155,$CX27,'Berechnung Nährstoffe und Lager'!$U$113:$U$155)/12  -$GB27*$HC27/12</f>
        <v>0</v>
      </c>
      <c r="FI27" s="2042">
        <f>FH27+DH27+EH27                 -         SUMIF('Berechnung Nährstoffe und Lager'!$AX$113:$AX$155,$CX27,'Berechnung Nährstoffe und Lager'!$U$113:$U$155)/12  -$GB27*$HC27/12</f>
        <v>0</v>
      </c>
      <c r="FJ27" s="2042">
        <f>FI27+DI27+EI27                 -         SUMIF('Berechnung Nährstoffe und Lager'!$AX$113:$AX$155,$CX27,'Berechnung Nährstoffe und Lager'!$U$113:$U$155)/12  -$GB27*$HC27/12</f>
        <v>0</v>
      </c>
      <c r="FK27" s="2042">
        <f>FJ27+DJ27+EJ27                 -         SUMIF('Berechnung Nährstoffe und Lager'!$AX$113:$AX$155,$CX27,'Berechnung Nährstoffe und Lager'!$U$113:$U$155)/12  -$GB27*$HC27/12</f>
        <v>0</v>
      </c>
      <c r="FL27" s="2042">
        <f>FK27+DK27+EK27                 -         SUMIF('Berechnung Nährstoffe und Lager'!$AX$113:$AX$155,$CX27,'Berechnung Nährstoffe und Lager'!$U$113:$U$155)/12  -$GB27*$HC27/12</f>
        <v>0</v>
      </c>
      <c r="FM27" s="2042"/>
      <c r="FN27" s="2045">
        <f t="shared" si="51"/>
        <v>0</v>
      </c>
      <c r="FO27" s="2042">
        <f>FN27+DM27+EM27                 -         SUMIF('Berechnung Nährstoffe und Lager'!$AX$113:$AX$155,$CX27,'Berechnung Nährstoffe und Lager'!$V$113:$V$155)/12  -$GC27*$HC27/12</f>
        <v>0</v>
      </c>
      <c r="FP27" s="2042">
        <f>FO27+DN27+EN27                 -         SUMIF('Berechnung Nährstoffe und Lager'!$AX$113:$AX$155,$CX27,'Berechnung Nährstoffe und Lager'!$V$113:$V$155)/12  -$GC27*$HC27/12</f>
        <v>0</v>
      </c>
      <c r="FQ27" s="2042">
        <f>FP27+DO27+EO27                 -         SUMIF('Berechnung Nährstoffe und Lager'!$AX$113:$AX$155,$CX27,'Berechnung Nährstoffe und Lager'!$V$113:$V$155)/12  -$GC27*$HC27/12</f>
        <v>0</v>
      </c>
      <c r="FR27" s="2042">
        <f>FQ27+DP27+EP27                 -         SUMIF('Berechnung Nährstoffe und Lager'!$AX$113:$AX$155,$CX27,'Berechnung Nährstoffe und Lager'!$V$113:$V$155)/12  -$GC27*$HC27/12</f>
        <v>0</v>
      </c>
      <c r="FS27" s="2042">
        <f>FR27+DQ27+EQ27                 -         SUMIF('Berechnung Nährstoffe und Lager'!$AX$113:$AX$155,$CX27,'Berechnung Nährstoffe und Lager'!$V$113:$V$155)/12  -$GC27*$HC27/12</f>
        <v>0</v>
      </c>
      <c r="FT27" s="2042">
        <f>FS27+DR27+ER27                 -         SUMIF('Berechnung Nährstoffe und Lager'!$AX$113:$AX$155,$CX27,'Berechnung Nährstoffe und Lager'!$V$113:$V$155)/12  -$GC27*$HC27/12</f>
        <v>0</v>
      </c>
      <c r="FU27" s="2042">
        <f>FT27+DS27+ES27                 -         SUMIF('Berechnung Nährstoffe und Lager'!$AX$113:$AX$155,$CX27,'Berechnung Nährstoffe und Lager'!$V$113:$V$155)/12  -$GC27*$HC27/12</f>
        <v>0</v>
      </c>
      <c r="FV27" s="2042">
        <f>FU27+DT27+ET27                 -         SUMIF('Berechnung Nährstoffe und Lager'!$AX$113:$AX$155,$CX27,'Berechnung Nährstoffe und Lager'!$V$113:$V$155)/12  -$GC27*$HC27/12</f>
        <v>0</v>
      </c>
      <c r="FW27" s="2042">
        <f>FV27+DU27+EU27                 -         SUMIF('Berechnung Nährstoffe und Lager'!$AX$113:$AX$155,$CX27,'Berechnung Nährstoffe und Lager'!$V$113:$V$155)/12  -$GC27*$HC27/12</f>
        <v>0</v>
      </c>
      <c r="FX27" s="2042">
        <f>FW27+DV27+EV27                 -         SUMIF('Berechnung Nährstoffe und Lager'!$AX$113:$AX$155,$CX27,'Berechnung Nährstoffe und Lager'!$V$113:$V$155)/12  -$GC27*$HC27/12</f>
        <v>0</v>
      </c>
      <c r="FY27" s="2042">
        <f>FX27+DW27+EW27                 -         SUMIF('Berechnung Nährstoffe und Lager'!$AX$113:$AX$155,$CX27,'Berechnung Nährstoffe und Lager'!$V$113:$V$155)/12  -$GC27*$HC27/12</f>
        <v>0</v>
      </c>
      <c r="FZ27" s="2042">
        <f>FY27+DX27+EX27                 -         SUMIF('Berechnung Nährstoffe und Lager'!$AX$113:$AX$155,$CX27,'Berechnung Nährstoffe und Lager'!$V$113:$V$155)/12  -$GC27*$HC27/12</f>
        <v>0</v>
      </c>
      <c r="GA27" s="2042"/>
      <c r="GB27" s="2042">
        <f>SUMIFS($CI$14:$CI$68,$BR$14:$BR$68,$CX27)+SUMIFS($CM$14:$CM$68,$BR$14:$BR$68,$CX27)+SUMIFS($CR$14:$CR$68,$BR$14:$BR$68,$CX27)  -         SUMIF('Berechnung Nährstoffe und Lager'!$AX$113:$AX$155,$CX27,'Berechnung Nährstoffe und Lager'!$U$113:$U$155)</f>
        <v>0</v>
      </c>
      <c r="GC27" s="2042">
        <f>SUMIFS($CJ$14:$CJ$68,$BR$14:$BR$68,$CX27)+SUMIFS($CO$14:$CO$68,$BR$14:$BR$68,$CX27)+SUMIFS($CT$14:$CT$68,$BR$14:$BR$68,$CX27)  -         SUMIF('Berechnung Nährstoffe und Lager'!$AX$113:$AX$155,$CX27,'Berechnung Nährstoffe und Lager'!$V$113:$V$155)</f>
        <v>0</v>
      </c>
      <c r="GD27" s="2042"/>
      <c r="GE27" s="2042"/>
      <c r="GF27" s="2042">
        <f>SUMIF('Berechnung Nährstoffe und Lager'!$AX$113:$AX$155,$CX27,'Berechnung Nährstoffe und Lager'!$U$113:$U$155)</f>
        <v>0</v>
      </c>
      <c r="GG27" s="2042">
        <f>SUMIF('Berechnung Nährstoffe und Lager'!$AX$113:$AX$155,$CX27,'Berechnung Nährstoffe und Lager'!$V$113:$V$155)</f>
        <v>0</v>
      </c>
      <c r="GH27" s="2042">
        <f t="shared" si="52"/>
        <v>0</v>
      </c>
      <c r="GI27" s="2042">
        <f t="shared" si="53"/>
        <v>0</v>
      </c>
      <c r="GJ27" s="2042">
        <f t="shared" si="34"/>
        <v>0</v>
      </c>
      <c r="GK27" s="2042">
        <f t="shared" si="35"/>
        <v>0</v>
      </c>
      <c r="GL27" s="2042">
        <f t="shared" si="36"/>
        <v>0</v>
      </c>
      <c r="GM27" s="2042" cm="1">
        <f t="array" ref="GM27">IF(GL27=0,0,(IFERROR(SUMPRODUCT($J$14:$J$68,$CH$14:$CH$68,($BR$14:$BR$68=CX27)*1)+SUMPRODUCT($L$14:$L$68,$M$14:$M$68,$CK$14:$CK$68,($BR$14:$BR$68=CX27)*1,($BT$14:$BT$68=FALSE)*1)/10+SUMPRODUCT($R$14:$R$68,$CP$14:$CP$68,($BR$14:$BR$68=CX27)*1),0))/GL27)</f>
        <v>0</v>
      </c>
      <c r="GN27" s="2042">
        <f t="shared" si="54"/>
        <v>0</v>
      </c>
      <c r="GO27" s="2042">
        <f>(SUMIF('Berechnung Nährstoffe und Lager'!$AX$113:$AX$130,'Lagerhaltung (freiwillig)'!CX27,'Berechnung Nährstoffe und Lager'!$D$113:$D$130)+SUMIF('Berechnung Nährstoffe und Lager'!$AX$137:$AX$155,'Lagerhaltung (freiwillig)'!CX27,'Berechnung Nährstoffe und Lager'!$E$137:$E$155))</f>
        <v>0</v>
      </c>
      <c r="GP27" s="2042" cm="1">
        <f t="array" ref="GP27">IF(GO27=0,0,(IFERROR(SUMPRODUCT('Berechnung Nährstoffe und Lager'!$D$113:$D$130,'Berechnung Nährstoffe und Lager'!$F$113:$F$130,('Berechnung Nährstoffe und Lager'!$AX$113:$AX$130='Lagerhaltung (freiwillig)'!CX27)*1)+SUMPRODUCT('Berechnung Nährstoffe und Lager'!$E$137:$E$155,'Berechnung Nährstoffe und Lager'!$F$137:$F$155,('Berechnung Nährstoffe und Lager'!$AX$137:$AX$155='Lagerhaltung (freiwillig)'!CX27)*1),0))/GO27)</f>
        <v>0</v>
      </c>
      <c r="GQ27" s="2042">
        <f t="shared" si="55"/>
        <v>0</v>
      </c>
      <c r="GR27" s="2042">
        <f t="shared" si="56"/>
        <v>0</v>
      </c>
      <c r="GS27" s="2042">
        <f t="shared" si="57"/>
        <v>0</v>
      </c>
      <c r="GT27" s="2042">
        <f t="shared" si="58"/>
        <v>0</v>
      </c>
      <c r="GU27" s="2045" t="str">
        <f t="shared" si="39"/>
        <v xml:space="preserve"> </v>
      </c>
      <c r="GV27" s="2045" t="str">
        <f t="shared" si="39"/>
        <v xml:space="preserve"> </v>
      </c>
      <c r="GW27" s="2054">
        <f t="shared" si="40"/>
        <v>0</v>
      </c>
      <c r="GX27" s="2042">
        <f t="shared" si="41"/>
        <v>0</v>
      </c>
      <c r="GY27" s="2042" t="str">
        <f t="shared" si="42"/>
        <v>a</v>
      </c>
      <c r="GZ27" s="2055">
        <f t="shared" si="43"/>
        <v>0</v>
      </c>
      <c r="HA27" s="2055">
        <f t="shared" si="44"/>
        <v>0</v>
      </c>
      <c r="HB27" s="2055"/>
      <c r="HC27" s="2046">
        <f t="shared" si="45"/>
        <v>0</v>
      </c>
      <c r="HD27" s="2055">
        <f t="shared" si="46"/>
        <v>0</v>
      </c>
      <c r="HE27" s="2055">
        <f t="shared" si="47"/>
        <v>0</v>
      </c>
      <c r="HF27" s="2055">
        <f t="shared" si="48"/>
        <v>0</v>
      </c>
      <c r="HG27" s="2282" cm="1">
        <f t="array" ref="HG27">IF(AND(HE27=0,GJ27=0),0,IF(HE27=0,1,IF(OR(GJ27*1000/HE27/HF27&gt;INDEX(Pflanzen!$AD$5:$AD$109,CX27)/INDEX(Pflanzen!$M$5:$M$109,CX27)*$HG$1,GJ27*1000/HE27/HF27&lt;INDEX(Pflanzen!$AD$5:$AD$109,CX27)/INDEX(Pflanzen!$M$5:$M$109,CX27)/$HG$1),1,0)))</f>
        <v>0</v>
      </c>
      <c r="HH27" s="2282" cm="1">
        <f t="array" ref="HH27">IF(AND(GK27=0,HE27=0),0,IF(HE27=0,1,IF(OR(GK27*1000/HE27/HF27&gt;INDEX(Pflanzen!$AE$5:$AE$109,CX27)/INDEX(Pflanzen!$M$5:$M$109,CX27)*$HG$1,GK27*1000/HE27/HF27&lt;INDEX(Pflanzen!$AE$5:$AE$109,CX27)/INDEX(Pflanzen!$M$5:$M$109,CX27)/$HG$1),1,0)))</f>
        <v>0</v>
      </c>
      <c r="HI27" s="2042">
        <f t="shared" si="49"/>
        <v>3</v>
      </c>
      <c r="HJ27" s="2042"/>
      <c r="HL27" s="2042"/>
      <c r="HM27" s="2052" t="str">
        <f>Tiere!B53</f>
        <v>Jungsaueneingliederung, N-/P-reduziert</v>
      </c>
      <c r="HN27" s="2042">
        <v>24</v>
      </c>
      <c r="HO27" s="2053">
        <f>SUMIF('Berechnung Nährstoffe und Lager'!$BM$68:$BM$81,'Lagerhaltung (freiwillig)'!HN27,'Berechnung Nährstoffe und Lager'!$Z$68:$Z$81)+SUMIF('Berechnung Nährstoffe und Lager'!$BM$68:$BM$81,'Lagerhaltung (freiwillig)'!HN27,'Berechnung Nährstoffe und Lager'!$AA$68:$AA$81)</f>
        <v>0</v>
      </c>
      <c r="HP27" s="2042" cm="1">
        <f t="array" ref="HP27">INDEX(Tiere!$C$30:$C$85,'Lagerhaltung (freiwillig)'!HN27)</f>
        <v>2</v>
      </c>
      <c r="HQ27" s="2042" cm="1">
        <f t="array" ref="HQ27">INDEX(Tiere!$H$30:$H$85,'Lagerhaltung (freiwillig)'!HN27)</f>
        <v>0</v>
      </c>
      <c r="HR27" s="2042">
        <f t="shared" si="12"/>
        <v>0</v>
      </c>
      <c r="HS27" s="2042" cm="1">
        <f t="array" ref="HS27">INDEX(Tiere!$I$30:$I$85,'Lagerhaltung (freiwillig)'!HN27)</f>
        <v>0</v>
      </c>
      <c r="HT27" s="2042">
        <f t="shared" si="13"/>
        <v>0</v>
      </c>
      <c r="HU27" s="2042" cm="1">
        <f t="array" ref="HU27">INDEX(Tiere!$BC$30:$BC$85,'Lagerhaltung (freiwillig)'!HN27)</f>
        <v>6.5408000000000008</v>
      </c>
      <c r="HV27" s="2042">
        <f t="shared" si="6"/>
        <v>0</v>
      </c>
      <c r="HW27" s="2042" cm="1">
        <f t="array" ref="HW27">INDEX(Tiere!$BD$30:$BD$85,'Lagerhaltung (freiwillig)'!HN27)</f>
        <v>2.98935</v>
      </c>
      <c r="HX27" s="2042">
        <f t="shared" si="7"/>
        <v>0</v>
      </c>
      <c r="HY27" s="2042"/>
      <c r="HZ27" s="2042"/>
      <c r="IA27" s="2042"/>
      <c r="IB27" s="2042"/>
      <c r="IC27" s="2042"/>
      <c r="ID27" s="2042"/>
      <c r="IE27" s="2042"/>
      <c r="IF27" s="2042"/>
      <c r="IG27" s="2042"/>
      <c r="IH27" s="2042"/>
      <c r="II27" s="2042"/>
      <c r="IJ27" s="2042"/>
    </row>
    <row r="28" spans="1:244" ht="15.6" customHeight="1" x14ac:dyDescent="0.2">
      <c r="A28" s="1159"/>
      <c r="B28" s="1160"/>
      <c r="C28" s="1160"/>
      <c r="D28" s="1160"/>
      <c r="E28" s="1160"/>
      <c r="F28" s="2014" cm="1">
        <f t="array" ref="F28">INDEX(Pflanzen!$M$5:$M$109,BR28)</f>
        <v>0</v>
      </c>
      <c r="G28" s="2015" cm="1">
        <f t="array" ref="G28">INDEX(Pflanzen!$AD$5:$AD$109,BR28)</f>
        <v>0</v>
      </c>
      <c r="H28" s="2299" cm="1">
        <f t="array" ref="H28">INDEX(Pflanzen!$AE$5:$AE$109,BR28)</f>
        <v>0</v>
      </c>
      <c r="I28" s="1259"/>
      <c r="J28" s="1256"/>
      <c r="K28" s="1259"/>
      <c r="L28" s="1970"/>
      <c r="M28" s="1246"/>
      <c r="N28" s="1870"/>
      <c r="O28" s="1870"/>
      <c r="P28" s="2211"/>
      <c r="Q28" s="2196"/>
      <c r="R28" s="1970"/>
      <c r="S28" s="1246"/>
      <c r="T28" s="1256"/>
      <c r="U28" s="1159"/>
      <c r="V28" s="2316" t="str">
        <f t="shared" si="82"/>
        <v/>
      </c>
      <c r="Y28" s="2005" t="str" cm="1">
        <f t="array" ref="Y28">IFERROR(INDEX($CW$4:$CW$171,AY28),"")</f>
        <v/>
      </c>
      <c r="Z28" s="510"/>
      <c r="AA28" s="510"/>
      <c r="AB28" s="510"/>
      <c r="AC28" s="2031" t="str" cm="1">
        <f t="array" ref="AC28">IFERROR(INDEX($GL$4:$GL$171,AY28),"")</f>
        <v/>
      </c>
      <c r="AD28" s="2031" t="str" cm="1">
        <f t="array" ref="AD28">IFERROR(INDEX($GM$4:$GM$171,AY28),"")</f>
        <v/>
      </c>
      <c r="AE28" s="2031" t="str" cm="1">
        <f t="array" ref="AE28">IFERROR(INDEX($GH$4:$GH$171,AY28),"")</f>
        <v/>
      </c>
      <c r="AF28" s="2031" t="str" cm="1">
        <f t="array" ref="AF28">IFERROR(INDEX($GI$4:$GI$171,AY28),"")</f>
        <v/>
      </c>
      <c r="AG28" s="2031" t="str" cm="1">
        <f t="array" ref="AG28">IFERROR(INDEX($GO$4:$GO$171,AY28),"")</f>
        <v/>
      </c>
      <c r="AH28" s="2031" t="str" cm="1">
        <f t="array" ref="AH28">IFERROR(INDEX($GP$4:$GP$171,AY28),"")</f>
        <v/>
      </c>
      <c r="AI28" s="2031" t="str" cm="1">
        <f t="array" ref="AI28">IFERROR(INDEX($GF$4:$GF$171,AY28),"")</f>
        <v/>
      </c>
      <c r="AJ28" s="2031" t="str" cm="1">
        <f t="array" ref="AJ28">IFERROR(INDEX($GG$4:$GG$171,AY28),"")</f>
        <v/>
      </c>
      <c r="AK28" s="2031" t="str" cm="1">
        <f t="array" ref="AK28">IFERROR(INDEX($GS$4:$GS$171,AY28),"")</f>
        <v/>
      </c>
      <c r="AL28" s="2032" t="str" cm="1">
        <f t="array" ref="AL28">IFERROR(INDEX($GT$4:$GT$171,AY28),"")</f>
        <v/>
      </c>
      <c r="AM28" s="2031" t="str" cm="1">
        <f t="array" ref="AM28">IFERROR(INDEX($GB$4:$GB$171,AY28),"")</f>
        <v/>
      </c>
      <c r="AN28" s="2031" t="str" cm="1">
        <f t="array" ref="AN28">IFERROR(INDEX($GC$4:$GC$171,AY28),"")</f>
        <v/>
      </c>
      <c r="AO28" s="2031" t="str" cm="1">
        <f t="array" ref="AO28">IFERROR(INDEX($GU$4:$GU$171,AY28),"")</f>
        <v/>
      </c>
      <c r="AP28" s="2031" t="str" cm="1">
        <f t="array" ref="AP28">IFERROR(INDEX($GX$4:$GX$171,AY28),"")</f>
        <v/>
      </c>
      <c r="AQ28" s="1316"/>
      <c r="AR28" s="2031" t="str" cm="1">
        <f t="array" ref="AR28">IFERROR(INDEX($HD$4:$HD$171,AY28),"")</f>
        <v/>
      </c>
      <c r="AS28" s="2031" t="str" cm="1">
        <f t="array" ref="AS28">IFERROR(INDEX($HE$4:$HE$171,AY28),"")</f>
        <v/>
      </c>
      <c r="AT28" s="2031" t="str" cm="1">
        <f t="array" ref="AT28">IFERROR(INDEX($HF$4:$HF$171,AY28),"")</f>
        <v/>
      </c>
      <c r="AU28" s="2031" t="str" cm="1">
        <f t="array" ref="AU28">IFERROR(INDEX($GJ$4:$GJ$171,AY28),"")</f>
        <v/>
      </c>
      <c r="AV28" s="2031" t="str" cm="1">
        <f t="array" ref="AV28">IFERROR(INDEX($GK$4:$GK$171,AY28),"")</f>
        <v/>
      </c>
      <c r="AY28" s="2042" t="str" cm="1">
        <f t="array" ref="AY28">IFERROR(SMALL(IF($HI$4:$HI$171=1,ROW($HI$4:$HI$171)-3),ROW(W16)),IFERROR(SMALL(IF($HI$4:$HI$171=2,ROW($HI$4:$HI$171)-3),ROW(W16)-COUNTIF($HI$4:$HI$171,1)),IFERROR(SMALL(IF($HI$4:$HI$171=0,ROW($HI$4:$HI$171)-3),ROW(W16)-COUNTIF($HI$4:$HI$171,1)-COUNTIF($HI$4:$HI$171,2)),"")))</f>
        <v/>
      </c>
      <c r="AZ28" s="2042" t="str">
        <f t="shared" si="59"/>
        <v>a</v>
      </c>
      <c r="BA28" s="2053" t="e">
        <f t="shared" si="60"/>
        <v>#VALUE!</v>
      </c>
      <c r="BB28" s="2053" cm="1">
        <f t="array" ref="BB28">IFERROR(INDEX($HI$4:$HI$171,AY28),0)</f>
        <v>0</v>
      </c>
      <c r="BC28" s="2053">
        <f t="shared" si="61"/>
        <v>0</v>
      </c>
      <c r="BD28" s="2053"/>
      <c r="BE28" s="2307"/>
      <c r="BF28" s="2307"/>
      <c r="BG28" s="2307"/>
      <c r="BH28" s="2307"/>
      <c r="BI28" s="2307"/>
      <c r="BJ28" s="2307"/>
      <c r="BK28" s="2307"/>
      <c r="BL28" s="2307"/>
      <c r="BM28" s="2307"/>
      <c r="BN28" s="2307"/>
      <c r="BO28" s="2307"/>
      <c r="BP28" s="2043"/>
      <c r="BQ28" s="2042"/>
      <c r="BR28" s="2042">
        <v>1</v>
      </c>
      <c r="BS28" s="2042"/>
      <c r="BT28" s="2042" t="b">
        <v>0</v>
      </c>
      <c r="BU28" s="2058"/>
      <c r="BV28" s="2058"/>
      <c r="BW28" s="2042">
        <f t="shared" si="62"/>
        <v>12</v>
      </c>
      <c r="BX28" s="2042">
        <f t="shared" si="63"/>
        <v>0</v>
      </c>
      <c r="BY28" s="2042">
        <f t="shared" si="64"/>
        <v>12</v>
      </c>
      <c r="BZ28" s="2042" cm="1">
        <f t="array" ref="BZ28">INDEX(Pflanzen!$AI$5:$AI$119,'Lagerhaltung (freiwillig)'!BR28)</f>
        <v>0</v>
      </c>
      <c r="CA28" s="2042" cm="1">
        <f t="array" ref="CA28">IF(BZ28=1,INDEX(Pflanzen!$AJ$5:$AJ$119,BR28),N28)</f>
        <v>0</v>
      </c>
      <c r="CB28" s="2042" cm="1">
        <f t="array" ref="CB28">IF(BZ28=1,INDEX(Pflanzen!$AK$5:$AK$119,BR28),O28)</f>
        <v>0</v>
      </c>
      <c r="CC28" s="2042">
        <f t="shared" si="65"/>
        <v>12</v>
      </c>
      <c r="CD28" s="2042">
        <f t="shared" si="66"/>
        <v>0</v>
      </c>
      <c r="CE28" s="2042">
        <f t="shared" si="67"/>
        <v>12</v>
      </c>
      <c r="CF28" s="2042" cm="1">
        <f t="array" ref="CF28">INDEX(Pflanzen!$F$5:$F$119,BR28)</f>
        <v>0</v>
      </c>
      <c r="CG28" s="2042" cm="1">
        <f t="array" ref="CG28">INDEX(Pflanzen!$H$5:$H$119,BR28)</f>
        <v>0</v>
      </c>
      <c r="CH28" s="2042">
        <f t="shared" si="68"/>
        <v>0</v>
      </c>
      <c r="CI28" s="2042">
        <f t="shared" si="69"/>
        <v>0</v>
      </c>
      <c r="CJ28" s="2042">
        <f t="shared" si="70"/>
        <v>0</v>
      </c>
      <c r="CK28" s="2042">
        <f t="shared" si="71"/>
        <v>0</v>
      </c>
      <c r="CL28" s="2042">
        <f t="shared" si="72"/>
        <v>0</v>
      </c>
      <c r="CM28" s="2042">
        <f t="shared" si="73"/>
        <v>0</v>
      </c>
      <c r="CN28" s="2042">
        <f t="shared" si="74"/>
        <v>0</v>
      </c>
      <c r="CO28" s="2042">
        <f t="shared" si="75"/>
        <v>0</v>
      </c>
      <c r="CP28" s="2042">
        <f t="shared" si="76"/>
        <v>0</v>
      </c>
      <c r="CQ28" s="2042">
        <f t="shared" si="77"/>
        <v>0</v>
      </c>
      <c r="CR28" s="2042">
        <f t="shared" si="78"/>
        <v>0</v>
      </c>
      <c r="CS28" s="2042">
        <f t="shared" si="79"/>
        <v>0</v>
      </c>
      <c r="CT28" s="2042">
        <f t="shared" si="80"/>
        <v>0</v>
      </c>
      <c r="CU28" s="2042">
        <f t="shared" si="81"/>
        <v>0</v>
      </c>
      <c r="CV28" s="2042"/>
      <c r="CW28" s="609" t="str">
        <f>Pflanzen!A24</f>
        <v>Ackerbohnen</v>
      </c>
      <c r="CX28" s="2042">
        <f>IFERROR(MATCH($CW28,Pflanzen!$C$5:$C$119,0),1)</f>
        <v>20</v>
      </c>
      <c r="CY28" s="609" cm="1">
        <f t="array" ref="CY28">INDEX(Pflanzen!$I$5:$I$119,'Lagerhaltung (freiwillig)'!CX28)</f>
        <v>2</v>
      </c>
      <c r="CZ28" s="2042">
        <f t="shared" si="102"/>
        <v>0</v>
      </c>
      <c r="DA28" s="2042">
        <f t="shared" si="102"/>
        <v>0</v>
      </c>
      <c r="DB28" s="2042">
        <f t="shared" si="102"/>
        <v>0</v>
      </c>
      <c r="DC28" s="2042">
        <f t="shared" si="102"/>
        <v>0</v>
      </c>
      <c r="DD28" s="2042">
        <f t="shared" si="102"/>
        <v>0</v>
      </c>
      <c r="DE28" s="2042">
        <f t="shared" si="102"/>
        <v>0</v>
      </c>
      <c r="DF28" s="2042">
        <f t="shared" si="102"/>
        <v>0</v>
      </c>
      <c r="DG28" s="2042">
        <f t="shared" si="102"/>
        <v>0</v>
      </c>
      <c r="DH28" s="2042">
        <f t="shared" si="102"/>
        <v>0</v>
      </c>
      <c r="DI28" s="2042">
        <f t="shared" si="102"/>
        <v>0</v>
      </c>
      <c r="DJ28" s="2042">
        <f t="shared" si="102"/>
        <v>0</v>
      </c>
      <c r="DK28" s="2042">
        <f t="shared" si="102"/>
        <v>0</v>
      </c>
      <c r="DL28" s="2042"/>
      <c r="DM28" s="2042">
        <f t="shared" si="103"/>
        <v>0</v>
      </c>
      <c r="DN28" s="2042">
        <f t="shared" si="103"/>
        <v>0</v>
      </c>
      <c r="DO28" s="2042">
        <f t="shared" si="103"/>
        <v>0</v>
      </c>
      <c r="DP28" s="2042">
        <f t="shared" si="103"/>
        <v>0</v>
      </c>
      <c r="DQ28" s="2042">
        <f t="shared" si="103"/>
        <v>0</v>
      </c>
      <c r="DR28" s="2042">
        <f t="shared" si="103"/>
        <v>0</v>
      </c>
      <c r="DS28" s="2042">
        <f t="shared" si="103"/>
        <v>0</v>
      </c>
      <c r="DT28" s="2042">
        <f t="shared" si="103"/>
        <v>0</v>
      </c>
      <c r="DU28" s="2042">
        <f t="shared" si="103"/>
        <v>0</v>
      </c>
      <c r="DV28" s="2042">
        <f t="shared" si="103"/>
        <v>0</v>
      </c>
      <c r="DW28" s="2042">
        <f t="shared" si="103"/>
        <v>0</v>
      </c>
      <c r="DX28" s="2042">
        <f t="shared" si="103"/>
        <v>0</v>
      </c>
      <c r="DY28" s="2042"/>
      <c r="DZ28" s="2042">
        <f t="shared" si="104"/>
        <v>0</v>
      </c>
      <c r="EA28" s="2042">
        <f t="shared" si="104"/>
        <v>0</v>
      </c>
      <c r="EB28" s="2042">
        <f t="shared" si="104"/>
        <v>0</v>
      </c>
      <c r="EC28" s="2042">
        <f t="shared" si="104"/>
        <v>0</v>
      </c>
      <c r="ED28" s="2042">
        <f t="shared" si="104"/>
        <v>0</v>
      </c>
      <c r="EE28" s="2042">
        <f t="shared" si="104"/>
        <v>0</v>
      </c>
      <c r="EF28" s="2042">
        <f t="shared" si="104"/>
        <v>0</v>
      </c>
      <c r="EG28" s="2042">
        <f t="shared" si="104"/>
        <v>0</v>
      </c>
      <c r="EH28" s="2042">
        <f t="shared" si="104"/>
        <v>0</v>
      </c>
      <c r="EI28" s="2042">
        <f t="shared" si="104"/>
        <v>0</v>
      </c>
      <c r="EJ28" s="2042">
        <f t="shared" si="104"/>
        <v>0</v>
      </c>
      <c r="EK28" s="2042">
        <f t="shared" si="104"/>
        <v>0</v>
      </c>
      <c r="EL28" s="2042"/>
      <c r="EM28" s="2042">
        <f t="shared" si="105"/>
        <v>0</v>
      </c>
      <c r="EN28" s="2042">
        <f t="shared" si="105"/>
        <v>0</v>
      </c>
      <c r="EO28" s="2042">
        <f t="shared" si="105"/>
        <v>0</v>
      </c>
      <c r="EP28" s="2042">
        <f t="shared" si="105"/>
        <v>0</v>
      </c>
      <c r="EQ28" s="2042">
        <f t="shared" si="105"/>
        <v>0</v>
      </c>
      <c r="ER28" s="2042">
        <f t="shared" si="105"/>
        <v>0</v>
      </c>
      <c r="ES28" s="2042">
        <f t="shared" si="105"/>
        <v>0</v>
      </c>
      <c r="ET28" s="2042">
        <f t="shared" si="105"/>
        <v>0</v>
      </c>
      <c r="EU28" s="2042">
        <f t="shared" si="105"/>
        <v>0</v>
      </c>
      <c r="EV28" s="2042">
        <f t="shared" si="105"/>
        <v>0</v>
      </c>
      <c r="EW28" s="2042">
        <f t="shared" si="105"/>
        <v>0</v>
      </c>
      <c r="EX28" s="2042">
        <f t="shared" si="105"/>
        <v>0</v>
      </c>
      <c r="EY28" s="2042"/>
      <c r="EZ28" s="2045">
        <f t="shared" si="50"/>
        <v>0</v>
      </c>
      <c r="FA28" s="2042">
        <f>EZ28+CZ28+DZ28                 -         SUMIF('Berechnung Nährstoffe und Lager'!$AX$113:$AX$155,$CX28,'Berechnung Nährstoffe und Lager'!$U$113:$U$155)/12  -$GB28*$HC28/12</f>
        <v>0</v>
      </c>
      <c r="FB28" s="2042">
        <f>FA28+DA28+EA28                 -         SUMIF('Berechnung Nährstoffe und Lager'!$AX$113:$AX$155,$CX28,'Berechnung Nährstoffe und Lager'!$U$113:$U$155)/12  -$GB28*$HC28/12</f>
        <v>0</v>
      </c>
      <c r="FC28" s="2042">
        <f>FB28+DB28+EB28                 -         SUMIF('Berechnung Nährstoffe und Lager'!$AX$113:$AX$155,$CX28,'Berechnung Nährstoffe und Lager'!$U$113:$U$155)/12  -$GB28*$HC28/12</f>
        <v>0</v>
      </c>
      <c r="FD28" s="2042">
        <f>FC28+DC28+EC28                 -         SUMIF('Berechnung Nährstoffe und Lager'!$AX$113:$AX$155,$CX28,'Berechnung Nährstoffe und Lager'!$U$113:$U$155)/12  -$GB28*$HC28/12</f>
        <v>0</v>
      </c>
      <c r="FE28" s="2042">
        <f>FD28+DD28+ED28                 -         SUMIF('Berechnung Nährstoffe und Lager'!$AX$113:$AX$155,$CX28,'Berechnung Nährstoffe und Lager'!$U$113:$U$155)/12  -$GB28*$HC28/12</f>
        <v>0</v>
      </c>
      <c r="FF28" s="2042">
        <f>FE28+DE28+EE28                 -         SUMIF('Berechnung Nährstoffe und Lager'!$AX$113:$AX$155,$CX28,'Berechnung Nährstoffe und Lager'!$U$113:$U$155)/12  -$GB28*$HC28/12</f>
        <v>0</v>
      </c>
      <c r="FG28" s="2042">
        <f>FF28+DF28+EF28                 -         SUMIF('Berechnung Nährstoffe und Lager'!$AX$113:$AX$155,$CX28,'Berechnung Nährstoffe und Lager'!$U$113:$U$155)/12  -$GB28*$HC28/12</f>
        <v>0</v>
      </c>
      <c r="FH28" s="2042">
        <f>FG28+DG28+EG28                 -         SUMIF('Berechnung Nährstoffe und Lager'!$AX$113:$AX$155,$CX28,'Berechnung Nährstoffe und Lager'!$U$113:$U$155)/12  -$GB28*$HC28/12</f>
        <v>0</v>
      </c>
      <c r="FI28" s="2042">
        <f>FH28+DH28+EH28                 -         SUMIF('Berechnung Nährstoffe und Lager'!$AX$113:$AX$155,$CX28,'Berechnung Nährstoffe und Lager'!$U$113:$U$155)/12  -$GB28*$HC28/12</f>
        <v>0</v>
      </c>
      <c r="FJ28" s="2042">
        <f>FI28+DI28+EI28                 -         SUMIF('Berechnung Nährstoffe und Lager'!$AX$113:$AX$155,$CX28,'Berechnung Nährstoffe und Lager'!$U$113:$U$155)/12  -$GB28*$HC28/12</f>
        <v>0</v>
      </c>
      <c r="FK28" s="2042">
        <f>FJ28+DJ28+EJ28                 -         SUMIF('Berechnung Nährstoffe und Lager'!$AX$113:$AX$155,$CX28,'Berechnung Nährstoffe und Lager'!$U$113:$U$155)/12  -$GB28*$HC28/12</f>
        <v>0</v>
      </c>
      <c r="FL28" s="2042">
        <f>FK28+DK28+EK28                 -         SUMIF('Berechnung Nährstoffe und Lager'!$AX$113:$AX$155,$CX28,'Berechnung Nährstoffe und Lager'!$U$113:$U$155)/12  -$GB28*$HC28/12</f>
        <v>0</v>
      </c>
      <c r="FM28" s="2042"/>
      <c r="FN28" s="2045">
        <f t="shared" si="51"/>
        <v>0</v>
      </c>
      <c r="FO28" s="2042">
        <f>FN28+DM28+EM28                 -         SUMIF('Berechnung Nährstoffe und Lager'!$AX$113:$AX$155,$CX28,'Berechnung Nährstoffe und Lager'!$V$113:$V$155)/12  -$GC28*$HC28/12</f>
        <v>0</v>
      </c>
      <c r="FP28" s="2042">
        <f>FO28+DN28+EN28                 -         SUMIF('Berechnung Nährstoffe und Lager'!$AX$113:$AX$155,$CX28,'Berechnung Nährstoffe und Lager'!$V$113:$V$155)/12  -$GC28*$HC28/12</f>
        <v>0</v>
      </c>
      <c r="FQ28" s="2042">
        <f>FP28+DO28+EO28                 -         SUMIF('Berechnung Nährstoffe und Lager'!$AX$113:$AX$155,$CX28,'Berechnung Nährstoffe und Lager'!$V$113:$V$155)/12  -$GC28*$HC28/12</f>
        <v>0</v>
      </c>
      <c r="FR28" s="2042">
        <f>FQ28+DP28+EP28                 -         SUMIF('Berechnung Nährstoffe und Lager'!$AX$113:$AX$155,$CX28,'Berechnung Nährstoffe und Lager'!$V$113:$V$155)/12  -$GC28*$HC28/12</f>
        <v>0</v>
      </c>
      <c r="FS28" s="2042">
        <f>FR28+DQ28+EQ28                 -         SUMIF('Berechnung Nährstoffe und Lager'!$AX$113:$AX$155,$CX28,'Berechnung Nährstoffe und Lager'!$V$113:$V$155)/12  -$GC28*$HC28/12</f>
        <v>0</v>
      </c>
      <c r="FT28" s="2042">
        <f>FS28+DR28+ER28                 -         SUMIF('Berechnung Nährstoffe und Lager'!$AX$113:$AX$155,$CX28,'Berechnung Nährstoffe und Lager'!$V$113:$V$155)/12  -$GC28*$HC28/12</f>
        <v>0</v>
      </c>
      <c r="FU28" s="2042">
        <f>FT28+DS28+ES28                 -         SUMIF('Berechnung Nährstoffe und Lager'!$AX$113:$AX$155,$CX28,'Berechnung Nährstoffe und Lager'!$V$113:$V$155)/12  -$GC28*$HC28/12</f>
        <v>0</v>
      </c>
      <c r="FV28" s="2042">
        <f>FU28+DT28+ET28                 -         SUMIF('Berechnung Nährstoffe und Lager'!$AX$113:$AX$155,$CX28,'Berechnung Nährstoffe und Lager'!$V$113:$V$155)/12  -$GC28*$HC28/12</f>
        <v>0</v>
      </c>
      <c r="FW28" s="2042">
        <f>FV28+DU28+EU28                 -         SUMIF('Berechnung Nährstoffe und Lager'!$AX$113:$AX$155,$CX28,'Berechnung Nährstoffe und Lager'!$V$113:$V$155)/12  -$GC28*$HC28/12</f>
        <v>0</v>
      </c>
      <c r="FX28" s="2042">
        <f>FW28+DV28+EV28                 -         SUMIF('Berechnung Nährstoffe und Lager'!$AX$113:$AX$155,$CX28,'Berechnung Nährstoffe und Lager'!$V$113:$V$155)/12  -$GC28*$HC28/12</f>
        <v>0</v>
      </c>
      <c r="FY28" s="2042">
        <f>FX28+DW28+EW28                 -         SUMIF('Berechnung Nährstoffe und Lager'!$AX$113:$AX$155,$CX28,'Berechnung Nährstoffe und Lager'!$V$113:$V$155)/12  -$GC28*$HC28/12</f>
        <v>0</v>
      </c>
      <c r="FZ28" s="2042">
        <f>FY28+DX28+EX28                 -         SUMIF('Berechnung Nährstoffe und Lager'!$AX$113:$AX$155,$CX28,'Berechnung Nährstoffe und Lager'!$V$113:$V$155)/12  -$GC28*$HC28/12</f>
        <v>0</v>
      </c>
      <c r="GA28" s="2042"/>
      <c r="GB28" s="2042">
        <f>SUMIFS($CI$14:$CI$68,$BR$14:$BR$68,$CX28)+SUMIFS($CM$14:$CM$68,$BR$14:$BR$68,$CX28)+SUMIFS($CR$14:$CR$68,$BR$14:$BR$68,$CX28)  -         SUMIF('Berechnung Nährstoffe und Lager'!$AX$113:$AX$155,$CX28,'Berechnung Nährstoffe und Lager'!$U$113:$U$155)</f>
        <v>0</v>
      </c>
      <c r="GC28" s="2042">
        <f>SUMIFS($CJ$14:$CJ$68,$BR$14:$BR$68,$CX28)+SUMIFS($CO$14:$CO$68,$BR$14:$BR$68,$CX28)+SUMIFS($CT$14:$CT$68,$BR$14:$BR$68,$CX28)  -         SUMIF('Berechnung Nährstoffe und Lager'!$AX$113:$AX$155,$CX28,'Berechnung Nährstoffe und Lager'!$V$113:$V$155)</f>
        <v>0</v>
      </c>
      <c r="GD28" s="2042"/>
      <c r="GE28" s="2042"/>
      <c r="GF28" s="2042">
        <f>SUMIF('Berechnung Nährstoffe und Lager'!$AX$113:$AX$155,$CX28,'Berechnung Nährstoffe und Lager'!$U$113:$U$155)</f>
        <v>0</v>
      </c>
      <c r="GG28" s="2042">
        <f>SUMIF('Berechnung Nährstoffe und Lager'!$AX$113:$AX$155,$CX28,'Berechnung Nährstoffe und Lager'!$V$113:$V$155)</f>
        <v>0</v>
      </c>
      <c r="GH28" s="2042">
        <f t="shared" si="52"/>
        <v>0</v>
      </c>
      <c r="GI28" s="2042">
        <f t="shared" si="53"/>
        <v>0</v>
      </c>
      <c r="GJ28" s="2042">
        <f t="shared" si="34"/>
        <v>0</v>
      </c>
      <c r="GK28" s="2042">
        <f t="shared" si="35"/>
        <v>0</v>
      </c>
      <c r="GL28" s="2042">
        <f t="shared" si="36"/>
        <v>0</v>
      </c>
      <c r="GM28" s="2042" cm="1">
        <f t="array" ref="GM28">IF(GL28=0,0,(IFERROR(SUMPRODUCT($J$14:$J$68,$CH$14:$CH$68,($BR$14:$BR$68=CX28)*1)+SUMPRODUCT($L$14:$L$68,$M$14:$M$68,$CK$14:$CK$68,($BR$14:$BR$68=CX28)*1,($BT$14:$BT$68=FALSE)*1)/10+SUMPRODUCT($R$14:$R$68,$CP$14:$CP$68,($BR$14:$BR$68=CX28)*1),0))/GL28)</f>
        <v>0</v>
      </c>
      <c r="GN28" s="2042">
        <f t="shared" si="54"/>
        <v>0</v>
      </c>
      <c r="GO28" s="2042">
        <f>(SUMIF('Berechnung Nährstoffe und Lager'!$AX$113:$AX$130,'Lagerhaltung (freiwillig)'!CX28,'Berechnung Nährstoffe und Lager'!$D$113:$D$130)+SUMIF('Berechnung Nährstoffe und Lager'!$AX$137:$AX$155,'Lagerhaltung (freiwillig)'!CX28,'Berechnung Nährstoffe und Lager'!$E$137:$E$155))</f>
        <v>0</v>
      </c>
      <c r="GP28" s="2042" cm="1">
        <f t="array" ref="GP28">IF(GO28=0,0,(IFERROR(SUMPRODUCT('Berechnung Nährstoffe und Lager'!$D$113:$D$130,'Berechnung Nährstoffe und Lager'!$F$113:$F$130,('Berechnung Nährstoffe und Lager'!$AX$113:$AX$130='Lagerhaltung (freiwillig)'!CX28)*1)+SUMPRODUCT('Berechnung Nährstoffe und Lager'!$E$137:$E$155,'Berechnung Nährstoffe und Lager'!$F$137:$F$155,('Berechnung Nährstoffe und Lager'!$AX$137:$AX$155='Lagerhaltung (freiwillig)'!CX28)*1),0))/GO28)</f>
        <v>0</v>
      </c>
      <c r="GQ28" s="2042">
        <f t="shared" si="55"/>
        <v>0</v>
      </c>
      <c r="GR28" s="2042">
        <f t="shared" si="56"/>
        <v>0</v>
      </c>
      <c r="GS28" s="2042">
        <f t="shared" si="57"/>
        <v>0</v>
      </c>
      <c r="GT28" s="2042">
        <f t="shared" si="58"/>
        <v>0</v>
      </c>
      <c r="GU28" s="2045" t="str">
        <f t="shared" si="39"/>
        <v xml:space="preserve"> </v>
      </c>
      <c r="GV28" s="2045" t="str">
        <f t="shared" si="39"/>
        <v xml:space="preserve"> </v>
      </c>
      <c r="GW28" s="2054">
        <f t="shared" si="40"/>
        <v>0</v>
      </c>
      <c r="GX28" s="2042">
        <f t="shared" si="41"/>
        <v>0</v>
      </c>
      <c r="GY28" s="2042" t="str">
        <f t="shared" si="42"/>
        <v>a</v>
      </c>
      <c r="GZ28" s="2055">
        <f t="shared" si="43"/>
        <v>0</v>
      </c>
      <c r="HA28" s="2055">
        <f t="shared" si="44"/>
        <v>0</v>
      </c>
      <c r="HB28" s="2055"/>
      <c r="HC28" s="2046">
        <f t="shared" si="45"/>
        <v>0</v>
      </c>
      <c r="HD28" s="2055">
        <f t="shared" si="46"/>
        <v>0</v>
      </c>
      <c r="HE28" s="2055">
        <f t="shared" si="47"/>
        <v>0</v>
      </c>
      <c r="HF28" s="2055">
        <f t="shared" si="48"/>
        <v>0</v>
      </c>
      <c r="HG28" s="2282" cm="1">
        <f t="array" ref="HG28">IF(AND(HE28=0,GJ28=0),0,IF(HE28=0,1,IF(OR(GJ28*1000/HE28/HF28&gt;INDEX(Pflanzen!$AD$5:$AD$109,CX28)/INDEX(Pflanzen!$M$5:$M$109,CX28)*$HG$1,GJ28*1000/HE28/HF28&lt;INDEX(Pflanzen!$AD$5:$AD$109,CX28)/INDEX(Pflanzen!$M$5:$M$109,CX28)/$HG$1),1,0)))</f>
        <v>0</v>
      </c>
      <c r="HH28" s="2282" cm="1">
        <f t="array" ref="HH28">IF(AND(GK28=0,HE28=0),0,IF(HE28=0,1,IF(OR(GK28*1000/HE28/HF28&gt;INDEX(Pflanzen!$AE$5:$AE$109,CX28)/INDEX(Pflanzen!$M$5:$M$109,CX28)*$HG$1,GK28*1000/HE28/HF28&lt;INDEX(Pflanzen!$AE$5:$AE$109,CX28)/INDEX(Pflanzen!$M$5:$M$109,CX28)/$HG$1),1,0)))</f>
        <v>0</v>
      </c>
      <c r="HI28" s="2042">
        <f t="shared" si="49"/>
        <v>3</v>
      </c>
      <c r="HJ28" s="2042"/>
      <c r="HL28" s="2042"/>
      <c r="HM28" s="2052" t="str">
        <f>Tiere!B54</f>
        <v>Mastschweine (750 g TZ), Standard</v>
      </c>
      <c r="HN28" s="2042">
        <v>25</v>
      </c>
      <c r="HO28" s="2053">
        <f>SUMIF('Berechnung Nährstoffe und Lager'!$BM$68:$BM$81,'Lagerhaltung (freiwillig)'!HN28,'Berechnung Nährstoffe und Lager'!$Z$68:$Z$81)+SUMIF('Berechnung Nährstoffe und Lager'!$BM$68:$BM$81,'Lagerhaltung (freiwillig)'!HN28,'Berechnung Nährstoffe und Lager'!$AA$68:$AA$81)</f>
        <v>0</v>
      </c>
      <c r="HP28" s="2042" cm="1">
        <f t="array" ref="HP28">INDEX(Tiere!$C$30:$C$85,'Lagerhaltung (freiwillig)'!HN28)</f>
        <v>2</v>
      </c>
      <c r="HQ28" s="2042" cm="1">
        <f t="array" ref="HQ28">INDEX(Tiere!$H$30:$H$85,'Lagerhaltung (freiwillig)'!HN28)</f>
        <v>0</v>
      </c>
      <c r="HR28" s="2042">
        <f t="shared" si="12"/>
        <v>0</v>
      </c>
      <c r="HS28" s="2042" cm="1">
        <f t="array" ref="HS28">INDEX(Tiere!$I$30:$I$85,'Lagerhaltung (freiwillig)'!HN28)</f>
        <v>0</v>
      </c>
      <c r="HT28" s="2042">
        <f t="shared" si="13"/>
        <v>0</v>
      </c>
      <c r="HU28" s="2042" cm="1">
        <f t="array" ref="HU28">INDEX(Tiere!$BC$30:$BC$85,'Lagerhaltung (freiwillig)'!HN28)</f>
        <v>7.008</v>
      </c>
      <c r="HV28" s="2042">
        <f t="shared" si="6"/>
        <v>0</v>
      </c>
      <c r="HW28" s="2042" cm="1">
        <f t="array" ref="HW28">INDEX(Tiere!$BD$30:$BD$85,'Lagerhaltung (freiwillig)'!HN28)</f>
        <v>3.2028749999999997</v>
      </c>
      <c r="HX28" s="2042">
        <f t="shared" si="7"/>
        <v>0</v>
      </c>
      <c r="HY28" s="2042"/>
      <c r="HZ28" s="2042"/>
      <c r="IA28" s="2042"/>
      <c r="IB28" s="2042"/>
      <c r="IC28" s="2042"/>
      <c r="ID28" s="2042"/>
      <c r="IE28" s="2042"/>
      <c r="IF28" s="2042"/>
      <c r="IG28" s="2042"/>
      <c r="IH28" s="2042"/>
      <c r="II28" s="2042"/>
      <c r="IJ28" s="2042"/>
    </row>
    <row r="29" spans="1:244" ht="15.6" customHeight="1" x14ac:dyDescent="0.2">
      <c r="A29" s="1159"/>
      <c r="B29" s="1160"/>
      <c r="C29" s="1160"/>
      <c r="D29" s="1160"/>
      <c r="E29" s="1160"/>
      <c r="F29" s="2014" cm="1">
        <f t="array" ref="F29">INDEX(Pflanzen!$M$5:$M$109,BR29)</f>
        <v>0</v>
      </c>
      <c r="G29" s="2015" cm="1">
        <f t="array" ref="G29">INDEX(Pflanzen!$AD$5:$AD$109,BR29)</f>
        <v>0</v>
      </c>
      <c r="H29" s="2299" cm="1">
        <f t="array" ref="H29">INDEX(Pflanzen!$AE$5:$AE$109,BR29)</f>
        <v>0</v>
      </c>
      <c r="I29" s="1259"/>
      <c r="J29" s="1256"/>
      <c r="K29" s="1259"/>
      <c r="L29" s="1970"/>
      <c r="M29" s="1246"/>
      <c r="N29" s="1870"/>
      <c r="O29" s="1870"/>
      <c r="P29" s="2211"/>
      <c r="Q29" s="2196"/>
      <c r="R29" s="1970"/>
      <c r="S29" s="1246"/>
      <c r="T29" s="1256"/>
      <c r="U29" s="1159"/>
      <c r="V29" s="2316" t="str">
        <f t="shared" si="82"/>
        <v/>
      </c>
      <c r="Y29" s="2005" t="str" cm="1">
        <f t="array" ref="Y29">IFERROR(INDEX($CW$4:$CW$171,AY29),"")</f>
        <v/>
      </c>
      <c r="Z29" s="510"/>
      <c r="AA29" s="510"/>
      <c r="AB29" s="510"/>
      <c r="AC29" s="2031" t="str" cm="1">
        <f t="array" ref="AC29">IFERROR(INDEX($GL$4:$GL$171,AY29),"")</f>
        <v/>
      </c>
      <c r="AD29" s="2031" t="str" cm="1">
        <f t="array" ref="AD29">IFERROR(INDEX($GM$4:$GM$171,AY29),"")</f>
        <v/>
      </c>
      <c r="AE29" s="2031" t="str" cm="1">
        <f t="array" ref="AE29">IFERROR(INDEX($GH$4:$GH$171,AY29),"")</f>
        <v/>
      </c>
      <c r="AF29" s="2031" t="str" cm="1">
        <f t="array" ref="AF29">IFERROR(INDEX($GI$4:$GI$171,AY29),"")</f>
        <v/>
      </c>
      <c r="AG29" s="2031" t="str" cm="1">
        <f t="array" ref="AG29">IFERROR(INDEX($GO$4:$GO$171,AY29),"")</f>
        <v/>
      </c>
      <c r="AH29" s="2031" t="str" cm="1">
        <f t="array" ref="AH29">IFERROR(INDEX($GP$4:$GP$171,AY29),"")</f>
        <v/>
      </c>
      <c r="AI29" s="2031" t="str" cm="1">
        <f t="array" ref="AI29">IFERROR(INDEX($GF$4:$GF$171,AY29),"")</f>
        <v/>
      </c>
      <c r="AJ29" s="2031" t="str" cm="1">
        <f t="array" ref="AJ29">IFERROR(INDEX($GG$4:$GG$171,AY29),"")</f>
        <v/>
      </c>
      <c r="AK29" s="2031" t="str" cm="1">
        <f t="array" ref="AK29">IFERROR(INDEX($GS$4:$GS$171,AY29),"")</f>
        <v/>
      </c>
      <c r="AL29" s="2032" t="str" cm="1">
        <f t="array" ref="AL29">IFERROR(INDEX($GT$4:$GT$171,AY29),"")</f>
        <v/>
      </c>
      <c r="AM29" s="2031" t="str" cm="1">
        <f t="array" ref="AM29">IFERROR(INDEX($GB$4:$GB$171,AY29),"")</f>
        <v/>
      </c>
      <c r="AN29" s="2031" t="str" cm="1">
        <f t="array" ref="AN29">IFERROR(INDEX($GC$4:$GC$171,AY29),"")</f>
        <v/>
      </c>
      <c r="AO29" s="2031" t="str" cm="1">
        <f t="array" ref="AO29">IFERROR(INDEX($GU$4:$GU$171,AY29),"")</f>
        <v/>
      </c>
      <c r="AP29" s="2031" t="str" cm="1">
        <f t="array" ref="AP29">IFERROR(INDEX($GX$4:$GX$171,AY29),"")</f>
        <v/>
      </c>
      <c r="AQ29" s="1316"/>
      <c r="AR29" s="2031" t="str" cm="1">
        <f t="array" ref="AR29">IFERROR(INDEX($HD$4:$HD$171,AY29),"")</f>
        <v/>
      </c>
      <c r="AS29" s="2031" t="str" cm="1">
        <f t="array" ref="AS29">IFERROR(INDEX($HE$4:$HE$171,AY29),"")</f>
        <v/>
      </c>
      <c r="AT29" s="2031" t="str" cm="1">
        <f t="array" ref="AT29">IFERROR(INDEX($HF$4:$HF$171,AY29),"")</f>
        <v/>
      </c>
      <c r="AU29" s="2031" t="str" cm="1">
        <f t="array" ref="AU29">IFERROR(INDEX($GJ$4:$GJ$171,AY29),"")</f>
        <v/>
      </c>
      <c r="AV29" s="2031" t="str" cm="1">
        <f t="array" ref="AV29">IFERROR(INDEX($GK$4:$GK$171,AY29),"")</f>
        <v/>
      </c>
      <c r="AY29" s="2042" t="str" cm="1">
        <f t="array" ref="AY29">IFERROR(SMALL(IF($HI$4:$HI$171=1,ROW($HI$4:$HI$171)-3),ROW(W17)),IFERROR(SMALL(IF($HI$4:$HI$171=2,ROW($HI$4:$HI$171)-3),ROW(W17)-COUNTIF($HI$4:$HI$171,1)),IFERROR(SMALL(IF($HI$4:$HI$171=0,ROW($HI$4:$HI$171)-3),ROW(W17)-COUNTIF($HI$4:$HI$171,1)-COUNTIF($HI$4:$HI$171,2)),"")))</f>
        <v/>
      </c>
      <c r="AZ29" s="2042" t="str">
        <f t="shared" si="59"/>
        <v>a</v>
      </c>
      <c r="BA29" s="2053" t="e">
        <f t="shared" si="60"/>
        <v>#VALUE!</v>
      </c>
      <c r="BB29" s="2053" cm="1">
        <f t="array" ref="BB29">IFERROR(INDEX($HI$4:$HI$171,AY29),0)</f>
        <v>0</v>
      </c>
      <c r="BC29" s="2053">
        <f t="shared" si="61"/>
        <v>0</v>
      </c>
      <c r="BD29" s="2053"/>
      <c r="BE29" s="2307"/>
      <c r="BF29" s="2307"/>
      <c r="BG29" s="2307"/>
      <c r="BH29" s="2307"/>
      <c r="BI29" s="2307"/>
      <c r="BJ29" s="2307"/>
      <c r="BK29" s="2307"/>
      <c r="BL29" s="2307"/>
      <c r="BM29" s="2307"/>
      <c r="BN29" s="2307"/>
      <c r="BO29" s="2307"/>
      <c r="BP29" s="2043"/>
      <c r="BQ29" s="2042"/>
      <c r="BR29" s="2042">
        <v>1</v>
      </c>
      <c r="BS29" s="2042"/>
      <c r="BT29" s="2042" t="b">
        <v>0</v>
      </c>
      <c r="BU29" s="2058"/>
      <c r="BV29" s="2058"/>
      <c r="BW29" s="2042">
        <f t="shared" si="62"/>
        <v>12</v>
      </c>
      <c r="BX29" s="2042">
        <f t="shared" si="63"/>
        <v>0</v>
      </c>
      <c r="BY29" s="2042">
        <f t="shared" si="64"/>
        <v>12</v>
      </c>
      <c r="BZ29" s="2042" cm="1">
        <f t="array" ref="BZ29">INDEX(Pflanzen!$AI$5:$AI$119,'Lagerhaltung (freiwillig)'!BR29)</f>
        <v>0</v>
      </c>
      <c r="CA29" s="2042" cm="1">
        <f t="array" ref="CA29">IF(BZ29=1,INDEX(Pflanzen!$AJ$5:$AJ$119,BR29),N29)</f>
        <v>0</v>
      </c>
      <c r="CB29" s="2042" cm="1">
        <f t="array" ref="CB29">IF(BZ29=1,INDEX(Pflanzen!$AK$5:$AK$119,BR29),O29)</f>
        <v>0</v>
      </c>
      <c r="CC29" s="2042">
        <f t="shared" si="65"/>
        <v>12</v>
      </c>
      <c r="CD29" s="2042">
        <f t="shared" si="66"/>
        <v>0</v>
      </c>
      <c r="CE29" s="2042">
        <f t="shared" si="67"/>
        <v>12</v>
      </c>
      <c r="CF29" s="2042" cm="1">
        <f t="array" ref="CF29">INDEX(Pflanzen!$F$5:$F$119,BR29)</f>
        <v>0</v>
      </c>
      <c r="CG29" s="2042" cm="1">
        <f t="array" ref="CG29">INDEX(Pflanzen!$H$5:$H$119,BR29)</f>
        <v>0</v>
      </c>
      <c r="CH29" s="2042">
        <f t="shared" si="68"/>
        <v>0</v>
      </c>
      <c r="CI29" s="2042">
        <f t="shared" si="69"/>
        <v>0</v>
      </c>
      <c r="CJ29" s="2042">
        <f t="shared" si="70"/>
        <v>0</v>
      </c>
      <c r="CK29" s="2042">
        <f t="shared" si="71"/>
        <v>0</v>
      </c>
      <c r="CL29" s="2042">
        <f t="shared" si="72"/>
        <v>0</v>
      </c>
      <c r="CM29" s="2042">
        <f t="shared" si="73"/>
        <v>0</v>
      </c>
      <c r="CN29" s="2042">
        <f t="shared" si="74"/>
        <v>0</v>
      </c>
      <c r="CO29" s="2042">
        <f t="shared" si="75"/>
        <v>0</v>
      </c>
      <c r="CP29" s="2042">
        <f t="shared" si="76"/>
        <v>0</v>
      </c>
      <c r="CQ29" s="2042">
        <f t="shared" si="77"/>
        <v>0</v>
      </c>
      <c r="CR29" s="2042">
        <f t="shared" si="78"/>
        <v>0</v>
      </c>
      <c r="CS29" s="2042">
        <f t="shared" si="79"/>
        <v>0</v>
      </c>
      <c r="CT29" s="2042">
        <f t="shared" si="80"/>
        <v>0</v>
      </c>
      <c r="CU29" s="2042">
        <f t="shared" si="81"/>
        <v>0</v>
      </c>
      <c r="CV29" s="2042"/>
      <c r="CW29" s="609" t="str">
        <f>Pflanzen!A25</f>
        <v>Erbsen</v>
      </c>
      <c r="CX29" s="2042">
        <f>IFERROR(MATCH($CW29,Pflanzen!$C$5:$C$119,0),1)</f>
        <v>21</v>
      </c>
      <c r="CY29" s="609" cm="1">
        <f t="array" ref="CY29">INDEX(Pflanzen!$I$5:$I$119,'Lagerhaltung (freiwillig)'!CX29)</f>
        <v>2</v>
      </c>
      <c r="CZ29" s="2042">
        <f t="shared" ref="CZ29:DK38" si="106">SUMIFS($CQ$14:$CQ$68,$BW$14:$BW$68,1,$BX$14:$BX$68,CZ$2,$BR$14:$BR$68,$CX29)+    SUMIFS($CQ$14:$CQ$68,$BW$14:$BW$68,"&gt;1",$BX$14:$BX$68,"&lt;="&amp;CZ$2,$BY$14:$BY$68,"&gt;="&amp;CZ$2,$BR$14:$BR$68,$CX29)</f>
        <v>0</v>
      </c>
      <c r="DA29" s="2042">
        <f t="shared" si="106"/>
        <v>0</v>
      </c>
      <c r="DB29" s="2042">
        <f t="shared" si="106"/>
        <v>0</v>
      </c>
      <c r="DC29" s="2042">
        <f t="shared" si="106"/>
        <v>0</v>
      </c>
      <c r="DD29" s="2042">
        <f t="shared" si="106"/>
        <v>0</v>
      </c>
      <c r="DE29" s="2042">
        <f t="shared" si="106"/>
        <v>0</v>
      </c>
      <c r="DF29" s="2042">
        <f t="shared" si="106"/>
        <v>0</v>
      </c>
      <c r="DG29" s="2042">
        <f t="shared" si="106"/>
        <v>0</v>
      </c>
      <c r="DH29" s="2042">
        <f t="shared" si="106"/>
        <v>0</v>
      </c>
      <c r="DI29" s="2042">
        <f t="shared" si="106"/>
        <v>0</v>
      </c>
      <c r="DJ29" s="2042">
        <f t="shared" si="106"/>
        <v>0</v>
      </c>
      <c r="DK29" s="2042">
        <f t="shared" si="106"/>
        <v>0</v>
      </c>
      <c r="DL29" s="2042"/>
      <c r="DM29" s="2042">
        <f t="shared" ref="DM29:DX38" si="107">SUMIFS($CS$14:$CS$68,$BW$14:$BW$68,1,$BX$14:$BX$68,DM$2,$BR$14:$BR$68,$CX29)+    SUMIFS($CS$14:$CS$68,$BW$14:$BW$68,"&gt;1",$BX$14:$BX$68,"&lt;="&amp;DM$2,$BY$14:$BY$68,"&gt;="&amp;DM$2,$BR$14:$BR$68,$CX29)</f>
        <v>0</v>
      </c>
      <c r="DN29" s="2042">
        <f t="shared" si="107"/>
        <v>0</v>
      </c>
      <c r="DO29" s="2042">
        <f t="shared" si="107"/>
        <v>0</v>
      </c>
      <c r="DP29" s="2042">
        <f t="shared" si="107"/>
        <v>0</v>
      </c>
      <c r="DQ29" s="2042">
        <f t="shared" si="107"/>
        <v>0</v>
      </c>
      <c r="DR29" s="2042">
        <f t="shared" si="107"/>
        <v>0</v>
      </c>
      <c r="DS29" s="2042">
        <f t="shared" si="107"/>
        <v>0</v>
      </c>
      <c r="DT29" s="2042">
        <f t="shared" si="107"/>
        <v>0</v>
      </c>
      <c r="DU29" s="2042">
        <f t="shared" si="107"/>
        <v>0</v>
      </c>
      <c r="DV29" s="2042">
        <f t="shared" si="107"/>
        <v>0</v>
      </c>
      <c r="DW29" s="2042">
        <f t="shared" si="107"/>
        <v>0</v>
      </c>
      <c r="DX29" s="2042">
        <f t="shared" si="107"/>
        <v>0</v>
      </c>
      <c r="DY29" s="2042"/>
      <c r="DZ29" s="2042">
        <f t="shared" ref="DZ29:EK38" si="108">SUMIFS($CL$14:$CL$68,$CC$14:$CC$68,1,$CD$14:$CD$68,DZ$2,$BR$14:$BR$68,$CX29)+         SUMIFS($CL$14:$CL$68,$CC$14:$CC$68,"&gt;1",$CD$14:$CD$68,"&lt;="&amp;DZ$2,$CE$14:$CE$68,"&gt;="&amp;DZ$2,$BR$14:$BR$68,$CX29)</f>
        <v>0</v>
      </c>
      <c r="EA29" s="2042">
        <f t="shared" si="108"/>
        <v>0</v>
      </c>
      <c r="EB29" s="2042">
        <f t="shared" si="108"/>
        <v>0</v>
      </c>
      <c r="EC29" s="2042">
        <f t="shared" si="108"/>
        <v>0</v>
      </c>
      <c r="ED29" s="2042">
        <f t="shared" si="108"/>
        <v>0</v>
      </c>
      <c r="EE29" s="2042">
        <f t="shared" si="108"/>
        <v>0</v>
      </c>
      <c r="EF29" s="2042">
        <f t="shared" si="108"/>
        <v>0</v>
      </c>
      <c r="EG29" s="2042">
        <f t="shared" si="108"/>
        <v>0</v>
      </c>
      <c r="EH29" s="2042">
        <f t="shared" si="108"/>
        <v>0</v>
      </c>
      <c r="EI29" s="2042">
        <f t="shared" si="108"/>
        <v>0</v>
      </c>
      <c r="EJ29" s="2042">
        <f t="shared" si="108"/>
        <v>0</v>
      </c>
      <c r="EK29" s="2042">
        <f t="shared" si="108"/>
        <v>0</v>
      </c>
      <c r="EL29" s="2042"/>
      <c r="EM29" s="2042">
        <f t="shared" ref="EM29:EX38" si="109">SUMIFS($CN$14:$CN$68,$CC$14:$CC$68,1,$CD$14:$CD$68,EM$2,$BR$14:$BR$68,$CX29)+         SUMIFS($CN$14:$CN$68,$CC$14:$CC$68,"&gt;1",$CD$14:$CD$68,"&lt;="&amp;EM$2,$CE$14:$CE$68,"&gt;="&amp;EM$2,$BR$14:$BR$68,$CX29)</f>
        <v>0</v>
      </c>
      <c r="EN29" s="2042">
        <f t="shared" si="109"/>
        <v>0</v>
      </c>
      <c r="EO29" s="2042">
        <f t="shared" si="109"/>
        <v>0</v>
      </c>
      <c r="EP29" s="2042">
        <f t="shared" si="109"/>
        <v>0</v>
      </c>
      <c r="EQ29" s="2042">
        <f t="shared" si="109"/>
        <v>0</v>
      </c>
      <c r="ER29" s="2042">
        <f t="shared" si="109"/>
        <v>0</v>
      </c>
      <c r="ES29" s="2042">
        <f t="shared" si="109"/>
        <v>0</v>
      </c>
      <c r="ET29" s="2042">
        <f t="shared" si="109"/>
        <v>0</v>
      </c>
      <c r="EU29" s="2042">
        <f t="shared" si="109"/>
        <v>0</v>
      </c>
      <c r="EV29" s="2042">
        <f t="shared" si="109"/>
        <v>0</v>
      </c>
      <c r="EW29" s="2042">
        <f t="shared" si="109"/>
        <v>0</v>
      </c>
      <c r="EX29" s="2042">
        <f t="shared" si="109"/>
        <v>0</v>
      </c>
      <c r="EY29" s="2042"/>
      <c r="EZ29" s="2045">
        <f t="shared" si="50"/>
        <v>0</v>
      </c>
      <c r="FA29" s="2042">
        <f>EZ29+CZ29+DZ29                 -         SUMIF('Berechnung Nährstoffe und Lager'!$AX$113:$AX$155,$CX29,'Berechnung Nährstoffe und Lager'!$U$113:$U$155)/12  -$GB29*$HC29/12</f>
        <v>0</v>
      </c>
      <c r="FB29" s="2042">
        <f>FA29+DA29+EA29                 -         SUMIF('Berechnung Nährstoffe und Lager'!$AX$113:$AX$155,$CX29,'Berechnung Nährstoffe und Lager'!$U$113:$U$155)/12  -$GB29*$HC29/12</f>
        <v>0</v>
      </c>
      <c r="FC29" s="2042">
        <f>FB29+DB29+EB29                 -         SUMIF('Berechnung Nährstoffe und Lager'!$AX$113:$AX$155,$CX29,'Berechnung Nährstoffe und Lager'!$U$113:$U$155)/12  -$GB29*$HC29/12</f>
        <v>0</v>
      </c>
      <c r="FD29" s="2042">
        <f>FC29+DC29+EC29                 -         SUMIF('Berechnung Nährstoffe und Lager'!$AX$113:$AX$155,$CX29,'Berechnung Nährstoffe und Lager'!$U$113:$U$155)/12  -$GB29*$HC29/12</f>
        <v>0</v>
      </c>
      <c r="FE29" s="2042">
        <f>FD29+DD29+ED29                 -         SUMIF('Berechnung Nährstoffe und Lager'!$AX$113:$AX$155,$CX29,'Berechnung Nährstoffe und Lager'!$U$113:$U$155)/12  -$GB29*$HC29/12</f>
        <v>0</v>
      </c>
      <c r="FF29" s="2042">
        <f>FE29+DE29+EE29                 -         SUMIF('Berechnung Nährstoffe und Lager'!$AX$113:$AX$155,$CX29,'Berechnung Nährstoffe und Lager'!$U$113:$U$155)/12  -$GB29*$HC29/12</f>
        <v>0</v>
      </c>
      <c r="FG29" s="2042">
        <f>FF29+DF29+EF29                 -         SUMIF('Berechnung Nährstoffe und Lager'!$AX$113:$AX$155,$CX29,'Berechnung Nährstoffe und Lager'!$U$113:$U$155)/12  -$GB29*$HC29/12</f>
        <v>0</v>
      </c>
      <c r="FH29" s="2042">
        <f>FG29+DG29+EG29                 -         SUMIF('Berechnung Nährstoffe und Lager'!$AX$113:$AX$155,$CX29,'Berechnung Nährstoffe und Lager'!$U$113:$U$155)/12  -$GB29*$HC29/12</f>
        <v>0</v>
      </c>
      <c r="FI29" s="2042">
        <f>FH29+DH29+EH29                 -         SUMIF('Berechnung Nährstoffe und Lager'!$AX$113:$AX$155,$CX29,'Berechnung Nährstoffe und Lager'!$U$113:$U$155)/12  -$GB29*$HC29/12</f>
        <v>0</v>
      </c>
      <c r="FJ29" s="2042">
        <f>FI29+DI29+EI29                 -         SUMIF('Berechnung Nährstoffe und Lager'!$AX$113:$AX$155,$CX29,'Berechnung Nährstoffe und Lager'!$U$113:$U$155)/12  -$GB29*$HC29/12</f>
        <v>0</v>
      </c>
      <c r="FK29" s="2042">
        <f>FJ29+DJ29+EJ29                 -         SUMIF('Berechnung Nährstoffe und Lager'!$AX$113:$AX$155,$CX29,'Berechnung Nährstoffe und Lager'!$U$113:$U$155)/12  -$GB29*$HC29/12</f>
        <v>0</v>
      </c>
      <c r="FL29" s="2042">
        <f>FK29+DK29+EK29                 -         SUMIF('Berechnung Nährstoffe und Lager'!$AX$113:$AX$155,$CX29,'Berechnung Nährstoffe und Lager'!$U$113:$U$155)/12  -$GB29*$HC29/12</f>
        <v>0</v>
      </c>
      <c r="FM29" s="2042"/>
      <c r="FN29" s="2045">
        <f t="shared" si="51"/>
        <v>0</v>
      </c>
      <c r="FO29" s="2042">
        <f>FN29+DM29+EM29                 -         SUMIF('Berechnung Nährstoffe und Lager'!$AX$113:$AX$155,$CX29,'Berechnung Nährstoffe und Lager'!$V$113:$V$155)/12  -$GC29*$HC29/12</f>
        <v>0</v>
      </c>
      <c r="FP29" s="2042">
        <f>FO29+DN29+EN29                 -         SUMIF('Berechnung Nährstoffe und Lager'!$AX$113:$AX$155,$CX29,'Berechnung Nährstoffe und Lager'!$V$113:$V$155)/12  -$GC29*$HC29/12</f>
        <v>0</v>
      </c>
      <c r="FQ29" s="2042">
        <f>FP29+DO29+EO29                 -         SUMIF('Berechnung Nährstoffe und Lager'!$AX$113:$AX$155,$CX29,'Berechnung Nährstoffe und Lager'!$V$113:$V$155)/12  -$GC29*$HC29/12</f>
        <v>0</v>
      </c>
      <c r="FR29" s="2042">
        <f>FQ29+DP29+EP29                 -         SUMIF('Berechnung Nährstoffe und Lager'!$AX$113:$AX$155,$CX29,'Berechnung Nährstoffe und Lager'!$V$113:$V$155)/12  -$GC29*$HC29/12</f>
        <v>0</v>
      </c>
      <c r="FS29" s="2042">
        <f>FR29+DQ29+EQ29                 -         SUMIF('Berechnung Nährstoffe und Lager'!$AX$113:$AX$155,$CX29,'Berechnung Nährstoffe und Lager'!$V$113:$V$155)/12  -$GC29*$HC29/12</f>
        <v>0</v>
      </c>
      <c r="FT29" s="2042">
        <f>FS29+DR29+ER29                 -         SUMIF('Berechnung Nährstoffe und Lager'!$AX$113:$AX$155,$CX29,'Berechnung Nährstoffe und Lager'!$V$113:$V$155)/12  -$GC29*$HC29/12</f>
        <v>0</v>
      </c>
      <c r="FU29" s="2042">
        <f>FT29+DS29+ES29                 -         SUMIF('Berechnung Nährstoffe und Lager'!$AX$113:$AX$155,$CX29,'Berechnung Nährstoffe und Lager'!$V$113:$V$155)/12  -$GC29*$HC29/12</f>
        <v>0</v>
      </c>
      <c r="FV29" s="2042">
        <f>FU29+DT29+ET29                 -         SUMIF('Berechnung Nährstoffe und Lager'!$AX$113:$AX$155,$CX29,'Berechnung Nährstoffe und Lager'!$V$113:$V$155)/12  -$GC29*$HC29/12</f>
        <v>0</v>
      </c>
      <c r="FW29" s="2042">
        <f>FV29+DU29+EU29                 -         SUMIF('Berechnung Nährstoffe und Lager'!$AX$113:$AX$155,$CX29,'Berechnung Nährstoffe und Lager'!$V$113:$V$155)/12  -$GC29*$HC29/12</f>
        <v>0</v>
      </c>
      <c r="FX29" s="2042">
        <f>FW29+DV29+EV29                 -         SUMIF('Berechnung Nährstoffe und Lager'!$AX$113:$AX$155,$CX29,'Berechnung Nährstoffe und Lager'!$V$113:$V$155)/12  -$GC29*$HC29/12</f>
        <v>0</v>
      </c>
      <c r="FY29" s="2042">
        <f>FX29+DW29+EW29                 -         SUMIF('Berechnung Nährstoffe und Lager'!$AX$113:$AX$155,$CX29,'Berechnung Nährstoffe und Lager'!$V$113:$V$155)/12  -$GC29*$HC29/12</f>
        <v>0</v>
      </c>
      <c r="FZ29" s="2042">
        <f>FY29+DX29+EX29                 -         SUMIF('Berechnung Nährstoffe und Lager'!$AX$113:$AX$155,$CX29,'Berechnung Nährstoffe und Lager'!$V$113:$V$155)/12  -$GC29*$HC29/12</f>
        <v>0</v>
      </c>
      <c r="GA29" s="2042"/>
      <c r="GB29" s="2042">
        <f>SUMIFS($CI$14:$CI$68,$BR$14:$BR$68,$CX29)+SUMIFS($CM$14:$CM$68,$BR$14:$BR$68,$CX29)+SUMIFS($CR$14:$CR$68,$BR$14:$BR$68,$CX29)  -         SUMIF('Berechnung Nährstoffe und Lager'!$AX$113:$AX$155,$CX29,'Berechnung Nährstoffe und Lager'!$U$113:$U$155)</f>
        <v>0</v>
      </c>
      <c r="GC29" s="2042">
        <f>SUMIFS($CJ$14:$CJ$68,$BR$14:$BR$68,$CX29)+SUMIFS($CO$14:$CO$68,$BR$14:$BR$68,$CX29)+SUMIFS($CT$14:$CT$68,$BR$14:$BR$68,$CX29)  -         SUMIF('Berechnung Nährstoffe und Lager'!$AX$113:$AX$155,$CX29,'Berechnung Nährstoffe und Lager'!$V$113:$V$155)</f>
        <v>0</v>
      </c>
      <c r="GD29" s="2042"/>
      <c r="GE29" s="2042"/>
      <c r="GF29" s="2042">
        <f>SUMIF('Berechnung Nährstoffe und Lager'!$AX$113:$AX$155,$CX29,'Berechnung Nährstoffe und Lager'!$U$113:$U$155)</f>
        <v>0</v>
      </c>
      <c r="GG29" s="2042">
        <f>SUMIF('Berechnung Nährstoffe und Lager'!$AX$113:$AX$155,$CX29,'Berechnung Nährstoffe und Lager'!$V$113:$V$155)</f>
        <v>0</v>
      </c>
      <c r="GH29" s="2042">
        <f t="shared" si="52"/>
        <v>0</v>
      </c>
      <c r="GI29" s="2042">
        <f t="shared" si="53"/>
        <v>0</v>
      </c>
      <c r="GJ29" s="2042">
        <f t="shared" si="34"/>
        <v>0</v>
      </c>
      <c r="GK29" s="2042">
        <f t="shared" si="35"/>
        <v>0</v>
      </c>
      <c r="GL29" s="2042">
        <f t="shared" si="36"/>
        <v>0</v>
      </c>
      <c r="GM29" s="2042" cm="1">
        <f t="array" ref="GM29">IF(GL29=0,0,(IFERROR(SUMPRODUCT($J$14:$J$68,$CH$14:$CH$68,($BR$14:$BR$68=CX29)*1)+SUMPRODUCT($L$14:$L$68,$M$14:$M$68,$CK$14:$CK$68,($BR$14:$BR$68=CX29)*1,($BT$14:$BT$68=FALSE)*1)/10+SUMPRODUCT($R$14:$R$68,$CP$14:$CP$68,($BR$14:$BR$68=CX29)*1),0))/GL29)</f>
        <v>0</v>
      </c>
      <c r="GN29" s="2042">
        <f t="shared" si="54"/>
        <v>0</v>
      </c>
      <c r="GO29" s="2042">
        <f>(SUMIF('Berechnung Nährstoffe und Lager'!$AX$113:$AX$130,'Lagerhaltung (freiwillig)'!CX29,'Berechnung Nährstoffe und Lager'!$D$113:$D$130)+SUMIF('Berechnung Nährstoffe und Lager'!$AX$137:$AX$155,'Lagerhaltung (freiwillig)'!CX29,'Berechnung Nährstoffe und Lager'!$E$137:$E$155))</f>
        <v>0</v>
      </c>
      <c r="GP29" s="2042" cm="1">
        <f t="array" ref="GP29">IF(GO29=0,0,(IFERROR(SUMPRODUCT('Berechnung Nährstoffe und Lager'!$D$113:$D$130,'Berechnung Nährstoffe und Lager'!$F$113:$F$130,('Berechnung Nährstoffe und Lager'!$AX$113:$AX$130='Lagerhaltung (freiwillig)'!CX29)*1)+SUMPRODUCT('Berechnung Nährstoffe und Lager'!$E$137:$E$155,'Berechnung Nährstoffe und Lager'!$F$137:$F$155,('Berechnung Nährstoffe und Lager'!$AX$137:$AX$155='Lagerhaltung (freiwillig)'!CX29)*1),0))/GO29)</f>
        <v>0</v>
      </c>
      <c r="GQ29" s="2042">
        <f t="shared" si="55"/>
        <v>0</v>
      </c>
      <c r="GR29" s="2042">
        <f t="shared" si="56"/>
        <v>0</v>
      </c>
      <c r="GS29" s="2042">
        <f t="shared" si="57"/>
        <v>0</v>
      </c>
      <c r="GT29" s="2042">
        <f t="shared" si="58"/>
        <v>0</v>
      </c>
      <c r="GU29" s="2045" t="str">
        <f t="shared" si="39"/>
        <v xml:space="preserve"> </v>
      </c>
      <c r="GV29" s="2045" t="str">
        <f t="shared" si="39"/>
        <v xml:space="preserve"> </v>
      </c>
      <c r="GW29" s="2054">
        <f t="shared" si="40"/>
        <v>0</v>
      </c>
      <c r="GX29" s="2042">
        <f t="shared" si="41"/>
        <v>0</v>
      </c>
      <c r="GY29" s="2042" t="str">
        <f t="shared" si="42"/>
        <v>a</v>
      </c>
      <c r="GZ29" s="2055">
        <f t="shared" si="43"/>
        <v>0</v>
      </c>
      <c r="HA29" s="2055">
        <f t="shared" si="44"/>
        <v>0</v>
      </c>
      <c r="HB29" s="2055"/>
      <c r="HC29" s="2046">
        <f t="shared" si="45"/>
        <v>0</v>
      </c>
      <c r="HD29" s="2055">
        <f t="shared" si="46"/>
        <v>0</v>
      </c>
      <c r="HE29" s="2055">
        <f t="shared" si="47"/>
        <v>0</v>
      </c>
      <c r="HF29" s="2055">
        <f t="shared" si="48"/>
        <v>0</v>
      </c>
      <c r="HG29" s="2282" cm="1">
        <f t="array" ref="HG29">IF(AND(HE29=0,GJ29=0),0,IF(HE29=0,1,IF(OR(GJ29*1000/HE29/HF29&gt;INDEX(Pflanzen!$AD$5:$AD$109,CX29)/INDEX(Pflanzen!$M$5:$M$109,CX29)*$HG$1,GJ29*1000/HE29/HF29&lt;INDEX(Pflanzen!$AD$5:$AD$109,CX29)/INDEX(Pflanzen!$M$5:$M$109,CX29)/$HG$1),1,0)))</f>
        <v>0</v>
      </c>
      <c r="HH29" s="2282" cm="1">
        <f t="array" ref="HH29">IF(AND(GK29=0,HE29=0),0,IF(HE29=0,1,IF(OR(GK29*1000/HE29/HF29&gt;INDEX(Pflanzen!$AE$5:$AE$109,CX29)/INDEX(Pflanzen!$M$5:$M$109,CX29)*$HG$1,GK29*1000/HE29/HF29&lt;INDEX(Pflanzen!$AE$5:$AE$109,CX29)/INDEX(Pflanzen!$M$5:$M$109,CX29)/$HG$1),1,0)))</f>
        <v>0</v>
      </c>
      <c r="HI29" s="2042">
        <f t="shared" si="49"/>
        <v>3</v>
      </c>
      <c r="HJ29" s="2042"/>
      <c r="HL29" s="2042"/>
      <c r="HM29" s="2052" t="str">
        <f>Tiere!B55</f>
        <v>Mastschweine (750 g TZ), N-/P-reduziert</v>
      </c>
      <c r="HN29" s="2042">
        <v>26</v>
      </c>
      <c r="HO29" s="2053">
        <f>SUMIF('Berechnung Nährstoffe und Lager'!$BM$68:$BM$81,'Lagerhaltung (freiwillig)'!HN29,'Berechnung Nährstoffe und Lager'!$Z$68:$Z$81)+SUMIF('Berechnung Nährstoffe und Lager'!$BM$68:$BM$81,'Lagerhaltung (freiwillig)'!HN29,'Berechnung Nährstoffe und Lager'!$AA$68:$AA$81)</f>
        <v>0</v>
      </c>
      <c r="HP29" s="2042" cm="1">
        <f t="array" ref="HP29">INDEX(Tiere!$C$30:$C$85,'Lagerhaltung (freiwillig)'!HN29)</f>
        <v>2</v>
      </c>
      <c r="HQ29" s="2042" cm="1">
        <f t="array" ref="HQ29">INDEX(Tiere!$H$30:$H$85,'Lagerhaltung (freiwillig)'!HN29)</f>
        <v>0</v>
      </c>
      <c r="HR29" s="2042">
        <f t="shared" si="12"/>
        <v>0</v>
      </c>
      <c r="HS29" s="2042" cm="1">
        <f t="array" ref="HS29">INDEX(Tiere!$I$30:$I$85,'Lagerhaltung (freiwillig)'!HN29)</f>
        <v>0</v>
      </c>
      <c r="HT29" s="2042">
        <f t="shared" si="13"/>
        <v>0</v>
      </c>
      <c r="HU29" s="2042" cm="1">
        <f t="array" ref="HU29">INDEX(Tiere!$BC$30:$BC$85,'Lagerhaltung (freiwillig)'!HN29)</f>
        <v>7.008</v>
      </c>
      <c r="HV29" s="2042">
        <f t="shared" si="6"/>
        <v>0</v>
      </c>
      <c r="HW29" s="2042" cm="1">
        <f t="array" ref="HW29">INDEX(Tiere!$BD$30:$BD$85,'Lagerhaltung (freiwillig)'!HN29)</f>
        <v>3.2028749999999997</v>
      </c>
      <c r="HX29" s="2042">
        <f t="shared" si="7"/>
        <v>0</v>
      </c>
      <c r="HY29" s="2042"/>
      <c r="HZ29" s="2042"/>
      <c r="IA29" s="2042"/>
      <c r="IB29" s="2042"/>
      <c r="IC29" s="2042"/>
      <c r="ID29" s="2042"/>
      <c r="IE29" s="2042"/>
      <c r="IF29" s="2042"/>
      <c r="IG29" s="2042"/>
      <c r="IH29" s="2042"/>
      <c r="II29" s="2042"/>
      <c r="IJ29" s="2042"/>
    </row>
    <row r="30" spans="1:244" ht="15.6" customHeight="1" x14ac:dyDescent="0.2">
      <c r="A30" s="1159"/>
      <c r="B30" s="1160"/>
      <c r="C30" s="1160"/>
      <c r="D30" s="1160"/>
      <c r="E30" s="1160"/>
      <c r="F30" s="2014" cm="1">
        <f t="array" ref="F30">INDEX(Pflanzen!$M$5:$M$109,BR30)</f>
        <v>0</v>
      </c>
      <c r="G30" s="2015" cm="1">
        <f t="array" ref="G30">INDEX(Pflanzen!$AD$5:$AD$109,BR30)</f>
        <v>0</v>
      </c>
      <c r="H30" s="2299" cm="1">
        <f t="array" ref="H30">INDEX(Pflanzen!$AE$5:$AE$109,BR30)</f>
        <v>0</v>
      </c>
      <c r="I30" s="1259"/>
      <c r="J30" s="1256"/>
      <c r="K30" s="1259"/>
      <c r="L30" s="1970"/>
      <c r="M30" s="1246"/>
      <c r="N30" s="1870"/>
      <c r="O30" s="1870"/>
      <c r="P30" s="2211"/>
      <c r="Q30" s="2196"/>
      <c r="R30" s="1970"/>
      <c r="S30" s="1246"/>
      <c r="T30" s="1256"/>
      <c r="U30" s="1159"/>
      <c r="V30" s="2316" t="str">
        <f t="shared" si="82"/>
        <v/>
      </c>
      <c r="Y30" s="2005" t="str" cm="1">
        <f t="array" ref="Y30">IFERROR(INDEX($CW$4:$CW$171,AY30),"")</f>
        <v/>
      </c>
      <c r="Z30" s="510"/>
      <c r="AA30" s="510"/>
      <c r="AB30" s="510"/>
      <c r="AC30" s="2031" t="str" cm="1">
        <f t="array" ref="AC30">IFERROR(INDEX($GL$4:$GL$171,AY30),"")</f>
        <v/>
      </c>
      <c r="AD30" s="2031" t="str" cm="1">
        <f t="array" ref="AD30">IFERROR(INDEX($GM$4:$GM$171,AY30),"")</f>
        <v/>
      </c>
      <c r="AE30" s="2031" t="str" cm="1">
        <f t="array" ref="AE30">IFERROR(INDEX($GH$4:$GH$171,AY30),"")</f>
        <v/>
      </c>
      <c r="AF30" s="2031" t="str" cm="1">
        <f t="array" ref="AF30">IFERROR(INDEX($GI$4:$GI$171,AY30),"")</f>
        <v/>
      </c>
      <c r="AG30" s="2031" t="str" cm="1">
        <f t="array" ref="AG30">IFERROR(INDEX($GO$4:$GO$171,AY30),"")</f>
        <v/>
      </c>
      <c r="AH30" s="2031" t="str" cm="1">
        <f t="array" ref="AH30">IFERROR(INDEX($GP$4:$GP$171,AY30),"")</f>
        <v/>
      </c>
      <c r="AI30" s="2031" t="str" cm="1">
        <f t="array" ref="AI30">IFERROR(INDEX($GF$4:$GF$171,AY30),"")</f>
        <v/>
      </c>
      <c r="AJ30" s="2031" t="str" cm="1">
        <f t="array" ref="AJ30">IFERROR(INDEX($GG$4:$GG$171,AY30),"")</f>
        <v/>
      </c>
      <c r="AK30" s="2031" t="str" cm="1">
        <f t="array" ref="AK30">IFERROR(INDEX($GS$4:$GS$171,AY30),"")</f>
        <v/>
      </c>
      <c r="AL30" s="2032" t="str" cm="1">
        <f t="array" ref="AL30">IFERROR(INDEX($GT$4:$GT$171,AY30),"")</f>
        <v/>
      </c>
      <c r="AM30" s="2031" t="str" cm="1">
        <f t="array" ref="AM30">IFERROR(INDEX($GB$4:$GB$171,AY30),"")</f>
        <v/>
      </c>
      <c r="AN30" s="2031" t="str" cm="1">
        <f t="array" ref="AN30">IFERROR(INDEX($GC$4:$GC$171,AY30),"")</f>
        <v/>
      </c>
      <c r="AO30" s="2031" t="str" cm="1">
        <f t="array" ref="AO30">IFERROR(INDEX($GU$4:$GU$171,AY30),"")</f>
        <v/>
      </c>
      <c r="AP30" s="2031" t="str" cm="1">
        <f t="array" ref="AP30">IFERROR(INDEX($GX$4:$GX$171,AY30),"")</f>
        <v/>
      </c>
      <c r="AQ30" s="1316"/>
      <c r="AR30" s="2031" t="str" cm="1">
        <f t="array" ref="AR30">IFERROR(INDEX($HD$4:$HD$171,AY30),"")</f>
        <v/>
      </c>
      <c r="AS30" s="2031" t="str" cm="1">
        <f t="array" ref="AS30">IFERROR(INDEX($HE$4:$HE$171,AY30),"")</f>
        <v/>
      </c>
      <c r="AT30" s="2031" t="str" cm="1">
        <f t="array" ref="AT30">IFERROR(INDEX($HF$4:$HF$171,AY30),"")</f>
        <v/>
      </c>
      <c r="AU30" s="2031" t="str" cm="1">
        <f t="array" ref="AU30">IFERROR(INDEX($GJ$4:$GJ$171,AY30),"")</f>
        <v/>
      </c>
      <c r="AV30" s="2031" t="str" cm="1">
        <f t="array" ref="AV30">IFERROR(INDEX($GK$4:$GK$171,AY30),"")</f>
        <v/>
      </c>
      <c r="AY30" s="2042" t="str" cm="1">
        <f t="array" ref="AY30">IFERROR(SMALL(IF($HI$4:$HI$171=1,ROW($HI$4:$HI$171)-3),ROW(W18)),IFERROR(SMALL(IF($HI$4:$HI$171=2,ROW($HI$4:$HI$171)-3),ROW(W18)-COUNTIF($HI$4:$HI$171,1)),IFERROR(SMALL(IF($HI$4:$HI$171=0,ROW($HI$4:$HI$171)-3),ROW(W18)-COUNTIF($HI$4:$HI$171,1)-COUNTIF($HI$4:$HI$171,2)),"")))</f>
        <v/>
      </c>
      <c r="AZ30" s="2042" t="str">
        <f t="shared" si="59"/>
        <v>a</v>
      </c>
      <c r="BA30" s="2053" t="e">
        <f t="shared" si="60"/>
        <v>#VALUE!</v>
      </c>
      <c r="BB30" s="2053" cm="1">
        <f t="array" ref="BB30">IFERROR(INDEX($HI$4:$HI$171,AY30),0)</f>
        <v>0</v>
      </c>
      <c r="BC30" s="2053">
        <f t="shared" si="61"/>
        <v>0</v>
      </c>
      <c r="BD30" s="2053"/>
      <c r="BE30" s="2307"/>
      <c r="BF30" s="2307"/>
      <c r="BG30" s="2307"/>
      <c r="BH30" s="2307"/>
      <c r="BI30" s="2307"/>
      <c r="BJ30" s="2307"/>
      <c r="BK30" s="2307"/>
      <c r="BL30" s="2307"/>
      <c r="BM30" s="2307"/>
      <c r="BN30" s="2307"/>
      <c r="BO30" s="2307"/>
      <c r="BP30" s="2043"/>
      <c r="BQ30" s="2042"/>
      <c r="BR30" s="2042">
        <v>1</v>
      </c>
      <c r="BS30" s="2042"/>
      <c r="BT30" s="2042" t="b">
        <v>0</v>
      </c>
      <c r="BU30" s="2058"/>
      <c r="BV30" s="2058"/>
      <c r="BW30" s="2042">
        <f t="shared" si="62"/>
        <v>12</v>
      </c>
      <c r="BX30" s="2042">
        <f t="shared" si="63"/>
        <v>0</v>
      </c>
      <c r="BY30" s="2042">
        <f t="shared" si="64"/>
        <v>12</v>
      </c>
      <c r="BZ30" s="2042" cm="1">
        <f t="array" ref="BZ30">INDEX(Pflanzen!$AI$5:$AI$119,'Lagerhaltung (freiwillig)'!BR30)</f>
        <v>0</v>
      </c>
      <c r="CA30" s="2042" cm="1">
        <f t="array" ref="CA30">IF(BZ30=1,INDEX(Pflanzen!$AJ$5:$AJ$119,BR30),N30)</f>
        <v>0</v>
      </c>
      <c r="CB30" s="2042" cm="1">
        <f t="array" ref="CB30">IF(BZ30=1,INDEX(Pflanzen!$AK$5:$AK$119,BR30),O30)</f>
        <v>0</v>
      </c>
      <c r="CC30" s="2042">
        <f t="shared" si="65"/>
        <v>12</v>
      </c>
      <c r="CD30" s="2042">
        <f t="shared" si="66"/>
        <v>0</v>
      </c>
      <c r="CE30" s="2042">
        <f t="shared" si="67"/>
        <v>12</v>
      </c>
      <c r="CF30" s="2042" cm="1">
        <f t="array" ref="CF30">INDEX(Pflanzen!$F$5:$F$119,BR30)</f>
        <v>0</v>
      </c>
      <c r="CG30" s="2042" cm="1">
        <f t="array" ref="CG30">INDEX(Pflanzen!$H$5:$H$119,BR30)</f>
        <v>0</v>
      </c>
      <c r="CH30" s="2042">
        <f t="shared" si="68"/>
        <v>0</v>
      </c>
      <c r="CI30" s="2042">
        <f t="shared" si="69"/>
        <v>0</v>
      </c>
      <c r="CJ30" s="2042">
        <f t="shared" si="70"/>
        <v>0</v>
      </c>
      <c r="CK30" s="2042">
        <f t="shared" si="71"/>
        <v>0</v>
      </c>
      <c r="CL30" s="2042">
        <f t="shared" si="72"/>
        <v>0</v>
      </c>
      <c r="CM30" s="2042">
        <f t="shared" si="73"/>
        <v>0</v>
      </c>
      <c r="CN30" s="2042">
        <f t="shared" si="74"/>
        <v>0</v>
      </c>
      <c r="CO30" s="2042">
        <f t="shared" si="75"/>
        <v>0</v>
      </c>
      <c r="CP30" s="2042">
        <f t="shared" si="76"/>
        <v>0</v>
      </c>
      <c r="CQ30" s="2042">
        <f t="shared" si="77"/>
        <v>0</v>
      </c>
      <c r="CR30" s="2042">
        <f t="shared" si="78"/>
        <v>0</v>
      </c>
      <c r="CS30" s="2042">
        <f t="shared" si="79"/>
        <v>0</v>
      </c>
      <c r="CT30" s="2042">
        <f t="shared" si="80"/>
        <v>0</v>
      </c>
      <c r="CU30" s="2042">
        <f t="shared" si="81"/>
        <v>0</v>
      </c>
      <c r="CV30" s="2042"/>
      <c r="CW30" s="609" t="str">
        <f>Pflanzen!A26</f>
        <v>Lupinen blau</v>
      </c>
      <c r="CX30" s="2042">
        <f>IFERROR(MATCH($CW30,Pflanzen!$C$5:$C$119,0),1)</f>
        <v>22</v>
      </c>
      <c r="CY30" s="609" cm="1">
        <f t="array" ref="CY30">INDEX(Pflanzen!$I$5:$I$119,'Lagerhaltung (freiwillig)'!CX30)</f>
        <v>2</v>
      </c>
      <c r="CZ30" s="2042">
        <f t="shared" si="106"/>
        <v>0</v>
      </c>
      <c r="DA30" s="2042">
        <f t="shared" si="106"/>
        <v>0</v>
      </c>
      <c r="DB30" s="2042">
        <f t="shared" si="106"/>
        <v>0</v>
      </c>
      <c r="DC30" s="2042">
        <f t="shared" si="106"/>
        <v>0</v>
      </c>
      <c r="DD30" s="2042">
        <f t="shared" si="106"/>
        <v>0</v>
      </c>
      <c r="DE30" s="2042">
        <f t="shared" si="106"/>
        <v>0</v>
      </c>
      <c r="DF30" s="2042">
        <f t="shared" si="106"/>
        <v>0</v>
      </c>
      <c r="DG30" s="2042">
        <f t="shared" si="106"/>
        <v>0</v>
      </c>
      <c r="DH30" s="2042">
        <f t="shared" si="106"/>
        <v>0</v>
      </c>
      <c r="DI30" s="2042">
        <f t="shared" si="106"/>
        <v>0</v>
      </c>
      <c r="DJ30" s="2042">
        <f t="shared" si="106"/>
        <v>0</v>
      </c>
      <c r="DK30" s="2042">
        <f t="shared" si="106"/>
        <v>0</v>
      </c>
      <c r="DL30" s="2042"/>
      <c r="DM30" s="2042">
        <f t="shared" si="107"/>
        <v>0</v>
      </c>
      <c r="DN30" s="2042">
        <f t="shared" si="107"/>
        <v>0</v>
      </c>
      <c r="DO30" s="2042">
        <f t="shared" si="107"/>
        <v>0</v>
      </c>
      <c r="DP30" s="2042">
        <f t="shared" si="107"/>
        <v>0</v>
      </c>
      <c r="DQ30" s="2042">
        <f t="shared" si="107"/>
        <v>0</v>
      </c>
      <c r="DR30" s="2042">
        <f t="shared" si="107"/>
        <v>0</v>
      </c>
      <c r="DS30" s="2042">
        <f t="shared" si="107"/>
        <v>0</v>
      </c>
      <c r="DT30" s="2042">
        <f t="shared" si="107"/>
        <v>0</v>
      </c>
      <c r="DU30" s="2042">
        <f t="shared" si="107"/>
        <v>0</v>
      </c>
      <c r="DV30" s="2042">
        <f t="shared" si="107"/>
        <v>0</v>
      </c>
      <c r="DW30" s="2042">
        <f t="shared" si="107"/>
        <v>0</v>
      </c>
      <c r="DX30" s="2042">
        <f t="shared" si="107"/>
        <v>0</v>
      </c>
      <c r="DY30" s="2042"/>
      <c r="DZ30" s="2042">
        <f t="shared" si="108"/>
        <v>0</v>
      </c>
      <c r="EA30" s="2042">
        <f t="shared" si="108"/>
        <v>0</v>
      </c>
      <c r="EB30" s="2042">
        <f t="shared" si="108"/>
        <v>0</v>
      </c>
      <c r="EC30" s="2042">
        <f t="shared" si="108"/>
        <v>0</v>
      </c>
      <c r="ED30" s="2042">
        <f t="shared" si="108"/>
        <v>0</v>
      </c>
      <c r="EE30" s="2042">
        <f t="shared" si="108"/>
        <v>0</v>
      </c>
      <c r="EF30" s="2042">
        <f t="shared" si="108"/>
        <v>0</v>
      </c>
      <c r="EG30" s="2042">
        <f t="shared" si="108"/>
        <v>0</v>
      </c>
      <c r="EH30" s="2042">
        <f t="shared" si="108"/>
        <v>0</v>
      </c>
      <c r="EI30" s="2042">
        <f t="shared" si="108"/>
        <v>0</v>
      </c>
      <c r="EJ30" s="2042">
        <f t="shared" si="108"/>
        <v>0</v>
      </c>
      <c r="EK30" s="2042">
        <f t="shared" si="108"/>
        <v>0</v>
      </c>
      <c r="EL30" s="2042"/>
      <c r="EM30" s="2042">
        <f t="shared" si="109"/>
        <v>0</v>
      </c>
      <c r="EN30" s="2042">
        <f t="shared" si="109"/>
        <v>0</v>
      </c>
      <c r="EO30" s="2042">
        <f t="shared" si="109"/>
        <v>0</v>
      </c>
      <c r="EP30" s="2042">
        <f t="shared" si="109"/>
        <v>0</v>
      </c>
      <c r="EQ30" s="2042">
        <f t="shared" si="109"/>
        <v>0</v>
      </c>
      <c r="ER30" s="2042">
        <f t="shared" si="109"/>
        <v>0</v>
      </c>
      <c r="ES30" s="2042">
        <f t="shared" si="109"/>
        <v>0</v>
      </c>
      <c r="ET30" s="2042">
        <f t="shared" si="109"/>
        <v>0</v>
      </c>
      <c r="EU30" s="2042">
        <f t="shared" si="109"/>
        <v>0</v>
      </c>
      <c r="EV30" s="2042">
        <f t="shared" si="109"/>
        <v>0</v>
      </c>
      <c r="EW30" s="2042">
        <f t="shared" si="109"/>
        <v>0</v>
      </c>
      <c r="EX30" s="2042">
        <f t="shared" si="109"/>
        <v>0</v>
      </c>
      <c r="EY30" s="2042"/>
      <c r="EZ30" s="2045">
        <f t="shared" si="50"/>
        <v>0</v>
      </c>
      <c r="FA30" s="2042">
        <f>EZ30+CZ30+DZ30                 -         SUMIF('Berechnung Nährstoffe und Lager'!$AX$113:$AX$155,$CX30,'Berechnung Nährstoffe und Lager'!$U$113:$U$155)/12  -$GB30*$HC30/12</f>
        <v>0</v>
      </c>
      <c r="FB30" s="2042">
        <f>FA30+DA30+EA30                 -         SUMIF('Berechnung Nährstoffe und Lager'!$AX$113:$AX$155,$CX30,'Berechnung Nährstoffe und Lager'!$U$113:$U$155)/12  -$GB30*$HC30/12</f>
        <v>0</v>
      </c>
      <c r="FC30" s="2042">
        <f>FB30+DB30+EB30                 -         SUMIF('Berechnung Nährstoffe und Lager'!$AX$113:$AX$155,$CX30,'Berechnung Nährstoffe und Lager'!$U$113:$U$155)/12  -$GB30*$HC30/12</f>
        <v>0</v>
      </c>
      <c r="FD30" s="2042">
        <f>FC30+DC30+EC30                 -         SUMIF('Berechnung Nährstoffe und Lager'!$AX$113:$AX$155,$CX30,'Berechnung Nährstoffe und Lager'!$U$113:$U$155)/12  -$GB30*$HC30/12</f>
        <v>0</v>
      </c>
      <c r="FE30" s="2042">
        <f>FD30+DD30+ED30                 -         SUMIF('Berechnung Nährstoffe und Lager'!$AX$113:$AX$155,$CX30,'Berechnung Nährstoffe und Lager'!$U$113:$U$155)/12  -$GB30*$HC30/12</f>
        <v>0</v>
      </c>
      <c r="FF30" s="2042">
        <f>FE30+DE30+EE30                 -         SUMIF('Berechnung Nährstoffe und Lager'!$AX$113:$AX$155,$CX30,'Berechnung Nährstoffe und Lager'!$U$113:$U$155)/12  -$GB30*$HC30/12</f>
        <v>0</v>
      </c>
      <c r="FG30" s="2042">
        <f>FF30+DF30+EF30                 -         SUMIF('Berechnung Nährstoffe und Lager'!$AX$113:$AX$155,$CX30,'Berechnung Nährstoffe und Lager'!$U$113:$U$155)/12  -$GB30*$HC30/12</f>
        <v>0</v>
      </c>
      <c r="FH30" s="2042">
        <f>FG30+DG30+EG30                 -         SUMIF('Berechnung Nährstoffe und Lager'!$AX$113:$AX$155,$CX30,'Berechnung Nährstoffe und Lager'!$U$113:$U$155)/12  -$GB30*$HC30/12</f>
        <v>0</v>
      </c>
      <c r="FI30" s="2042">
        <f>FH30+DH30+EH30                 -         SUMIF('Berechnung Nährstoffe und Lager'!$AX$113:$AX$155,$CX30,'Berechnung Nährstoffe und Lager'!$U$113:$U$155)/12  -$GB30*$HC30/12</f>
        <v>0</v>
      </c>
      <c r="FJ30" s="2042">
        <f>FI30+DI30+EI30                 -         SUMIF('Berechnung Nährstoffe und Lager'!$AX$113:$AX$155,$CX30,'Berechnung Nährstoffe und Lager'!$U$113:$U$155)/12  -$GB30*$HC30/12</f>
        <v>0</v>
      </c>
      <c r="FK30" s="2042">
        <f>FJ30+DJ30+EJ30                 -         SUMIF('Berechnung Nährstoffe und Lager'!$AX$113:$AX$155,$CX30,'Berechnung Nährstoffe und Lager'!$U$113:$U$155)/12  -$GB30*$HC30/12</f>
        <v>0</v>
      </c>
      <c r="FL30" s="2042">
        <f>FK30+DK30+EK30                 -         SUMIF('Berechnung Nährstoffe und Lager'!$AX$113:$AX$155,$CX30,'Berechnung Nährstoffe und Lager'!$U$113:$U$155)/12  -$GB30*$HC30/12</f>
        <v>0</v>
      </c>
      <c r="FM30" s="2042"/>
      <c r="FN30" s="2045">
        <f t="shared" si="51"/>
        <v>0</v>
      </c>
      <c r="FO30" s="2042">
        <f>FN30+DM30+EM30                 -         SUMIF('Berechnung Nährstoffe und Lager'!$AX$113:$AX$155,$CX30,'Berechnung Nährstoffe und Lager'!$V$113:$V$155)/12  -$GC30*$HC30/12</f>
        <v>0</v>
      </c>
      <c r="FP30" s="2042">
        <f>FO30+DN30+EN30                 -         SUMIF('Berechnung Nährstoffe und Lager'!$AX$113:$AX$155,$CX30,'Berechnung Nährstoffe und Lager'!$V$113:$V$155)/12  -$GC30*$HC30/12</f>
        <v>0</v>
      </c>
      <c r="FQ30" s="2042">
        <f>FP30+DO30+EO30                 -         SUMIF('Berechnung Nährstoffe und Lager'!$AX$113:$AX$155,$CX30,'Berechnung Nährstoffe und Lager'!$V$113:$V$155)/12  -$GC30*$HC30/12</f>
        <v>0</v>
      </c>
      <c r="FR30" s="2042">
        <f>FQ30+DP30+EP30                 -         SUMIF('Berechnung Nährstoffe und Lager'!$AX$113:$AX$155,$CX30,'Berechnung Nährstoffe und Lager'!$V$113:$V$155)/12  -$GC30*$HC30/12</f>
        <v>0</v>
      </c>
      <c r="FS30" s="2042">
        <f>FR30+DQ30+EQ30                 -         SUMIF('Berechnung Nährstoffe und Lager'!$AX$113:$AX$155,$CX30,'Berechnung Nährstoffe und Lager'!$V$113:$V$155)/12  -$GC30*$HC30/12</f>
        <v>0</v>
      </c>
      <c r="FT30" s="2042">
        <f>FS30+DR30+ER30                 -         SUMIF('Berechnung Nährstoffe und Lager'!$AX$113:$AX$155,$CX30,'Berechnung Nährstoffe und Lager'!$V$113:$V$155)/12  -$GC30*$HC30/12</f>
        <v>0</v>
      </c>
      <c r="FU30" s="2042">
        <f>FT30+DS30+ES30                 -         SUMIF('Berechnung Nährstoffe und Lager'!$AX$113:$AX$155,$CX30,'Berechnung Nährstoffe und Lager'!$V$113:$V$155)/12  -$GC30*$HC30/12</f>
        <v>0</v>
      </c>
      <c r="FV30" s="2042">
        <f>FU30+DT30+ET30                 -         SUMIF('Berechnung Nährstoffe und Lager'!$AX$113:$AX$155,$CX30,'Berechnung Nährstoffe und Lager'!$V$113:$V$155)/12  -$GC30*$HC30/12</f>
        <v>0</v>
      </c>
      <c r="FW30" s="2042">
        <f>FV30+DU30+EU30                 -         SUMIF('Berechnung Nährstoffe und Lager'!$AX$113:$AX$155,$CX30,'Berechnung Nährstoffe und Lager'!$V$113:$V$155)/12  -$GC30*$HC30/12</f>
        <v>0</v>
      </c>
      <c r="FX30" s="2042">
        <f>FW30+DV30+EV30                 -         SUMIF('Berechnung Nährstoffe und Lager'!$AX$113:$AX$155,$CX30,'Berechnung Nährstoffe und Lager'!$V$113:$V$155)/12  -$GC30*$HC30/12</f>
        <v>0</v>
      </c>
      <c r="FY30" s="2042">
        <f>FX30+DW30+EW30                 -         SUMIF('Berechnung Nährstoffe und Lager'!$AX$113:$AX$155,$CX30,'Berechnung Nährstoffe und Lager'!$V$113:$V$155)/12  -$GC30*$HC30/12</f>
        <v>0</v>
      </c>
      <c r="FZ30" s="2042">
        <f>FY30+DX30+EX30                 -         SUMIF('Berechnung Nährstoffe und Lager'!$AX$113:$AX$155,$CX30,'Berechnung Nährstoffe und Lager'!$V$113:$V$155)/12  -$GC30*$HC30/12</f>
        <v>0</v>
      </c>
      <c r="GA30" s="2042"/>
      <c r="GB30" s="2042">
        <f>SUMIFS($CI$14:$CI$68,$BR$14:$BR$68,$CX30)+SUMIFS($CM$14:$CM$68,$BR$14:$BR$68,$CX30)+SUMIFS($CR$14:$CR$68,$BR$14:$BR$68,$CX30)  -         SUMIF('Berechnung Nährstoffe und Lager'!$AX$113:$AX$155,$CX30,'Berechnung Nährstoffe und Lager'!$U$113:$U$155)</f>
        <v>0</v>
      </c>
      <c r="GC30" s="2042">
        <f>SUMIFS($CJ$14:$CJ$68,$BR$14:$BR$68,$CX30)+SUMIFS($CO$14:$CO$68,$BR$14:$BR$68,$CX30)+SUMIFS($CT$14:$CT$68,$BR$14:$BR$68,$CX30)  -         SUMIF('Berechnung Nährstoffe und Lager'!$AX$113:$AX$155,$CX30,'Berechnung Nährstoffe und Lager'!$V$113:$V$155)</f>
        <v>0</v>
      </c>
      <c r="GD30" s="2042"/>
      <c r="GE30" s="2042"/>
      <c r="GF30" s="2042">
        <f>SUMIF('Berechnung Nährstoffe und Lager'!$AX$113:$AX$155,$CX30,'Berechnung Nährstoffe und Lager'!$U$113:$U$155)</f>
        <v>0</v>
      </c>
      <c r="GG30" s="2042">
        <f>SUMIF('Berechnung Nährstoffe und Lager'!$AX$113:$AX$155,$CX30,'Berechnung Nährstoffe und Lager'!$V$113:$V$155)</f>
        <v>0</v>
      </c>
      <c r="GH30" s="2042">
        <f t="shared" si="52"/>
        <v>0</v>
      </c>
      <c r="GI30" s="2042">
        <f t="shared" si="53"/>
        <v>0</v>
      </c>
      <c r="GJ30" s="2042">
        <f t="shared" si="34"/>
        <v>0</v>
      </c>
      <c r="GK30" s="2042">
        <f t="shared" si="35"/>
        <v>0</v>
      </c>
      <c r="GL30" s="2042">
        <f t="shared" si="36"/>
        <v>0</v>
      </c>
      <c r="GM30" s="2042" cm="1">
        <f t="array" ref="GM30">IF(GL30=0,0,(IFERROR(SUMPRODUCT($J$14:$J$68,$CH$14:$CH$68,($BR$14:$BR$68=CX30)*1)+SUMPRODUCT($L$14:$L$68,$M$14:$M$68,$CK$14:$CK$68,($BR$14:$BR$68=CX30)*1,($BT$14:$BT$68=FALSE)*1)/10+SUMPRODUCT($R$14:$R$68,$CP$14:$CP$68,($BR$14:$BR$68=CX30)*1),0))/GL30)</f>
        <v>0</v>
      </c>
      <c r="GN30" s="2042">
        <f t="shared" si="54"/>
        <v>0</v>
      </c>
      <c r="GO30" s="2042">
        <f>(SUMIF('Berechnung Nährstoffe und Lager'!$AX$113:$AX$130,'Lagerhaltung (freiwillig)'!CX30,'Berechnung Nährstoffe und Lager'!$D$113:$D$130)+SUMIF('Berechnung Nährstoffe und Lager'!$AX$137:$AX$155,'Lagerhaltung (freiwillig)'!CX30,'Berechnung Nährstoffe und Lager'!$E$137:$E$155))</f>
        <v>0</v>
      </c>
      <c r="GP30" s="2042" cm="1">
        <f t="array" ref="GP30">IF(GO30=0,0,(IFERROR(SUMPRODUCT('Berechnung Nährstoffe und Lager'!$D$113:$D$130,'Berechnung Nährstoffe und Lager'!$F$113:$F$130,('Berechnung Nährstoffe und Lager'!$AX$113:$AX$130='Lagerhaltung (freiwillig)'!CX30)*1)+SUMPRODUCT('Berechnung Nährstoffe und Lager'!$E$137:$E$155,'Berechnung Nährstoffe und Lager'!$F$137:$F$155,('Berechnung Nährstoffe und Lager'!$AX$137:$AX$155='Lagerhaltung (freiwillig)'!CX30)*1),0))/GO30)</f>
        <v>0</v>
      </c>
      <c r="GQ30" s="2042">
        <f t="shared" si="55"/>
        <v>0</v>
      </c>
      <c r="GR30" s="2042">
        <f t="shared" si="56"/>
        <v>0</v>
      </c>
      <c r="GS30" s="2042">
        <f t="shared" si="57"/>
        <v>0</v>
      </c>
      <c r="GT30" s="2042">
        <f t="shared" si="58"/>
        <v>0</v>
      </c>
      <c r="GU30" s="2045" t="str">
        <f t="shared" si="39"/>
        <v xml:space="preserve"> </v>
      </c>
      <c r="GV30" s="2045" t="str">
        <f t="shared" si="39"/>
        <v xml:space="preserve"> </v>
      </c>
      <c r="GW30" s="2054">
        <f t="shared" si="40"/>
        <v>0</v>
      </c>
      <c r="GX30" s="2042">
        <f t="shared" si="41"/>
        <v>0</v>
      </c>
      <c r="GY30" s="2042" t="str">
        <f t="shared" si="42"/>
        <v>a</v>
      </c>
      <c r="GZ30" s="2055">
        <f t="shared" si="43"/>
        <v>0</v>
      </c>
      <c r="HA30" s="2055">
        <f t="shared" si="44"/>
        <v>0</v>
      </c>
      <c r="HB30" s="2055"/>
      <c r="HC30" s="2046">
        <f t="shared" si="45"/>
        <v>0</v>
      </c>
      <c r="HD30" s="2055">
        <f t="shared" si="46"/>
        <v>0</v>
      </c>
      <c r="HE30" s="2055">
        <f t="shared" si="47"/>
        <v>0</v>
      </c>
      <c r="HF30" s="2055">
        <f t="shared" si="48"/>
        <v>0</v>
      </c>
      <c r="HG30" s="2282" cm="1">
        <f t="array" ref="HG30">IF(AND(HE30=0,GJ30=0),0,IF(HE30=0,1,IF(OR(GJ30*1000/HE30/HF30&gt;INDEX(Pflanzen!$AD$5:$AD$109,CX30)/INDEX(Pflanzen!$M$5:$M$109,CX30)*$HG$1,GJ30*1000/HE30/HF30&lt;INDEX(Pflanzen!$AD$5:$AD$109,CX30)/INDEX(Pflanzen!$M$5:$M$109,CX30)/$HG$1),1,0)))</f>
        <v>0</v>
      </c>
      <c r="HH30" s="2282" cm="1">
        <f t="array" ref="HH30">IF(AND(GK30=0,HE30=0),0,IF(HE30=0,1,IF(OR(GK30*1000/HE30/HF30&gt;INDEX(Pflanzen!$AE$5:$AE$109,CX30)/INDEX(Pflanzen!$M$5:$M$109,CX30)*$HG$1,GK30*1000/HE30/HF30&lt;INDEX(Pflanzen!$AE$5:$AE$109,CX30)/INDEX(Pflanzen!$M$5:$M$109,CX30)/$HG$1),1,0)))</f>
        <v>0</v>
      </c>
      <c r="HI30" s="2042">
        <f t="shared" si="49"/>
        <v>3</v>
      </c>
      <c r="HJ30" s="2042"/>
      <c r="HL30" s="2042"/>
      <c r="HM30" s="2052" t="str">
        <f>Tiere!B56</f>
        <v>Mastschweine (750 g TZ), stark N-/P-reduziert*</v>
      </c>
      <c r="HN30" s="2042">
        <v>27</v>
      </c>
      <c r="HO30" s="2053">
        <f>SUMIF('Berechnung Nährstoffe und Lager'!$BM$68:$BM$81,'Lagerhaltung (freiwillig)'!HN30,'Berechnung Nährstoffe und Lager'!$Z$68:$Z$81)+SUMIF('Berechnung Nährstoffe und Lager'!$BM$68:$BM$81,'Lagerhaltung (freiwillig)'!HN30,'Berechnung Nährstoffe und Lager'!$AA$68:$AA$81)</f>
        <v>0</v>
      </c>
      <c r="HP30" s="2042" cm="1">
        <f t="array" ref="HP30">INDEX(Tiere!$C$30:$C$85,'Lagerhaltung (freiwillig)'!HN30)</f>
        <v>2</v>
      </c>
      <c r="HQ30" s="2042" cm="1">
        <f t="array" ref="HQ30">INDEX(Tiere!$H$30:$H$85,'Lagerhaltung (freiwillig)'!HN30)</f>
        <v>0</v>
      </c>
      <c r="HR30" s="2042">
        <f t="shared" si="12"/>
        <v>0</v>
      </c>
      <c r="HS30" s="2042" cm="1">
        <f t="array" ref="HS30">INDEX(Tiere!$I$30:$I$85,'Lagerhaltung (freiwillig)'!HN30)</f>
        <v>0</v>
      </c>
      <c r="HT30" s="2042">
        <f t="shared" si="13"/>
        <v>0</v>
      </c>
      <c r="HU30" s="2042" cm="1">
        <f t="array" ref="HU30">INDEX(Tiere!$BC$30:$BC$85,'Lagerhaltung (freiwillig)'!HN30)</f>
        <v>7.008</v>
      </c>
      <c r="HV30" s="2042">
        <f t="shared" si="6"/>
        <v>0</v>
      </c>
      <c r="HW30" s="2042" cm="1">
        <f t="array" ref="HW30">INDEX(Tiere!$BD$30:$BD$85,'Lagerhaltung (freiwillig)'!HN30)</f>
        <v>3.2028749999999997</v>
      </c>
      <c r="HX30" s="2042">
        <f t="shared" si="7"/>
        <v>0</v>
      </c>
      <c r="HY30" s="2042"/>
      <c r="HZ30" s="2042"/>
      <c r="IA30" s="2042"/>
      <c r="IB30" s="2042"/>
      <c r="IC30" s="2042"/>
      <c r="ID30" s="2042"/>
      <c r="IE30" s="2042"/>
      <c r="IF30" s="2042"/>
      <c r="IG30" s="2042"/>
      <c r="IH30" s="2042"/>
      <c r="II30" s="2042"/>
      <c r="IJ30" s="2042"/>
    </row>
    <row r="31" spans="1:244" ht="15.6" customHeight="1" x14ac:dyDescent="0.2">
      <c r="A31" s="1159"/>
      <c r="B31" s="1160"/>
      <c r="C31" s="1160"/>
      <c r="D31" s="1160"/>
      <c r="E31" s="1160"/>
      <c r="F31" s="2014" cm="1">
        <f t="array" ref="F31">INDEX(Pflanzen!$M$5:$M$109,BR31)</f>
        <v>0</v>
      </c>
      <c r="G31" s="2015" cm="1">
        <f t="array" ref="G31">INDEX(Pflanzen!$AD$5:$AD$109,BR31)</f>
        <v>0</v>
      </c>
      <c r="H31" s="2299" cm="1">
        <f t="array" ref="H31">INDEX(Pflanzen!$AE$5:$AE$109,BR31)</f>
        <v>0</v>
      </c>
      <c r="I31" s="1259"/>
      <c r="J31" s="1256"/>
      <c r="K31" s="1259"/>
      <c r="L31" s="1970"/>
      <c r="M31" s="1246"/>
      <c r="N31" s="1870"/>
      <c r="O31" s="1870"/>
      <c r="P31" s="2211"/>
      <c r="Q31" s="2196"/>
      <c r="R31" s="1970"/>
      <c r="S31" s="1246"/>
      <c r="T31" s="1256"/>
      <c r="U31" s="1159"/>
      <c r="V31" s="2316" t="str">
        <f t="shared" si="82"/>
        <v/>
      </c>
      <c r="Y31" s="2005" t="str" cm="1">
        <f t="array" ref="Y31">IFERROR(INDEX($CW$4:$CW$171,AY31),"")</f>
        <v/>
      </c>
      <c r="Z31" s="510"/>
      <c r="AA31" s="510"/>
      <c r="AB31" s="510"/>
      <c r="AC31" s="2031" t="str" cm="1">
        <f t="array" ref="AC31">IFERROR(INDEX($GL$4:$GL$171,AY31),"")</f>
        <v/>
      </c>
      <c r="AD31" s="2031" t="str" cm="1">
        <f t="array" ref="AD31">IFERROR(INDEX($GM$4:$GM$171,AY31),"")</f>
        <v/>
      </c>
      <c r="AE31" s="2031" t="str" cm="1">
        <f t="array" ref="AE31">IFERROR(INDEX($GH$4:$GH$171,AY31),"")</f>
        <v/>
      </c>
      <c r="AF31" s="2031" t="str" cm="1">
        <f t="array" ref="AF31">IFERROR(INDEX($GI$4:$GI$171,AY31),"")</f>
        <v/>
      </c>
      <c r="AG31" s="2031" t="str" cm="1">
        <f t="array" ref="AG31">IFERROR(INDEX($GO$4:$GO$171,AY31),"")</f>
        <v/>
      </c>
      <c r="AH31" s="2031" t="str" cm="1">
        <f t="array" ref="AH31">IFERROR(INDEX($GP$4:$GP$171,AY31),"")</f>
        <v/>
      </c>
      <c r="AI31" s="2031" t="str" cm="1">
        <f t="array" ref="AI31">IFERROR(INDEX($GF$4:$GF$171,AY31),"")</f>
        <v/>
      </c>
      <c r="AJ31" s="2031" t="str" cm="1">
        <f t="array" ref="AJ31">IFERROR(INDEX($GG$4:$GG$171,AY31),"")</f>
        <v/>
      </c>
      <c r="AK31" s="2031" t="str" cm="1">
        <f t="array" ref="AK31">IFERROR(INDEX($GS$4:$GS$171,AY31),"")</f>
        <v/>
      </c>
      <c r="AL31" s="2032" t="str" cm="1">
        <f t="array" ref="AL31">IFERROR(INDEX($GT$4:$GT$171,AY31),"")</f>
        <v/>
      </c>
      <c r="AM31" s="2031" t="str" cm="1">
        <f t="array" ref="AM31">IFERROR(INDEX($GB$4:$GB$171,AY31),"")</f>
        <v/>
      </c>
      <c r="AN31" s="2031" t="str" cm="1">
        <f t="array" ref="AN31">IFERROR(INDEX($GC$4:$GC$171,AY31),"")</f>
        <v/>
      </c>
      <c r="AO31" s="2031" t="str" cm="1">
        <f t="array" ref="AO31">IFERROR(INDEX($GU$4:$GU$171,AY31),"")</f>
        <v/>
      </c>
      <c r="AP31" s="2031" t="str" cm="1">
        <f t="array" ref="AP31">IFERROR(INDEX($GX$4:$GX$171,AY31),"")</f>
        <v/>
      </c>
      <c r="AQ31" s="1316"/>
      <c r="AR31" s="2031" t="str" cm="1">
        <f t="array" ref="AR31">IFERROR(INDEX($HD$4:$HD$171,AY31),"")</f>
        <v/>
      </c>
      <c r="AS31" s="2031" t="str" cm="1">
        <f t="array" ref="AS31">IFERROR(INDEX($HE$4:$HE$171,AY31),"")</f>
        <v/>
      </c>
      <c r="AT31" s="2031" t="str" cm="1">
        <f t="array" ref="AT31">IFERROR(INDEX($HF$4:$HF$171,AY31),"")</f>
        <v/>
      </c>
      <c r="AU31" s="2031" t="str" cm="1">
        <f t="array" ref="AU31">IFERROR(INDEX($GJ$4:$GJ$171,AY31),"")</f>
        <v/>
      </c>
      <c r="AV31" s="2031" t="str" cm="1">
        <f t="array" ref="AV31">IFERROR(INDEX($GK$4:$GK$171,AY31),"")</f>
        <v/>
      </c>
      <c r="AY31" s="2042" t="str" cm="1">
        <f t="array" ref="AY31">IFERROR(SMALL(IF($HI$4:$HI$171=1,ROW($HI$4:$HI$171)-3),ROW(W19)),IFERROR(SMALL(IF($HI$4:$HI$171=2,ROW($HI$4:$HI$171)-3),ROW(W19)-COUNTIF($HI$4:$HI$171,1)),IFERROR(SMALL(IF($HI$4:$HI$171=0,ROW($HI$4:$HI$171)-3),ROW(W19)-COUNTIF($HI$4:$HI$171,1)-COUNTIF($HI$4:$HI$171,2)),"")))</f>
        <v/>
      </c>
      <c r="AZ31" s="2042" t="str">
        <f t="shared" si="59"/>
        <v>a</v>
      </c>
      <c r="BA31" s="2053" t="e">
        <f t="shared" si="60"/>
        <v>#VALUE!</v>
      </c>
      <c r="BB31" s="2053" cm="1">
        <f t="array" ref="BB31">IFERROR(INDEX($HI$4:$HI$171,AY31),0)</f>
        <v>0</v>
      </c>
      <c r="BC31" s="2053">
        <f t="shared" si="61"/>
        <v>0</v>
      </c>
      <c r="BD31" s="2053"/>
      <c r="BE31" s="2307"/>
      <c r="BF31" s="2307"/>
      <c r="BG31" s="2307"/>
      <c r="BH31" s="2307"/>
      <c r="BI31" s="2307"/>
      <c r="BJ31" s="2307"/>
      <c r="BK31" s="2307"/>
      <c r="BL31" s="2307"/>
      <c r="BM31" s="2307"/>
      <c r="BN31" s="2307"/>
      <c r="BO31" s="2307"/>
      <c r="BP31" s="2043"/>
      <c r="BQ31" s="2042"/>
      <c r="BR31" s="2042">
        <v>1</v>
      </c>
      <c r="BS31" s="2042"/>
      <c r="BT31" s="2042" t="b">
        <v>0</v>
      </c>
      <c r="BU31" s="2058"/>
      <c r="BV31" s="2058"/>
      <c r="BW31" s="2042">
        <f t="shared" si="62"/>
        <v>12</v>
      </c>
      <c r="BX31" s="2042">
        <f t="shared" si="63"/>
        <v>0</v>
      </c>
      <c r="BY31" s="2042">
        <f t="shared" si="64"/>
        <v>12</v>
      </c>
      <c r="BZ31" s="2042" cm="1">
        <f t="array" ref="BZ31">INDEX(Pflanzen!$AI$5:$AI$119,'Lagerhaltung (freiwillig)'!BR31)</f>
        <v>0</v>
      </c>
      <c r="CA31" s="2042" cm="1">
        <f t="array" ref="CA31">IF(BZ31=1,INDEX(Pflanzen!$AJ$5:$AJ$119,BR31),N31)</f>
        <v>0</v>
      </c>
      <c r="CB31" s="2042" cm="1">
        <f t="array" ref="CB31">IF(BZ31=1,INDEX(Pflanzen!$AK$5:$AK$119,BR31),O31)</f>
        <v>0</v>
      </c>
      <c r="CC31" s="2042">
        <f t="shared" si="65"/>
        <v>12</v>
      </c>
      <c r="CD31" s="2042">
        <f t="shared" si="66"/>
        <v>0</v>
      </c>
      <c r="CE31" s="2042">
        <f t="shared" si="67"/>
        <v>12</v>
      </c>
      <c r="CF31" s="2042" cm="1">
        <f t="array" ref="CF31">INDEX(Pflanzen!$F$5:$F$119,BR31)</f>
        <v>0</v>
      </c>
      <c r="CG31" s="2042" cm="1">
        <f t="array" ref="CG31">INDEX(Pflanzen!$H$5:$H$119,BR31)</f>
        <v>0</v>
      </c>
      <c r="CH31" s="2042">
        <f t="shared" si="68"/>
        <v>0</v>
      </c>
      <c r="CI31" s="2042">
        <f t="shared" si="69"/>
        <v>0</v>
      </c>
      <c r="CJ31" s="2042">
        <f t="shared" si="70"/>
        <v>0</v>
      </c>
      <c r="CK31" s="2042">
        <f t="shared" si="71"/>
        <v>0</v>
      </c>
      <c r="CL31" s="2042">
        <f t="shared" si="72"/>
        <v>0</v>
      </c>
      <c r="CM31" s="2042">
        <f t="shared" si="73"/>
        <v>0</v>
      </c>
      <c r="CN31" s="2042">
        <f t="shared" si="74"/>
        <v>0</v>
      </c>
      <c r="CO31" s="2042">
        <f t="shared" si="75"/>
        <v>0</v>
      </c>
      <c r="CP31" s="2042">
        <f t="shared" si="76"/>
        <v>0</v>
      </c>
      <c r="CQ31" s="2042">
        <f t="shared" si="77"/>
        <v>0</v>
      </c>
      <c r="CR31" s="2042">
        <f t="shared" si="78"/>
        <v>0</v>
      </c>
      <c r="CS31" s="2042">
        <f t="shared" si="79"/>
        <v>0</v>
      </c>
      <c r="CT31" s="2042">
        <f t="shared" si="80"/>
        <v>0</v>
      </c>
      <c r="CU31" s="2042">
        <f t="shared" si="81"/>
        <v>0</v>
      </c>
      <c r="CV31" s="2042"/>
      <c r="CW31" s="609" t="str">
        <f>Pflanzen!A27</f>
        <v>Sojabohnen</v>
      </c>
      <c r="CX31" s="2042">
        <f>IFERROR(MATCH($CW31,Pflanzen!$C$5:$C$119,0),1)</f>
        <v>23</v>
      </c>
      <c r="CY31" s="609" cm="1">
        <f t="array" ref="CY31">INDEX(Pflanzen!$I$5:$I$119,'Lagerhaltung (freiwillig)'!CX31)</f>
        <v>2</v>
      </c>
      <c r="CZ31" s="2042">
        <f t="shared" si="106"/>
        <v>0</v>
      </c>
      <c r="DA31" s="2042">
        <f t="shared" si="106"/>
        <v>0</v>
      </c>
      <c r="DB31" s="2042">
        <f t="shared" si="106"/>
        <v>0</v>
      </c>
      <c r="DC31" s="2042">
        <f t="shared" si="106"/>
        <v>0</v>
      </c>
      <c r="DD31" s="2042">
        <f t="shared" si="106"/>
        <v>0</v>
      </c>
      <c r="DE31" s="2042">
        <f t="shared" si="106"/>
        <v>0</v>
      </c>
      <c r="DF31" s="2042">
        <f t="shared" si="106"/>
        <v>0</v>
      </c>
      <c r="DG31" s="2042">
        <f t="shared" si="106"/>
        <v>0</v>
      </c>
      <c r="DH31" s="2042">
        <f t="shared" si="106"/>
        <v>0</v>
      </c>
      <c r="DI31" s="2042">
        <f t="shared" si="106"/>
        <v>0</v>
      </c>
      <c r="DJ31" s="2042">
        <f t="shared" si="106"/>
        <v>0</v>
      </c>
      <c r="DK31" s="2042">
        <f t="shared" si="106"/>
        <v>0</v>
      </c>
      <c r="DL31" s="2042"/>
      <c r="DM31" s="2042">
        <f t="shared" si="107"/>
        <v>0</v>
      </c>
      <c r="DN31" s="2042">
        <f t="shared" si="107"/>
        <v>0</v>
      </c>
      <c r="DO31" s="2042">
        <f t="shared" si="107"/>
        <v>0</v>
      </c>
      <c r="DP31" s="2042">
        <f t="shared" si="107"/>
        <v>0</v>
      </c>
      <c r="DQ31" s="2042">
        <f t="shared" si="107"/>
        <v>0</v>
      </c>
      <c r="DR31" s="2042">
        <f t="shared" si="107"/>
        <v>0</v>
      </c>
      <c r="DS31" s="2042">
        <f t="shared" si="107"/>
        <v>0</v>
      </c>
      <c r="DT31" s="2042">
        <f t="shared" si="107"/>
        <v>0</v>
      </c>
      <c r="DU31" s="2042">
        <f t="shared" si="107"/>
        <v>0</v>
      </c>
      <c r="DV31" s="2042">
        <f t="shared" si="107"/>
        <v>0</v>
      </c>
      <c r="DW31" s="2042">
        <f t="shared" si="107"/>
        <v>0</v>
      </c>
      <c r="DX31" s="2042">
        <f t="shared" si="107"/>
        <v>0</v>
      </c>
      <c r="DY31" s="2042"/>
      <c r="DZ31" s="2042">
        <f t="shared" si="108"/>
        <v>0</v>
      </c>
      <c r="EA31" s="2042">
        <f t="shared" si="108"/>
        <v>0</v>
      </c>
      <c r="EB31" s="2042">
        <f t="shared" si="108"/>
        <v>0</v>
      </c>
      <c r="EC31" s="2042">
        <f t="shared" si="108"/>
        <v>0</v>
      </c>
      <c r="ED31" s="2042">
        <f t="shared" si="108"/>
        <v>0</v>
      </c>
      <c r="EE31" s="2042">
        <f t="shared" si="108"/>
        <v>0</v>
      </c>
      <c r="EF31" s="2042">
        <f t="shared" si="108"/>
        <v>0</v>
      </c>
      <c r="EG31" s="2042">
        <f t="shared" si="108"/>
        <v>0</v>
      </c>
      <c r="EH31" s="2042">
        <f t="shared" si="108"/>
        <v>0</v>
      </c>
      <c r="EI31" s="2042">
        <f t="shared" si="108"/>
        <v>0</v>
      </c>
      <c r="EJ31" s="2042">
        <f t="shared" si="108"/>
        <v>0</v>
      </c>
      <c r="EK31" s="2042">
        <f t="shared" si="108"/>
        <v>0</v>
      </c>
      <c r="EL31" s="2042"/>
      <c r="EM31" s="2042">
        <f t="shared" si="109"/>
        <v>0</v>
      </c>
      <c r="EN31" s="2042">
        <f t="shared" si="109"/>
        <v>0</v>
      </c>
      <c r="EO31" s="2042">
        <f t="shared" si="109"/>
        <v>0</v>
      </c>
      <c r="EP31" s="2042">
        <f t="shared" si="109"/>
        <v>0</v>
      </c>
      <c r="EQ31" s="2042">
        <f t="shared" si="109"/>
        <v>0</v>
      </c>
      <c r="ER31" s="2042">
        <f t="shared" si="109"/>
        <v>0</v>
      </c>
      <c r="ES31" s="2042">
        <f t="shared" si="109"/>
        <v>0</v>
      </c>
      <c r="ET31" s="2042">
        <f t="shared" si="109"/>
        <v>0</v>
      </c>
      <c r="EU31" s="2042">
        <f t="shared" si="109"/>
        <v>0</v>
      </c>
      <c r="EV31" s="2042">
        <f t="shared" si="109"/>
        <v>0</v>
      </c>
      <c r="EW31" s="2042">
        <f t="shared" si="109"/>
        <v>0</v>
      </c>
      <c r="EX31" s="2042">
        <f t="shared" si="109"/>
        <v>0</v>
      </c>
      <c r="EY31" s="2042"/>
      <c r="EZ31" s="2045">
        <f t="shared" si="50"/>
        <v>0</v>
      </c>
      <c r="FA31" s="2042">
        <f>EZ31+CZ31+DZ31                 -         SUMIF('Berechnung Nährstoffe und Lager'!$AX$113:$AX$155,$CX31,'Berechnung Nährstoffe und Lager'!$U$113:$U$155)/12  -$GB31*$HC31/12</f>
        <v>0</v>
      </c>
      <c r="FB31" s="2042">
        <f>FA31+DA31+EA31                 -         SUMIF('Berechnung Nährstoffe und Lager'!$AX$113:$AX$155,$CX31,'Berechnung Nährstoffe und Lager'!$U$113:$U$155)/12  -$GB31*$HC31/12</f>
        <v>0</v>
      </c>
      <c r="FC31" s="2042">
        <f>FB31+DB31+EB31                 -         SUMIF('Berechnung Nährstoffe und Lager'!$AX$113:$AX$155,$CX31,'Berechnung Nährstoffe und Lager'!$U$113:$U$155)/12  -$GB31*$HC31/12</f>
        <v>0</v>
      </c>
      <c r="FD31" s="2042">
        <f>FC31+DC31+EC31                 -         SUMIF('Berechnung Nährstoffe und Lager'!$AX$113:$AX$155,$CX31,'Berechnung Nährstoffe und Lager'!$U$113:$U$155)/12  -$GB31*$HC31/12</f>
        <v>0</v>
      </c>
      <c r="FE31" s="2042">
        <f>FD31+DD31+ED31                 -         SUMIF('Berechnung Nährstoffe und Lager'!$AX$113:$AX$155,$CX31,'Berechnung Nährstoffe und Lager'!$U$113:$U$155)/12  -$GB31*$HC31/12</f>
        <v>0</v>
      </c>
      <c r="FF31" s="2042">
        <f>FE31+DE31+EE31                 -         SUMIF('Berechnung Nährstoffe und Lager'!$AX$113:$AX$155,$CX31,'Berechnung Nährstoffe und Lager'!$U$113:$U$155)/12  -$GB31*$HC31/12</f>
        <v>0</v>
      </c>
      <c r="FG31" s="2042">
        <f>FF31+DF31+EF31                 -         SUMIF('Berechnung Nährstoffe und Lager'!$AX$113:$AX$155,$CX31,'Berechnung Nährstoffe und Lager'!$U$113:$U$155)/12  -$GB31*$HC31/12</f>
        <v>0</v>
      </c>
      <c r="FH31" s="2042">
        <f>FG31+DG31+EG31                 -         SUMIF('Berechnung Nährstoffe und Lager'!$AX$113:$AX$155,$CX31,'Berechnung Nährstoffe und Lager'!$U$113:$U$155)/12  -$GB31*$HC31/12</f>
        <v>0</v>
      </c>
      <c r="FI31" s="2042">
        <f>FH31+DH31+EH31                 -         SUMIF('Berechnung Nährstoffe und Lager'!$AX$113:$AX$155,$CX31,'Berechnung Nährstoffe und Lager'!$U$113:$U$155)/12  -$GB31*$HC31/12</f>
        <v>0</v>
      </c>
      <c r="FJ31" s="2042">
        <f>FI31+DI31+EI31                 -         SUMIF('Berechnung Nährstoffe und Lager'!$AX$113:$AX$155,$CX31,'Berechnung Nährstoffe und Lager'!$U$113:$U$155)/12  -$GB31*$HC31/12</f>
        <v>0</v>
      </c>
      <c r="FK31" s="2042">
        <f>FJ31+DJ31+EJ31                 -         SUMIF('Berechnung Nährstoffe und Lager'!$AX$113:$AX$155,$CX31,'Berechnung Nährstoffe und Lager'!$U$113:$U$155)/12  -$GB31*$HC31/12</f>
        <v>0</v>
      </c>
      <c r="FL31" s="2042">
        <f>FK31+DK31+EK31                 -         SUMIF('Berechnung Nährstoffe und Lager'!$AX$113:$AX$155,$CX31,'Berechnung Nährstoffe und Lager'!$U$113:$U$155)/12  -$GB31*$HC31/12</f>
        <v>0</v>
      </c>
      <c r="FM31" s="2042"/>
      <c r="FN31" s="2045">
        <f t="shared" si="51"/>
        <v>0</v>
      </c>
      <c r="FO31" s="2042">
        <f>FN31+DM31+EM31                 -         SUMIF('Berechnung Nährstoffe und Lager'!$AX$113:$AX$155,$CX31,'Berechnung Nährstoffe und Lager'!$V$113:$V$155)/12  -$GC31*$HC31/12</f>
        <v>0</v>
      </c>
      <c r="FP31" s="2042">
        <f>FO31+DN31+EN31                 -         SUMIF('Berechnung Nährstoffe und Lager'!$AX$113:$AX$155,$CX31,'Berechnung Nährstoffe und Lager'!$V$113:$V$155)/12  -$GC31*$HC31/12</f>
        <v>0</v>
      </c>
      <c r="FQ31" s="2042">
        <f>FP31+DO31+EO31                 -         SUMIF('Berechnung Nährstoffe und Lager'!$AX$113:$AX$155,$CX31,'Berechnung Nährstoffe und Lager'!$V$113:$V$155)/12  -$GC31*$HC31/12</f>
        <v>0</v>
      </c>
      <c r="FR31" s="2042">
        <f>FQ31+DP31+EP31                 -         SUMIF('Berechnung Nährstoffe und Lager'!$AX$113:$AX$155,$CX31,'Berechnung Nährstoffe und Lager'!$V$113:$V$155)/12  -$GC31*$HC31/12</f>
        <v>0</v>
      </c>
      <c r="FS31" s="2042">
        <f>FR31+DQ31+EQ31                 -         SUMIF('Berechnung Nährstoffe und Lager'!$AX$113:$AX$155,$CX31,'Berechnung Nährstoffe und Lager'!$V$113:$V$155)/12  -$GC31*$HC31/12</f>
        <v>0</v>
      </c>
      <c r="FT31" s="2042">
        <f>FS31+DR31+ER31                 -         SUMIF('Berechnung Nährstoffe und Lager'!$AX$113:$AX$155,$CX31,'Berechnung Nährstoffe und Lager'!$V$113:$V$155)/12  -$GC31*$HC31/12</f>
        <v>0</v>
      </c>
      <c r="FU31" s="2042">
        <f>FT31+DS31+ES31                 -         SUMIF('Berechnung Nährstoffe und Lager'!$AX$113:$AX$155,$CX31,'Berechnung Nährstoffe und Lager'!$V$113:$V$155)/12  -$GC31*$HC31/12</f>
        <v>0</v>
      </c>
      <c r="FV31" s="2042">
        <f>FU31+DT31+ET31                 -         SUMIF('Berechnung Nährstoffe und Lager'!$AX$113:$AX$155,$CX31,'Berechnung Nährstoffe und Lager'!$V$113:$V$155)/12  -$GC31*$HC31/12</f>
        <v>0</v>
      </c>
      <c r="FW31" s="2042">
        <f>FV31+DU31+EU31                 -         SUMIF('Berechnung Nährstoffe und Lager'!$AX$113:$AX$155,$CX31,'Berechnung Nährstoffe und Lager'!$V$113:$V$155)/12  -$GC31*$HC31/12</f>
        <v>0</v>
      </c>
      <c r="FX31" s="2042">
        <f>FW31+DV31+EV31                 -         SUMIF('Berechnung Nährstoffe und Lager'!$AX$113:$AX$155,$CX31,'Berechnung Nährstoffe und Lager'!$V$113:$V$155)/12  -$GC31*$HC31/12</f>
        <v>0</v>
      </c>
      <c r="FY31" s="2042">
        <f>FX31+DW31+EW31                 -         SUMIF('Berechnung Nährstoffe und Lager'!$AX$113:$AX$155,$CX31,'Berechnung Nährstoffe und Lager'!$V$113:$V$155)/12  -$GC31*$HC31/12</f>
        <v>0</v>
      </c>
      <c r="FZ31" s="2042">
        <f>FY31+DX31+EX31                 -         SUMIF('Berechnung Nährstoffe und Lager'!$AX$113:$AX$155,$CX31,'Berechnung Nährstoffe und Lager'!$V$113:$V$155)/12  -$GC31*$HC31/12</f>
        <v>0</v>
      </c>
      <c r="GA31" s="2042"/>
      <c r="GB31" s="2042">
        <f>SUMIFS($CI$14:$CI$68,$BR$14:$BR$68,$CX31)+SUMIFS($CM$14:$CM$68,$BR$14:$BR$68,$CX31)+SUMIFS($CR$14:$CR$68,$BR$14:$BR$68,$CX31)  -         SUMIF('Berechnung Nährstoffe und Lager'!$AX$113:$AX$155,$CX31,'Berechnung Nährstoffe und Lager'!$U$113:$U$155)</f>
        <v>0</v>
      </c>
      <c r="GC31" s="2042">
        <f>SUMIFS($CJ$14:$CJ$68,$BR$14:$BR$68,$CX31)+SUMIFS($CO$14:$CO$68,$BR$14:$BR$68,$CX31)+SUMIFS($CT$14:$CT$68,$BR$14:$BR$68,$CX31)  -         SUMIF('Berechnung Nährstoffe und Lager'!$AX$113:$AX$155,$CX31,'Berechnung Nährstoffe und Lager'!$V$113:$V$155)</f>
        <v>0</v>
      </c>
      <c r="GD31" s="2042"/>
      <c r="GE31" s="2042"/>
      <c r="GF31" s="2042">
        <f>SUMIF('Berechnung Nährstoffe und Lager'!$AX$113:$AX$155,$CX31,'Berechnung Nährstoffe und Lager'!$U$113:$U$155)</f>
        <v>0</v>
      </c>
      <c r="GG31" s="2042">
        <f>SUMIF('Berechnung Nährstoffe und Lager'!$AX$113:$AX$155,$CX31,'Berechnung Nährstoffe und Lager'!$V$113:$V$155)</f>
        <v>0</v>
      </c>
      <c r="GH31" s="2042">
        <f t="shared" si="52"/>
        <v>0</v>
      </c>
      <c r="GI31" s="2042">
        <f t="shared" si="53"/>
        <v>0</v>
      </c>
      <c r="GJ31" s="2042">
        <f t="shared" si="34"/>
        <v>0</v>
      </c>
      <c r="GK31" s="2042">
        <f t="shared" si="35"/>
        <v>0</v>
      </c>
      <c r="GL31" s="2042">
        <f t="shared" si="36"/>
        <v>0</v>
      </c>
      <c r="GM31" s="2042" cm="1">
        <f t="array" ref="GM31">IF(GL31=0,0,(IFERROR(SUMPRODUCT($J$14:$J$68,$CH$14:$CH$68,($BR$14:$BR$68=CX31)*1)+SUMPRODUCT($L$14:$L$68,$M$14:$M$68,$CK$14:$CK$68,($BR$14:$BR$68=CX31)*1,($BT$14:$BT$68=FALSE)*1)/10+SUMPRODUCT($R$14:$R$68,$CP$14:$CP$68,($BR$14:$BR$68=CX31)*1),0))/GL31)</f>
        <v>0</v>
      </c>
      <c r="GN31" s="2042">
        <f t="shared" si="54"/>
        <v>0</v>
      </c>
      <c r="GO31" s="2042">
        <f>(SUMIF('Berechnung Nährstoffe und Lager'!$AX$113:$AX$130,'Lagerhaltung (freiwillig)'!CX31,'Berechnung Nährstoffe und Lager'!$D$113:$D$130)+SUMIF('Berechnung Nährstoffe und Lager'!$AX$137:$AX$155,'Lagerhaltung (freiwillig)'!CX31,'Berechnung Nährstoffe und Lager'!$E$137:$E$155))</f>
        <v>0</v>
      </c>
      <c r="GP31" s="2042" cm="1">
        <f t="array" ref="GP31">IF(GO31=0,0,(IFERROR(SUMPRODUCT('Berechnung Nährstoffe und Lager'!$D$113:$D$130,'Berechnung Nährstoffe und Lager'!$F$113:$F$130,('Berechnung Nährstoffe und Lager'!$AX$113:$AX$130='Lagerhaltung (freiwillig)'!CX31)*1)+SUMPRODUCT('Berechnung Nährstoffe und Lager'!$E$137:$E$155,'Berechnung Nährstoffe und Lager'!$F$137:$F$155,('Berechnung Nährstoffe und Lager'!$AX$137:$AX$155='Lagerhaltung (freiwillig)'!CX31)*1),0))/GO31)</f>
        <v>0</v>
      </c>
      <c r="GQ31" s="2042">
        <f t="shared" si="55"/>
        <v>0</v>
      </c>
      <c r="GR31" s="2042">
        <f t="shared" si="56"/>
        <v>0</v>
      </c>
      <c r="GS31" s="2042">
        <f t="shared" si="57"/>
        <v>0</v>
      </c>
      <c r="GT31" s="2042">
        <f t="shared" si="58"/>
        <v>0</v>
      </c>
      <c r="GU31" s="2045" t="str">
        <f t="shared" si="39"/>
        <v xml:space="preserve"> </v>
      </c>
      <c r="GV31" s="2045" t="str">
        <f t="shared" si="39"/>
        <v xml:space="preserve"> </v>
      </c>
      <c r="GW31" s="2054">
        <f t="shared" si="40"/>
        <v>0</v>
      </c>
      <c r="GX31" s="2042">
        <f t="shared" si="41"/>
        <v>0</v>
      </c>
      <c r="GY31" s="2042" t="str">
        <f t="shared" si="42"/>
        <v>a</v>
      </c>
      <c r="GZ31" s="2055">
        <f t="shared" si="43"/>
        <v>0</v>
      </c>
      <c r="HA31" s="2055">
        <f t="shared" si="44"/>
        <v>0</v>
      </c>
      <c r="HB31" s="2055"/>
      <c r="HC31" s="2046">
        <f t="shared" si="45"/>
        <v>0</v>
      </c>
      <c r="HD31" s="2055">
        <f t="shared" si="46"/>
        <v>0</v>
      </c>
      <c r="HE31" s="2055">
        <f t="shared" si="47"/>
        <v>0</v>
      </c>
      <c r="HF31" s="2055">
        <f t="shared" si="48"/>
        <v>0</v>
      </c>
      <c r="HG31" s="2282" cm="1">
        <f t="array" ref="HG31">IF(AND(HE31=0,GJ31=0),0,IF(HE31=0,1,IF(OR(GJ31*1000/HE31/HF31&gt;INDEX(Pflanzen!$AD$5:$AD$109,CX31)/INDEX(Pflanzen!$M$5:$M$109,CX31)*$HG$1,GJ31*1000/HE31/HF31&lt;INDEX(Pflanzen!$AD$5:$AD$109,CX31)/INDEX(Pflanzen!$M$5:$M$109,CX31)/$HG$1),1,0)))</f>
        <v>0</v>
      </c>
      <c r="HH31" s="2282" cm="1">
        <f t="array" ref="HH31">IF(AND(GK31=0,HE31=0),0,IF(HE31=0,1,IF(OR(GK31*1000/HE31/HF31&gt;INDEX(Pflanzen!$AE$5:$AE$109,CX31)/INDEX(Pflanzen!$M$5:$M$109,CX31)*$HG$1,GK31*1000/HE31/HF31&lt;INDEX(Pflanzen!$AE$5:$AE$109,CX31)/INDEX(Pflanzen!$M$5:$M$109,CX31)/$HG$1),1,0)))</f>
        <v>0</v>
      </c>
      <c r="HI31" s="2042">
        <f t="shared" si="49"/>
        <v>3</v>
      </c>
      <c r="HJ31" s="2042"/>
      <c r="HL31" s="2042"/>
      <c r="HM31" s="2052" t="str">
        <f>Tiere!B57</f>
        <v>Mastschweine (850 g TZ), Standard</v>
      </c>
      <c r="HN31" s="2042">
        <v>28</v>
      </c>
      <c r="HO31" s="2053">
        <f>SUMIF('Berechnung Nährstoffe und Lager'!$BM$68:$BM$81,'Lagerhaltung (freiwillig)'!HN31,'Berechnung Nährstoffe und Lager'!$Z$68:$Z$81)+SUMIF('Berechnung Nährstoffe und Lager'!$BM$68:$BM$81,'Lagerhaltung (freiwillig)'!HN31,'Berechnung Nährstoffe und Lager'!$AA$68:$AA$81)</f>
        <v>0</v>
      </c>
      <c r="HP31" s="2042" cm="1">
        <f t="array" ref="HP31">INDEX(Tiere!$C$30:$C$85,'Lagerhaltung (freiwillig)'!HN31)</f>
        <v>2</v>
      </c>
      <c r="HQ31" s="2042" cm="1">
        <f t="array" ref="HQ31">INDEX(Tiere!$H$30:$H$85,'Lagerhaltung (freiwillig)'!HN31)</f>
        <v>0</v>
      </c>
      <c r="HR31" s="2042">
        <f t="shared" si="12"/>
        <v>0</v>
      </c>
      <c r="HS31" s="2042" cm="1">
        <f t="array" ref="HS31">INDEX(Tiere!$I$30:$I$85,'Lagerhaltung (freiwillig)'!HN31)</f>
        <v>0</v>
      </c>
      <c r="HT31" s="2042">
        <f t="shared" si="13"/>
        <v>0</v>
      </c>
      <c r="HU31" s="2042" cm="1">
        <f t="array" ref="HU31">INDEX(Tiere!$BC$30:$BC$85,'Lagerhaltung (freiwillig)'!HN31)</f>
        <v>7.9424000000000001</v>
      </c>
      <c r="HV31" s="2042">
        <f t="shared" si="6"/>
        <v>0</v>
      </c>
      <c r="HW31" s="2042" cm="1">
        <f t="array" ref="HW31">INDEX(Tiere!$BD$30:$BD$85,'Lagerhaltung (freiwillig)'!HN31)</f>
        <v>3.6299249999999996</v>
      </c>
      <c r="HX31" s="2042">
        <f t="shared" si="7"/>
        <v>0</v>
      </c>
      <c r="HY31" s="2042"/>
      <c r="HZ31" s="2042"/>
      <c r="IA31" s="2042"/>
      <c r="IB31" s="2042"/>
      <c r="IC31" s="2042"/>
      <c r="ID31" s="2042"/>
      <c r="IE31" s="2042"/>
      <c r="IF31" s="2042"/>
      <c r="IG31" s="2042"/>
      <c r="IH31" s="2042"/>
      <c r="II31" s="2042"/>
      <c r="IJ31" s="2042"/>
    </row>
    <row r="32" spans="1:244" ht="15.6" customHeight="1" x14ac:dyDescent="0.2">
      <c r="A32" s="1159"/>
      <c r="B32" s="1160"/>
      <c r="C32" s="1160"/>
      <c r="D32" s="1160"/>
      <c r="E32" s="1160"/>
      <c r="F32" s="2016" cm="1">
        <f t="array" ref="F32">INDEX(Pflanzen!$M$5:$M$109,BR32)</f>
        <v>0</v>
      </c>
      <c r="G32" s="2017" cm="1">
        <f t="array" ref="G32">INDEX(Pflanzen!$AD$5:$AD$109,BR32)</f>
        <v>0</v>
      </c>
      <c r="H32" s="2300" cm="1">
        <f t="array" ref="H32">INDEX(Pflanzen!$AE$5:$AE$109,BR32)</f>
        <v>0</v>
      </c>
      <c r="I32" s="1312"/>
      <c r="J32" s="1256"/>
      <c r="K32" s="1259"/>
      <c r="L32" s="1970"/>
      <c r="M32" s="1246"/>
      <c r="N32" s="1870"/>
      <c r="O32" s="1870"/>
      <c r="P32" s="2212"/>
      <c r="Q32" s="1314"/>
      <c r="R32" s="1313"/>
      <c r="S32" s="1246"/>
      <c r="T32" s="1256"/>
      <c r="U32" s="1159"/>
      <c r="V32" s="2316" t="str">
        <f t="shared" si="82"/>
        <v/>
      </c>
      <c r="Y32" s="2005" t="str" cm="1">
        <f t="array" ref="Y32">IFERROR(INDEX($CW$4:$CW$171,AY32),"")</f>
        <v/>
      </c>
      <c r="Z32" s="510"/>
      <c r="AA32" s="510"/>
      <c r="AB32" s="510"/>
      <c r="AC32" s="2031" t="str" cm="1">
        <f t="array" ref="AC32">IFERROR(INDEX($GL$4:$GL$171,AY32),"")</f>
        <v/>
      </c>
      <c r="AD32" s="2031" t="str" cm="1">
        <f t="array" ref="AD32">IFERROR(INDEX($GM$4:$GM$171,AY32),"")</f>
        <v/>
      </c>
      <c r="AE32" s="2031" t="str" cm="1">
        <f t="array" ref="AE32">IFERROR(INDEX($GH$4:$GH$171,AY32),"")</f>
        <v/>
      </c>
      <c r="AF32" s="2031" t="str" cm="1">
        <f t="array" ref="AF32">IFERROR(INDEX($GI$4:$GI$171,AY32),"")</f>
        <v/>
      </c>
      <c r="AG32" s="2031" t="str" cm="1">
        <f t="array" ref="AG32">IFERROR(INDEX($GO$4:$GO$171,AY32),"")</f>
        <v/>
      </c>
      <c r="AH32" s="2031" t="str" cm="1">
        <f t="array" ref="AH32">IFERROR(INDEX($GP$4:$GP$171,AY32),"")</f>
        <v/>
      </c>
      <c r="AI32" s="2031" t="str" cm="1">
        <f t="array" ref="AI32">IFERROR(INDEX($GF$4:$GF$171,AY32),"")</f>
        <v/>
      </c>
      <c r="AJ32" s="2031" t="str" cm="1">
        <f t="array" ref="AJ32">IFERROR(INDEX($GG$4:$GG$171,AY32),"")</f>
        <v/>
      </c>
      <c r="AK32" s="2031" t="str" cm="1">
        <f t="array" ref="AK32">IFERROR(INDEX($GS$4:$GS$171,AY32),"")</f>
        <v/>
      </c>
      <c r="AL32" s="2032" t="str" cm="1">
        <f t="array" ref="AL32">IFERROR(INDEX($GT$4:$GT$171,AY32),"")</f>
        <v/>
      </c>
      <c r="AM32" s="2031" t="str" cm="1">
        <f t="array" ref="AM32">IFERROR(INDEX($GB$4:$GB$171,AY32),"")</f>
        <v/>
      </c>
      <c r="AN32" s="2031" t="str" cm="1">
        <f t="array" ref="AN32">IFERROR(INDEX($GC$4:$GC$171,AY32),"")</f>
        <v/>
      </c>
      <c r="AO32" s="2031" t="str" cm="1">
        <f t="array" ref="AO32">IFERROR(INDEX($GU$4:$GU$171,AY32),"")</f>
        <v/>
      </c>
      <c r="AP32" s="2031" t="str" cm="1">
        <f t="array" ref="AP32">IFERROR(INDEX($GX$4:$GX$171,AY32),"")</f>
        <v/>
      </c>
      <c r="AQ32" s="1316"/>
      <c r="AR32" s="2031" t="str" cm="1">
        <f t="array" ref="AR32">IFERROR(INDEX($HD$4:$HD$171,AY32),"")</f>
        <v/>
      </c>
      <c r="AS32" s="2031" t="str" cm="1">
        <f t="array" ref="AS32">IFERROR(INDEX($HE$4:$HE$171,AY32),"")</f>
        <v/>
      </c>
      <c r="AT32" s="2031" t="str" cm="1">
        <f t="array" ref="AT32">IFERROR(INDEX($HF$4:$HF$171,AY32),"")</f>
        <v/>
      </c>
      <c r="AU32" s="2031" t="str" cm="1">
        <f t="array" ref="AU32">IFERROR(INDEX($GJ$4:$GJ$171,AY32),"")</f>
        <v/>
      </c>
      <c r="AV32" s="2031" t="str" cm="1">
        <f t="array" ref="AV32">IFERROR(INDEX($GK$4:$GK$171,AY32),"")</f>
        <v/>
      </c>
      <c r="AY32" s="2042" t="str" cm="1">
        <f t="array" ref="AY32">IFERROR(SMALL(IF($HI$4:$HI$171=1,ROW($HI$4:$HI$171)-3),ROW(W20)),IFERROR(SMALL(IF($HI$4:$HI$171=2,ROW($HI$4:$HI$171)-3),ROW(W20)-COUNTIF($HI$4:$HI$171,1)),IFERROR(SMALL(IF($HI$4:$HI$171=0,ROW($HI$4:$HI$171)-3),ROW(W20)-COUNTIF($HI$4:$HI$171,1)-COUNTIF($HI$4:$HI$171,2)),"")))</f>
        <v/>
      </c>
      <c r="AZ32" s="2042" t="str">
        <f t="shared" si="59"/>
        <v>a</v>
      </c>
      <c r="BA32" s="2053" t="e">
        <f t="shared" si="60"/>
        <v>#VALUE!</v>
      </c>
      <c r="BB32" s="2053" cm="1">
        <f t="array" ref="BB32">IFERROR(INDEX($HI$4:$HI$171,AY32),0)</f>
        <v>0</v>
      </c>
      <c r="BC32" s="2053">
        <f t="shared" si="61"/>
        <v>0</v>
      </c>
      <c r="BD32" s="2053"/>
      <c r="BE32" s="2307"/>
      <c r="BF32" s="2307"/>
      <c r="BG32" s="2307"/>
      <c r="BH32" s="2307"/>
      <c r="BI32" s="2307"/>
      <c r="BJ32" s="2307"/>
      <c r="BK32" s="2307"/>
      <c r="BL32" s="2307"/>
      <c r="BM32" s="2307"/>
      <c r="BN32" s="2307"/>
      <c r="BO32" s="2307"/>
      <c r="BP32" s="2043"/>
      <c r="BQ32" s="2042"/>
      <c r="BR32" s="2042">
        <v>1</v>
      </c>
      <c r="BS32" s="2042"/>
      <c r="BT32" s="2042" t="b">
        <v>0</v>
      </c>
      <c r="BU32" s="2058"/>
      <c r="BV32" s="2058"/>
      <c r="BW32" s="2042">
        <f t="shared" si="62"/>
        <v>12</v>
      </c>
      <c r="BX32" s="2042">
        <f t="shared" si="63"/>
        <v>0</v>
      </c>
      <c r="BY32" s="2042">
        <f t="shared" si="64"/>
        <v>12</v>
      </c>
      <c r="BZ32" s="2042" cm="1">
        <f t="array" ref="BZ32">INDEX(Pflanzen!$AI$5:$AI$119,'Lagerhaltung (freiwillig)'!BR32)</f>
        <v>0</v>
      </c>
      <c r="CA32" s="2042" cm="1">
        <f t="array" ref="CA32">IF(BZ32=1,INDEX(Pflanzen!$AJ$5:$AJ$119,BR32),N32)</f>
        <v>0</v>
      </c>
      <c r="CB32" s="2042" cm="1">
        <f t="array" ref="CB32">IF(BZ32=1,INDEX(Pflanzen!$AK$5:$AK$119,BR32),O32)</f>
        <v>0</v>
      </c>
      <c r="CC32" s="2042">
        <f t="shared" si="65"/>
        <v>12</v>
      </c>
      <c r="CD32" s="2042">
        <f t="shared" si="66"/>
        <v>0</v>
      </c>
      <c r="CE32" s="2042">
        <f t="shared" si="67"/>
        <v>12</v>
      </c>
      <c r="CF32" s="2042" cm="1">
        <f t="array" ref="CF32">INDEX(Pflanzen!$F$5:$F$119,BR32)</f>
        <v>0</v>
      </c>
      <c r="CG32" s="2042" cm="1">
        <f t="array" ref="CG32">INDEX(Pflanzen!$H$5:$H$119,BR32)</f>
        <v>0</v>
      </c>
      <c r="CH32" s="2042">
        <f t="shared" si="68"/>
        <v>0</v>
      </c>
      <c r="CI32" s="2042">
        <f t="shared" si="69"/>
        <v>0</v>
      </c>
      <c r="CJ32" s="2042">
        <f t="shared" si="70"/>
        <v>0</v>
      </c>
      <c r="CK32" s="2042">
        <f t="shared" si="71"/>
        <v>0</v>
      </c>
      <c r="CL32" s="2042">
        <f t="shared" si="72"/>
        <v>0</v>
      </c>
      <c r="CM32" s="2042">
        <f t="shared" si="73"/>
        <v>0</v>
      </c>
      <c r="CN32" s="2042">
        <f t="shared" si="74"/>
        <v>0</v>
      </c>
      <c r="CO32" s="2042">
        <f t="shared" si="75"/>
        <v>0</v>
      </c>
      <c r="CP32" s="2042">
        <f t="shared" si="76"/>
        <v>0</v>
      </c>
      <c r="CQ32" s="2042">
        <f t="shared" si="77"/>
        <v>0</v>
      </c>
      <c r="CR32" s="2042">
        <f t="shared" si="78"/>
        <v>0</v>
      </c>
      <c r="CS32" s="2042">
        <f t="shared" si="79"/>
        <v>0</v>
      </c>
      <c r="CT32" s="2042">
        <f t="shared" si="80"/>
        <v>0</v>
      </c>
      <c r="CU32" s="2042">
        <f t="shared" si="81"/>
        <v>0</v>
      </c>
      <c r="CV32" s="2042"/>
      <c r="CW32" s="609" t="str">
        <f>Pflanzen!A28</f>
        <v xml:space="preserve"> +++Ölfrüchte+++</v>
      </c>
      <c r="CX32" s="2042">
        <f>IFERROR(MATCH($CW32,Pflanzen!$C$5:$C$119,0),1)</f>
        <v>24</v>
      </c>
      <c r="CY32" s="609" cm="1">
        <f t="array" ref="CY32">INDEX(Pflanzen!$I$5:$I$119,'Lagerhaltung (freiwillig)'!CX32)</f>
        <v>0</v>
      </c>
      <c r="CZ32" s="2042">
        <f t="shared" si="106"/>
        <v>0</v>
      </c>
      <c r="DA32" s="2042">
        <f t="shared" si="106"/>
        <v>0</v>
      </c>
      <c r="DB32" s="2042">
        <f t="shared" si="106"/>
        <v>0</v>
      </c>
      <c r="DC32" s="2042">
        <f t="shared" si="106"/>
        <v>0</v>
      </c>
      <c r="DD32" s="2042">
        <f t="shared" si="106"/>
        <v>0</v>
      </c>
      <c r="DE32" s="2042">
        <f t="shared" si="106"/>
        <v>0</v>
      </c>
      <c r="DF32" s="2042">
        <f t="shared" si="106"/>
        <v>0</v>
      </c>
      <c r="DG32" s="2042">
        <f t="shared" si="106"/>
        <v>0</v>
      </c>
      <c r="DH32" s="2042">
        <f t="shared" si="106"/>
        <v>0</v>
      </c>
      <c r="DI32" s="2042">
        <f t="shared" si="106"/>
        <v>0</v>
      </c>
      <c r="DJ32" s="2042">
        <f t="shared" si="106"/>
        <v>0</v>
      </c>
      <c r="DK32" s="2042">
        <f t="shared" si="106"/>
        <v>0</v>
      </c>
      <c r="DL32" s="2042"/>
      <c r="DM32" s="2042">
        <f t="shared" si="107"/>
        <v>0</v>
      </c>
      <c r="DN32" s="2042">
        <f t="shared" si="107"/>
        <v>0</v>
      </c>
      <c r="DO32" s="2042">
        <f t="shared" si="107"/>
        <v>0</v>
      </c>
      <c r="DP32" s="2042">
        <f t="shared" si="107"/>
        <v>0</v>
      </c>
      <c r="DQ32" s="2042">
        <f t="shared" si="107"/>
        <v>0</v>
      </c>
      <c r="DR32" s="2042">
        <f t="shared" si="107"/>
        <v>0</v>
      </c>
      <c r="DS32" s="2042">
        <f t="shared" si="107"/>
        <v>0</v>
      </c>
      <c r="DT32" s="2042">
        <f t="shared" si="107"/>
        <v>0</v>
      </c>
      <c r="DU32" s="2042">
        <f t="shared" si="107"/>
        <v>0</v>
      </c>
      <c r="DV32" s="2042">
        <f t="shared" si="107"/>
        <v>0</v>
      </c>
      <c r="DW32" s="2042">
        <f t="shared" si="107"/>
        <v>0</v>
      </c>
      <c r="DX32" s="2042">
        <f t="shared" si="107"/>
        <v>0</v>
      </c>
      <c r="DY32" s="2042"/>
      <c r="DZ32" s="2042">
        <f t="shared" si="108"/>
        <v>0</v>
      </c>
      <c r="EA32" s="2042">
        <f t="shared" si="108"/>
        <v>0</v>
      </c>
      <c r="EB32" s="2042">
        <f t="shared" si="108"/>
        <v>0</v>
      </c>
      <c r="EC32" s="2042">
        <f t="shared" si="108"/>
        <v>0</v>
      </c>
      <c r="ED32" s="2042">
        <f t="shared" si="108"/>
        <v>0</v>
      </c>
      <c r="EE32" s="2042">
        <f t="shared" si="108"/>
        <v>0</v>
      </c>
      <c r="EF32" s="2042">
        <f t="shared" si="108"/>
        <v>0</v>
      </c>
      <c r="EG32" s="2042">
        <f t="shared" si="108"/>
        <v>0</v>
      </c>
      <c r="EH32" s="2042">
        <f t="shared" si="108"/>
        <v>0</v>
      </c>
      <c r="EI32" s="2042">
        <f t="shared" si="108"/>
        <v>0</v>
      </c>
      <c r="EJ32" s="2042">
        <f t="shared" si="108"/>
        <v>0</v>
      </c>
      <c r="EK32" s="2042">
        <f t="shared" si="108"/>
        <v>0</v>
      </c>
      <c r="EL32" s="2042"/>
      <c r="EM32" s="2042">
        <f t="shared" si="109"/>
        <v>0</v>
      </c>
      <c r="EN32" s="2042">
        <f t="shared" si="109"/>
        <v>0</v>
      </c>
      <c r="EO32" s="2042">
        <f t="shared" si="109"/>
        <v>0</v>
      </c>
      <c r="EP32" s="2042">
        <f t="shared" si="109"/>
        <v>0</v>
      </c>
      <c r="EQ32" s="2042">
        <f t="shared" si="109"/>
        <v>0</v>
      </c>
      <c r="ER32" s="2042">
        <f t="shared" si="109"/>
        <v>0</v>
      </c>
      <c r="ES32" s="2042">
        <f t="shared" si="109"/>
        <v>0</v>
      </c>
      <c r="ET32" s="2042">
        <f t="shared" si="109"/>
        <v>0</v>
      </c>
      <c r="EU32" s="2042">
        <f t="shared" si="109"/>
        <v>0</v>
      </c>
      <c r="EV32" s="2042">
        <f t="shared" si="109"/>
        <v>0</v>
      </c>
      <c r="EW32" s="2042">
        <f t="shared" si="109"/>
        <v>0</v>
      </c>
      <c r="EX32" s="2042">
        <f t="shared" si="109"/>
        <v>0</v>
      </c>
      <c r="EY32" s="2042"/>
      <c r="EZ32" s="2045">
        <f t="shared" si="50"/>
        <v>0</v>
      </c>
      <c r="FA32" s="2042">
        <f>EZ32+CZ32+DZ32                 -         SUMIF('Berechnung Nährstoffe und Lager'!$AX$113:$AX$155,$CX32,'Berechnung Nährstoffe und Lager'!$U$113:$U$155)/12  -$GB32*$HC32/12</f>
        <v>0</v>
      </c>
      <c r="FB32" s="2042">
        <f>FA32+DA32+EA32                 -         SUMIF('Berechnung Nährstoffe und Lager'!$AX$113:$AX$155,$CX32,'Berechnung Nährstoffe und Lager'!$U$113:$U$155)/12  -$GB32*$HC32/12</f>
        <v>0</v>
      </c>
      <c r="FC32" s="2042">
        <f>FB32+DB32+EB32                 -         SUMIF('Berechnung Nährstoffe und Lager'!$AX$113:$AX$155,$CX32,'Berechnung Nährstoffe und Lager'!$U$113:$U$155)/12  -$GB32*$HC32/12</f>
        <v>0</v>
      </c>
      <c r="FD32" s="2042">
        <f>FC32+DC32+EC32                 -         SUMIF('Berechnung Nährstoffe und Lager'!$AX$113:$AX$155,$CX32,'Berechnung Nährstoffe und Lager'!$U$113:$U$155)/12  -$GB32*$HC32/12</f>
        <v>0</v>
      </c>
      <c r="FE32" s="2042">
        <f>FD32+DD32+ED32                 -         SUMIF('Berechnung Nährstoffe und Lager'!$AX$113:$AX$155,$CX32,'Berechnung Nährstoffe und Lager'!$U$113:$U$155)/12  -$GB32*$HC32/12</f>
        <v>0</v>
      </c>
      <c r="FF32" s="2042">
        <f>FE32+DE32+EE32                 -         SUMIF('Berechnung Nährstoffe und Lager'!$AX$113:$AX$155,$CX32,'Berechnung Nährstoffe und Lager'!$U$113:$U$155)/12  -$GB32*$HC32/12</f>
        <v>0</v>
      </c>
      <c r="FG32" s="2042">
        <f>FF32+DF32+EF32                 -         SUMIF('Berechnung Nährstoffe und Lager'!$AX$113:$AX$155,$CX32,'Berechnung Nährstoffe und Lager'!$U$113:$U$155)/12  -$GB32*$HC32/12</f>
        <v>0</v>
      </c>
      <c r="FH32" s="2042">
        <f>FG32+DG32+EG32                 -         SUMIF('Berechnung Nährstoffe und Lager'!$AX$113:$AX$155,$CX32,'Berechnung Nährstoffe und Lager'!$U$113:$U$155)/12  -$GB32*$HC32/12</f>
        <v>0</v>
      </c>
      <c r="FI32" s="2042">
        <f>FH32+DH32+EH32                 -         SUMIF('Berechnung Nährstoffe und Lager'!$AX$113:$AX$155,$CX32,'Berechnung Nährstoffe und Lager'!$U$113:$U$155)/12  -$GB32*$HC32/12</f>
        <v>0</v>
      </c>
      <c r="FJ32" s="2042">
        <f>FI32+DI32+EI32                 -         SUMIF('Berechnung Nährstoffe und Lager'!$AX$113:$AX$155,$CX32,'Berechnung Nährstoffe und Lager'!$U$113:$U$155)/12  -$GB32*$HC32/12</f>
        <v>0</v>
      </c>
      <c r="FK32" s="2042">
        <f>FJ32+DJ32+EJ32                 -         SUMIF('Berechnung Nährstoffe und Lager'!$AX$113:$AX$155,$CX32,'Berechnung Nährstoffe und Lager'!$U$113:$U$155)/12  -$GB32*$HC32/12</f>
        <v>0</v>
      </c>
      <c r="FL32" s="2042">
        <f>FK32+DK32+EK32                 -         SUMIF('Berechnung Nährstoffe und Lager'!$AX$113:$AX$155,$CX32,'Berechnung Nährstoffe und Lager'!$U$113:$U$155)/12  -$GB32*$HC32/12</f>
        <v>0</v>
      </c>
      <c r="FM32" s="2042"/>
      <c r="FN32" s="2045">
        <f t="shared" si="51"/>
        <v>0</v>
      </c>
      <c r="FO32" s="2042">
        <f>FN32+DM32+EM32                 -         SUMIF('Berechnung Nährstoffe und Lager'!$AX$113:$AX$155,$CX32,'Berechnung Nährstoffe und Lager'!$V$113:$V$155)/12  -$GC32*$HC32/12</f>
        <v>0</v>
      </c>
      <c r="FP32" s="2042">
        <f>FO32+DN32+EN32                 -         SUMIF('Berechnung Nährstoffe und Lager'!$AX$113:$AX$155,$CX32,'Berechnung Nährstoffe und Lager'!$V$113:$V$155)/12  -$GC32*$HC32/12</f>
        <v>0</v>
      </c>
      <c r="FQ32" s="2042">
        <f>FP32+DO32+EO32                 -         SUMIF('Berechnung Nährstoffe und Lager'!$AX$113:$AX$155,$CX32,'Berechnung Nährstoffe und Lager'!$V$113:$V$155)/12  -$GC32*$HC32/12</f>
        <v>0</v>
      </c>
      <c r="FR32" s="2042">
        <f>FQ32+DP32+EP32                 -         SUMIF('Berechnung Nährstoffe und Lager'!$AX$113:$AX$155,$CX32,'Berechnung Nährstoffe und Lager'!$V$113:$V$155)/12  -$GC32*$HC32/12</f>
        <v>0</v>
      </c>
      <c r="FS32" s="2042">
        <f>FR32+DQ32+EQ32                 -         SUMIF('Berechnung Nährstoffe und Lager'!$AX$113:$AX$155,$CX32,'Berechnung Nährstoffe und Lager'!$V$113:$V$155)/12  -$GC32*$HC32/12</f>
        <v>0</v>
      </c>
      <c r="FT32" s="2042">
        <f>FS32+DR32+ER32                 -         SUMIF('Berechnung Nährstoffe und Lager'!$AX$113:$AX$155,$CX32,'Berechnung Nährstoffe und Lager'!$V$113:$V$155)/12  -$GC32*$HC32/12</f>
        <v>0</v>
      </c>
      <c r="FU32" s="2042">
        <f>FT32+DS32+ES32                 -         SUMIF('Berechnung Nährstoffe und Lager'!$AX$113:$AX$155,$CX32,'Berechnung Nährstoffe und Lager'!$V$113:$V$155)/12  -$GC32*$HC32/12</f>
        <v>0</v>
      </c>
      <c r="FV32" s="2042">
        <f>FU32+DT32+ET32                 -         SUMIF('Berechnung Nährstoffe und Lager'!$AX$113:$AX$155,$CX32,'Berechnung Nährstoffe und Lager'!$V$113:$V$155)/12  -$GC32*$HC32/12</f>
        <v>0</v>
      </c>
      <c r="FW32" s="2042">
        <f>FV32+DU32+EU32                 -         SUMIF('Berechnung Nährstoffe und Lager'!$AX$113:$AX$155,$CX32,'Berechnung Nährstoffe und Lager'!$V$113:$V$155)/12  -$GC32*$HC32/12</f>
        <v>0</v>
      </c>
      <c r="FX32" s="2042">
        <f>FW32+DV32+EV32                 -         SUMIF('Berechnung Nährstoffe und Lager'!$AX$113:$AX$155,$CX32,'Berechnung Nährstoffe und Lager'!$V$113:$V$155)/12  -$GC32*$HC32/12</f>
        <v>0</v>
      </c>
      <c r="FY32" s="2042">
        <f>FX32+DW32+EW32                 -         SUMIF('Berechnung Nährstoffe und Lager'!$AX$113:$AX$155,$CX32,'Berechnung Nährstoffe und Lager'!$V$113:$V$155)/12  -$GC32*$HC32/12</f>
        <v>0</v>
      </c>
      <c r="FZ32" s="2042">
        <f>FY32+DX32+EX32                 -         SUMIF('Berechnung Nährstoffe und Lager'!$AX$113:$AX$155,$CX32,'Berechnung Nährstoffe und Lager'!$V$113:$V$155)/12  -$GC32*$HC32/12</f>
        <v>0</v>
      </c>
      <c r="GA32" s="2042"/>
      <c r="GB32" s="2042">
        <f>SUMIFS($CI$14:$CI$68,$BR$14:$BR$68,$CX32)+SUMIFS($CM$14:$CM$68,$BR$14:$BR$68,$CX32)+SUMIFS($CR$14:$CR$68,$BR$14:$BR$68,$CX32)  -         SUMIF('Berechnung Nährstoffe und Lager'!$AX$113:$AX$155,$CX32,'Berechnung Nährstoffe und Lager'!$U$113:$U$155)</f>
        <v>0</v>
      </c>
      <c r="GC32" s="2042">
        <f>SUMIFS($CJ$14:$CJ$68,$BR$14:$BR$68,$CX32)+SUMIFS($CO$14:$CO$68,$BR$14:$BR$68,$CX32)+SUMIFS($CT$14:$CT$68,$BR$14:$BR$68,$CX32)  -         SUMIF('Berechnung Nährstoffe und Lager'!$AX$113:$AX$155,$CX32,'Berechnung Nährstoffe und Lager'!$V$113:$V$155)</f>
        <v>0</v>
      </c>
      <c r="GD32" s="2042"/>
      <c r="GE32" s="2042"/>
      <c r="GF32" s="2042">
        <f>SUMIF('Berechnung Nährstoffe und Lager'!$AX$113:$AX$155,$CX32,'Berechnung Nährstoffe und Lager'!$U$113:$U$155)</f>
        <v>0</v>
      </c>
      <c r="GG32" s="2042">
        <f>SUMIF('Berechnung Nährstoffe und Lager'!$AX$113:$AX$155,$CX32,'Berechnung Nährstoffe und Lager'!$V$113:$V$155)</f>
        <v>0</v>
      </c>
      <c r="GH32" s="2042">
        <f t="shared" si="52"/>
        <v>0</v>
      </c>
      <c r="GI32" s="2042">
        <f t="shared" si="53"/>
        <v>0</v>
      </c>
      <c r="GJ32" s="2042">
        <f t="shared" si="34"/>
        <v>0</v>
      </c>
      <c r="GK32" s="2042">
        <f t="shared" si="35"/>
        <v>0</v>
      </c>
      <c r="GL32" s="2042">
        <f t="shared" si="36"/>
        <v>0</v>
      </c>
      <c r="GM32" s="2042" cm="1">
        <f t="array" ref="GM32">IF(GL32=0,0,(IFERROR(SUMPRODUCT($J$14:$J$68,$CH$14:$CH$68,($BR$14:$BR$68=CX32)*1)+SUMPRODUCT($L$14:$L$68,$M$14:$M$68,$CK$14:$CK$68,($BR$14:$BR$68=CX32)*1,($BT$14:$BT$68=FALSE)*1)/10+SUMPRODUCT($R$14:$R$68,$CP$14:$CP$68,($BR$14:$BR$68=CX32)*1),0))/GL32)</f>
        <v>0</v>
      </c>
      <c r="GN32" s="2042">
        <f t="shared" si="54"/>
        <v>0</v>
      </c>
      <c r="GO32" s="2042">
        <f>(SUMIF('Berechnung Nährstoffe und Lager'!$AX$113:$AX$130,'Lagerhaltung (freiwillig)'!CX32,'Berechnung Nährstoffe und Lager'!$D$113:$D$130)+SUMIF('Berechnung Nährstoffe und Lager'!$AX$137:$AX$155,'Lagerhaltung (freiwillig)'!CX32,'Berechnung Nährstoffe und Lager'!$E$137:$E$155))</f>
        <v>0</v>
      </c>
      <c r="GP32" s="2042" cm="1">
        <f t="array" ref="GP32">IF(GO32=0,0,(IFERROR(SUMPRODUCT('Berechnung Nährstoffe und Lager'!$D$113:$D$130,'Berechnung Nährstoffe und Lager'!$F$113:$F$130,('Berechnung Nährstoffe und Lager'!$AX$113:$AX$130='Lagerhaltung (freiwillig)'!CX32)*1)+SUMPRODUCT('Berechnung Nährstoffe und Lager'!$E$137:$E$155,'Berechnung Nährstoffe und Lager'!$F$137:$F$155,('Berechnung Nährstoffe und Lager'!$AX$137:$AX$155='Lagerhaltung (freiwillig)'!CX32)*1),0))/GO32)</f>
        <v>0</v>
      </c>
      <c r="GQ32" s="2042">
        <f t="shared" si="55"/>
        <v>0</v>
      </c>
      <c r="GR32" s="2042">
        <f t="shared" si="56"/>
        <v>0</v>
      </c>
      <c r="GS32" s="2042">
        <f t="shared" si="57"/>
        <v>0</v>
      </c>
      <c r="GT32" s="2042">
        <f t="shared" si="58"/>
        <v>0</v>
      </c>
      <c r="GU32" s="2045" t="str">
        <f t="shared" si="39"/>
        <v xml:space="preserve"> </v>
      </c>
      <c r="GV32" s="2045" t="str">
        <f t="shared" si="39"/>
        <v xml:space="preserve"> </v>
      </c>
      <c r="GW32" s="2054">
        <f t="shared" si="40"/>
        <v>0</v>
      </c>
      <c r="GX32" s="2042">
        <f t="shared" si="41"/>
        <v>0</v>
      </c>
      <c r="GY32" s="2042" t="str">
        <f t="shared" si="42"/>
        <v>a</v>
      </c>
      <c r="GZ32" s="2055">
        <f t="shared" si="43"/>
        <v>0</v>
      </c>
      <c r="HA32" s="2055">
        <f t="shared" si="44"/>
        <v>0</v>
      </c>
      <c r="HB32" s="2055"/>
      <c r="HC32" s="2046">
        <f t="shared" si="45"/>
        <v>0</v>
      </c>
      <c r="HD32" s="2055">
        <f t="shared" si="46"/>
        <v>0</v>
      </c>
      <c r="HE32" s="2055">
        <f t="shared" si="47"/>
        <v>0</v>
      </c>
      <c r="HF32" s="2055">
        <f t="shared" si="48"/>
        <v>0</v>
      </c>
      <c r="HG32" s="2282" cm="1">
        <f t="array" ref="HG32">IF(AND(HE32=0,GJ32=0),0,IF(HE32=0,1,IF(OR(GJ32*1000/HE32/HF32&gt;INDEX(Pflanzen!$AD$5:$AD$109,CX32)/INDEX(Pflanzen!$M$5:$M$109,CX32)*$HG$1,GJ32*1000/HE32/HF32&lt;INDEX(Pflanzen!$AD$5:$AD$109,CX32)/INDEX(Pflanzen!$M$5:$M$109,CX32)/$HG$1),1,0)))</f>
        <v>0</v>
      </c>
      <c r="HH32" s="2282" cm="1">
        <f t="array" ref="HH32">IF(AND(GK32=0,HE32=0),0,IF(HE32=0,1,IF(OR(GK32*1000/HE32/HF32&gt;INDEX(Pflanzen!$AE$5:$AE$109,CX32)/INDEX(Pflanzen!$M$5:$M$109,CX32)*$HG$1,GK32*1000/HE32/HF32&lt;INDEX(Pflanzen!$AE$5:$AE$109,CX32)/INDEX(Pflanzen!$M$5:$M$109,CX32)/$HG$1),1,0)))</f>
        <v>0</v>
      </c>
      <c r="HI32" s="2042">
        <f t="shared" si="49"/>
        <v>3</v>
      </c>
      <c r="HJ32" s="2042"/>
      <c r="HL32" s="2042"/>
      <c r="HM32" s="2052" t="str">
        <f>Tiere!B58</f>
        <v>Mastschweine (850 g TZ), N-/P-reduziert</v>
      </c>
      <c r="HN32" s="2042">
        <v>29</v>
      </c>
      <c r="HO32" s="2053">
        <f>SUMIF('Berechnung Nährstoffe und Lager'!$BM$68:$BM$81,'Lagerhaltung (freiwillig)'!HN32,'Berechnung Nährstoffe und Lager'!$Z$68:$Z$81)+SUMIF('Berechnung Nährstoffe und Lager'!$BM$68:$BM$81,'Lagerhaltung (freiwillig)'!HN32,'Berechnung Nährstoffe und Lager'!$AA$68:$AA$81)</f>
        <v>0</v>
      </c>
      <c r="HP32" s="2042" cm="1">
        <f t="array" ref="HP32">INDEX(Tiere!$C$30:$C$85,'Lagerhaltung (freiwillig)'!HN32)</f>
        <v>2</v>
      </c>
      <c r="HQ32" s="2042" cm="1">
        <f t="array" ref="HQ32">INDEX(Tiere!$H$30:$H$85,'Lagerhaltung (freiwillig)'!HN32)</f>
        <v>0</v>
      </c>
      <c r="HR32" s="2042">
        <f t="shared" si="12"/>
        <v>0</v>
      </c>
      <c r="HS32" s="2042" cm="1">
        <f t="array" ref="HS32">INDEX(Tiere!$I$30:$I$85,'Lagerhaltung (freiwillig)'!HN32)</f>
        <v>0</v>
      </c>
      <c r="HT32" s="2042">
        <f t="shared" si="13"/>
        <v>0</v>
      </c>
      <c r="HU32" s="2042" cm="1">
        <f t="array" ref="HU32">INDEX(Tiere!$BC$30:$BC$85,'Lagerhaltung (freiwillig)'!HN32)</f>
        <v>7.9424000000000001</v>
      </c>
      <c r="HV32" s="2042">
        <f t="shared" si="6"/>
        <v>0</v>
      </c>
      <c r="HW32" s="2042" cm="1">
        <f t="array" ref="HW32">INDEX(Tiere!$BD$30:$BD$85,'Lagerhaltung (freiwillig)'!HN32)</f>
        <v>3.6299249999999996</v>
      </c>
      <c r="HX32" s="2042">
        <f t="shared" si="7"/>
        <v>0</v>
      </c>
      <c r="HY32" s="2042"/>
      <c r="HZ32" s="2042"/>
      <c r="IA32" s="2042"/>
      <c r="IB32" s="2042"/>
      <c r="IC32" s="2042"/>
      <c r="ID32" s="2042"/>
      <c r="IE32" s="2042"/>
      <c r="IF32" s="2042"/>
      <c r="IG32" s="2042"/>
      <c r="IH32" s="2042"/>
      <c r="II32" s="2042"/>
      <c r="IJ32" s="2042"/>
    </row>
    <row r="33" spans="1:245" ht="15.6" customHeight="1" x14ac:dyDescent="0.2">
      <c r="A33" s="1159"/>
      <c r="B33" s="1160"/>
      <c r="C33" s="1160"/>
      <c r="D33" s="1160"/>
      <c r="E33" s="1160"/>
      <c r="F33" s="2014" cm="1">
        <f t="array" ref="F33">INDEX(Pflanzen!$M$5:$M$109,BR33)</f>
        <v>0</v>
      </c>
      <c r="G33" s="2015" cm="1">
        <f t="array" ref="G33">INDEX(Pflanzen!$AD$5:$AD$109,BR33)</f>
        <v>0</v>
      </c>
      <c r="H33" s="2299" cm="1">
        <f t="array" ref="H33">INDEX(Pflanzen!$AE$5:$AE$109,BR33)</f>
        <v>0</v>
      </c>
      <c r="I33" s="1259"/>
      <c r="J33" s="1256"/>
      <c r="K33" s="1259"/>
      <c r="L33" s="1970"/>
      <c r="M33" s="1246"/>
      <c r="N33" s="1870"/>
      <c r="O33" s="1870"/>
      <c r="P33" s="2211"/>
      <c r="Q33" s="2196"/>
      <c r="R33" s="1970"/>
      <c r="S33" s="1246"/>
      <c r="T33" s="1256"/>
      <c r="U33" s="1159"/>
      <c r="V33" s="2316" t="str">
        <f t="shared" si="82"/>
        <v/>
      </c>
      <c r="Y33" s="2005" t="str" cm="1">
        <f t="array" ref="Y33">IFERROR(INDEX($CW$4:$CW$171,AY33),"")</f>
        <v/>
      </c>
      <c r="Z33" s="510"/>
      <c r="AA33" s="510"/>
      <c r="AB33" s="510"/>
      <c r="AC33" s="2031" t="str" cm="1">
        <f t="array" ref="AC33">IFERROR(INDEX($GL$4:$GL$171,AY33),"")</f>
        <v/>
      </c>
      <c r="AD33" s="2031" t="str" cm="1">
        <f t="array" ref="AD33">IFERROR(INDEX($GM$4:$GM$171,AY33),"")</f>
        <v/>
      </c>
      <c r="AE33" s="2031" t="str" cm="1">
        <f t="array" ref="AE33">IFERROR(INDEX($GH$4:$GH$171,AY33),"")</f>
        <v/>
      </c>
      <c r="AF33" s="2031" t="str" cm="1">
        <f t="array" ref="AF33">IFERROR(INDEX($GI$4:$GI$171,AY33),"")</f>
        <v/>
      </c>
      <c r="AG33" s="2031" t="str" cm="1">
        <f t="array" ref="AG33">IFERROR(INDEX($GO$4:$GO$171,AY33),"")</f>
        <v/>
      </c>
      <c r="AH33" s="2031" t="str" cm="1">
        <f t="array" ref="AH33">IFERROR(INDEX($GP$4:$GP$171,AY33),"")</f>
        <v/>
      </c>
      <c r="AI33" s="2031" t="str" cm="1">
        <f t="array" ref="AI33">IFERROR(INDEX($GF$4:$GF$171,AY33),"")</f>
        <v/>
      </c>
      <c r="AJ33" s="2031" t="str" cm="1">
        <f t="array" ref="AJ33">IFERROR(INDEX($GG$4:$GG$171,AY33),"")</f>
        <v/>
      </c>
      <c r="AK33" s="2031" t="str" cm="1">
        <f t="array" ref="AK33">IFERROR(INDEX($GS$4:$GS$171,AY33),"")</f>
        <v/>
      </c>
      <c r="AL33" s="2032" t="str" cm="1">
        <f t="array" ref="AL33">IFERROR(INDEX($GT$4:$GT$171,AY33),"")</f>
        <v/>
      </c>
      <c r="AM33" s="2031" t="str" cm="1">
        <f t="array" ref="AM33">IFERROR(INDEX($GB$4:$GB$171,AY33),"")</f>
        <v/>
      </c>
      <c r="AN33" s="2031" t="str" cm="1">
        <f t="array" ref="AN33">IFERROR(INDEX($GC$4:$GC$171,AY33),"")</f>
        <v/>
      </c>
      <c r="AO33" s="2031" t="str" cm="1">
        <f t="array" ref="AO33">IFERROR(INDEX($GU$4:$GU$171,AY33),"")</f>
        <v/>
      </c>
      <c r="AP33" s="2031" t="str" cm="1">
        <f t="array" ref="AP33">IFERROR(INDEX($GX$4:$GX$171,AY33),"")</f>
        <v/>
      </c>
      <c r="AQ33" s="1316"/>
      <c r="AR33" s="2031" t="str" cm="1">
        <f t="array" ref="AR33">IFERROR(INDEX($HD$4:$HD$171,AY33),"")</f>
        <v/>
      </c>
      <c r="AS33" s="2031" t="str" cm="1">
        <f t="array" ref="AS33">IFERROR(INDEX($HE$4:$HE$171,AY33),"")</f>
        <v/>
      </c>
      <c r="AT33" s="2031" t="str" cm="1">
        <f t="array" ref="AT33">IFERROR(INDEX($HF$4:$HF$171,AY33),"")</f>
        <v/>
      </c>
      <c r="AU33" s="2031" t="str" cm="1">
        <f t="array" ref="AU33">IFERROR(INDEX($GJ$4:$GJ$171,AY33),"")</f>
        <v/>
      </c>
      <c r="AV33" s="2031" t="str" cm="1">
        <f t="array" ref="AV33">IFERROR(INDEX($GK$4:$GK$171,AY33),"")</f>
        <v/>
      </c>
      <c r="AY33" s="2042" t="str" cm="1">
        <f t="array" ref="AY33">IFERROR(SMALL(IF($HI$4:$HI$171=1,ROW($HI$4:$HI$171)-3),ROW(W21)),IFERROR(SMALL(IF($HI$4:$HI$171=2,ROW($HI$4:$HI$171)-3),ROW(W21)-COUNTIF($HI$4:$HI$171,1)),IFERROR(SMALL(IF($HI$4:$HI$171=0,ROW($HI$4:$HI$171)-3),ROW(W21)-COUNTIF($HI$4:$HI$171,1)-COUNTIF($HI$4:$HI$171,2)),"")))</f>
        <v/>
      </c>
      <c r="AZ33" s="2042" t="str">
        <f t="shared" si="59"/>
        <v>a</v>
      </c>
      <c r="BA33" s="2053" t="e">
        <f t="shared" si="60"/>
        <v>#VALUE!</v>
      </c>
      <c r="BB33" s="2053" cm="1">
        <f t="array" ref="BB33">IFERROR(INDEX($HI$4:$HI$171,AY33),0)</f>
        <v>0</v>
      </c>
      <c r="BC33" s="2053">
        <f t="shared" si="61"/>
        <v>0</v>
      </c>
      <c r="BD33" s="2053"/>
      <c r="BE33" s="2307"/>
      <c r="BF33" s="2307"/>
      <c r="BG33" s="2307"/>
      <c r="BH33" s="2307"/>
      <c r="BI33" s="2307"/>
      <c r="BJ33" s="2307"/>
      <c r="BK33" s="2307"/>
      <c r="BL33" s="2307"/>
      <c r="BM33" s="2307"/>
      <c r="BN33" s="2307"/>
      <c r="BO33" s="2307"/>
      <c r="BP33" s="2043"/>
      <c r="BQ33" s="2042"/>
      <c r="BR33" s="2042">
        <v>1</v>
      </c>
      <c r="BS33" s="2042"/>
      <c r="BT33" s="2042" t="b">
        <v>0</v>
      </c>
      <c r="BU33" s="2058"/>
      <c r="BV33" s="2058"/>
      <c r="BW33" s="2042">
        <f t="shared" si="62"/>
        <v>12</v>
      </c>
      <c r="BX33" s="2042">
        <f t="shared" si="63"/>
        <v>0</v>
      </c>
      <c r="BY33" s="2042">
        <f t="shared" si="64"/>
        <v>12</v>
      </c>
      <c r="BZ33" s="2042" cm="1">
        <f t="array" ref="BZ33">INDEX(Pflanzen!$AI$5:$AI$119,'Lagerhaltung (freiwillig)'!BR33)</f>
        <v>0</v>
      </c>
      <c r="CA33" s="2042" cm="1">
        <f t="array" ref="CA33">IF(BZ33=1,INDEX(Pflanzen!$AJ$5:$AJ$119,BR33),N33)</f>
        <v>0</v>
      </c>
      <c r="CB33" s="2042" cm="1">
        <f t="array" ref="CB33">IF(BZ33=1,INDEX(Pflanzen!$AK$5:$AK$119,BR33),O33)</f>
        <v>0</v>
      </c>
      <c r="CC33" s="2042">
        <f t="shared" si="65"/>
        <v>12</v>
      </c>
      <c r="CD33" s="2042">
        <f t="shared" si="66"/>
        <v>0</v>
      </c>
      <c r="CE33" s="2042">
        <f t="shared" si="67"/>
        <v>12</v>
      </c>
      <c r="CF33" s="2042" cm="1">
        <f t="array" ref="CF33">INDEX(Pflanzen!$F$5:$F$119,BR33)</f>
        <v>0</v>
      </c>
      <c r="CG33" s="2042" cm="1">
        <f t="array" ref="CG33">INDEX(Pflanzen!$H$5:$H$119,BR33)</f>
        <v>0</v>
      </c>
      <c r="CH33" s="2042">
        <f t="shared" si="68"/>
        <v>0</v>
      </c>
      <c r="CI33" s="2042">
        <f t="shared" si="69"/>
        <v>0</v>
      </c>
      <c r="CJ33" s="2042">
        <f t="shared" si="70"/>
        <v>0</v>
      </c>
      <c r="CK33" s="2042">
        <f t="shared" si="71"/>
        <v>0</v>
      </c>
      <c r="CL33" s="2042">
        <f t="shared" si="72"/>
        <v>0</v>
      </c>
      <c r="CM33" s="2042">
        <f t="shared" si="73"/>
        <v>0</v>
      </c>
      <c r="CN33" s="2042">
        <f t="shared" si="74"/>
        <v>0</v>
      </c>
      <c r="CO33" s="2042">
        <f t="shared" si="75"/>
        <v>0</v>
      </c>
      <c r="CP33" s="2042">
        <f t="shared" si="76"/>
        <v>0</v>
      </c>
      <c r="CQ33" s="2042">
        <f t="shared" si="77"/>
        <v>0</v>
      </c>
      <c r="CR33" s="2042">
        <f t="shared" si="78"/>
        <v>0</v>
      </c>
      <c r="CS33" s="2042">
        <f t="shared" si="79"/>
        <v>0</v>
      </c>
      <c r="CT33" s="2042">
        <f t="shared" si="80"/>
        <v>0</v>
      </c>
      <c r="CU33" s="2042">
        <f t="shared" si="81"/>
        <v>0</v>
      </c>
      <c r="CV33" s="2042"/>
      <c r="CW33" s="609" t="str">
        <f>Pflanzen!A29</f>
        <v>Winterraps</v>
      </c>
      <c r="CX33" s="2042">
        <f>IFERROR(MATCH($CW33,Pflanzen!$C$5:$C$119,0),1)</f>
        <v>25</v>
      </c>
      <c r="CY33" s="609" cm="1">
        <f t="array" ref="CY33">INDEX(Pflanzen!$I$5:$I$119,'Lagerhaltung (freiwillig)'!CX33)</f>
        <v>2</v>
      </c>
      <c r="CZ33" s="2042">
        <f t="shared" si="106"/>
        <v>0</v>
      </c>
      <c r="DA33" s="2042">
        <f t="shared" si="106"/>
        <v>0</v>
      </c>
      <c r="DB33" s="2042">
        <f t="shared" si="106"/>
        <v>0</v>
      </c>
      <c r="DC33" s="2042">
        <f t="shared" si="106"/>
        <v>0</v>
      </c>
      <c r="DD33" s="2042">
        <f t="shared" si="106"/>
        <v>0</v>
      </c>
      <c r="DE33" s="2042">
        <f t="shared" si="106"/>
        <v>0</v>
      </c>
      <c r="DF33" s="2042">
        <f t="shared" si="106"/>
        <v>0</v>
      </c>
      <c r="DG33" s="2042">
        <f t="shared" si="106"/>
        <v>0</v>
      </c>
      <c r="DH33" s="2042">
        <f t="shared" si="106"/>
        <v>0</v>
      </c>
      <c r="DI33" s="2042">
        <f t="shared" si="106"/>
        <v>0</v>
      </c>
      <c r="DJ33" s="2042">
        <f t="shared" si="106"/>
        <v>0</v>
      </c>
      <c r="DK33" s="2042">
        <f t="shared" si="106"/>
        <v>0</v>
      </c>
      <c r="DL33" s="2042"/>
      <c r="DM33" s="2042">
        <f t="shared" si="107"/>
        <v>0</v>
      </c>
      <c r="DN33" s="2042">
        <f t="shared" si="107"/>
        <v>0</v>
      </c>
      <c r="DO33" s="2042">
        <f t="shared" si="107"/>
        <v>0</v>
      </c>
      <c r="DP33" s="2042">
        <f t="shared" si="107"/>
        <v>0</v>
      </c>
      <c r="DQ33" s="2042">
        <f t="shared" si="107"/>
        <v>0</v>
      </c>
      <c r="DR33" s="2042">
        <f t="shared" si="107"/>
        <v>0</v>
      </c>
      <c r="DS33" s="2042">
        <f t="shared" si="107"/>
        <v>0</v>
      </c>
      <c r="DT33" s="2042">
        <f t="shared" si="107"/>
        <v>0</v>
      </c>
      <c r="DU33" s="2042">
        <f t="shared" si="107"/>
        <v>0</v>
      </c>
      <c r="DV33" s="2042">
        <f t="shared" si="107"/>
        <v>0</v>
      </c>
      <c r="DW33" s="2042">
        <f t="shared" si="107"/>
        <v>0</v>
      </c>
      <c r="DX33" s="2042">
        <f t="shared" si="107"/>
        <v>0</v>
      </c>
      <c r="DY33" s="2042"/>
      <c r="DZ33" s="2042">
        <f t="shared" si="108"/>
        <v>0</v>
      </c>
      <c r="EA33" s="2042">
        <f t="shared" si="108"/>
        <v>0</v>
      </c>
      <c r="EB33" s="2042">
        <f t="shared" si="108"/>
        <v>0</v>
      </c>
      <c r="EC33" s="2042">
        <f t="shared" si="108"/>
        <v>0</v>
      </c>
      <c r="ED33" s="2042">
        <f t="shared" si="108"/>
        <v>0</v>
      </c>
      <c r="EE33" s="2042">
        <f t="shared" si="108"/>
        <v>0</v>
      </c>
      <c r="EF33" s="2042">
        <f t="shared" si="108"/>
        <v>0</v>
      </c>
      <c r="EG33" s="2042">
        <f t="shared" si="108"/>
        <v>0</v>
      </c>
      <c r="EH33" s="2042">
        <f t="shared" si="108"/>
        <v>0</v>
      </c>
      <c r="EI33" s="2042">
        <f t="shared" si="108"/>
        <v>0</v>
      </c>
      <c r="EJ33" s="2042">
        <f t="shared" si="108"/>
        <v>0</v>
      </c>
      <c r="EK33" s="2042">
        <f t="shared" si="108"/>
        <v>0</v>
      </c>
      <c r="EL33" s="2042"/>
      <c r="EM33" s="2042">
        <f t="shared" si="109"/>
        <v>0</v>
      </c>
      <c r="EN33" s="2042">
        <f t="shared" si="109"/>
        <v>0</v>
      </c>
      <c r="EO33" s="2042">
        <f t="shared" si="109"/>
        <v>0</v>
      </c>
      <c r="EP33" s="2042">
        <f t="shared" si="109"/>
        <v>0</v>
      </c>
      <c r="EQ33" s="2042">
        <f t="shared" si="109"/>
        <v>0</v>
      </c>
      <c r="ER33" s="2042">
        <f t="shared" si="109"/>
        <v>0</v>
      </c>
      <c r="ES33" s="2042">
        <f t="shared" si="109"/>
        <v>0</v>
      </c>
      <c r="ET33" s="2042">
        <f t="shared" si="109"/>
        <v>0</v>
      </c>
      <c r="EU33" s="2042">
        <f t="shared" si="109"/>
        <v>0</v>
      </c>
      <c r="EV33" s="2042">
        <f t="shared" si="109"/>
        <v>0</v>
      </c>
      <c r="EW33" s="2042">
        <f t="shared" si="109"/>
        <v>0</v>
      </c>
      <c r="EX33" s="2042">
        <f t="shared" si="109"/>
        <v>0</v>
      </c>
      <c r="EY33" s="2042"/>
      <c r="EZ33" s="2045">
        <f t="shared" si="50"/>
        <v>0</v>
      </c>
      <c r="FA33" s="2042">
        <f>EZ33+CZ33+DZ33                 -         SUMIF('Berechnung Nährstoffe und Lager'!$AX$113:$AX$155,$CX33,'Berechnung Nährstoffe und Lager'!$U$113:$U$155)/12  -$GB33*$HC33/12</f>
        <v>0</v>
      </c>
      <c r="FB33" s="2042">
        <f>FA33+DA33+EA33                 -         SUMIF('Berechnung Nährstoffe und Lager'!$AX$113:$AX$155,$CX33,'Berechnung Nährstoffe und Lager'!$U$113:$U$155)/12  -$GB33*$HC33/12</f>
        <v>0</v>
      </c>
      <c r="FC33" s="2042">
        <f>FB33+DB33+EB33                 -         SUMIF('Berechnung Nährstoffe und Lager'!$AX$113:$AX$155,$CX33,'Berechnung Nährstoffe und Lager'!$U$113:$U$155)/12  -$GB33*$HC33/12</f>
        <v>0</v>
      </c>
      <c r="FD33" s="2042">
        <f>FC33+DC33+EC33                 -         SUMIF('Berechnung Nährstoffe und Lager'!$AX$113:$AX$155,$CX33,'Berechnung Nährstoffe und Lager'!$U$113:$U$155)/12  -$GB33*$HC33/12</f>
        <v>0</v>
      </c>
      <c r="FE33" s="2042">
        <f>FD33+DD33+ED33                 -         SUMIF('Berechnung Nährstoffe und Lager'!$AX$113:$AX$155,$CX33,'Berechnung Nährstoffe und Lager'!$U$113:$U$155)/12  -$GB33*$HC33/12</f>
        <v>0</v>
      </c>
      <c r="FF33" s="2042">
        <f>FE33+DE33+EE33                 -         SUMIF('Berechnung Nährstoffe und Lager'!$AX$113:$AX$155,$CX33,'Berechnung Nährstoffe und Lager'!$U$113:$U$155)/12  -$GB33*$HC33/12</f>
        <v>0</v>
      </c>
      <c r="FG33" s="2042">
        <f>FF33+DF33+EF33                 -         SUMIF('Berechnung Nährstoffe und Lager'!$AX$113:$AX$155,$CX33,'Berechnung Nährstoffe und Lager'!$U$113:$U$155)/12  -$GB33*$HC33/12</f>
        <v>0</v>
      </c>
      <c r="FH33" s="2042">
        <f>FG33+DG33+EG33                 -         SUMIF('Berechnung Nährstoffe und Lager'!$AX$113:$AX$155,$CX33,'Berechnung Nährstoffe und Lager'!$U$113:$U$155)/12  -$GB33*$HC33/12</f>
        <v>0</v>
      </c>
      <c r="FI33" s="2042">
        <f>FH33+DH33+EH33                 -         SUMIF('Berechnung Nährstoffe und Lager'!$AX$113:$AX$155,$CX33,'Berechnung Nährstoffe und Lager'!$U$113:$U$155)/12  -$GB33*$HC33/12</f>
        <v>0</v>
      </c>
      <c r="FJ33" s="2042">
        <f>FI33+DI33+EI33                 -         SUMIF('Berechnung Nährstoffe und Lager'!$AX$113:$AX$155,$CX33,'Berechnung Nährstoffe und Lager'!$U$113:$U$155)/12  -$GB33*$HC33/12</f>
        <v>0</v>
      </c>
      <c r="FK33" s="2042">
        <f>FJ33+DJ33+EJ33                 -         SUMIF('Berechnung Nährstoffe und Lager'!$AX$113:$AX$155,$CX33,'Berechnung Nährstoffe und Lager'!$U$113:$U$155)/12  -$GB33*$HC33/12</f>
        <v>0</v>
      </c>
      <c r="FL33" s="2042">
        <f>FK33+DK33+EK33                 -         SUMIF('Berechnung Nährstoffe und Lager'!$AX$113:$AX$155,$CX33,'Berechnung Nährstoffe und Lager'!$U$113:$U$155)/12  -$GB33*$HC33/12</f>
        <v>0</v>
      </c>
      <c r="FM33" s="2042"/>
      <c r="FN33" s="2045">
        <f t="shared" si="51"/>
        <v>0</v>
      </c>
      <c r="FO33" s="2042">
        <f>FN33+DM33+EM33                 -         SUMIF('Berechnung Nährstoffe und Lager'!$AX$113:$AX$155,$CX33,'Berechnung Nährstoffe und Lager'!$V$113:$V$155)/12  -$GC33*$HC33/12</f>
        <v>0</v>
      </c>
      <c r="FP33" s="2042">
        <f>FO33+DN33+EN33                 -         SUMIF('Berechnung Nährstoffe und Lager'!$AX$113:$AX$155,$CX33,'Berechnung Nährstoffe und Lager'!$V$113:$V$155)/12  -$GC33*$HC33/12</f>
        <v>0</v>
      </c>
      <c r="FQ33" s="2042">
        <f>FP33+DO33+EO33                 -         SUMIF('Berechnung Nährstoffe und Lager'!$AX$113:$AX$155,$CX33,'Berechnung Nährstoffe und Lager'!$V$113:$V$155)/12  -$GC33*$HC33/12</f>
        <v>0</v>
      </c>
      <c r="FR33" s="2042">
        <f>FQ33+DP33+EP33                 -         SUMIF('Berechnung Nährstoffe und Lager'!$AX$113:$AX$155,$CX33,'Berechnung Nährstoffe und Lager'!$V$113:$V$155)/12  -$GC33*$HC33/12</f>
        <v>0</v>
      </c>
      <c r="FS33" s="2042">
        <f>FR33+DQ33+EQ33                 -         SUMIF('Berechnung Nährstoffe und Lager'!$AX$113:$AX$155,$CX33,'Berechnung Nährstoffe und Lager'!$V$113:$V$155)/12  -$GC33*$HC33/12</f>
        <v>0</v>
      </c>
      <c r="FT33" s="2042">
        <f>FS33+DR33+ER33                 -         SUMIF('Berechnung Nährstoffe und Lager'!$AX$113:$AX$155,$CX33,'Berechnung Nährstoffe und Lager'!$V$113:$V$155)/12  -$GC33*$HC33/12</f>
        <v>0</v>
      </c>
      <c r="FU33" s="2042">
        <f>FT33+DS33+ES33                 -         SUMIF('Berechnung Nährstoffe und Lager'!$AX$113:$AX$155,$CX33,'Berechnung Nährstoffe und Lager'!$V$113:$V$155)/12  -$GC33*$HC33/12</f>
        <v>0</v>
      </c>
      <c r="FV33" s="2042">
        <f>FU33+DT33+ET33                 -         SUMIF('Berechnung Nährstoffe und Lager'!$AX$113:$AX$155,$CX33,'Berechnung Nährstoffe und Lager'!$V$113:$V$155)/12  -$GC33*$HC33/12</f>
        <v>0</v>
      </c>
      <c r="FW33" s="2042">
        <f>FV33+DU33+EU33                 -         SUMIF('Berechnung Nährstoffe und Lager'!$AX$113:$AX$155,$CX33,'Berechnung Nährstoffe und Lager'!$V$113:$V$155)/12  -$GC33*$HC33/12</f>
        <v>0</v>
      </c>
      <c r="FX33" s="2042">
        <f>FW33+DV33+EV33                 -         SUMIF('Berechnung Nährstoffe und Lager'!$AX$113:$AX$155,$CX33,'Berechnung Nährstoffe und Lager'!$V$113:$V$155)/12  -$GC33*$HC33/12</f>
        <v>0</v>
      </c>
      <c r="FY33" s="2042">
        <f>FX33+DW33+EW33                 -         SUMIF('Berechnung Nährstoffe und Lager'!$AX$113:$AX$155,$CX33,'Berechnung Nährstoffe und Lager'!$V$113:$V$155)/12  -$GC33*$HC33/12</f>
        <v>0</v>
      </c>
      <c r="FZ33" s="2042">
        <f>FY33+DX33+EX33                 -         SUMIF('Berechnung Nährstoffe und Lager'!$AX$113:$AX$155,$CX33,'Berechnung Nährstoffe und Lager'!$V$113:$V$155)/12  -$GC33*$HC33/12</f>
        <v>0</v>
      </c>
      <c r="GA33" s="2042"/>
      <c r="GB33" s="2042">
        <f>SUMIFS($CI$14:$CI$68,$BR$14:$BR$68,$CX33)+SUMIFS($CM$14:$CM$68,$BR$14:$BR$68,$CX33)+SUMIFS($CR$14:$CR$68,$BR$14:$BR$68,$CX33)  -         SUMIF('Berechnung Nährstoffe und Lager'!$AX$113:$AX$155,$CX33,'Berechnung Nährstoffe und Lager'!$U$113:$U$155)</f>
        <v>0</v>
      </c>
      <c r="GC33" s="2042">
        <f>SUMIFS($CJ$14:$CJ$68,$BR$14:$BR$68,$CX33)+SUMIFS($CO$14:$CO$68,$BR$14:$BR$68,$CX33)+SUMIFS($CT$14:$CT$68,$BR$14:$BR$68,$CX33)  -         SUMIF('Berechnung Nährstoffe und Lager'!$AX$113:$AX$155,$CX33,'Berechnung Nährstoffe und Lager'!$V$113:$V$155)</f>
        <v>0</v>
      </c>
      <c r="GD33" s="2042"/>
      <c r="GE33" s="2042"/>
      <c r="GF33" s="2042">
        <f>SUMIF('Berechnung Nährstoffe und Lager'!$AX$113:$AX$155,$CX33,'Berechnung Nährstoffe und Lager'!$U$113:$U$155)</f>
        <v>0</v>
      </c>
      <c r="GG33" s="2042">
        <f>SUMIF('Berechnung Nährstoffe und Lager'!$AX$113:$AX$155,$CX33,'Berechnung Nährstoffe und Lager'!$V$113:$V$155)</f>
        <v>0</v>
      </c>
      <c r="GH33" s="2042">
        <f t="shared" si="52"/>
        <v>0</v>
      </c>
      <c r="GI33" s="2042">
        <f t="shared" si="53"/>
        <v>0</v>
      </c>
      <c r="GJ33" s="2042">
        <f t="shared" si="34"/>
        <v>0</v>
      </c>
      <c r="GK33" s="2042">
        <f t="shared" si="35"/>
        <v>0</v>
      </c>
      <c r="GL33" s="2042">
        <f t="shared" si="36"/>
        <v>0</v>
      </c>
      <c r="GM33" s="2042" cm="1">
        <f t="array" ref="GM33">IF(GL33=0,0,(IFERROR(SUMPRODUCT($J$14:$J$68,$CH$14:$CH$68,($BR$14:$BR$68=CX33)*1)+SUMPRODUCT($L$14:$L$68,$M$14:$M$68,$CK$14:$CK$68,($BR$14:$BR$68=CX33)*1,($BT$14:$BT$68=FALSE)*1)/10+SUMPRODUCT($R$14:$R$68,$CP$14:$CP$68,($BR$14:$BR$68=CX33)*1),0))/GL33)</f>
        <v>0</v>
      </c>
      <c r="GN33" s="2042">
        <f t="shared" si="54"/>
        <v>0</v>
      </c>
      <c r="GO33" s="2042">
        <f>(SUMIF('Berechnung Nährstoffe und Lager'!$AX$113:$AX$130,'Lagerhaltung (freiwillig)'!CX33,'Berechnung Nährstoffe und Lager'!$D$113:$D$130)+SUMIF('Berechnung Nährstoffe und Lager'!$AX$137:$AX$155,'Lagerhaltung (freiwillig)'!CX33,'Berechnung Nährstoffe und Lager'!$E$137:$E$155))</f>
        <v>0</v>
      </c>
      <c r="GP33" s="2042" cm="1">
        <f t="array" ref="GP33">IF(GO33=0,0,(IFERROR(SUMPRODUCT('Berechnung Nährstoffe und Lager'!$D$113:$D$130,'Berechnung Nährstoffe und Lager'!$F$113:$F$130,('Berechnung Nährstoffe und Lager'!$AX$113:$AX$130='Lagerhaltung (freiwillig)'!CX33)*1)+SUMPRODUCT('Berechnung Nährstoffe und Lager'!$E$137:$E$155,'Berechnung Nährstoffe und Lager'!$F$137:$F$155,('Berechnung Nährstoffe und Lager'!$AX$137:$AX$155='Lagerhaltung (freiwillig)'!CX33)*1),0))/GO33)</f>
        <v>0</v>
      </c>
      <c r="GQ33" s="2042">
        <f t="shared" si="55"/>
        <v>0</v>
      </c>
      <c r="GR33" s="2042">
        <f t="shared" si="56"/>
        <v>0</v>
      </c>
      <c r="GS33" s="2042">
        <f t="shared" si="57"/>
        <v>0</v>
      </c>
      <c r="GT33" s="2042">
        <f t="shared" si="58"/>
        <v>0</v>
      </c>
      <c r="GU33" s="2045" t="str">
        <f t="shared" si="39"/>
        <v xml:space="preserve"> </v>
      </c>
      <c r="GV33" s="2045" t="str">
        <f t="shared" si="39"/>
        <v xml:space="preserve"> </v>
      </c>
      <c r="GW33" s="2054">
        <f t="shared" si="40"/>
        <v>0</v>
      </c>
      <c r="GX33" s="2042">
        <f t="shared" si="41"/>
        <v>0</v>
      </c>
      <c r="GY33" s="2042" t="str">
        <f t="shared" si="42"/>
        <v>a</v>
      </c>
      <c r="GZ33" s="2055">
        <f t="shared" si="43"/>
        <v>0</v>
      </c>
      <c r="HA33" s="2055">
        <f t="shared" si="44"/>
        <v>0</v>
      </c>
      <c r="HB33" s="2055"/>
      <c r="HC33" s="2046">
        <f t="shared" si="45"/>
        <v>0</v>
      </c>
      <c r="HD33" s="2055">
        <f t="shared" si="46"/>
        <v>0</v>
      </c>
      <c r="HE33" s="2055">
        <f t="shared" si="47"/>
        <v>0</v>
      </c>
      <c r="HF33" s="2055">
        <f t="shared" si="48"/>
        <v>0</v>
      </c>
      <c r="HG33" s="2282" cm="1">
        <f t="array" ref="HG33">IF(AND(HE33=0,GJ33=0),0,IF(HE33=0,1,IF(OR(GJ33*1000/HE33/HF33&gt;INDEX(Pflanzen!$AD$5:$AD$109,CX33)/INDEX(Pflanzen!$M$5:$M$109,CX33)*$HG$1,GJ33*1000/HE33/HF33&lt;INDEX(Pflanzen!$AD$5:$AD$109,CX33)/INDEX(Pflanzen!$M$5:$M$109,CX33)/$HG$1),1,0)))</f>
        <v>0</v>
      </c>
      <c r="HH33" s="2282" cm="1">
        <f t="array" ref="HH33">IF(AND(GK33=0,HE33=0),0,IF(HE33=0,1,IF(OR(GK33*1000/HE33/HF33&gt;INDEX(Pflanzen!$AE$5:$AE$109,CX33)/INDEX(Pflanzen!$M$5:$M$109,CX33)*$HG$1,GK33*1000/HE33/HF33&lt;INDEX(Pflanzen!$AE$5:$AE$109,CX33)/INDEX(Pflanzen!$M$5:$M$109,CX33)/$HG$1),1,0)))</f>
        <v>0</v>
      </c>
      <c r="HI33" s="2042">
        <f t="shared" si="49"/>
        <v>3</v>
      </c>
      <c r="HJ33" s="2042"/>
      <c r="HL33" s="2042"/>
      <c r="HM33" s="2052" t="str">
        <f>Tiere!B59</f>
        <v>Mastschweine (850 g TZ), stark N-/P-reduziert*</v>
      </c>
      <c r="HN33" s="2042">
        <v>30</v>
      </c>
      <c r="HO33" s="2053">
        <f>SUMIF('Berechnung Nährstoffe und Lager'!$BM$68:$BM$81,'Lagerhaltung (freiwillig)'!HN33,'Berechnung Nährstoffe und Lager'!$Z$68:$Z$81)+SUMIF('Berechnung Nährstoffe und Lager'!$BM$68:$BM$81,'Lagerhaltung (freiwillig)'!HN33,'Berechnung Nährstoffe und Lager'!$AA$68:$AA$81)</f>
        <v>0</v>
      </c>
      <c r="HP33" s="2042" cm="1">
        <f t="array" ref="HP33">INDEX(Tiere!$C$30:$C$85,'Lagerhaltung (freiwillig)'!HN33)</f>
        <v>2</v>
      </c>
      <c r="HQ33" s="2042" cm="1">
        <f t="array" ref="HQ33">INDEX(Tiere!$H$30:$H$85,'Lagerhaltung (freiwillig)'!HN33)</f>
        <v>0</v>
      </c>
      <c r="HR33" s="2042">
        <f t="shared" si="12"/>
        <v>0</v>
      </c>
      <c r="HS33" s="2042" cm="1">
        <f t="array" ref="HS33">INDEX(Tiere!$I$30:$I$85,'Lagerhaltung (freiwillig)'!HN33)</f>
        <v>0</v>
      </c>
      <c r="HT33" s="2042">
        <f t="shared" si="13"/>
        <v>0</v>
      </c>
      <c r="HU33" s="2042" cm="1">
        <f t="array" ref="HU33">INDEX(Tiere!$BC$30:$BC$85,'Lagerhaltung (freiwillig)'!HN33)</f>
        <v>7.9424000000000001</v>
      </c>
      <c r="HV33" s="2042">
        <f t="shared" si="6"/>
        <v>0</v>
      </c>
      <c r="HW33" s="2042" cm="1">
        <f t="array" ref="HW33">INDEX(Tiere!$BD$30:$BD$85,'Lagerhaltung (freiwillig)'!HN33)</f>
        <v>3.6299249999999996</v>
      </c>
      <c r="HX33" s="2042">
        <f t="shared" si="7"/>
        <v>0</v>
      </c>
      <c r="HY33" s="2042"/>
      <c r="HZ33" s="2042"/>
      <c r="IA33" s="2042"/>
      <c r="IB33" s="2042"/>
      <c r="IC33" s="2042"/>
      <c r="ID33" s="2042"/>
      <c r="IE33" s="2042"/>
      <c r="IF33" s="2042"/>
      <c r="IG33" s="2042"/>
      <c r="IH33" s="2042"/>
      <c r="II33" s="2042"/>
      <c r="IJ33" s="2042"/>
    </row>
    <row r="34" spans="1:245" ht="15.6" customHeight="1" x14ac:dyDescent="0.2">
      <c r="A34" s="1159"/>
      <c r="B34" s="1160"/>
      <c r="C34" s="1160"/>
      <c r="D34" s="1160"/>
      <c r="E34" s="1160"/>
      <c r="F34" s="2014" cm="1">
        <f t="array" ref="F34">INDEX(Pflanzen!$M$5:$M$109,BR34)</f>
        <v>0</v>
      </c>
      <c r="G34" s="2015" cm="1">
        <f t="array" ref="G34">INDEX(Pflanzen!$AD$5:$AD$109,BR34)</f>
        <v>0</v>
      </c>
      <c r="H34" s="2299" cm="1">
        <f t="array" ref="H34">INDEX(Pflanzen!$AE$5:$AE$109,BR34)</f>
        <v>0</v>
      </c>
      <c r="I34" s="1259"/>
      <c r="J34" s="1256"/>
      <c r="K34" s="1259"/>
      <c r="L34" s="1970"/>
      <c r="M34" s="1246"/>
      <c r="N34" s="1870"/>
      <c r="O34" s="1870"/>
      <c r="P34" s="2211"/>
      <c r="Q34" s="2196"/>
      <c r="R34" s="1970"/>
      <c r="S34" s="1246"/>
      <c r="T34" s="1256"/>
      <c r="U34" s="1159"/>
      <c r="V34" s="2316" t="str">
        <f t="shared" si="82"/>
        <v/>
      </c>
      <c r="Y34" s="2005" t="str" cm="1">
        <f t="array" ref="Y34">IFERROR(INDEX($CW$4:$CW$171,AY34),"")</f>
        <v/>
      </c>
      <c r="Z34" s="510"/>
      <c r="AA34" s="510"/>
      <c r="AB34" s="510"/>
      <c r="AC34" s="2031" t="str" cm="1">
        <f t="array" ref="AC34">IFERROR(INDEX($GL$4:$GL$171,AY34),"")</f>
        <v/>
      </c>
      <c r="AD34" s="2031" t="str" cm="1">
        <f t="array" ref="AD34">IFERROR(INDEX($GM$4:$GM$171,AY34),"")</f>
        <v/>
      </c>
      <c r="AE34" s="2031" t="str" cm="1">
        <f t="array" ref="AE34">IFERROR(INDEX($GH$4:$GH$171,AY34),"")</f>
        <v/>
      </c>
      <c r="AF34" s="2031" t="str" cm="1">
        <f t="array" ref="AF34">IFERROR(INDEX($GI$4:$GI$171,AY34),"")</f>
        <v/>
      </c>
      <c r="AG34" s="2031" t="str" cm="1">
        <f t="array" ref="AG34">IFERROR(INDEX($GO$4:$GO$171,AY34),"")</f>
        <v/>
      </c>
      <c r="AH34" s="2031" t="str" cm="1">
        <f t="array" ref="AH34">IFERROR(INDEX($GP$4:$GP$171,AY34),"")</f>
        <v/>
      </c>
      <c r="AI34" s="2031" t="str" cm="1">
        <f t="array" ref="AI34">IFERROR(INDEX($GF$4:$GF$171,AY34),"")</f>
        <v/>
      </c>
      <c r="AJ34" s="2031" t="str" cm="1">
        <f t="array" ref="AJ34">IFERROR(INDEX($GG$4:$GG$171,AY34),"")</f>
        <v/>
      </c>
      <c r="AK34" s="2031" t="str" cm="1">
        <f t="array" ref="AK34">IFERROR(INDEX($GS$4:$GS$171,AY34),"")</f>
        <v/>
      </c>
      <c r="AL34" s="2032" t="str" cm="1">
        <f t="array" ref="AL34">IFERROR(INDEX($GT$4:$GT$171,AY34),"")</f>
        <v/>
      </c>
      <c r="AM34" s="2031" t="str" cm="1">
        <f t="array" ref="AM34">IFERROR(INDEX($GB$4:$GB$171,AY34),"")</f>
        <v/>
      </c>
      <c r="AN34" s="2031" t="str" cm="1">
        <f t="array" ref="AN34">IFERROR(INDEX($GC$4:$GC$171,AY34),"")</f>
        <v/>
      </c>
      <c r="AO34" s="2031" t="str" cm="1">
        <f t="array" ref="AO34">IFERROR(INDEX($GU$4:$GU$171,AY34),"")</f>
        <v/>
      </c>
      <c r="AP34" s="2031" t="str" cm="1">
        <f t="array" ref="AP34">IFERROR(INDEX($GX$4:$GX$171,AY34),"")</f>
        <v/>
      </c>
      <c r="AQ34" s="1316"/>
      <c r="AR34" s="2031" t="str" cm="1">
        <f t="array" ref="AR34">IFERROR(INDEX($HD$4:$HD$171,AY34),"")</f>
        <v/>
      </c>
      <c r="AS34" s="2031" t="str" cm="1">
        <f t="array" ref="AS34">IFERROR(INDEX($HE$4:$HE$171,AY34),"")</f>
        <v/>
      </c>
      <c r="AT34" s="2031" t="str" cm="1">
        <f t="array" ref="AT34">IFERROR(INDEX($HF$4:$HF$171,AY34),"")</f>
        <v/>
      </c>
      <c r="AU34" s="2031" t="str" cm="1">
        <f t="array" ref="AU34">IFERROR(INDEX($GJ$4:$GJ$171,AY34),"")</f>
        <v/>
      </c>
      <c r="AV34" s="2031" t="str" cm="1">
        <f t="array" ref="AV34">IFERROR(INDEX($GK$4:$GK$171,AY34),"")</f>
        <v/>
      </c>
      <c r="AY34" s="2042" t="str" cm="1">
        <f t="array" ref="AY34">IFERROR(SMALL(IF($HI$4:$HI$171=1,ROW($HI$4:$HI$171)-3),ROW(W22)),IFERROR(SMALL(IF($HI$4:$HI$171=2,ROW($HI$4:$HI$171)-3),ROW(W22)-COUNTIF($HI$4:$HI$171,1)),IFERROR(SMALL(IF($HI$4:$HI$171=0,ROW($HI$4:$HI$171)-3),ROW(W22)-COUNTIF($HI$4:$HI$171,1)-COUNTIF($HI$4:$HI$171,2)),"")))</f>
        <v/>
      </c>
      <c r="AZ34" s="2042" t="str">
        <f t="shared" si="59"/>
        <v>a</v>
      </c>
      <c r="BA34" s="2053" t="e">
        <f t="shared" si="60"/>
        <v>#VALUE!</v>
      </c>
      <c r="BB34" s="2053" cm="1">
        <f t="array" ref="BB34">IFERROR(INDEX($HI$4:$HI$171,AY34),0)</f>
        <v>0</v>
      </c>
      <c r="BC34" s="2053">
        <f t="shared" si="61"/>
        <v>0</v>
      </c>
      <c r="BD34" s="2053"/>
      <c r="BE34" s="2307"/>
      <c r="BF34" s="2307"/>
      <c r="BG34" s="2307"/>
      <c r="BH34" s="2307"/>
      <c r="BI34" s="2307"/>
      <c r="BJ34" s="2307"/>
      <c r="BK34" s="2307"/>
      <c r="BL34" s="2307"/>
      <c r="BM34" s="2307"/>
      <c r="BN34" s="2307"/>
      <c r="BO34" s="2307"/>
      <c r="BP34" s="2043"/>
      <c r="BQ34" s="2042"/>
      <c r="BR34" s="2042">
        <v>1</v>
      </c>
      <c r="BS34" s="2042"/>
      <c r="BT34" s="2042" t="b">
        <v>0</v>
      </c>
      <c r="BU34" s="2058"/>
      <c r="BV34" s="2058"/>
      <c r="BW34" s="2042">
        <f t="shared" si="62"/>
        <v>12</v>
      </c>
      <c r="BX34" s="2042">
        <f t="shared" si="63"/>
        <v>0</v>
      </c>
      <c r="BY34" s="2042">
        <f t="shared" si="64"/>
        <v>12</v>
      </c>
      <c r="BZ34" s="2042" cm="1">
        <f t="array" ref="BZ34">INDEX(Pflanzen!$AI$5:$AI$119,'Lagerhaltung (freiwillig)'!BR34)</f>
        <v>0</v>
      </c>
      <c r="CA34" s="2042" cm="1">
        <f t="array" ref="CA34">IF(BZ34=1,INDEX(Pflanzen!$AJ$5:$AJ$119,BR34),N34)</f>
        <v>0</v>
      </c>
      <c r="CB34" s="2042" cm="1">
        <f t="array" ref="CB34">IF(BZ34=1,INDEX(Pflanzen!$AK$5:$AK$119,BR34),O34)</f>
        <v>0</v>
      </c>
      <c r="CC34" s="2042">
        <f t="shared" si="65"/>
        <v>12</v>
      </c>
      <c r="CD34" s="2042">
        <f t="shared" si="66"/>
        <v>0</v>
      </c>
      <c r="CE34" s="2042">
        <f t="shared" si="67"/>
        <v>12</v>
      </c>
      <c r="CF34" s="2042" cm="1">
        <f t="array" ref="CF34">INDEX(Pflanzen!$F$5:$F$119,BR34)</f>
        <v>0</v>
      </c>
      <c r="CG34" s="2042" cm="1">
        <f t="array" ref="CG34">INDEX(Pflanzen!$H$5:$H$119,BR34)</f>
        <v>0</v>
      </c>
      <c r="CH34" s="2042">
        <f t="shared" si="68"/>
        <v>0</v>
      </c>
      <c r="CI34" s="2042">
        <f t="shared" si="69"/>
        <v>0</v>
      </c>
      <c r="CJ34" s="2042">
        <f t="shared" si="70"/>
        <v>0</v>
      </c>
      <c r="CK34" s="2042">
        <f t="shared" si="71"/>
        <v>0</v>
      </c>
      <c r="CL34" s="2042">
        <f t="shared" si="72"/>
        <v>0</v>
      </c>
      <c r="CM34" s="2042">
        <f t="shared" si="73"/>
        <v>0</v>
      </c>
      <c r="CN34" s="2042">
        <f t="shared" si="74"/>
        <v>0</v>
      </c>
      <c r="CO34" s="2042">
        <f t="shared" si="75"/>
        <v>0</v>
      </c>
      <c r="CP34" s="2042">
        <f t="shared" si="76"/>
        <v>0</v>
      </c>
      <c r="CQ34" s="2042">
        <f t="shared" si="77"/>
        <v>0</v>
      </c>
      <c r="CR34" s="2042">
        <f t="shared" si="78"/>
        <v>0</v>
      </c>
      <c r="CS34" s="2042">
        <f t="shared" si="79"/>
        <v>0</v>
      </c>
      <c r="CT34" s="2042">
        <f t="shared" si="80"/>
        <v>0</v>
      </c>
      <c r="CU34" s="2042">
        <f t="shared" si="81"/>
        <v>0</v>
      </c>
      <c r="CV34" s="2042"/>
      <c r="CW34" s="609" t="str">
        <f>Pflanzen!A30</f>
        <v xml:space="preserve">Sonnenblumen </v>
      </c>
      <c r="CX34" s="2042">
        <f>IFERROR(MATCH($CW34,Pflanzen!$C$5:$C$119,0),1)</f>
        <v>26</v>
      </c>
      <c r="CY34" s="609" cm="1">
        <f t="array" ref="CY34">INDEX(Pflanzen!$I$5:$I$119,'Lagerhaltung (freiwillig)'!CX34)</f>
        <v>2</v>
      </c>
      <c r="CZ34" s="2042">
        <f t="shared" si="106"/>
        <v>0</v>
      </c>
      <c r="DA34" s="2042">
        <f t="shared" si="106"/>
        <v>0</v>
      </c>
      <c r="DB34" s="2042">
        <f t="shared" si="106"/>
        <v>0</v>
      </c>
      <c r="DC34" s="2042">
        <f t="shared" si="106"/>
        <v>0</v>
      </c>
      <c r="DD34" s="2042">
        <f t="shared" si="106"/>
        <v>0</v>
      </c>
      <c r="DE34" s="2042">
        <f t="shared" si="106"/>
        <v>0</v>
      </c>
      <c r="DF34" s="2042">
        <f t="shared" si="106"/>
        <v>0</v>
      </c>
      <c r="DG34" s="2042">
        <f t="shared" si="106"/>
        <v>0</v>
      </c>
      <c r="DH34" s="2042">
        <f t="shared" si="106"/>
        <v>0</v>
      </c>
      <c r="DI34" s="2042">
        <f t="shared" si="106"/>
        <v>0</v>
      </c>
      <c r="DJ34" s="2042">
        <f t="shared" si="106"/>
        <v>0</v>
      </c>
      <c r="DK34" s="2042">
        <f t="shared" si="106"/>
        <v>0</v>
      </c>
      <c r="DL34" s="2042"/>
      <c r="DM34" s="2042">
        <f t="shared" si="107"/>
        <v>0</v>
      </c>
      <c r="DN34" s="2042">
        <f t="shared" si="107"/>
        <v>0</v>
      </c>
      <c r="DO34" s="2042">
        <f t="shared" si="107"/>
        <v>0</v>
      </c>
      <c r="DP34" s="2042">
        <f t="shared" si="107"/>
        <v>0</v>
      </c>
      <c r="DQ34" s="2042">
        <f t="shared" si="107"/>
        <v>0</v>
      </c>
      <c r="DR34" s="2042">
        <f t="shared" si="107"/>
        <v>0</v>
      </c>
      <c r="DS34" s="2042">
        <f t="shared" si="107"/>
        <v>0</v>
      </c>
      <c r="DT34" s="2042">
        <f t="shared" si="107"/>
        <v>0</v>
      </c>
      <c r="DU34" s="2042">
        <f t="shared" si="107"/>
        <v>0</v>
      </c>
      <c r="DV34" s="2042">
        <f t="shared" si="107"/>
        <v>0</v>
      </c>
      <c r="DW34" s="2042">
        <f t="shared" si="107"/>
        <v>0</v>
      </c>
      <c r="DX34" s="2042">
        <f t="shared" si="107"/>
        <v>0</v>
      </c>
      <c r="DY34" s="2042"/>
      <c r="DZ34" s="2042">
        <f t="shared" si="108"/>
        <v>0</v>
      </c>
      <c r="EA34" s="2042">
        <f t="shared" si="108"/>
        <v>0</v>
      </c>
      <c r="EB34" s="2042">
        <f t="shared" si="108"/>
        <v>0</v>
      </c>
      <c r="EC34" s="2042">
        <f t="shared" si="108"/>
        <v>0</v>
      </c>
      <c r="ED34" s="2042">
        <f t="shared" si="108"/>
        <v>0</v>
      </c>
      <c r="EE34" s="2042">
        <f t="shared" si="108"/>
        <v>0</v>
      </c>
      <c r="EF34" s="2042">
        <f t="shared" si="108"/>
        <v>0</v>
      </c>
      <c r="EG34" s="2042">
        <f t="shared" si="108"/>
        <v>0</v>
      </c>
      <c r="EH34" s="2042">
        <f t="shared" si="108"/>
        <v>0</v>
      </c>
      <c r="EI34" s="2042">
        <f t="shared" si="108"/>
        <v>0</v>
      </c>
      <c r="EJ34" s="2042">
        <f t="shared" si="108"/>
        <v>0</v>
      </c>
      <c r="EK34" s="2042">
        <f t="shared" si="108"/>
        <v>0</v>
      </c>
      <c r="EL34" s="2042"/>
      <c r="EM34" s="2042">
        <f t="shared" si="109"/>
        <v>0</v>
      </c>
      <c r="EN34" s="2042">
        <f t="shared" si="109"/>
        <v>0</v>
      </c>
      <c r="EO34" s="2042">
        <f t="shared" si="109"/>
        <v>0</v>
      </c>
      <c r="EP34" s="2042">
        <f t="shared" si="109"/>
        <v>0</v>
      </c>
      <c r="EQ34" s="2042">
        <f t="shared" si="109"/>
        <v>0</v>
      </c>
      <c r="ER34" s="2042">
        <f t="shared" si="109"/>
        <v>0</v>
      </c>
      <c r="ES34" s="2042">
        <f t="shared" si="109"/>
        <v>0</v>
      </c>
      <c r="ET34" s="2042">
        <f t="shared" si="109"/>
        <v>0</v>
      </c>
      <c r="EU34" s="2042">
        <f t="shared" si="109"/>
        <v>0</v>
      </c>
      <c r="EV34" s="2042">
        <f t="shared" si="109"/>
        <v>0</v>
      </c>
      <c r="EW34" s="2042">
        <f t="shared" si="109"/>
        <v>0</v>
      </c>
      <c r="EX34" s="2042">
        <f t="shared" si="109"/>
        <v>0</v>
      </c>
      <c r="EY34" s="2042"/>
      <c r="EZ34" s="2045">
        <f t="shared" si="50"/>
        <v>0</v>
      </c>
      <c r="FA34" s="2042">
        <f>EZ34+CZ34+DZ34                 -         SUMIF('Berechnung Nährstoffe und Lager'!$AX$113:$AX$155,$CX34,'Berechnung Nährstoffe und Lager'!$U$113:$U$155)/12  -$GB34*$HC34/12</f>
        <v>0</v>
      </c>
      <c r="FB34" s="2042">
        <f>FA34+DA34+EA34                 -         SUMIF('Berechnung Nährstoffe und Lager'!$AX$113:$AX$155,$CX34,'Berechnung Nährstoffe und Lager'!$U$113:$U$155)/12  -$GB34*$HC34/12</f>
        <v>0</v>
      </c>
      <c r="FC34" s="2042">
        <f>FB34+DB34+EB34                 -         SUMIF('Berechnung Nährstoffe und Lager'!$AX$113:$AX$155,$CX34,'Berechnung Nährstoffe und Lager'!$U$113:$U$155)/12  -$GB34*$HC34/12</f>
        <v>0</v>
      </c>
      <c r="FD34" s="2042">
        <f>FC34+DC34+EC34                 -         SUMIF('Berechnung Nährstoffe und Lager'!$AX$113:$AX$155,$CX34,'Berechnung Nährstoffe und Lager'!$U$113:$U$155)/12  -$GB34*$HC34/12</f>
        <v>0</v>
      </c>
      <c r="FE34" s="2042">
        <f>FD34+DD34+ED34                 -         SUMIF('Berechnung Nährstoffe und Lager'!$AX$113:$AX$155,$CX34,'Berechnung Nährstoffe und Lager'!$U$113:$U$155)/12  -$GB34*$HC34/12</f>
        <v>0</v>
      </c>
      <c r="FF34" s="2042">
        <f>FE34+DE34+EE34                 -         SUMIF('Berechnung Nährstoffe und Lager'!$AX$113:$AX$155,$CX34,'Berechnung Nährstoffe und Lager'!$U$113:$U$155)/12  -$GB34*$HC34/12</f>
        <v>0</v>
      </c>
      <c r="FG34" s="2042">
        <f>FF34+DF34+EF34                 -         SUMIF('Berechnung Nährstoffe und Lager'!$AX$113:$AX$155,$CX34,'Berechnung Nährstoffe und Lager'!$U$113:$U$155)/12  -$GB34*$HC34/12</f>
        <v>0</v>
      </c>
      <c r="FH34" s="2042">
        <f>FG34+DG34+EG34                 -         SUMIF('Berechnung Nährstoffe und Lager'!$AX$113:$AX$155,$CX34,'Berechnung Nährstoffe und Lager'!$U$113:$U$155)/12  -$GB34*$HC34/12</f>
        <v>0</v>
      </c>
      <c r="FI34" s="2042">
        <f>FH34+DH34+EH34                 -         SUMIF('Berechnung Nährstoffe und Lager'!$AX$113:$AX$155,$CX34,'Berechnung Nährstoffe und Lager'!$U$113:$U$155)/12  -$GB34*$HC34/12</f>
        <v>0</v>
      </c>
      <c r="FJ34" s="2042">
        <f>FI34+DI34+EI34                 -         SUMIF('Berechnung Nährstoffe und Lager'!$AX$113:$AX$155,$CX34,'Berechnung Nährstoffe und Lager'!$U$113:$U$155)/12  -$GB34*$HC34/12</f>
        <v>0</v>
      </c>
      <c r="FK34" s="2042">
        <f>FJ34+DJ34+EJ34                 -         SUMIF('Berechnung Nährstoffe und Lager'!$AX$113:$AX$155,$CX34,'Berechnung Nährstoffe und Lager'!$U$113:$U$155)/12  -$GB34*$HC34/12</f>
        <v>0</v>
      </c>
      <c r="FL34" s="2042">
        <f>FK34+DK34+EK34                 -         SUMIF('Berechnung Nährstoffe und Lager'!$AX$113:$AX$155,$CX34,'Berechnung Nährstoffe und Lager'!$U$113:$U$155)/12  -$GB34*$HC34/12</f>
        <v>0</v>
      </c>
      <c r="FM34" s="2042"/>
      <c r="FN34" s="2045">
        <f t="shared" si="51"/>
        <v>0</v>
      </c>
      <c r="FO34" s="2042">
        <f>FN34+DM34+EM34                 -         SUMIF('Berechnung Nährstoffe und Lager'!$AX$113:$AX$155,$CX34,'Berechnung Nährstoffe und Lager'!$V$113:$V$155)/12  -$GC34*$HC34/12</f>
        <v>0</v>
      </c>
      <c r="FP34" s="2042">
        <f>FO34+DN34+EN34                 -         SUMIF('Berechnung Nährstoffe und Lager'!$AX$113:$AX$155,$CX34,'Berechnung Nährstoffe und Lager'!$V$113:$V$155)/12  -$GC34*$HC34/12</f>
        <v>0</v>
      </c>
      <c r="FQ34" s="2042">
        <f>FP34+DO34+EO34                 -         SUMIF('Berechnung Nährstoffe und Lager'!$AX$113:$AX$155,$CX34,'Berechnung Nährstoffe und Lager'!$V$113:$V$155)/12  -$GC34*$HC34/12</f>
        <v>0</v>
      </c>
      <c r="FR34" s="2042">
        <f>FQ34+DP34+EP34                 -         SUMIF('Berechnung Nährstoffe und Lager'!$AX$113:$AX$155,$CX34,'Berechnung Nährstoffe und Lager'!$V$113:$V$155)/12  -$GC34*$HC34/12</f>
        <v>0</v>
      </c>
      <c r="FS34" s="2042">
        <f>FR34+DQ34+EQ34                 -         SUMIF('Berechnung Nährstoffe und Lager'!$AX$113:$AX$155,$CX34,'Berechnung Nährstoffe und Lager'!$V$113:$V$155)/12  -$GC34*$HC34/12</f>
        <v>0</v>
      </c>
      <c r="FT34" s="2042">
        <f>FS34+DR34+ER34                 -         SUMIF('Berechnung Nährstoffe und Lager'!$AX$113:$AX$155,$CX34,'Berechnung Nährstoffe und Lager'!$V$113:$V$155)/12  -$GC34*$HC34/12</f>
        <v>0</v>
      </c>
      <c r="FU34" s="2042">
        <f>FT34+DS34+ES34                 -         SUMIF('Berechnung Nährstoffe und Lager'!$AX$113:$AX$155,$CX34,'Berechnung Nährstoffe und Lager'!$V$113:$V$155)/12  -$GC34*$HC34/12</f>
        <v>0</v>
      </c>
      <c r="FV34" s="2042">
        <f>FU34+DT34+ET34                 -         SUMIF('Berechnung Nährstoffe und Lager'!$AX$113:$AX$155,$CX34,'Berechnung Nährstoffe und Lager'!$V$113:$V$155)/12  -$GC34*$HC34/12</f>
        <v>0</v>
      </c>
      <c r="FW34" s="2042">
        <f>FV34+DU34+EU34                 -         SUMIF('Berechnung Nährstoffe und Lager'!$AX$113:$AX$155,$CX34,'Berechnung Nährstoffe und Lager'!$V$113:$V$155)/12  -$GC34*$HC34/12</f>
        <v>0</v>
      </c>
      <c r="FX34" s="2042">
        <f>FW34+DV34+EV34                 -         SUMIF('Berechnung Nährstoffe und Lager'!$AX$113:$AX$155,$CX34,'Berechnung Nährstoffe und Lager'!$V$113:$V$155)/12  -$GC34*$HC34/12</f>
        <v>0</v>
      </c>
      <c r="FY34" s="2042">
        <f>FX34+DW34+EW34                 -         SUMIF('Berechnung Nährstoffe und Lager'!$AX$113:$AX$155,$CX34,'Berechnung Nährstoffe und Lager'!$V$113:$V$155)/12  -$GC34*$HC34/12</f>
        <v>0</v>
      </c>
      <c r="FZ34" s="2042">
        <f>FY34+DX34+EX34                 -         SUMIF('Berechnung Nährstoffe und Lager'!$AX$113:$AX$155,$CX34,'Berechnung Nährstoffe und Lager'!$V$113:$V$155)/12  -$GC34*$HC34/12</f>
        <v>0</v>
      </c>
      <c r="GA34" s="2042"/>
      <c r="GB34" s="2042">
        <f>SUMIFS($CI$14:$CI$68,$BR$14:$BR$68,$CX34)+SUMIFS($CM$14:$CM$68,$BR$14:$BR$68,$CX34)+SUMIFS($CR$14:$CR$68,$BR$14:$BR$68,$CX34)  -         SUMIF('Berechnung Nährstoffe und Lager'!$AX$113:$AX$155,$CX34,'Berechnung Nährstoffe und Lager'!$U$113:$U$155)</f>
        <v>0</v>
      </c>
      <c r="GC34" s="2042">
        <f>SUMIFS($CJ$14:$CJ$68,$BR$14:$BR$68,$CX34)+SUMIFS($CO$14:$CO$68,$BR$14:$BR$68,$CX34)+SUMIFS($CT$14:$CT$68,$BR$14:$BR$68,$CX34)  -         SUMIF('Berechnung Nährstoffe und Lager'!$AX$113:$AX$155,$CX34,'Berechnung Nährstoffe und Lager'!$V$113:$V$155)</f>
        <v>0</v>
      </c>
      <c r="GD34" s="2042"/>
      <c r="GE34" s="2042"/>
      <c r="GF34" s="2042">
        <f>SUMIF('Berechnung Nährstoffe und Lager'!$AX$113:$AX$155,$CX34,'Berechnung Nährstoffe und Lager'!$U$113:$U$155)</f>
        <v>0</v>
      </c>
      <c r="GG34" s="2042">
        <f>SUMIF('Berechnung Nährstoffe und Lager'!$AX$113:$AX$155,$CX34,'Berechnung Nährstoffe und Lager'!$V$113:$V$155)</f>
        <v>0</v>
      </c>
      <c r="GH34" s="2042">
        <f t="shared" si="52"/>
        <v>0</v>
      </c>
      <c r="GI34" s="2042">
        <f t="shared" si="53"/>
        <v>0</v>
      </c>
      <c r="GJ34" s="2042">
        <f t="shared" si="34"/>
        <v>0</v>
      </c>
      <c r="GK34" s="2042">
        <f t="shared" si="35"/>
        <v>0</v>
      </c>
      <c r="GL34" s="2042">
        <f t="shared" si="36"/>
        <v>0</v>
      </c>
      <c r="GM34" s="2042" cm="1">
        <f t="array" ref="GM34">IF(GL34=0,0,(IFERROR(SUMPRODUCT($J$14:$J$68,$CH$14:$CH$68,($BR$14:$BR$68=CX34)*1)+SUMPRODUCT($L$14:$L$68,$M$14:$M$68,$CK$14:$CK$68,($BR$14:$BR$68=CX34)*1,($BT$14:$BT$68=FALSE)*1)/10+SUMPRODUCT($R$14:$R$68,$CP$14:$CP$68,($BR$14:$BR$68=CX34)*1),0))/GL34)</f>
        <v>0</v>
      </c>
      <c r="GN34" s="2042">
        <f t="shared" si="54"/>
        <v>0</v>
      </c>
      <c r="GO34" s="2042">
        <f>(SUMIF('Berechnung Nährstoffe und Lager'!$AX$113:$AX$130,'Lagerhaltung (freiwillig)'!CX34,'Berechnung Nährstoffe und Lager'!$D$113:$D$130)+SUMIF('Berechnung Nährstoffe und Lager'!$AX$137:$AX$155,'Lagerhaltung (freiwillig)'!CX34,'Berechnung Nährstoffe und Lager'!$E$137:$E$155))</f>
        <v>0</v>
      </c>
      <c r="GP34" s="2042" cm="1">
        <f t="array" ref="GP34">IF(GO34=0,0,(IFERROR(SUMPRODUCT('Berechnung Nährstoffe und Lager'!$D$113:$D$130,'Berechnung Nährstoffe und Lager'!$F$113:$F$130,('Berechnung Nährstoffe und Lager'!$AX$113:$AX$130='Lagerhaltung (freiwillig)'!CX34)*1)+SUMPRODUCT('Berechnung Nährstoffe und Lager'!$E$137:$E$155,'Berechnung Nährstoffe und Lager'!$F$137:$F$155,('Berechnung Nährstoffe und Lager'!$AX$137:$AX$155='Lagerhaltung (freiwillig)'!CX34)*1),0))/GO34)</f>
        <v>0</v>
      </c>
      <c r="GQ34" s="2042">
        <f t="shared" si="55"/>
        <v>0</v>
      </c>
      <c r="GR34" s="2042">
        <f t="shared" si="56"/>
        <v>0</v>
      </c>
      <c r="GS34" s="2042">
        <f t="shared" si="57"/>
        <v>0</v>
      </c>
      <c r="GT34" s="2042">
        <f t="shared" si="58"/>
        <v>0</v>
      </c>
      <c r="GU34" s="2045" t="str">
        <f t="shared" si="39"/>
        <v xml:space="preserve"> </v>
      </c>
      <c r="GV34" s="2045" t="str">
        <f t="shared" si="39"/>
        <v xml:space="preserve"> </v>
      </c>
      <c r="GW34" s="2054">
        <f t="shared" si="40"/>
        <v>0</v>
      </c>
      <c r="GX34" s="2042">
        <f t="shared" si="41"/>
        <v>0</v>
      </c>
      <c r="GY34" s="2042" t="str">
        <f t="shared" si="42"/>
        <v>a</v>
      </c>
      <c r="GZ34" s="2055">
        <f t="shared" si="43"/>
        <v>0</v>
      </c>
      <c r="HA34" s="2055">
        <f t="shared" si="44"/>
        <v>0</v>
      </c>
      <c r="HB34" s="2055"/>
      <c r="HC34" s="2046">
        <f t="shared" si="45"/>
        <v>0</v>
      </c>
      <c r="HD34" s="2055">
        <f t="shared" si="46"/>
        <v>0</v>
      </c>
      <c r="HE34" s="2055">
        <f t="shared" si="47"/>
        <v>0</v>
      </c>
      <c r="HF34" s="2055">
        <f t="shared" si="48"/>
        <v>0</v>
      </c>
      <c r="HG34" s="2282" cm="1">
        <f t="array" ref="HG34">IF(AND(HE34=0,GJ34=0),0,IF(HE34=0,1,IF(OR(GJ34*1000/HE34/HF34&gt;INDEX(Pflanzen!$AD$5:$AD$109,CX34)/INDEX(Pflanzen!$M$5:$M$109,CX34)*$HG$1,GJ34*1000/HE34/HF34&lt;INDEX(Pflanzen!$AD$5:$AD$109,CX34)/INDEX(Pflanzen!$M$5:$M$109,CX34)/$HG$1),1,0)))</f>
        <v>0</v>
      </c>
      <c r="HH34" s="2282" cm="1">
        <f t="array" ref="HH34">IF(AND(GK34=0,HE34=0),0,IF(HE34=0,1,IF(OR(GK34*1000/HE34/HF34&gt;INDEX(Pflanzen!$AE$5:$AE$109,CX34)/INDEX(Pflanzen!$M$5:$M$109,CX34)*$HG$1,GK34*1000/HE34/HF34&lt;INDEX(Pflanzen!$AE$5:$AE$109,CX34)/INDEX(Pflanzen!$M$5:$M$109,CX34)/$HG$1),1,0)))</f>
        <v>0</v>
      </c>
      <c r="HI34" s="2042">
        <f t="shared" si="49"/>
        <v>3</v>
      </c>
      <c r="HJ34" s="2042"/>
      <c r="HL34" s="2042"/>
      <c r="HM34" s="2052" t="str">
        <f>Tiere!B60</f>
        <v>Zuchteber</v>
      </c>
      <c r="HN34" s="2042">
        <v>31</v>
      </c>
      <c r="HO34" s="2053">
        <f>SUMIF('Berechnung Nährstoffe und Lager'!$BM$68:$BM$81,'Lagerhaltung (freiwillig)'!HN34,'Berechnung Nährstoffe und Lager'!$Z$68:$Z$81)+SUMIF('Berechnung Nährstoffe und Lager'!$BM$68:$BM$81,'Lagerhaltung (freiwillig)'!HN34,'Berechnung Nährstoffe und Lager'!$AA$68:$AA$81)</f>
        <v>0</v>
      </c>
      <c r="HP34" s="2042" cm="1">
        <f t="array" ref="HP34">INDEX(Tiere!$C$30:$C$85,'Lagerhaltung (freiwillig)'!HN34)</f>
        <v>2</v>
      </c>
      <c r="HQ34" s="2042" cm="1">
        <f t="array" ref="HQ34">INDEX(Tiere!$H$30:$H$85,'Lagerhaltung (freiwillig)'!HN34)</f>
        <v>0</v>
      </c>
      <c r="HR34" s="2042">
        <f t="shared" si="12"/>
        <v>0</v>
      </c>
      <c r="HS34" s="2042" cm="1">
        <f t="array" ref="HS34">INDEX(Tiere!$I$30:$I$85,'Lagerhaltung (freiwillig)'!HN34)</f>
        <v>0</v>
      </c>
      <c r="HT34" s="2042">
        <f t="shared" si="13"/>
        <v>0</v>
      </c>
      <c r="HU34" s="2042" cm="1">
        <f t="array" ref="HU34">INDEX(Tiere!$BC$30:$BC$85,'Lagerhaltung (freiwillig)'!HN34)</f>
        <v>0</v>
      </c>
      <c r="HV34" s="2042">
        <f t="shared" si="6"/>
        <v>0</v>
      </c>
      <c r="HW34" s="2042" cm="1">
        <f t="array" ref="HW34">INDEX(Tiere!$BD$30:$BD$85,'Lagerhaltung (freiwillig)'!HN34)</f>
        <v>0</v>
      </c>
      <c r="HX34" s="2042">
        <f t="shared" si="7"/>
        <v>0</v>
      </c>
      <c r="HY34" s="2042"/>
      <c r="HZ34" s="2042"/>
      <c r="IA34" s="2042"/>
      <c r="IB34" s="2042"/>
      <c r="IC34" s="2042"/>
      <c r="ID34" s="2042"/>
      <c r="IE34" s="2042"/>
      <c r="IF34" s="2042"/>
      <c r="IG34" s="2042"/>
      <c r="IH34" s="2042"/>
      <c r="II34" s="2042"/>
      <c r="IJ34" s="2042"/>
    </row>
    <row r="35" spans="1:245" ht="15.6" customHeight="1" x14ac:dyDescent="0.2">
      <c r="A35" s="1159"/>
      <c r="B35" s="1160"/>
      <c r="C35" s="1160"/>
      <c r="D35" s="1160"/>
      <c r="E35" s="1160"/>
      <c r="F35" s="2014" cm="1">
        <f t="array" ref="F35">INDEX(Pflanzen!$M$5:$M$109,BR35)</f>
        <v>0</v>
      </c>
      <c r="G35" s="2015" cm="1">
        <f t="array" ref="G35">INDEX(Pflanzen!$AD$5:$AD$109,BR35)</f>
        <v>0</v>
      </c>
      <c r="H35" s="2299" cm="1">
        <f t="array" ref="H35">INDEX(Pflanzen!$AE$5:$AE$109,BR35)</f>
        <v>0</v>
      </c>
      <c r="I35" s="1259"/>
      <c r="J35" s="1256"/>
      <c r="K35" s="1259"/>
      <c r="L35" s="1970"/>
      <c r="M35" s="1246"/>
      <c r="N35" s="1870"/>
      <c r="O35" s="1870"/>
      <c r="P35" s="2211"/>
      <c r="Q35" s="2196"/>
      <c r="R35" s="1970"/>
      <c r="S35" s="1246"/>
      <c r="T35" s="1256"/>
      <c r="U35" s="1159"/>
      <c r="V35" s="2316" t="str">
        <f t="shared" si="82"/>
        <v/>
      </c>
      <c r="Y35" s="2005" t="str" cm="1">
        <f t="array" ref="Y35">IFERROR(INDEX($CW$4:$CW$171,AY35),"")</f>
        <v/>
      </c>
      <c r="Z35" s="510"/>
      <c r="AA35" s="510"/>
      <c r="AB35" s="510"/>
      <c r="AC35" s="2031" t="str" cm="1">
        <f t="array" ref="AC35">IFERROR(INDEX($GL$4:$GL$171,AY35),"")</f>
        <v/>
      </c>
      <c r="AD35" s="2031" t="str" cm="1">
        <f t="array" ref="AD35">IFERROR(INDEX($GM$4:$GM$171,AY35),"")</f>
        <v/>
      </c>
      <c r="AE35" s="2031" t="str" cm="1">
        <f t="array" ref="AE35">IFERROR(INDEX($GH$4:$GH$171,AY35),"")</f>
        <v/>
      </c>
      <c r="AF35" s="2031" t="str" cm="1">
        <f t="array" ref="AF35">IFERROR(INDEX($GI$4:$GI$171,AY35),"")</f>
        <v/>
      </c>
      <c r="AG35" s="2031" t="str" cm="1">
        <f t="array" ref="AG35">IFERROR(INDEX($GO$4:$GO$171,AY35),"")</f>
        <v/>
      </c>
      <c r="AH35" s="2031" t="str" cm="1">
        <f t="array" ref="AH35">IFERROR(INDEX($GP$4:$GP$171,AY35),"")</f>
        <v/>
      </c>
      <c r="AI35" s="2031" t="str" cm="1">
        <f t="array" ref="AI35">IFERROR(INDEX($GF$4:$GF$171,AY35),"")</f>
        <v/>
      </c>
      <c r="AJ35" s="2031" t="str" cm="1">
        <f t="array" ref="AJ35">IFERROR(INDEX($GG$4:$GG$171,AY35),"")</f>
        <v/>
      </c>
      <c r="AK35" s="2031" t="str" cm="1">
        <f t="array" ref="AK35">IFERROR(INDEX($GS$4:$GS$171,AY35),"")</f>
        <v/>
      </c>
      <c r="AL35" s="2032" t="str" cm="1">
        <f t="array" ref="AL35">IFERROR(INDEX($GT$4:$GT$171,AY35),"")</f>
        <v/>
      </c>
      <c r="AM35" s="2031" t="str" cm="1">
        <f t="array" ref="AM35">IFERROR(INDEX($GB$4:$GB$171,AY35),"")</f>
        <v/>
      </c>
      <c r="AN35" s="2031" t="str" cm="1">
        <f t="array" ref="AN35">IFERROR(INDEX($GC$4:$GC$171,AY35),"")</f>
        <v/>
      </c>
      <c r="AO35" s="2031" t="str" cm="1">
        <f t="array" ref="AO35">IFERROR(INDEX($GU$4:$GU$171,AY35),"")</f>
        <v/>
      </c>
      <c r="AP35" s="2031" t="str" cm="1">
        <f t="array" ref="AP35">IFERROR(INDEX($GX$4:$GX$171,AY35),"")</f>
        <v/>
      </c>
      <c r="AQ35" s="1316"/>
      <c r="AR35" s="2031" t="str" cm="1">
        <f t="array" ref="AR35">IFERROR(INDEX($HD$4:$HD$171,AY35),"")</f>
        <v/>
      </c>
      <c r="AS35" s="2031" t="str" cm="1">
        <f t="array" ref="AS35">IFERROR(INDEX($HE$4:$HE$171,AY35),"")</f>
        <v/>
      </c>
      <c r="AT35" s="2031" t="str" cm="1">
        <f t="array" ref="AT35">IFERROR(INDEX($HF$4:$HF$171,AY35),"")</f>
        <v/>
      </c>
      <c r="AU35" s="2031" t="str" cm="1">
        <f t="array" ref="AU35">IFERROR(INDEX($GJ$4:$GJ$171,AY35),"")</f>
        <v/>
      </c>
      <c r="AV35" s="2031" t="str" cm="1">
        <f t="array" ref="AV35">IFERROR(INDEX($GK$4:$GK$171,AY35),"")</f>
        <v/>
      </c>
      <c r="AY35" s="2042" t="str" cm="1">
        <f t="array" ref="AY35">IFERROR(SMALL(IF($HI$4:$HI$171=1,ROW($HI$4:$HI$171)-3),ROW(W23)),IFERROR(SMALL(IF($HI$4:$HI$171=2,ROW($HI$4:$HI$171)-3),ROW(W23)-COUNTIF($HI$4:$HI$171,1)),IFERROR(SMALL(IF($HI$4:$HI$171=0,ROW($HI$4:$HI$171)-3),ROW(W23)-COUNTIF($HI$4:$HI$171,1)-COUNTIF($HI$4:$HI$171,2)),"")))</f>
        <v/>
      </c>
      <c r="AZ35" s="2042" t="str">
        <f t="shared" si="59"/>
        <v>a</v>
      </c>
      <c r="BA35" s="2053" t="e">
        <f t="shared" si="60"/>
        <v>#VALUE!</v>
      </c>
      <c r="BB35" s="2053" cm="1">
        <f t="array" ref="BB35">IFERROR(INDEX($HI$4:$HI$171,AY35),0)</f>
        <v>0</v>
      </c>
      <c r="BC35" s="2053">
        <f t="shared" si="61"/>
        <v>0</v>
      </c>
      <c r="BD35" s="2053"/>
      <c r="BE35" s="2307"/>
      <c r="BF35" s="2307"/>
      <c r="BG35" s="2307"/>
      <c r="BH35" s="2307"/>
      <c r="BI35" s="2307"/>
      <c r="BJ35" s="2307"/>
      <c r="BK35" s="2307"/>
      <c r="BL35" s="2307"/>
      <c r="BM35" s="2307"/>
      <c r="BN35" s="2307"/>
      <c r="BO35" s="2307"/>
      <c r="BP35" s="2043"/>
      <c r="BQ35" s="2042"/>
      <c r="BR35" s="2042">
        <v>1</v>
      </c>
      <c r="BS35" s="2042"/>
      <c r="BT35" s="2042" t="b">
        <v>0</v>
      </c>
      <c r="BU35" s="2058"/>
      <c r="BV35" s="2058"/>
      <c r="BW35" s="2042">
        <f t="shared" si="62"/>
        <v>12</v>
      </c>
      <c r="BX35" s="2042">
        <f t="shared" si="63"/>
        <v>0</v>
      </c>
      <c r="BY35" s="2042">
        <f t="shared" si="64"/>
        <v>12</v>
      </c>
      <c r="BZ35" s="2042" cm="1">
        <f t="array" ref="BZ35">INDEX(Pflanzen!$AI$5:$AI$119,'Lagerhaltung (freiwillig)'!BR35)</f>
        <v>0</v>
      </c>
      <c r="CA35" s="2042" cm="1">
        <f t="array" ref="CA35">IF(BZ35=1,INDEX(Pflanzen!$AJ$5:$AJ$119,BR35),N35)</f>
        <v>0</v>
      </c>
      <c r="CB35" s="2042" cm="1">
        <f t="array" ref="CB35">IF(BZ35=1,INDEX(Pflanzen!$AK$5:$AK$119,BR35),O35)</f>
        <v>0</v>
      </c>
      <c r="CC35" s="2042">
        <f t="shared" si="65"/>
        <v>12</v>
      </c>
      <c r="CD35" s="2042">
        <f t="shared" si="66"/>
        <v>0</v>
      </c>
      <c r="CE35" s="2042">
        <f t="shared" si="67"/>
        <v>12</v>
      </c>
      <c r="CF35" s="2042" cm="1">
        <f t="array" ref="CF35">INDEX(Pflanzen!$F$5:$F$119,BR35)</f>
        <v>0</v>
      </c>
      <c r="CG35" s="2042" cm="1">
        <f t="array" ref="CG35">INDEX(Pflanzen!$H$5:$H$119,BR35)</f>
        <v>0</v>
      </c>
      <c r="CH35" s="2042">
        <f t="shared" si="68"/>
        <v>0</v>
      </c>
      <c r="CI35" s="2042">
        <f t="shared" si="69"/>
        <v>0</v>
      </c>
      <c r="CJ35" s="2042">
        <f t="shared" si="70"/>
        <v>0</v>
      </c>
      <c r="CK35" s="2042">
        <f t="shared" si="71"/>
        <v>0</v>
      </c>
      <c r="CL35" s="2042">
        <f t="shared" si="72"/>
        <v>0</v>
      </c>
      <c r="CM35" s="2042">
        <f t="shared" si="73"/>
        <v>0</v>
      </c>
      <c r="CN35" s="2042">
        <f t="shared" si="74"/>
        <v>0</v>
      </c>
      <c r="CO35" s="2042">
        <f t="shared" si="75"/>
        <v>0</v>
      </c>
      <c r="CP35" s="2042">
        <f t="shared" si="76"/>
        <v>0</v>
      </c>
      <c r="CQ35" s="2042">
        <f t="shared" si="77"/>
        <v>0</v>
      </c>
      <c r="CR35" s="2042">
        <f t="shared" si="78"/>
        <v>0</v>
      </c>
      <c r="CS35" s="2042">
        <f t="shared" si="79"/>
        <v>0</v>
      </c>
      <c r="CT35" s="2042">
        <f t="shared" si="80"/>
        <v>0</v>
      </c>
      <c r="CU35" s="2042">
        <f t="shared" si="81"/>
        <v>0</v>
      </c>
      <c r="CV35" s="2042"/>
      <c r="CW35" s="609" t="str">
        <f>Pflanzen!A31</f>
        <v xml:space="preserve">Öllein, Faserflachs </v>
      </c>
      <c r="CX35" s="2042">
        <f>IFERROR(MATCH($CW35,Pflanzen!$C$5:$C$119,0),1)</f>
        <v>27</v>
      </c>
      <c r="CY35" s="609" cm="1">
        <f t="array" ref="CY35">INDEX(Pflanzen!$I$5:$I$119,'Lagerhaltung (freiwillig)'!CX35)</f>
        <v>2</v>
      </c>
      <c r="CZ35" s="2042">
        <f t="shared" si="106"/>
        <v>0</v>
      </c>
      <c r="DA35" s="2042">
        <f t="shared" si="106"/>
        <v>0</v>
      </c>
      <c r="DB35" s="2042">
        <f t="shared" si="106"/>
        <v>0</v>
      </c>
      <c r="DC35" s="2042">
        <f t="shared" si="106"/>
        <v>0</v>
      </c>
      <c r="DD35" s="2042">
        <f t="shared" si="106"/>
        <v>0</v>
      </c>
      <c r="DE35" s="2042">
        <f t="shared" si="106"/>
        <v>0</v>
      </c>
      <c r="DF35" s="2042">
        <f t="shared" si="106"/>
        <v>0</v>
      </c>
      <c r="DG35" s="2042">
        <f t="shared" si="106"/>
        <v>0</v>
      </c>
      <c r="DH35" s="2042">
        <f t="shared" si="106"/>
        <v>0</v>
      </c>
      <c r="DI35" s="2042">
        <f t="shared" si="106"/>
        <v>0</v>
      </c>
      <c r="DJ35" s="2042">
        <f t="shared" si="106"/>
        <v>0</v>
      </c>
      <c r="DK35" s="2042">
        <f t="shared" si="106"/>
        <v>0</v>
      </c>
      <c r="DL35" s="2042"/>
      <c r="DM35" s="2042">
        <f t="shared" si="107"/>
        <v>0</v>
      </c>
      <c r="DN35" s="2042">
        <f t="shared" si="107"/>
        <v>0</v>
      </c>
      <c r="DO35" s="2042">
        <f t="shared" si="107"/>
        <v>0</v>
      </c>
      <c r="DP35" s="2042">
        <f t="shared" si="107"/>
        <v>0</v>
      </c>
      <c r="DQ35" s="2042">
        <f t="shared" si="107"/>
        <v>0</v>
      </c>
      <c r="DR35" s="2042">
        <f t="shared" si="107"/>
        <v>0</v>
      </c>
      <c r="DS35" s="2042">
        <f t="shared" si="107"/>
        <v>0</v>
      </c>
      <c r="DT35" s="2042">
        <f t="shared" si="107"/>
        <v>0</v>
      </c>
      <c r="DU35" s="2042">
        <f t="shared" si="107"/>
        <v>0</v>
      </c>
      <c r="DV35" s="2042">
        <f t="shared" si="107"/>
        <v>0</v>
      </c>
      <c r="DW35" s="2042">
        <f t="shared" si="107"/>
        <v>0</v>
      </c>
      <c r="DX35" s="2042">
        <f t="shared" si="107"/>
        <v>0</v>
      </c>
      <c r="DY35" s="2042"/>
      <c r="DZ35" s="2042">
        <f t="shared" si="108"/>
        <v>0</v>
      </c>
      <c r="EA35" s="2042">
        <f t="shared" si="108"/>
        <v>0</v>
      </c>
      <c r="EB35" s="2042">
        <f t="shared" si="108"/>
        <v>0</v>
      </c>
      <c r="EC35" s="2042">
        <f t="shared" si="108"/>
        <v>0</v>
      </c>
      <c r="ED35" s="2042">
        <f t="shared" si="108"/>
        <v>0</v>
      </c>
      <c r="EE35" s="2042">
        <f t="shared" si="108"/>
        <v>0</v>
      </c>
      <c r="EF35" s="2042">
        <f t="shared" si="108"/>
        <v>0</v>
      </c>
      <c r="EG35" s="2042">
        <f t="shared" si="108"/>
        <v>0</v>
      </c>
      <c r="EH35" s="2042">
        <f t="shared" si="108"/>
        <v>0</v>
      </c>
      <c r="EI35" s="2042">
        <f t="shared" si="108"/>
        <v>0</v>
      </c>
      <c r="EJ35" s="2042">
        <f t="shared" si="108"/>
        <v>0</v>
      </c>
      <c r="EK35" s="2042">
        <f t="shared" si="108"/>
        <v>0</v>
      </c>
      <c r="EL35" s="2042"/>
      <c r="EM35" s="2042">
        <f t="shared" si="109"/>
        <v>0</v>
      </c>
      <c r="EN35" s="2042">
        <f t="shared" si="109"/>
        <v>0</v>
      </c>
      <c r="EO35" s="2042">
        <f t="shared" si="109"/>
        <v>0</v>
      </c>
      <c r="EP35" s="2042">
        <f t="shared" si="109"/>
        <v>0</v>
      </c>
      <c r="EQ35" s="2042">
        <f t="shared" si="109"/>
        <v>0</v>
      </c>
      <c r="ER35" s="2042">
        <f t="shared" si="109"/>
        <v>0</v>
      </c>
      <c r="ES35" s="2042">
        <f t="shared" si="109"/>
        <v>0</v>
      </c>
      <c r="ET35" s="2042">
        <f t="shared" si="109"/>
        <v>0</v>
      </c>
      <c r="EU35" s="2042">
        <f t="shared" si="109"/>
        <v>0</v>
      </c>
      <c r="EV35" s="2042">
        <f t="shared" si="109"/>
        <v>0</v>
      </c>
      <c r="EW35" s="2042">
        <f t="shared" si="109"/>
        <v>0</v>
      </c>
      <c r="EX35" s="2042">
        <f t="shared" si="109"/>
        <v>0</v>
      </c>
      <c r="EY35" s="2042"/>
      <c r="EZ35" s="2045">
        <f t="shared" si="50"/>
        <v>0</v>
      </c>
      <c r="FA35" s="2042">
        <f>EZ35+CZ35+DZ35                 -         SUMIF('Berechnung Nährstoffe und Lager'!$AX$113:$AX$155,$CX35,'Berechnung Nährstoffe und Lager'!$U$113:$U$155)/12  -$GB35*$HC35/12</f>
        <v>0</v>
      </c>
      <c r="FB35" s="2042">
        <f>FA35+DA35+EA35                 -         SUMIF('Berechnung Nährstoffe und Lager'!$AX$113:$AX$155,$CX35,'Berechnung Nährstoffe und Lager'!$U$113:$U$155)/12  -$GB35*$HC35/12</f>
        <v>0</v>
      </c>
      <c r="FC35" s="2042">
        <f>FB35+DB35+EB35                 -         SUMIF('Berechnung Nährstoffe und Lager'!$AX$113:$AX$155,$CX35,'Berechnung Nährstoffe und Lager'!$U$113:$U$155)/12  -$GB35*$HC35/12</f>
        <v>0</v>
      </c>
      <c r="FD35" s="2042">
        <f>FC35+DC35+EC35                 -         SUMIF('Berechnung Nährstoffe und Lager'!$AX$113:$AX$155,$CX35,'Berechnung Nährstoffe und Lager'!$U$113:$U$155)/12  -$GB35*$HC35/12</f>
        <v>0</v>
      </c>
      <c r="FE35" s="2042">
        <f>FD35+DD35+ED35                 -         SUMIF('Berechnung Nährstoffe und Lager'!$AX$113:$AX$155,$CX35,'Berechnung Nährstoffe und Lager'!$U$113:$U$155)/12  -$GB35*$HC35/12</f>
        <v>0</v>
      </c>
      <c r="FF35" s="2042">
        <f>FE35+DE35+EE35                 -         SUMIF('Berechnung Nährstoffe und Lager'!$AX$113:$AX$155,$CX35,'Berechnung Nährstoffe und Lager'!$U$113:$U$155)/12  -$GB35*$HC35/12</f>
        <v>0</v>
      </c>
      <c r="FG35" s="2042">
        <f>FF35+DF35+EF35                 -         SUMIF('Berechnung Nährstoffe und Lager'!$AX$113:$AX$155,$CX35,'Berechnung Nährstoffe und Lager'!$U$113:$U$155)/12  -$GB35*$HC35/12</f>
        <v>0</v>
      </c>
      <c r="FH35" s="2042">
        <f>FG35+DG35+EG35                 -         SUMIF('Berechnung Nährstoffe und Lager'!$AX$113:$AX$155,$CX35,'Berechnung Nährstoffe und Lager'!$U$113:$U$155)/12  -$GB35*$HC35/12</f>
        <v>0</v>
      </c>
      <c r="FI35" s="2042">
        <f>FH35+DH35+EH35                 -         SUMIF('Berechnung Nährstoffe und Lager'!$AX$113:$AX$155,$CX35,'Berechnung Nährstoffe und Lager'!$U$113:$U$155)/12  -$GB35*$HC35/12</f>
        <v>0</v>
      </c>
      <c r="FJ35" s="2042">
        <f>FI35+DI35+EI35                 -         SUMIF('Berechnung Nährstoffe und Lager'!$AX$113:$AX$155,$CX35,'Berechnung Nährstoffe und Lager'!$U$113:$U$155)/12  -$GB35*$HC35/12</f>
        <v>0</v>
      </c>
      <c r="FK35" s="2042">
        <f>FJ35+DJ35+EJ35                 -         SUMIF('Berechnung Nährstoffe und Lager'!$AX$113:$AX$155,$CX35,'Berechnung Nährstoffe und Lager'!$U$113:$U$155)/12  -$GB35*$HC35/12</f>
        <v>0</v>
      </c>
      <c r="FL35" s="2042">
        <f>FK35+DK35+EK35                 -         SUMIF('Berechnung Nährstoffe und Lager'!$AX$113:$AX$155,$CX35,'Berechnung Nährstoffe und Lager'!$U$113:$U$155)/12  -$GB35*$HC35/12</f>
        <v>0</v>
      </c>
      <c r="FM35" s="2042"/>
      <c r="FN35" s="2045">
        <f t="shared" si="51"/>
        <v>0</v>
      </c>
      <c r="FO35" s="2042">
        <f>FN35+DM35+EM35                 -         SUMIF('Berechnung Nährstoffe und Lager'!$AX$113:$AX$155,$CX35,'Berechnung Nährstoffe und Lager'!$V$113:$V$155)/12  -$GC35*$HC35/12</f>
        <v>0</v>
      </c>
      <c r="FP35" s="2042">
        <f>FO35+DN35+EN35                 -         SUMIF('Berechnung Nährstoffe und Lager'!$AX$113:$AX$155,$CX35,'Berechnung Nährstoffe und Lager'!$V$113:$V$155)/12  -$GC35*$HC35/12</f>
        <v>0</v>
      </c>
      <c r="FQ35" s="2042">
        <f>FP35+DO35+EO35                 -         SUMIF('Berechnung Nährstoffe und Lager'!$AX$113:$AX$155,$CX35,'Berechnung Nährstoffe und Lager'!$V$113:$V$155)/12  -$GC35*$HC35/12</f>
        <v>0</v>
      </c>
      <c r="FR35" s="2042">
        <f>FQ35+DP35+EP35                 -         SUMIF('Berechnung Nährstoffe und Lager'!$AX$113:$AX$155,$CX35,'Berechnung Nährstoffe und Lager'!$V$113:$V$155)/12  -$GC35*$HC35/12</f>
        <v>0</v>
      </c>
      <c r="FS35" s="2042">
        <f>FR35+DQ35+EQ35                 -         SUMIF('Berechnung Nährstoffe und Lager'!$AX$113:$AX$155,$CX35,'Berechnung Nährstoffe und Lager'!$V$113:$V$155)/12  -$GC35*$HC35/12</f>
        <v>0</v>
      </c>
      <c r="FT35" s="2042">
        <f>FS35+DR35+ER35                 -         SUMIF('Berechnung Nährstoffe und Lager'!$AX$113:$AX$155,$CX35,'Berechnung Nährstoffe und Lager'!$V$113:$V$155)/12  -$GC35*$HC35/12</f>
        <v>0</v>
      </c>
      <c r="FU35" s="2042">
        <f>FT35+DS35+ES35                 -         SUMIF('Berechnung Nährstoffe und Lager'!$AX$113:$AX$155,$CX35,'Berechnung Nährstoffe und Lager'!$V$113:$V$155)/12  -$GC35*$HC35/12</f>
        <v>0</v>
      </c>
      <c r="FV35" s="2042">
        <f>FU35+DT35+ET35                 -         SUMIF('Berechnung Nährstoffe und Lager'!$AX$113:$AX$155,$CX35,'Berechnung Nährstoffe und Lager'!$V$113:$V$155)/12  -$GC35*$HC35/12</f>
        <v>0</v>
      </c>
      <c r="FW35" s="2042">
        <f>FV35+DU35+EU35                 -         SUMIF('Berechnung Nährstoffe und Lager'!$AX$113:$AX$155,$CX35,'Berechnung Nährstoffe und Lager'!$V$113:$V$155)/12  -$GC35*$HC35/12</f>
        <v>0</v>
      </c>
      <c r="FX35" s="2042">
        <f>FW35+DV35+EV35                 -         SUMIF('Berechnung Nährstoffe und Lager'!$AX$113:$AX$155,$CX35,'Berechnung Nährstoffe und Lager'!$V$113:$V$155)/12  -$GC35*$HC35/12</f>
        <v>0</v>
      </c>
      <c r="FY35" s="2042">
        <f>FX35+DW35+EW35                 -         SUMIF('Berechnung Nährstoffe und Lager'!$AX$113:$AX$155,$CX35,'Berechnung Nährstoffe und Lager'!$V$113:$V$155)/12  -$GC35*$HC35/12</f>
        <v>0</v>
      </c>
      <c r="FZ35" s="2042">
        <f>FY35+DX35+EX35                 -         SUMIF('Berechnung Nährstoffe und Lager'!$AX$113:$AX$155,$CX35,'Berechnung Nährstoffe und Lager'!$V$113:$V$155)/12  -$GC35*$HC35/12</f>
        <v>0</v>
      </c>
      <c r="GA35" s="2042"/>
      <c r="GB35" s="2042">
        <f>SUMIFS($CI$14:$CI$68,$BR$14:$BR$68,$CX35)+SUMIFS($CM$14:$CM$68,$BR$14:$BR$68,$CX35)+SUMIFS($CR$14:$CR$68,$BR$14:$BR$68,$CX35)  -         SUMIF('Berechnung Nährstoffe und Lager'!$AX$113:$AX$155,$CX35,'Berechnung Nährstoffe und Lager'!$U$113:$U$155)</f>
        <v>0</v>
      </c>
      <c r="GC35" s="2042">
        <f>SUMIFS($CJ$14:$CJ$68,$BR$14:$BR$68,$CX35)+SUMIFS($CO$14:$CO$68,$BR$14:$BR$68,$CX35)+SUMIFS($CT$14:$CT$68,$BR$14:$BR$68,$CX35)  -         SUMIF('Berechnung Nährstoffe und Lager'!$AX$113:$AX$155,$CX35,'Berechnung Nährstoffe und Lager'!$V$113:$V$155)</f>
        <v>0</v>
      </c>
      <c r="GD35" s="2042"/>
      <c r="GE35" s="2042"/>
      <c r="GF35" s="2042">
        <f>SUMIF('Berechnung Nährstoffe und Lager'!$AX$113:$AX$155,$CX35,'Berechnung Nährstoffe und Lager'!$U$113:$U$155)</f>
        <v>0</v>
      </c>
      <c r="GG35" s="2042">
        <f>SUMIF('Berechnung Nährstoffe und Lager'!$AX$113:$AX$155,$CX35,'Berechnung Nährstoffe und Lager'!$V$113:$V$155)</f>
        <v>0</v>
      </c>
      <c r="GH35" s="2042">
        <f t="shared" si="52"/>
        <v>0</v>
      </c>
      <c r="GI35" s="2042">
        <f t="shared" si="53"/>
        <v>0</v>
      </c>
      <c r="GJ35" s="2042">
        <f t="shared" si="34"/>
        <v>0</v>
      </c>
      <c r="GK35" s="2042">
        <f t="shared" si="35"/>
        <v>0</v>
      </c>
      <c r="GL35" s="2042">
        <f t="shared" si="36"/>
        <v>0</v>
      </c>
      <c r="GM35" s="2042" cm="1">
        <f t="array" ref="GM35">IF(GL35=0,0,(IFERROR(SUMPRODUCT($J$14:$J$68,$CH$14:$CH$68,($BR$14:$BR$68=CX35)*1)+SUMPRODUCT($L$14:$L$68,$M$14:$M$68,$CK$14:$CK$68,($BR$14:$BR$68=CX35)*1,($BT$14:$BT$68=FALSE)*1)/10+SUMPRODUCT($R$14:$R$68,$CP$14:$CP$68,($BR$14:$BR$68=CX35)*1),0))/GL35)</f>
        <v>0</v>
      </c>
      <c r="GN35" s="2042">
        <f t="shared" si="54"/>
        <v>0</v>
      </c>
      <c r="GO35" s="2042">
        <f>(SUMIF('Berechnung Nährstoffe und Lager'!$AX$113:$AX$130,'Lagerhaltung (freiwillig)'!CX35,'Berechnung Nährstoffe und Lager'!$D$113:$D$130)+SUMIF('Berechnung Nährstoffe und Lager'!$AX$137:$AX$155,'Lagerhaltung (freiwillig)'!CX35,'Berechnung Nährstoffe und Lager'!$E$137:$E$155))</f>
        <v>0</v>
      </c>
      <c r="GP35" s="2042" cm="1">
        <f t="array" ref="GP35">IF(GO35=0,0,(IFERROR(SUMPRODUCT('Berechnung Nährstoffe und Lager'!$D$113:$D$130,'Berechnung Nährstoffe und Lager'!$F$113:$F$130,('Berechnung Nährstoffe und Lager'!$AX$113:$AX$130='Lagerhaltung (freiwillig)'!CX35)*1)+SUMPRODUCT('Berechnung Nährstoffe und Lager'!$E$137:$E$155,'Berechnung Nährstoffe und Lager'!$F$137:$F$155,('Berechnung Nährstoffe und Lager'!$AX$137:$AX$155='Lagerhaltung (freiwillig)'!CX35)*1),0))/GO35)</f>
        <v>0</v>
      </c>
      <c r="GQ35" s="2042">
        <f t="shared" si="55"/>
        <v>0</v>
      </c>
      <c r="GR35" s="2042">
        <f t="shared" si="56"/>
        <v>0</v>
      </c>
      <c r="GS35" s="2042">
        <f t="shared" si="57"/>
        <v>0</v>
      </c>
      <c r="GT35" s="2042">
        <f t="shared" si="58"/>
        <v>0</v>
      </c>
      <c r="GU35" s="2045" t="str">
        <f t="shared" si="39"/>
        <v xml:space="preserve"> </v>
      </c>
      <c r="GV35" s="2045" t="str">
        <f t="shared" si="39"/>
        <v xml:space="preserve"> </v>
      </c>
      <c r="GW35" s="2054">
        <f t="shared" si="40"/>
        <v>0</v>
      </c>
      <c r="GX35" s="2042">
        <f t="shared" si="41"/>
        <v>0</v>
      </c>
      <c r="GY35" s="2042" t="str">
        <f t="shared" si="42"/>
        <v>a</v>
      </c>
      <c r="GZ35" s="2055">
        <f t="shared" si="43"/>
        <v>0</v>
      </c>
      <c r="HA35" s="2055">
        <f t="shared" si="44"/>
        <v>0</v>
      </c>
      <c r="HB35" s="2055"/>
      <c r="HC35" s="2046">
        <f t="shared" si="45"/>
        <v>0</v>
      </c>
      <c r="HD35" s="2055">
        <f t="shared" si="46"/>
        <v>0</v>
      </c>
      <c r="HE35" s="2055">
        <f t="shared" si="47"/>
        <v>0</v>
      </c>
      <c r="HF35" s="2055">
        <f t="shared" si="48"/>
        <v>0</v>
      </c>
      <c r="HG35" s="2282" cm="1">
        <f t="array" ref="HG35">IF(AND(HE35=0,GJ35=0),0,IF(HE35=0,1,IF(OR(GJ35*1000/HE35/HF35&gt;INDEX(Pflanzen!$AD$5:$AD$109,CX35)/INDEX(Pflanzen!$M$5:$M$109,CX35)*$HG$1,GJ35*1000/HE35/HF35&lt;INDEX(Pflanzen!$AD$5:$AD$109,CX35)/INDEX(Pflanzen!$M$5:$M$109,CX35)/$HG$1),1,0)))</f>
        <v>0</v>
      </c>
      <c r="HH35" s="2282" cm="1">
        <f t="array" ref="HH35">IF(AND(GK35=0,HE35=0),0,IF(HE35=0,1,IF(OR(GK35*1000/HE35/HF35&gt;INDEX(Pflanzen!$AE$5:$AE$109,CX35)/INDEX(Pflanzen!$M$5:$M$109,CX35)*$HG$1,GK35*1000/HE35/HF35&lt;INDEX(Pflanzen!$AE$5:$AE$109,CX35)/INDEX(Pflanzen!$M$5:$M$109,CX35)/$HG$1),1,0)))</f>
        <v>0</v>
      </c>
      <c r="HI35" s="2042">
        <f t="shared" si="49"/>
        <v>3</v>
      </c>
      <c r="HJ35" s="2042"/>
      <c r="HL35" s="2042"/>
      <c r="HM35" s="2052" t="str">
        <f>Tiere!B61</f>
        <v>Legehennen über 16 Wochen, Standard</v>
      </c>
      <c r="HN35" s="2042">
        <v>32</v>
      </c>
      <c r="HO35" s="2053">
        <f>SUMIF('Berechnung Nährstoffe und Lager'!$BM$68:$BM$81,'Lagerhaltung (freiwillig)'!HN35,'Berechnung Nährstoffe und Lager'!$Z$68:$Z$81)+SUMIF('Berechnung Nährstoffe und Lager'!$BM$68:$BM$81,'Lagerhaltung (freiwillig)'!HN35,'Berechnung Nährstoffe und Lager'!$AA$68:$AA$81)</f>
        <v>0</v>
      </c>
      <c r="HP35" s="2042" cm="1">
        <f t="array" ref="HP35">INDEX(Tiere!$C$30:$C$85,'Lagerhaltung (freiwillig)'!HN35)</f>
        <v>3</v>
      </c>
      <c r="HQ35" s="2042" cm="1">
        <f t="array" ref="HQ35">INDEX(Tiere!$H$30:$H$85,'Lagerhaltung (freiwillig)'!HN35)</f>
        <v>0</v>
      </c>
      <c r="HR35" s="2042">
        <f t="shared" si="12"/>
        <v>0</v>
      </c>
      <c r="HS35" s="2042" cm="1">
        <f t="array" ref="HS35">INDEX(Tiere!$I$30:$I$85,'Lagerhaltung (freiwillig)'!HN35)</f>
        <v>0</v>
      </c>
      <c r="HT35" s="2042">
        <f t="shared" si="13"/>
        <v>0</v>
      </c>
      <c r="HU35" s="2042" cm="1">
        <f t="array" ref="HU35">INDEX(Tiere!$BC$30:$BC$85,'Lagerhaltung (freiwillig)'!HN35)</f>
        <v>0</v>
      </c>
      <c r="HV35" s="2042">
        <f t="shared" si="6"/>
        <v>0</v>
      </c>
      <c r="HW35" s="2042" cm="1">
        <f t="array" ref="HW35">INDEX(Tiere!$BD$30:$BD$85,'Lagerhaltung (freiwillig)'!HN35)</f>
        <v>0</v>
      </c>
      <c r="HX35" s="2042">
        <f t="shared" si="7"/>
        <v>0</v>
      </c>
      <c r="HY35" s="2042"/>
      <c r="HZ35" s="2042"/>
      <c r="IA35" s="2042"/>
      <c r="IB35" s="2042"/>
      <c r="IC35" s="2042"/>
      <c r="ID35" s="2042"/>
      <c r="IE35" s="2042"/>
      <c r="IF35" s="2042"/>
      <c r="IG35" s="2042"/>
      <c r="IH35" s="2042"/>
      <c r="II35" s="2042"/>
      <c r="IJ35" s="2042"/>
    </row>
    <row r="36" spans="1:245" ht="15.6" customHeight="1" thickBot="1" x14ac:dyDescent="0.25">
      <c r="A36" s="260"/>
      <c r="B36" s="1241"/>
      <c r="C36" s="1241"/>
      <c r="D36" s="1241"/>
      <c r="E36" s="1241"/>
      <c r="F36" s="2018" cm="1">
        <f t="array" ref="F36">INDEX(Pflanzen!$M$5:$M$109,BR36)</f>
        <v>0</v>
      </c>
      <c r="G36" s="2019" cm="1">
        <f t="array" ref="G36">INDEX(Pflanzen!$AD$5:$AD$109,BR36)</f>
        <v>0</v>
      </c>
      <c r="H36" s="2301" cm="1">
        <f t="array" ref="H36">INDEX(Pflanzen!$AE$5:$AE$109,BR36)</f>
        <v>0</v>
      </c>
      <c r="I36" s="1260"/>
      <c r="J36" s="1253"/>
      <c r="K36" s="1260"/>
      <c r="L36" s="1971"/>
      <c r="M36" s="1253"/>
      <c r="N36" s="1908"/>
      <c r="O36" s="1908"/>
      <c r="P36" s="2213"/>
      <c r="Q36" s="2202"/>
      <c r="R36" s="1971"/>
      <c r="S36" s="1253"/>
      <c r="T36" s="1257"/>
      <c r="U36" s="1159"/>
      <c r="V36" s="2316" t="str">
        <f t="shared" si="82"/>
        <v/>
      </c>
      <c r="Y36" s="2005" t="str" cm="1">
        <f t="array" ref="Y36">IFERROR(INDEX($CW$4:$CW$171,AY36),"")</f>
        <v/>
      </c>
      <c r="Z36" s="510"/>
      <c r="AA36" s="510"/>
      <c r="AB36" s="510"/>
      <c r="AC36" s="2031" t="str" cm="1">
        <f t="array" ref="AC36">IFERROR(INDEX($GL$4:$GL$171,AY36),"")</f>
        <v/>
      </c>
      <c r="AD36" s="2031" t="str" cm="1">
        <f t="array" ref="AD36">IFERROR(INDEX($GM$4:$GM$171,AY36),"")</f>
        <v/>
      </c>
      <c r="AE36" s="2031" t="str" cm="1">
        <f t="array" ref="AE36">IFERROR(INDEX($GH$4:$GH$171,AY36),"")</f>
        <v/>
      </c>
      <c r="AF36" s="2031" t="str" cm="1">
        <f t="array" ref="AF36">IFERROR(INDEX($GI$4:$GI$171,AY36),"")</f>
        <v/>
      </c>
      <c r="AG36" s="2031" t="str" cm="1">
        <f t="array" ref="AG36">IFERROR(INDEX($GO$4:$GO$171,AY36),"")</f>
        <v/>
      </c>
      <c r="AH36" s="2031" t="str" cm="1">
        <f t="array" ref="AH36">IFERROR(INDEX($GP$4:$GP$171,AY36),"")</f>
        <v/>
      </c>
      <c r="AI36" s="2031" t="str" cm="1">
        <f t="array" ref="AI36">IFERROR(INDEX($GF$4:$GF$171,AY36),"")</f>
        <v/>
      </c>
      <c r="AJ36" s="2031" t="str" cm="1">
        <f t="array" ref="AJ36">IFERROR(INDEX($GG$4:$GG$171,AY36),"")</f>
        <v/>
      </c>
      <c r="AK36" s="2031" t="str" cm="1">
        <f t="array" ref="AK36">IFERROR(INDEX($GS$4:$GS$171,AY36),"")</f>
        <v/>
      </c>
      <c r="AL36" s="2032" t="str" cm="1">
        <f t="array" ref="AL36">IFERROR(INDEX($GT$4:$GT$171,AY36),"")</f>
        <v/>
      </c>
      <c r="AM36" s="2031" t="str" cm="1">
        <f t="array" ref="AM36">IFERROR(INDEX($GB$4:$GB$171,AY36),"")</f>
        <v/>
      </c>
      <c r="AN36" s="2031" t="str" cm="1">
        <f t="array" ref="AN36">IFERROR(INDEX($GC$4:$GC$171,AY36),"")</f>
        <v/>
      </c>
      <c r="AO36" s="2031" t="str" cm="1">
        <f t="array" ref="AO36">IFERROR(INDEX($GU$4:$GU$171,AY36),"")</f>
        <v/>
      </c>
      <c r="AP36" s="2031" t="str" cm="1">
        <f t="array" ref="AP36">IFERROR(INDEX($GX$4:$GX$171,AY36),"")</f>
        <v/>
      </c>
      <c r="AQ36" s="1316"/>
      <c r="AR36" s="2031" t="str" cm="1">
        <f t="array" ref="AR36">IFERROR(INDEX($HD$4:$HD$171,AY36),"")</f>
        <v/>
      </c>
      <c r="AS36" s="2031" t="str" cm="1">
        <f t="array" ref="AS36">IFERROR(INDEX($HE$4:$HE$171,AY36),"")</f>
        <v/>
      </c>
      <c r="AT36" s="2031" t="str" cm="1">
        <f t="array" ref="AT36">IFERROR(INDEX($HF$4:$HF$171,AY36),"")</f>
        <v/>
      </c>
      <c r="AU36" s="2031" t="str" cm="1">
        <f t="array" ref="AU36">IFERROR(INDEX($GJ$4:$GJ$171,AY36),"")</f>
        <v/>
      </c>
      <c r="AV36" s="2031" t="str" cm="1">
        <f t="array" ref="AV36">IFERROR(INDEX($GK$4:$GK$171,AY36),"")</f>
        <v/>
      </c>
      <c r="AY36" s="2042" t="str" cm="1">
        <f t="array" ref="AY36">IFERROR(SMALL(IF($HI$4:$HI$171=1,ROW($HI$4:$HI$171)-3),ROW(W24)),IFERROR(SMALL(IF($HI$4:$HI$171=2,ROW($HI$4:$HI$171)-3),ROW(W24)-COUNTIF($HI$4:$HI$171,1)),IFERROR(SMALL(IF($HI$4:$HI$171=0,ROW($HI$4:$HI$171)-3),ROW(W24)-COUNTIF($HI$4:$HI$171,1)-COUNTIF($HI$4:$HI$171,2)),"")))</f>
        <v/>
      </c>
      <c r="AZ36" s="2042" t="str">
        <f t="shared" si="59"/>
        <v>a</v>
      </c>
      <c r="BA36" s="2053" t="e">
        <f t="shared" si="60"/>
        <v>#VALUE!</v>
      </c>
      <c r="BB36" s="2053" cm="1">
        <f t="array" ref="BB36">IFERROR(INDEX($HI$4:$HI$171,AY36),0)</f>
        <v>0</v>
      </c>
      <c r="BC36" s="2053">
        <f t="shared" si="61"/>
        <v>0</v>
      </c>
      <c r="BD36" s="2053"/>
      <c r="BE36" s="2307"/>
      <c r="BF36" s="2307"/>
      <c r="BG36" s="2307"/>
      <c r="BH36" s="2307"/>
      <c r="BI36" s="2307"/>
      <c r="BJ36" s="2307"/>
      <c r="BK36" s="2307"/>
      <c r="BL36" s="2307"/>
      <c r="BM36" s="2307"/>
      <c r="BN36" s="2307"/>
      <c r="BO36" s="2307"/>
      <c r="BP36" s="2043"/>
      <c r="BQ36" s="2042"/>
      <c r="BR36" s="2042">
        <v>1</v>
      </c>
      <c r="BS36" s="2042"/>
      <c r="BT36" s="2042" t="b">
        <v>0</v>
      </c>
      <c r="BU36" s="2058"/>
      <c r="BV36" s="2058"/>
      <c r="BW36" s="2042">
        <f t="shared" si="62"/>
        <v>12</v>
      </c>
      <c r="BX36" s="2042">
        <f t="shared" si="63"/>
        <v>0</v>
      </c>
      <c r="BY36" s="2042">
        <f t="shared" si="64"/>
        <v>12</v>
      </c>
      <c r="BZ36" s="2042" cm="1">
        <f t="array" ref="BZ36">INDEX(Pflanzen!$AI$5:$AI$119,'Lagerhaltung (freiwillig)'!BR36)</f>
        <v>0</v>
      </c>
      <c r="CA36" s="2042" cm="1">
        <f t="array" ref="CA36">IF(BZ36=1,INDEX(Pflanzen!$AJ$5:$AJ$119,BR36),N36)</f>
        <v>0</v>
      </c>
      <c r="CB36" s="2042" cm="1">
        <f t="array" ref="CB36">IF(BZ36=1,INDEX(Pflanzen!$AK$5:$AK$119,BR36),O36)</f>
        <v>0</v>
      </c>
      <c r="CC36" s="2042">
        <f t="shared" si="65"/>
        <v>12</v>
      </c>
      <c r="CD36" s="2042">
        <f t="shared" si="66"/>
        <v>0</v>
      </c>
      <c r="CE36" s="2042">
        <f t="shared" si="67"/>
        <v>12</v>
      </c>
      <c r="CF36" s="2042" cm="1">
        <f t="array" ref="CF36">INDEX(Pflanzen!$F$5:$F$119,BR36)</f>
        <v>0</v>
      </c>
      <c r="CG36" s="2042" cm="1">
        <f t="array" ref="CG36">INDEX(Pflanzen!$H$5:$H$119,BR36)</f>
        <v>0</v>
      </c>
      <c r="CH36" s="2042">
        <f t="shared" si="68"/>
        <v>0</v>
      </c>
      <c r="CI36" s="2042">
        <f t="shared" si="69"/>
        <v>0</v>
      </c>
      <c r="CJ36" s="2042">
        <f t="shared" si="70"/>
        <v>0</v>
      </c>
      <c r="CK36" s="2042">
        <f t="shared" si="71"/>
        <v>0</v>
      </c>
      <c r="CL36" s="2042">
        <f t="shared" si="72"/>
        <v>0</v>
      </c>
      <c r="CM36" s="2042">
        <f t="shared" si="73"/>
        <v>0</v>
      </c>
      <c r="CN36" s="2042">
        <f t="shared" si="74"/>
        <v>0</v>
      </c>
      <c r="CO36" s="2042">
        <f t="shared" si="75"/>
        <v>0</v>
      </c>
      <c r="CP36" s="2042">
        <f t="shared" si="76"/>
        <v>0</v>
      </c>
      <c r="CQ36" s="2042">
        <f t="shared" si="77"/>
        <v>0</v>
      </c>
      <c r="CR36" s="2042">
        <f t="shared" si="78"/>
        <v>0</v>
      </c>
      <c r="CS36" s="2042">
        <f t="shared" si="79"/>
        <v>0</v>
      </c>
      <c r="CT36" s="2042">
        <f t="shared" si="80"/>
        <v>0</v>
      </c>
      <c r="CU36" s="2042">
        <f t="shared" si="81"/>
        <v>0</v>
      </c>
      <c r="CV36" s="2042"/>
      <c r="CW36" s="609" t="str">
        <f>Pflanzen!A32</f>
        <v xml:space="preserve"> +++Hackfrüchte+++</v>
      </c>
      <c r="CX36" s="2042">
        <f>IFERROR(MATCH($CW36,Pflanzen!$C$5:$C$119,0),1)</f>
        <v>28</v>
      </c>
      <c r="CY36" s="609" cm="1">
        <f t="array" ref="CY36">INDEX(Pflanzen!$I$5:$I$119,'Lagerhaltung (freiwillig)'!CX36)</f>
        <v>0</v>
      </c>
      <c r="CZ36" s="2042">
        <f t="shared" si="106"/>
        <v>0</v>
      </c>
      <c r="DA36" s="2042">
        <f t="shared" si="106"/>
        <v>0</v>
      </c>
      <c r="DB36" s="2042">
        <f t="shared" si="106"/>
        <v>0</v>
      </c>
      <c r="DC36" s="2042">
        <f t="shared" si="106"/>
        <v>0</v>
      </c>
      <c r="DD36" s="2042">
        <f t="shared" si="106"/>
        <v>0</v>
      </c>
      <c r="DE36" s="2042">
        <f t="shared" si="106"/>
        <v>0</v>
      </c>
      <c r="DF36" s="2042">
        <f t="shared" si="106"/>
        <v>0</v>
      </c>
      <c r="DG36" s="2042">
        <f t="shared" si="106"/>
        <v>0</v>
      </c>
      <c r="DH36" s="2042">
        <f t="shared" si="106"/>
        <v>0</v>
      </c>
      <c r="DI36" s="2042">
        <f t="shared" si="106"/>
        <v>0</v>
      </c>
      <c r="DJ36" s="2042">
        <f t="shared" si="106"/>
        <v>0</v>
      </c>
      <c r="DK36" s="2042">
        <f t="shared" si="106"/>
        <v>0</v>
      </c>
      <c r="DL36" s="2042"/>
      <c r="DM36" s="2042">
        <f t="shared" si="107"/>
        <v>0</v>
      </c>
      <c r="DN36" s="2042">
        <f t="shared" si="107"/>
        <v>0</v>
      </c>
      <c r="DO36" s="2042">
        <f t="shared" si="107"/>
        <v>0</v>
      </c>
      <c r="DP36" s="2042">
        <f t="shared" si="107"/>
        <v>0</v>
      </c>
      <c r="DQ36" s="2042">
        <f t="shared" si="107"/>
        <v>0</v>
      </c>
      <c r="DR36" s="2042">
        <f t="shared" si="107"/>
        <v>0</v>
      </c>
      <c r="DS36" s="2042">
        <f t="shared" si="107"/>
        <v>0</v>
      </c>
      <c r="DT36" s="2042">
        <f t="shared" si="107"/>
        <v>0</v>
      </c>
      <c r="DU36" s="2042">
        <f t="shared" si="107"/>
        <v>0</v>
      </c>
      <c r="DV36" s="2042">
        <f t="shared" si="107"/>
        <v>0</v>
      </c>
      <c r="DW36" s="2042">
        <f t="shared" si="107"/>
        <v>0</v>
      </c>
      <c r="DX36" s="2042">
        <f t="shared" si="107"/>
        <v>0</v>
      </c>
      <c r="DY36" s="2042"/>
      <c r="DZ36" s="2042">
        <f t="shared" si="108"/>
        <v>0</v>
      </c>
      <c r="EA36" s="2042">
        <f t="shared" si="108"/>
        <v>0</v>
      </c>
      <c r="EB36" s="2042">
        <f t="shared" si="108"/>
        <v>0</v>
      </c>
      <c r="EC36" s="2042">
        <f t="shared" si="108"/>
        <v>0</v>
      </c>
      <c r="ED36" s="2042">
        <f t="shared" si="108"/>
        <v>0</v>
      </c>
      <c r="EE36" s="2042">
        <f t="shared" si="108"/>
        <v>0</v>
      </c>
      <c r="EF36" s="2042">
        <f t="shared" si="108"/>
        <v>0</v>
      </c>
      <c r="EG36" s="2042">
        <f t="shared" si="108"/>
        <v>0</v>
      </c>
      <c r="EH36" s="2042">
        <f t="shared" si="108"/>
        <v>0</v>
      </c>
      <c r="EI36" s="2042">
        <f t="shared" si="108"/>
        <v>0</v>
      </c>
      <c r="EJ36" s="2042">
        <f t="shared" si="108"/>
        <v>0</v>
      </c>
      <c r="EK36" s="2042">
        <f t="shared" si="108"/>
        <v>0</v>
      </c>
      <c r="EL36" s="2042"/>
      <c r="EM36" s="2042">
        <f t="shared" si="109"/>
        <v>0</v>
      </c>
      <c r="EN36" s="2042">
        <f t="shared" si="109"/>
        <v>0</v>
      </c>
      <c r="EO36" s="2042">
        <f t="shared" si="109"/>
        <v>0</v>
      </c>
      <c r="EP36" s="2042">
        <f t="shared" si="109"/>
        <v>0</v>
      </c>
      <c r="EQ36" s="2042">
        <f t="shared" si="109"/>
        <v>0</v>
      </c>
      <c r="ER36" s="2042">
        <f t="shared" si="109"/>
        <v>0</v>
      </c>
      <c r="ES36" s="2042">
        <f t="shared" si="109"/>
        <v>0</v>
      </c>
      <c r="ET36" s="2042">
        <f t="shared" si="109"/>
        <v>0</v>
      </c>
      <c r="EU36" s="2042">
        <f t="shared" si="109"/>
        <v>0</v>
      </c>
      <c r="EV36" s="2042">
        <f t="shared" si="109"/>
        <v>0</v>
      </c>
      <c r="EW36" s="2042">
        <f t="shared" si="109"/>
        <v>0</v>
      </c>
      <c r="EX36" s="2042">
        <f t="shared" si="109"/>
        <v>0</v>
      </c>
      <c r="EY36" s="2042"/>
      <c r="EZ36" s="2045">
        <f t="shared" si="50"/>
        <v>0</v>
      </c>
      <c r="FA36" s="2042">
        <f>EZ36+CZ36+DZ36                 -         SUMIF('Berechnung Nährstoffe und Lager'!$AX$113:$AX$155,$CX36,'Berechnung Nährstoffe und Lager'!$U$113:$U$155)/12  -$GB36*$HC36/12</f>
        <v>0</v>
      </c>
      <c r="FB36" s="2042">
        <f>FA36+DA36+EA36                 -         SUMIF('Berechnung Nährstoffe und Lager'!$AX$113:$AX$155,$CX36,'Berechnung Nährstoffe und Lager'!$U$113:$U$155)/12  -$GB36*$HC36/12</f>
        <v>0</v>
      </c>
      <c r="FC36" s="2042">
        <f>FB36+DB36+EB36                 -         SUMIF('Berechnung Nährstoffe und Lager'!$AX$113:$AX$155,$CX36,'Berechnung Nährstoffe und Lager'!$U$113:$U$155)/12  -$GB36*$HC36/12</f>
        <v>0</v>
      </c>
      <c r="FD36" s="2042">
        <f>FC36+DC36+EC36                 -         SUMIF('Berechnung Nährstoffe und Lager'!$AX$113:$AX$155,$CX36,'Berechnung Nährstoffe und Lager'!$U$113:$U$155)/12  -$GB36*$HC36/12</f>
        <v>0</v>
      </c>
      <c r="FE36" s="2042">
        <f>FD36+DD36+ED36                 -         SUMIF('Berechnung Nährstoffe und Lager'!$AX$113:$AX$155,$CX36,'Berechnung Nährstoffe und Lager'!$U$113:$U$155)/12  -$GB36*$HC36/12</f>
        <v>0</v>
      </c>
      <c r="FF36" s="2042">
        <f>FE36+DE36+EE36                 -         SUMIF('Berechnung Nährstoffe und Lager'!$AX$113:$AX$155,$CX36,'Berechnung Nährstoffe und Lager'!$U$113:$U$155)/12  -$GB36*$HC36/12</f>
        <v>0</v>
      </c>
      <c r="FG36" s="2042">
        <f>FF36+DF36+EF36                 -         SUMIF('Berechnung Nährstoffe und Lager'!$AX$113:$AX$155,$CX36,'Berechnung Nährstoffe und Lager'!$U$113:$U$155)/12  -$GB36*$HC36/12</f>
        <v>0</v>
      </c>
      <c r="FH36" s="2042">
        <f>FG36+DG36+EG36                 -         SUMIF('Berechnung Nährstoffe und Lager'!$AX$113:$AX$155,$CX36,'Berechnung Nährstoffe und Lager'!$U$113:$U$155)/12  -$GB36*$HC36/12</f>
        <v>0</v>
      </c>
      <c r="FI36" s="2042">
        <f>FH36+DH36+EH36                 -         SUMIF('Berechnung Nährstoffe und Lager'!$AX$113:$AX$155,$CX36,'Berechnung Nährstoffe und Lager'!$U$113:$U$155)/12  -$GB36*$HC36/12</f>
        <v>0</v>
      </c>
      <c r="FJ36" s="2042">
        <f>FI36+DI36+EI36                 -         SUMIF('Berechnung Nährstoffe und Lager'!$AX$113:$AX$155,$CX36,'Berechnung Nährstoffe und Lager'!$U$113:$U$155)/12  -$GB36*$HC36/12</f>
        <v>0</v>
      </c>
      <c r="FK36" s="2042">
        <f>FJ36+DJ36+EJ36                 -         SUMIF('Berechnung Nährstoffe und Lager'!$AX$113:$AX$155,$CX36,'Berechnung Nährstoffe und Lager'!$U$113:$U$155)/12  -$GB36*$HC36/12</f>
        <v>0</v>
      </c>
      <c r="FL36" s="2042">
        <f>FK36+DK36+EK36                 -         SUMIF('Berechnung Nährstoffe und Lager'!$AX$113:$AX$155,$CX36,'Berechnung Nährstoffe und Lager'!$U$113:$U$155)/12  -$GB36*$HC36/12</f>
        <v>0</v>
      </c>
      <c r="FM36" s="2042"/>
      <c r="FN36" s="2045">
        <f t="shared" si="51"/>
        <v>0</v>
      </c>
      <c r="FO36" s="2042">
        <f>FN36+DM36+EM36                 -         SUMIF('Berechnung Nährstoffe und Lager'!$AX$113:$AX$155,$CX36,'Berechnung Nährstoffe und Lager'!$V$113:$V$155)/12  -$GC36*$HC36/12</f>
        <v>0</v>
      </c>
      <c r="FP36" s="2042">
        <f>FO36+DN36+EN36                 -         SUMIF('Berechnung Nährstoffe und Lager'!$AX$113:$AX$155,$CX36,'Berechnung Nährstoffe und Lager'!$V$113:$V$155)/12  -$GC36*$HC36/12</f>
        <v>0</v>
      </c>
      <c r="FQ36" s="2042">
        <f>FP36+DO36+EO36                 -         SUMIF('Berechnung Nährstoffe und Lager'!$AX$113:$AX$155,$CX36,'Berechnung Nährstoffe und Lager'!$V$113:$V$155)/12  -$GC36*$HC36/12</f>
        <v>0</v>
      </c>
      <c r="FR36" s="2042">
        <f>FQ36+DP36+EP36                 -         SUMIF('Berechnung Nährstoffe und Lager'!$AX$113:$AX$155,$CX36,'Berechnung Nährstoffe und Lager'!$V$113:$V$155)/12  -$GC36*$HC36/12</f>
        <v>0</v>
      </c>
      <c r="FS36" s="2042">
        <f>FR36+DQ36+EQ36                 -         SUMIF('Berechnung Nährstoffe und Lager'!$AX$113:$AX$155,$CX36,'Berechnung Nährstoffe und Lager'!$V$113:$V$155)/12  -$GC36*$HC36/12</f>
        <v>0</v>
      </c>
      <c r="FT36" s="2042">
        <f>FS36+DR36+ER36                 -         SUMIF('Berechnung Nährstoffe und Lager'!$AX$113:$AX$155,$CX36,'Berechnung Nährstoffe und Lager'!$V$113:$V$155)/12  -$GC36*$HC36/12</f>
        <v>0</v>
      </c>
      <c r="FU36" s="2042">
        <f>FT36+DS36+ES36                 -         SUMIF('Berechnung Nährstoffe und Lager'!$AX$113:$AX$155,$CX36,'Berechnung Nährstoffe und Lager'!$V$113:$V$155)/12  -$GC36*$HC36/12</f>
        <v>0</v>
      </c>
      <c r="FV36" s="2042">
        <f>FU36+DT36+ET36                 -         SUMIF('Berechnung Nährstoffe und Lager'!$AX$113:$AX$155,$CX36,'Berechnung Nährstoffe und Lager'!$V$113:$V$155)/12  -$GC36*$HC36/12</f>
        <v>0</v>
      </c>
      <c r="FW36" s="2042">
        <f>FV36+DU36+EU36                 -         SUMIF('Berechnung Nährstoffe und Lager'!$AX$113:$AX$155,$CX36,'Berechnung Nährstoffe und Lager'!$V$113:$V$155)/12  -$GC36*$HC36/12</f>
        <v>0</v>
      </c>
      <c r="FX36" s="2042">
        <f>FW36+DV36+EV36                 -         SUMIF('Berechnung Nährstoffe und Lager'!$AX$113:$AX$155,$CX36,'Berechnung Nährstoffe und Lager'!$V$113:$V$155)/12  -$GC36*$HC36/12</f>
        <v>0</v>
      </c>
      <c r="FY36" s="2042">
        <f>FX36+DW36+EW36                 -         SUMIF('Berechnung Nährstoffe und Lager'!$AX$113:$AX$155,$CX36,'Berechnung Nährstoffe und Lager'!$V$113:$V$155)/12  -$GC36*$HC36/12</f>
        <v>0</v>
      </c>
      <c r="FZ36" s="2042">
        <f>FY36+DX36+EX36                 -         SUMIF('Berechnung Nährstoffe und Lager'!$AX$113:$AX$155,$CX36,'Berechnung Nährstoffe und Lager'!$V$113:$V$155)/12  -$GC36*$HC36/12</f>
        <v>0</v>
      </c>
      <c r="GA36" s="2042"/>
      <c r="GB36" s="2042">
        <f>SUMIFS($CI$14:$CI$68,$BR$14:$BR$68,$CX36)+SUMIFS($CM$14:$CM$68,$BR$14:$BR$68,$CX36)+SUMIFS($CR$14:$CR$68,$BR$14:$BR$68,$CX36)  -         SUMIF('Berechnung Nährstoffe und Lager'!$AX$113:$AX$155,$CX36,'Berechnung Nährstoffe und Lager'!$U$113:$U$155)</f>
        <v>0</v>
      </c>
      <c r="GC36" s="2042">
        <f>SUMIFS($CJ$14:$CJ$68,$BR$14:$BR$68,$CX36)+SUMIFS($CO$14:$CO$68,$BR$14:$BR$68,$CX36)+SUMIFS($CT$14:$CT$68,$BR$14:$BR$68,$CX36)  -         SUMIF('Berechnung Nährstoffe und Lager'!$AX$113:$AX$155,$CX36,'Berechnung Nährstoffe und Lager'!$V$113:$V$155)</f>
        <v>0</v>
      </c>
      <c r="GD36" s="2042"/>
      <c r="GE36" s="2042"/>
      <c r="GF36" s="2042">
        <f>SUMIF('Berechnung Nährstoffe und Lager'!$AX$113:$AX$155,$CX36,'Berechnung Nährstoffe und Lager'!$U$113:$U$155)</f>
        <v>0</v>
      </c>
      <c r="GG36" s="2042">
        <f>SUMIF('Berechnung Nährstoffe und Lager'!$AX$113:$AX$155,$CX36,'Berechnung Nährstoffe und Lager'!$V$113:$V$155)</f>
        <v>0</v>
      </c>
      <c r="GH36" s="2042">
        <f t="shared" si="52"/>
        <v>0</v>
      </c>
      <c r="GI36" s="2042">
        <f t="shared" si="53"/>
        <v>0</v>
      </c>
      <c r="GJ36" s="2042">
        <f t="shared" si="34"/>
        <v>0</v>
      </c>
      <c r="GK36" s="2042">
        <f t="shared" si="35"/>
        <v>0</v>
      </c>
      <c r="GL36" s="2042">
        <f t="shared" si="36"/>
        <v>0</v>
      </c>
      <c r="GM36" s="2042" cm="1">
        <f t="array" ref="GM36">IF(GL36=0,0,(IFERROR(SUMPRODUCT($J$14:$J$68,$CH$14:$CH$68,($BR$14:$BR$68=CX36)*1)+SUMPRODUCT($L$14:$L$68,$M$14:$M$68,$CK$14:$CK$68,($BR$14:$BR$68=CX36)*1,($BT$14:$BT$68=FALSE)*1)/10+SUMPRODUCT($R$14:$R$68,$CP$14:$CP$68,($BR$14:$BR$68=CX36)*1),0))/GL36)</f>
        <v>0</v>
      </c>
      <c r="GN36" s="2042">
        <f t="shared" si="54"/>
        <v>0</v>
      </c>
      <c r="GO36" s="2042">
        <f>(SUMIF('Berechnung Nährstoffe und Lager'!$AX$113:$AX$130,'Lagerhaltung (freiwillig)'!CX36,'Berechnung Nährstoffe und Lager'!$D$113:$D$130)+SUMIF('Berechnung Nährstoffe und Lager'!$AX$137:$AX$155,'Lagerhaltung (freiwillig)'!CX36,'Berechnung Nährstoffe und Lager'!$E$137:$E$155))</f>
        <v>0</v>
      </c>
      <c r="GP36" s="2042" cm="1">
        <f t="array" ref="GP36">IF(GO36=0,0,(IFERROR(SUMPRODUCT('Berechnung Nährstoffe und Lager'!$D$113:$D$130,'Berechnung Nährstoffe und Lager'!$F$113:$F$130,('Berechnung Nährstoffe und Lager'!$AX$113:$AX$130='Lagerhaltung (freiwillig)'!CX36)*1)+SUMPRODUCT('Berechnung Nährstoffe und Lager'!$E$137:$E$155,'Berechnung Nährstoffe und Lager'!$F$137:$F$155,('Berechnung Nährstoffe und Lager'!$AX$137:$AX$155='Lagerhaltung (freiwillig)'!CX36)*1),0))/GO36)</f>
        <v>0</v>
      </c>
      <c r="GQ36" s="2042">
        <f t="shared" si="55"/>
        <v>0</v>
      </c>
      <c r="GR36" s="2042">
        <f t="shared" si="56"/>
        <v>0</v>
      </c>
      <c r="GS36" s="2042">
        <f t="shared" si="57"/>
        <v>0</v>
      </c>
      <c r="GT36" s="2042">
        <f t="shared" si="58"/>
        <v>0</v>
      </c>
      <c r="GU36" s="2045" t="str">
        <f t="shared" si="39"/>
        <v xml:space="preserve"> </v>
      </c>
      <c r="GV36" s="2045" t="str">
        <f t="shared" si="39"/>
        <v xml:space="preserve"> </v>
      </c>
      <c r="GW36" s="2054">
        <f t="shared" si="40"/>
        <v>0</v>
      </c>
      <c r="GX36" s="2042">
        <f t="shared" si="41"/>
        <v>0</v>
      </c>
      <c r="GY36" s="2042" t="str">
        <f t="shared" si="42"/>
        <v>a</v>
      </c>
      <c r="GZ36" s="2055">
        <f t="shared" si="43"/>
        <v>0</v>
      </c>
      <c r="HA36" s="2055">
        <f t="shared" si="44"/>
        <v>0</v>
      </c>
      <c r="HB36" s="2055"/>
      <c r="HC36" s="2046">
        <f t="shared" si="45"/>
        <v>0</v>
      </c>
      <c r="HD36" s="2055">
        <f t="shared" si="46"/>
        <v>0</v>
      </c>
      <c r="HE36" s="2055">
        <f t="shared" si="47"/>
        <v>0</v>
      </c>
      <c r="HF36" s="2055">
        <f t="shared" si="48"/>
        <v>0</v>
      </c>
      <c r="HG36" s="2282" cm="1">
        <f t="array" ref="HG36">IF(AND(HE36=0,GJ36=0),0,IF(HE36=0,1,IF(OR(GJ36*1000/HE36/HF36&gt;INDEX(Pflanzen!$AD$5:$AD$109,CX36)/INDEX(Pflanzen!$M$5:$M$109,CX36)*$HG$1,GJ36*1000/HE36/HF36&lt;INDEX(Pflanzen!$AD$5:$AD$109,CX36)/INDEX(Pflanzen!$M$5:$M$109,CX36)/$HG$1),1,0)))</f>
        <v>0</v>
      </c>
      <c r="HH36" s="2282" cm="1">
        <f t="array" ref="HH36">IF(AND(GK36=0,HE36=0),0,IF(HE36=0,1,IF(OR(GK36*1000/HE36/HF36&gt;INDEX(Pflanzen!$AE$5:$AE$109,CX36)/INDEX(Pflanzen!$M$5:$M$109,CX36)*$HG$1,GK36*1000/HE36/HF36&lt;INDEX(Pflanzen!$AE$5:$AE$109,CX36)/INDEX(Pflanzen!$M$5:$M$109,CX36)/$HG$1),1,0)))</f>
        <v>0</v>
      </c>
      <c r="HI36" s="2042">
        <f t="shared" si="49"/>
        <v>3</v>
      </c>
      <c r="HJ36" s="2042"/>
      <c r="HL36" s="2042"/>
      <c r="HM36" s="2052" t="str">
        <f>Tiere!B62</f>
        <v>Legehennen über 16 Wochen, N-/P-reduziert</v>
      </c>
      <c r="HN36" s="2042">
        <v>33</v>
      </c>
      <c r="HO36" s="2053">
        <f>SUMIF('Berechnung Nährstoffe und Lager'!$BM$68:$BM$81,'Lagerhaltung (freiwillig)'!HN36,'Berechnung Nährstoffe und Lager'!$Z$68:$Z$81)+SUMIF('Berechnung Nährstoffe und Lager'!$BM$68:$BM$81,'Lagerhaltung (freiwillig)'!HN36,'Berechnung Nährstoffe und Lager'!$AA$68:$AA$81)</f>
        <v>0</v>
      </c>
      <c r="HP36" s="2042" cm="1">
        <f t="array" ref="HP36">INDEX(Tiere!$C$30:$C$85,'Lagerhaltung (freiwillig)'!HN36)</f>
        <v>3</v>
      </c>
      <c r="HQ36" s="2042" cm="1">
        <f t="array" ref="HQ36">INDEX(Tiere!$H$30:$H$85,'Lagerhaltung (freiwillig)'!HN36)</f>
        <v>0</v>
      </c>
      <c r="HR36" s="2042">
        <f t="shared" si="12"/>
        <v>0</v>
      </c>
      <c r="HS36" s="2042" cm="1">
        <f t="array" ref="HS36">INDEX(Tiere!$I$30:$I$85,'Lagerhaltung (freiwillig)'!HN36)</f>
        <v>0</v>
      </c>
      <c r="HT36" s="2042">
        <f t="shared" si="13"/>
        <v>0</v>
      </c>
      <c r="HU36" s="2042" cm="1">
        <f t="array" ref="HU36">INDEX(Tiere!$BC$30:$BC$85,'Lagerhaltung (freiwillig)'!HN36)</f>
        <v>0</v>
      </c>
      <c r="HV36" s="2042">
        <f t="shared" ref="HV36:HV59" si="110">HO36*HU36/1000</f>
        <v>0</v>
      </c>
      <c r="HW36" s="2042" cm="1">
        <f t="array" ref="HW36">INDEX(Tiere!$BD$30:$BD$85,'Lagerhaltung (freiwillig)'!HN36)</f>
        <v>0</v>
      </c>
      <c r="HX36" s="2042">
        <f t="shared" ref="HX36:HX59" si="111">HO36*HW36/1000</f>
        <v>0</v>
      </c>
      <c r="HY36" s="2042"/>
      <c r="HZ36" s="2042"/>
      <c r="IA36" s="2042"/>
      <c r="IB36" s="2042"/>
      <c r="IC36" s="2042"/>
      <c r="ID36" s="2042"/>
      <c r="IE36" s="2042"/>
      <c r="IF36" s="2042"/>
      <c r="IG36" s="2042"/>
      <c r="IH36" s="2042"/>
      <c r="II36" s="2042"/>
      <c r="IJ36" s="2042"/>
    </row>
    <row r="37" spans="1:245" ht="4.5" customHeight="1" x14ac:dyDescent="0.2">
      <c r="A37" s="2035"/>
      <c r="B37" s="2035"/>
      <c r="C37" s="2035"/>
      <c r="D37" s="2035"/>
      <c r="E37" s="2035"/>
      <c r="F37" s="2035"/>
      <c r="G37" s="2035"/>
      <c r="H37" s="2035"/>
      <c r="I37" s="2035"/>
      <c r="J37" s="2035"/>
      <c r="K37" s="2035"/>
      <c r="L37" s="2035"/>
      <c r="M37" s="2035"/>
      <c r="N37" s="2035"/>
      <c r="O37" s="2035"/>
      <c r="P37" s="2035"/>
      <c r="Q37" s="2035"/>
      <c r="R37" s="2035"/>
      <c r="S37" s="2035"/>
      <c r="T37" s="2035"/>
      <c r="U37" s="2035"/>
      <c r="V37" s="2316"/>
      <c r="W37" s="2035"/>
      <c r="X37" s="2035"/>
      <c r="Y37" s="510"/>
      <c r="Z37" s="510"/>
      <c r="AA37" s="510"/>
      <c r="AB37" s="510"/>
      <c r="AC37" s="510"/>
      <c r="AD37" s="510"/>
      <c r="AE37" s="510"/>
      <c r="AF37" s="510"/>
      <c r="AG37" s="510"/>
      <c r="AH37" s="510"/>
      <c r="AI37" s="510"/>
      <c r="AJ37" s="510"/>
      <c r="AK37" s="510"/>
      <c r="AL37" s="510"/>
      <c r="AM37" s="510"/>
      <c r="AN37" s="510"/>
      <c r="AO37" s="510"/>
      <c r="AP37" s="510"/>
      <c r="AQ37" s="510"/>
      <c r="AR37" s="510"/>
      <c r="AS37" s="510"/>
      <c r="AT37" s="510"/>
      <c r="AU37" s="2034"/>
      <c r="AV37" s="2034"/>
      <c r="AW37" s="2035"/>
      <c r="AX37" s="2035"/>
      <c r="AY37" s="2042"/>
      <c r="AZ37" s="2042"/>
      <c r="BA37" s="2053"/>
      <c r="BB37" s="2053"/>
      <c r="BC37" s="2053"/>
      <c r="BD37" s="2053"/>
      <c r="BE37" s="2307"/>
      <c r="BF37" s="2307"/>
      <c r="BG37" s="2307"/>
      <c r="BH37" s="2307"/>
      <c r="BI37" s="2307"/>
      <c r="BJ37" s="2307"/>
      <c r="BK37" s="2307"/>
      <c r="BL37" s="2307"/>
      <c r="BM37" s="2307"/>
      <c r="BN37" s="2307"/>
      <c r="BO37" s="2307"/>
      <c r="BP37" s="2060"/>
      <c r="BQ37" s="2059"/>
      <c r="BR37" s="2059"/>
      <c r="BS37" s="2059"/>
      <c r="BT37" s="2059"/>
      <c r="BU37" s="2044"/>
      <c r="BV37" s="2044"/>
      <c r="BW37" s="2059"/>
      <c r="BX37" s="2059"/>
      <c r="BY37" s="2059"/>
      <c r="BZ37" s="2059"/>
      <c r="CA37" s="2059"/>
      <c r="CB37" s="2059"/>
      <c r="CC37" s="2059"/>
      <c r="CD37" s="2059"/>
      <c r="CE37" s="2059"/>
      <c r="CF37" s="2059"/>
      <c r="CG37" s="2059"/>
      <c r="CH37" s="2059"/>
      <c r="CI37" s="2059"/>
      <c r="CJ37" s="2059"/>
      <c r="CK37" s="2059"/>
      <c r="CL37" s="2059"/>
      <c r="CM37" s="2059"/>
      <c r="CN37" s="2059"/>
      <c r="CO37" s="2059"/>
      <c r="CP37" s="2059"/>
      <c r="CQ37" s="2059"/>
      <c r="CR37" s="2059"/>
      <c r="CS37" s="2059"/>
      <c r="CT37" s="2059"/>
      <c r="CU37" s="2059"/>
      <c r="CV37" s="2042"/>
      <c r="CW37" s="609" t="str">
        <f>Pflanzen!A33</f>
        <v>Kartoffel</v>
      </c>
      <c r="CX37" s="2042">
        <f>IFERROR(MATCH($CW37,Pflanzen!$C$5:$C$119,0),1)</f>
        <v>29</v>
      </c>
      <c r="CY37" s="609" cm="1">
        <f t="array" ref="CY37">INDEX(Pflanzen!$I$5:$I$119,'Lagerhaltung (freiwillig)'!CX37)</f>
        <v>2</v>
      </c>
      <c r="CZ37" s="2042">
        <f t="shared" si="106"/>
        <v>0</v>
      </c>
      <c r="DA37" s="2042">
        <f t="shared" si="106"/>
        <v>0</v>
      </c>
      <c r="DB37" s="2042">
        <f t="shared" si="106"/>
        <v>0</v>
      </c>
      <c r="DC37" s="2042">
        <f t="shared" si="106"/>
        <v>0</v>
      </c>
      <c r="DD37" s="2042">
        <f t="shared" si="106"/>
        <v>0</v>
      </c>
      <c r="DE37" s="2042">
        <f t="shared" si="106"/>
        <v>0</v>
      </c>
      <c r="DF37" s="2042">
        <f t="shared" si="106"/>
        <v>0</v>
      </c>
      <c r="DG37" s="2042">
        <f t="shared" si="106"/>
        <v>0</v>
      </c>
      <c r="DH37" s="2042">
        <f t="shared" si="106"/>
        <v>0</v>
      </c>
      <c r="DI37" s="2042">
        <f t="shared" si="106"/>
        <v>0</v>
      </c>
      <c r="DJ37" s="2042">
        <f t="shared" si="106"/>
        <v>0</v>
      </c>
      <c r="DK37" s="2042">
        <f t="shared" si="106"/>
        <v>0</v>
      </c>
      <c r="DL37" s="2042"/>
      <c r="DM37" s="2042">
        <f t="shared" si="107"/>
        <v>0</v>
      </c>
      <c r="DN37" s="2042">
        <f t="shared" si="107"/>
        <v>0</v>
      </c>
      <c r="DO37" s="2042">
        <f t="shared" si="107"/>
        <v>0</v>
      </c>
      <c r="DP37" s="2042">
        <f t="shared" si="107"/>
        <v>0</v>
      </c>
      <c r="DQ37" s="2042">
        <f t="shared" si="107"/>
        <v>0</v>
      </c>
      <c r="DR37" s="2042">
        <f t="shared" si="107"/>
        <v>0</v>
      </c>
      <c r="DS37" s="2042">
        <f t="shared" si="107"/>
        <v>0</v>
      </c>
      <c r="DT37" s="2042">
        <f t="shared" si="107"/>
        <v>0</v>
      </c>
      <c r="DU37" s="2042">
        <f t="shared" si="107"/>
        <v>0</v>
      </c>
      <c r="DV37" s="2042">
        <f t="shared" si="107"/>
        <v>0</v>
      </c>
      <c r="DW37" s="2042">
        <f t="shared" si="107"/>
        <v>0</v>
      </c>
      <c r="DX37" s="2042">
        <f t="shared" si="107"/>
        <v>0</v>
      </c>
      <c r="DY37" s="2042"/>
      <c r="DZ37" s="2042">
        <f t="shared" si="108"/>
        <v>0</v>
      </c>
      <c r="EA37" s="2042">
        <f t="shared" si="108"/>
        <v>0</v>
      </c>
      <c r="EB37" s="2042">
        <f t="shared" si="108"/>
        <v>0</v>
      </c>
      <c r="EC37" s="2042">
        <f t="shared" si="108"/>
        <v>0</v>
      </c>
      <c r="ED37" s="2042">
        <f t="shared" si="108"/>
        <v>0</v>
      </c>
      <c r="EE37" s="2042">
        <f t="shared" si="108"/>
        <v>0</v>
      </c>
      <c r="EF37" s="2042">
        <f t="shared" si="108"/>
        <v>0</v>
      </c>
      <c r="EG37" s="2042">
        <f t="shared" si="108"/>
        <v>0</v>
      </c>
      <c r="EH37" s="2042">
        <f t="shared" si="108"/>
        <v>0</v>
      </c>
      <c r="EI37" s="2042">
        <f t="shared" si="108"/>
        <v>0</v>
      </c>
      <c r="EJ37" s="2042">
        <f t="shared" si="108"/>
        <v>0</v>
      </c>
      <c r="EK37" s="2042">
        <f t="shared" si="108"/>
        <v>0</v>
      </c>
      <c r="EL37" s="2042"/>
      <c r="EM37" s="2042">
        <f t="shared" si="109"/>
        <v>0</v>
      </c>
      <c r="EN37" s="2042">
        <f t="shared" si="109"/>
        <v>0</v>
      </c>
      <c r="EO37" s="2042">
        <f t="shared" si="109"/>
        <v>0</v>
      </c>
      <c r="EP37" s="2042">
        <f t="shared" si="109"/>
        <v>0</v>
      </c>
      <c r="EQ37" s="2042">
        <f t="shared" si="109"/>
        <v>0</v>
      </c>
      <c r="ER37" s="2042">
        <f t="shared" si="109"/>
        <v>0</v>
      </c>
      <c r="ES37" s="2042">
        <f t="shared" si="109"/>
        <v>0</v>
      </c>
      <c r="ET37" s="2042">
        <f t="shared" si="109"/>
        <v>0</v>
      </c>
      <c r="EU37" s="2042">
        <f t="shared" si="109"/>
        <v>0</v>
      </c>
      <c r="EV37" s="2042">
        <f t="shared" si="109"/>
        <v>0</v>
      </c>
      <c r="EW37" s="2042">
        <f t="shared" si="109"/>
        <v>0</v>
      </c>
      <c r="EX37" s="2042">
        <f t="shared" si="109"/>
        <v>0</v>
      </c>
      <c r="EY37" s="2042"/>
      <c r="EZ37" s="2045">
        <f t="shared" si="50"/>
        <v>0</v>
      </c>
      <c r="FA37" s="2042">
        <f>EZ37+CZ37+DZ37                 -         SUMIF('Berechnung Nährstoffe und Lager'!$AX$113:$AX$155,$CX37,'Berechnung Nährstoffe und Lager'!$U$113:$U$155)/12  -$GB37*$HC37/12</f>
        <v>0</v>
      </c>
      <c r="FB37" s="2042">
        <f>FA37+DA37+EA37                 -         SUMIF('Berechnung Nährstoffe und Lager'!$AX$113:$AX$155,$CX37,'Berechnung Nährstoffe und Lager'!$U$113:$U$155)/12  -$GB37*$HC37/12</f>
        <v>0</v>
      </c>
      <c r="FC37" s="2042">
        <f>FB37+DB37+EB37                 -         SUMIF('Berechnung Nährstoffe und Lager'!$AX$113:$AX$155,$CX37,'Berechnung Nährstoffe und Lager'!$U$113:$U$155)/12  -$GB37*$HC37/12</f>
        <v>0</v>
      </c>
      <c r="FD37" s="2042">
        <f>FC37+DC37+EC37                 -         SUMIF('Berechnung Nährstoffe und Lager'!$AX$113:$AX$155,$CX37,'Berechnung Nährstoffe und Lager'!$U$113:$U$155)/12  -$GB37*$HC37/12</f>
        <v>0</v>
      </c>
      <c r="FE37" s="2042">
        <f>FD37+DD37+ED37                 -         SUMIF('Berechnung Nährstoffe und Lager'!$AX$113:$AX$155,$CX37,'Berechnung Nährstoffe und Lager'!$U$113:$U$155)/12  -$GB37*$HC37/12</f>
        <v>0</v>
      </c>
      <c r="FF37" s="2042">
        <f>FE37+DE37+EE37                 -         SUMIF('Berechnung Nährstoffe und Lager'!$AX$113:$AX$155,$CX37,'Berechnung Nährstoffe und Lager'!$U$113:$U$155)/12  -$GB37*$HC37/12</f>
        <v>0</v>
      </c>
      <c r="FG37" s="2042">
        <f>FF37+DF37+EF37                 -         SUMIF('Berechnung Nährstoffe und Lager'!$AX$113:$AX$155,$CX37,'Berechnung Nährstoffe und Lager'!$U$113:$U$155)/12  -$GB37*$HC37/12</f>
        <v>0</v>
      </c>
      <c r="FH37" s="2042">
        <f>FG37+DG37+EG37                 -         SUMIF('Berechnung Nährstoffe und Lager'!$AX$113:$AX$155,$CX37,'Berechnung Nährstoffe und Lager'!$U$113:$U$155)/12  -$GB37*$HC37/12</f>
        <v>0</v>
      </c>
      <c r="FI37" s="2042">
        <f>FH37+DH37+EH37                 -         SUMIF('Berechnung Nährstoffe und Lager'!$AX$113:$AX$155,$CX37,'Berechnung Nährstoffe und Lager'!$U$113:$U$155)/12  -$GB37*$HC37/12</f>
        <v>0</v>
      </c>
      <c r="FJ37" s="2042">
        <f>FI37+DI37+EI37                 -         SUMIF('Berechnung Nährstoffe und Lager'!$AX$113:$AX$155,$CX37,'Berechnung Nährstoffe und Lager'!$U$113:$U$155)/12  -$GB37*$HC37/12</f>
        <v>0</v>
      </c>
      <c r="FK37" s="2042">
        <f>FJ37+DJ37+EJ37                 -         SUMIF('Berechnung Nährstoffe und Lager'!$AX$113:$AX$155,$CX37,'Berechnung Nährstoffe und Lager'!$U$113:$U$155)/12  -$GB37*$HC37/12</f>
        <v>0</v>
      </c>
      <c r="FL37" s="2042">
        <f>FK37+DK37+EK37                 -         SUMIF('Berechnung Nährstoffe und Lager'!$AX$113:$AX$155,$CX37,'Berechnung Nährstoffe und Lager'!$U$113:$U$155)/12  -$GB37*$HC37/12</f>
        <v>0</v>
      </c>
      <c r="FM37" s="2042"/>
      <c r="FN37" s="2045">
        <f t="shared" si="51"/>
        <v>0</v>
      </c>
      <c r="FO37" s="2042">
        <f>FN37+DM37+EM37                 -         SUMIF('Berechnung Nährstoffe und Lager'!$AX$113:$AX$155,$CX37,'Berechnung Nährstoffe und Lager'!$V$113:$V$155)/12  -$GC37*$HC37/12</f>
        <v>0</v>
      </c>
      <c r="FP37" s="2042">
        <f>FO37+DN37+EN37                 -         SUMIF('Berechnung Nährstoffe und Lager'!$AX$113:$AX$155,$CX37,'Berechnung Nährstoffe und Lager'!$V$113:$V$155)/12  -$GC37*$HC37/12</f>
        <v>0</v>
      </c>
      <c r="FQ37" s="2042">
        <f>FP37+DO37+EO37                 -         SUMIF('Berechnung Nährstoffe und Lager'!$AX$113:$AX$155,$CX37,'Berechnung Nährstoffe und Lager'!$V$113:$V$155)/12  -$GC37*$HC37/12</f>
        <v>0</v>
      </c>
      <c r="FR37" s="2042">
        <f>FQ37+DP37+EP37                 -         SUMIF('Berechnung Nährstoffe und Lager'!$AX$113:$AX$155,$CX37,'Berechnung Nährstoffe und Lager'!$V$113:$V$155)/12  -$GC37*$HC37/12</f>
        <v>0</v>
      </c>
      <c r="FS37" s="2042">
        <f>FR37+DQ37+EQ37                 -         SUMIF('Berechnung Nährstoffe und Lager'!$AX$113:$AX$155,$CX37,'Berechnung Nährstoffe und Lager'!$V$113:$V$155)/12  -$GC37*$HC37/12</f>
        <v>0</v>
      </c>
      <c r="FT37" s="2042">
        <f>FS37+DR37+ER37                 -         SUMIF('Berechnung Nährstoffe und Lager'!$AX$113:$AX$155,$CX37,'Berechnung Nährstoffe und Lager'!$V$113:$V$155)/12  -$GC37*$HC37/12</f>
        <v>0</v>
      </c>
      <c r="FU37" s="2042">
        <f>FT37+DS37+ES37                 -         SUMIF('Berechnung Nährstoffe und Lager'!$AX$113:$AX$155,$CX37,'Berechnung Nährstoffe und Lager'!$V$113:$V$155)/12  -$GC37*$HC37/12</f>
        <v>0</v>
      </c>
      <c r="FV37" s="2042">
        <f>FU37+DT37+ET37                 -         SUMIF('Berechnung Nährstoffe und Lager'!$AX$113:$AX$155,$CX37,'Berechnung Nährstoffe und Lager'!$V$113:$V$155)/12  -$GC37*$HC37/12</f>
        <v>0</v>
      </c>
      <c r="FW37" s="2042">
        <f>FV37+DU37+EU37                 -         SUMIF('Berechnung Nährstoffe und Lager'!$AX$113:$AX$155,$CX37,'Berechnung Nährstoffe und Lager'!$V$113:$V$155)/12  -$GC37*$HC37/12</f>
        <v>0</v>
      </c>
      <c r="FX37" s="2042">
        <f>FW37+DV37+EV37                 -         SUMIF('Berechnung Nährstoffe und Lager'!$AX$113:$AX$155,$CX37,'Berechnung Nährstoffe und Lager'!$V$113:$V$155)/12  -$GC37*$HC37/12</f>
        <v>0</v>
      </c>
      <c r="FY37" s="2042">
        <f>FX37+DW37+EW37                 -         SUMIF('Berechnung Nährstoffe und Lager'!$AX$113:$AX$155,$CX37,'Berechnung Nährstoffe und Lager'!$V$113:$V$155)/12  -$GC37*$HC37/12</f>
        <v>0</v>
      </c>
      <c r="FZ37" s="2042">
        <f>FY37+DX37+EX37                 -         SUMIF('Berechnung Nährstoffe und Lager'!$AX$113:$AX$155,$CX37,'Berechnung Nährstoffe und Lager'!$V$113:$V$155)/12  -$GC37*$HC37/12</f>
        <v>0</v>
      </c>
      <c r="GA37" s="2042"/>
      <c r="GB37" s="2042">
        <f>SUMIFS($CI$14:$CI$68,$BR$14:$BR$68,$CX37)+SUMIFS($CM$14:$CM$68,$BR$14:$BR$68,$CX37)+SUMIFS($CR$14:$CR$68,$BR$14:$BR$68,$CX37)  -         SUMIF('Berechnung Nährstoffe und Lager'!$AX$113:$AX$155,$CX37,'Berechnung Nährstoffe und Lager'!$U$113:$U$155)</f>
        <v>0</v>
      </c>
      <c r="GC37" s="2042">
        <f>SUMIFS($CJ$14:$CJ$68,$BR$14:$BR$68,$CX37)+SUMIFS($CO$14:$CO$68,$BR$14:$BR$68,$CX37)+SUMIFS($CT$14:$CT$68,$BR$14:$BR$68,$CX37)  -         SUMIF('Berechnung Nährstoffe und Lager'!$AX$113:$AX$155,$CX37,'Berechnung Nährstoffe und Lager'!$V$113:$V$155)</f>
        <v>0</v>
      </c>
      <c r="GD37" s="2042"/>
      <c r="GE37" s="2042"/>
      <c r="GF37" s="2042">
        <f>SUMIF('Berechnung Nährstoffe und Lager'!$AX$113:$AX$155,$CX37,'Berechnung Nährstoffe und Lager'!$U$113:$U$155)</f>
        <v>0</v>
      </c>
      <c r="GG37" s="2042">
        <f>SUMIF('Berechnung Nährstoffe und Lager'!$AX$113:$AX$155,$CX37,'Berechnung Nährstoffe und Lager'!$V$113:$V$155)</f>
        <v>0</v>
      </c>
      <c r="GH37" s="2042">
        <f t="shared" si="52"/>
        <v>0</v>
      </c>
      <c r="GI37" s="2042">
        <f t="shared" si="53"/>
        <v>0</v>
      </c>
      <c r="GJ37" s="2042">
        <f t="shared" si="34"/>
        <v>0</v>
      </c>
      <c r="GK37" s="2042">
        <f t="shared" si="35"/>
        <v>0</v>
      </c>
      <c r="GL37" s="2042">
        <f t="shared" si="36"/>
        <v>0</v>
      </c>
      <c r="GM37" s="2042" cm="1">
        <f t="array" ref="GM37">IF(GL37=0,0,(IFERROR(SUMPRODUCT($J$14:$J$68,$CH$14:$CH$68,($BR$14:$BR$68=CX37)*1)+SUMPRODUCT($L$14:$L$68,$M$14:$M$68,$CK$14:$CK$68,($BR$14:$BR$68=CX37)*1,($BT$14:$BT$68=FALSE)*1)/10+SUMPRODUCT($R$14:$R$68,$CP$14:$CP$68,($BR$14:$BR$68=CX37)*1),0))/GL37)</f>
        <v>0</v>
      </c>
      <c r="GN37" s="2042">
        <f t="shared" si="54"/>
        <v>0</v>
      </c>
      <c r="GO37" s="2042">
        <f>(SUMIF('Berechnung Nährstoffe und Lager'!$AX$113:$AX$130,'Lagerhaltung (freiwillig)'!CX37,'Berechnung Nährstoffe und Lager'!$D$113:$D$130)+SUMIF('Berechnung Nährstoffe und Lager'!$AX$137:$AX$155,'Lagerhaltung (freiwillig)'!CX37,'Berechnung Nährstoffe und Lager'!$E$137:$E$155))</f>
        <v>0</v>
      </c>
      <c r="GP37" s="2042" cm="1">
        <f t="array" ref="GP37">IF(GO37=0,0,(IFERROR(SUMPRODUCT('Berechnung Nährstoffe und Lager'!$D$113:$D$130,'Berechnung Nährstoffe und Lager'!$F$113:$F$130,('Berechnung Nährstoffe und Lager'!$AX$113:$AX$130='Lagerhaltung (freiwillig)'!CX37)*1)+SUMPRODUCT('Berechnung Nährstoffe und Lager'!$E$137:$E$155,'Berechnung Nährstoffe und Lager'!$F$137:$F$155,('Berechnung Nährstoffe und Lager'!$AX$137:$AX$155='Lagerhaltung (freiwillig)'!CX37)*1),0))/GO37)</f>
        <v>0</v>
      </c>
      <c r="GQ37" s="2042">
        <f t="shared" si="55"/>
        <v>0</v>
      </c>
      <c r="GR37" s="2042">
        <f t="shared" si="56"/>
        <v>0</v>
      </c>
      <c r="GS37" s="2042">
        <f t="shared" si="57"/>
        <v>0</v>
      </c>
      <c r="GT37" s="2042">
        <f t="shared" si="58"/>
        <v>0</v>
      </c>
      <c r="GU37" s="2045" t="str">
        <f t="shared" si="39"/>
        <v xml:space="preserve"> </v>
      </c>
      <c r="GV37" s="2045" t="str">
        <f t="shared" si="39"/>
        <v xml:space="preserve"> </v>
      </c>
      <c r="GW37" s="2054">
        <f t="shared" si="40"/>
        <v>0</v>
      </c>
      <c r="GX37" s="2042">
        <f t="shared" si="41"/>
        <v>0</v>
      </c>
      <c r="GY37" s="2042" t="str">
        <f t="shared" si="42"/>
        <v>a</v>
      </c>
      <c r="GZ37" s="2055">
        <f t="shared" si="43"/>
        <v>0</v>
      </c>
      <c r="HA37" s="2055">
        <f t="shared" si="44"/>
        <v>0</v>
      </c>
      <c r="HB37" s="2055"/>
      <c r="HC37" s="2046">
        <f t="shared" si="45"/>
        <v>0</v>
      </c>
      <c r="HD37" s="2055">
        <f t="shared" si="46"/>
        <v>0</v>
      </c>
      <c r="HE37" s="2055">
        <f t="shared" si="47"/>
        <v>0</v>
      </c>
      <c r="HF37" s="2055">
        <f t="shared" si="48"/>
        <v>0</v>
      </c>
      <c r="HG37" s="2282" cm="1">
        <f t="array" ref="HG37">IF(AND(HE37=0,GJ37=0),0,IF(HE37=0,1,IF(OR(GJ37*1000/HE37/HF37&gt;INDEX(Pflanzen!$AD$5:$AD$109,CX37)/INDEX(Pflanzen!$M$5:$M$109,CX37)*$HG$1,GJ37*1000/HE37/HF37&lt;INDEX(Pflanzen!$AD$5:$AD$109,CX37)/INDEX(Pflanzen!$M$5:$M$109,CX37)/$HG$1),1,0)))</f>
        <v>0</v>
      </c>
      <c r="HH37" s="2282" cm="1">
        <f t="array" ref="HH37">IF(AND(GK37=0,HE37=0),0,IF(HE37=0,1,IF(OR(GK37*1000/HE37/HF37&gt;INDEX(Pflanzen!$AE$5:$AE$109,CX37)/INDEX(Pflanzen!$M$5:$M$109,CX37)*$HG$1,GK37*1000/HE37/HF37&lt;INDEX(Pflanzen!$AE$5:$AE$109,CX37)/INDEX(Pflanzen!$M$5:$M$109,CX37)/$HG$1),1,0)))</f>
        <v>0</v>
      </c>
      <c r="HI37" s="2042">
        <f t="shared" si="49"/>
        <v>3</v>
      </c>
      <c r="HJ37" s="2042"/>
      <c r="HL37" s="2042"/>
      <c r="HM37" s="2052" t="str">
        <f>Tiere!B63</f>
        <v>Junghennen bis 16 Wochen, Standard</v>
      </c>
      <c r="HN37" s="2042">
        <v>34</v>
      </c>
      <c r="HO37" s="2053">
        <f>SUMIF('Berechnung Nährstoffe und Lager'!$BM$68:$BM$81,'Lagerhaltung (freiwillig)'!HN37,'Berechnung Nährstoffe und Lager'!$Z$68:$Z$81)+SUMIF('Berechnung Nährstoffe und Lager'!$BM$68:$BM$81,'Lagerhaltung (freiwillig)'!HN37,'Berechnung Nährstoffe und Lager'!$AA$68:$AA$81)</f>
        <v>0</v>
      </c>
      <c r="HP37" s="2042" cm="1">
        <f t="array" ref="HP37">INDEX(Tiere!$C$30:$C$85,'Lagerhaltung (freiwillig)'!HN37)</f>
        <v>3</v>
      </c>
      <c r="HQ37" s="2042" cm="1">
        <f t="array" ref="HQ37">INDEX(Tiere!$H$30:$H$85,'Lagerhaltung (freiwillig)'!HN37)</f>
        <v>0</v>
      </c>
      <c r="HR37" s="2042">
        <f t="shared" ref="HR37:HR59" si="112">HO37*HQ37/1000</f>
        <v>0</v>
      </c>
      <c r="HS37" s="2042" cm="1">
        <f t="array" ref="HS37">INDEX(Tiere!$I$30:$I$85,'Lagerhaltung (freiwillig)'!HN37)</f>
        <v>0</v>
      </c>
      <c r="HT37" s="2042">
        <f t="shared" si="13"/>
        <v>0</v>
      </c>
      <c r="HU37" s="2042" cm="1">
        <f t="array" ref="HU37">INDEX(Tiere!$BC$30:$BC$85,'Lagerhaltung (freiwillig)'!HN37)</f>
        <v>0.39830000000000004</v>
      </c>
      <c r="HV37" s="2042">
        <f t="shared" si="110"/>
        <v>0</v>
      </c>
      <c r="HW37" s="2042" cm="1">
        <f t="array" ref="HW37">INDEX(Tiere!$BD$30:$BD$85,'Lagerhaltung (freiwillig)'!HN37)</f>
        <v>0.14566400000000002</v>
      </c>
      <c r="HX37" s="2042">
        <f t="shared" si="111"/>
        <v>0</v>
      </c>
      <c r="HY37" s="2042"/>
      <c r="HZ37" s="2042"/>
      <c r="IA37" s="2042"/>
      <c r="IB37" s="2042"/>
      <c r="IC37" s="2042"/>
      <c r="ID37" s="2042"/>
      <c r="IE37" s="2042"/>
      <c r="IF37" s="2042"/>
      <c r="IG37" s="2042"/>
      <c r="IH37" s="2042"/>
      <c r="II37" s="2042"/>
      <c r="IJ37" s="2042"/>
      <c r="IK37" s="510"/>
    </row>
    <row r="38" spans="1:245" ht="6" customHeight="1" x14ac:dyDescent="0.2">
      <c r="A38" s="2035"/>
      <c r="B38" s="2035"/>
      <c r="C38" s="2036"/>
      <c r="D38" s="2036"/>
      <c r="E38" s="2036"/>
      <c r="F38" s="17"/>
      <c r="G38" s="802"/>
      <c r="H38" s="802"/>
      <c r="I38" s="17"/>
      <c r="J38" s="17"/>
      <c r="K38" s="17"/>
      <c r="L38" s="17"/>
      <c r="M38" s="17"/>
      <c r="N38" s="2037"/>
      <c r="O38" s="2037"/>
      <c r="P38" s="2037"/>
      <c r="Q38" s="17"/>
      <c r="R38" s="17"/>
      <c r="S38" s="2037"/>
      <c r="T38" s="2037"/>
      <c r="U38" s="2036"/>
      <c r="V38" s="2036"/>
      <c r="W38" s="2035"/>
      <c r="X38" s="2035"/>
      <c r="Y38" s="510"/>
      <c r="Z38" s="510"/>
      <c r="AA38" s="510"/>
      <c r="AB38" s="510"/>
      <c r="AC38" s="510"/>
      <c r="AD38" s="510"/>
      <c r="AE38" s="510"/>
      <c r="AF38" s="510"/>
      <c r="AG38" s="510"/>
      <c r="AH38" s="510"/>
      <c r="AI38" s="510"/>
      <c r="AJ38" s="510"/>
      <c r="AK38" s="510"/>
      <c r="AL38" s="510"/>
      <c r="AM38" s="510"/>
      <c r="AN38" s="510"/>
      <c r="AO38" s="510"/>
      <c r="AP38" s="510"/>
      <c r="AQ38" s="510"/>
      <c r="AR38" s="510"/>
      <c r="AS38" s="510"/>
      <c r="AT38" s="510"/>
      <c r="AU38" s="2034"/>
      <c r="AV38" s="2034"/>
      <c r="AW38" s="2035"/>
      <c r="AX38" s="2035"/>
      <c r="AY38" s="2042"/>
      <c r="AZ38" s="2042"/>
      <c r="BA38" s="2053"/>
      <c r="BB38" s="2053"/>
      <c r="BC38" s="2053"/>
      <c r="BD38" s="2053"/>
      <c r="BE38" s="2307"/>
      <c r="BF38" s="2307"/>
      <c r="BG38" s="2307"/>
      <c r="BH38" s="2307"/>
      <c r="BI38" s="2307"/>
      <c r="BJ38" s="2307"/>
      <c r="BK38" s="2307"/>
      <c r="BL38" s="2307"/>
      <c r="BM38" s="2307"/>
      <c r="BN38" s="2307"/>
      <c r="BO38" s="2307"/>
      <c r="BP38" s="2060"/>
      <c r="BQ38" s="2059"/>
      <c r="BR38" s="2059"/>
      <c r="BS38" s="2059"/>
      <c r="BT38" s="2059"/>
      <c r="BU38" s="2044"/>
      <c r="BV38" s="2044"/>
      <c r="BW38" s="2059"/>
      <c r="BX38" s="2059"/>
      <c r="BY38" s="2059"/>
      <c r="BZ38" s="2059"/>
      <c r="CA38" s="2059"/>
      <c r="CB38" s="2059"/>
      <c r="CC38" s="2059"/>
      <c r="CD38" s="2059"/>
      <c r="CE38" s="2059"/>
      <c r="CF38" s="2059"/>
      <c r="CG38" s="2059"/>
      <c r="CH38" s="2059"/>
      <c r="CI38" s="2059"/>
      <c r="CJ38" s="2059"/>
      <c r="CK38" s="2059"/>
      <c r="CL38" s="2059"/>
      <c r="CM38" s="2059"/>
      <c r="CN38" s="2059"/>
      <c r="CO38" s="2059"/>
      <c r="CP38" s="2059"/>
      <c r="CQ38" s="2059"/>
      <c r="CR38" s="2059"/>
      <c r="CS38" s="2059"/>
      <c r="CT38" s="2059"/>
      <c r="CU38" s="2059"/>
      <c r="CV38" s="2042"/>
      <c r="CW38" s="609" t="str">
        <f>Pflanzen!A34</f>
        <v>Zuckerrüben</v>
      </c>
      <c r="CX38" s="2042">
        <f>IFERROR(MATCH($CW38,Pflanzen!$C$5:$C$119,0),1)</f>
        <v>30</v>
      </c>
      <c r="CY38" s="609" cm="1">
        <f t="array" ref="CY38">INDEX(Pflanzen!$I$5:$I$119,'Lagerhaltung (freiwillig)'!CX38)</f>
        <v>2</v>
      </c>
      <c r="CZ38" s="2042">
        <f t="shared" si="106"/>
        <v>0</v>
      </c>
      <c r="DA38" s="2042">
        <f t="shared" si="106"/>
        <v>0</v>
      </c>
      <c r="DB38" s="2042">
        <f t="shared" si="106"/>
        <v>0</v>
      </c>
      <c r="DC38" s="2042">
        <f t="shared" si="106"/>
        <v>0</v>
      </c>
      <c r="DD38" s="2042">
        <f t="shared" si="106"/>
        <v>0</v>
      </c>
      <c r="DE38" s="2042">
        <f t="shared" si="106"/>
        <v>0</v>
      </c>
      <c r="DF38" s="2042">
        <f t="shared" si="106"/>
        <v>0</v>
      </c>
      <c r="DG38" s="2042">
        <f t="shared" si="106"/>
        <v>0</v>
      </c>
      <c r="DH38" s="2042">
        <f t="shared" si="106"/>
        <v>0</v>
      </c>
      <c r="DI38" s="2042">
        <f t="shared" si="106"/>
        <v>0</v>
      </c>
      <c r="DJ38" s="2042">
        <f t="shared" si="106"/>
        <v>0</v>
      </c>
      <c r="DK38" s="2042">
        <f t="shared" si="106"/>
        <v>0</v>
      </c>
      <c r="DL38" s="2042"/>
      <c r="DM38" s="2042">
        <f t="shared" si="107"/>
        <v>0</v>
      </c>
      <c r="DN38" s="2042">
        <f t="shared" si="107"/>
        <v>0</v>
      </c>
      <c r="DO38" s="2042">
        <f t="shared" si="107"/>
        <v>0</v>
      </c>
      <c r="DP38" s="2042">
        <f t="shared" si="107"/>
        <v>0</v>
      </c>
      <c r="DQ38" s="2042">
        <f t="shared" si="107"/>
        <v>0</v>
      </c>
      <c r="DR38" s="2042">
        <f t="shared" si="107"/>
        <v>0</v>
      </c>
      <c r="DS38" s="2042">
        <f t="shared" si="107"/>
        <v>0</v>
      </c>
      <c r="DT38" s="2042">
        <f t="shared" si="107"/>
        <v>0</v>
      </c>
      <c r="DU38" s="2042">
        <f t="shared" si="107"/>
        <v>0</v>
      </c>
      <c r="DV38" s="2042">
        <f t="shared" si="107"/>
        <v>0</v>
      </c>
      <c r="DW38" s="2042">
        <f t="shared" si="107"/>
        <v>0</v>
      </c>
      <c r="DX38" s="2042">
        <f t="shared" si="107"/>
        <v>0</v>
      </c>
      <c r="DY38" s="2042"/>
      <c r="DZ38" s="2042">
        <f t="shared" si="108"/>
        <v>0</v>
      </c>
      <c r="EA38" s="2042">
        <f t="shared" si="108"/>
        <v>0</v>
      </c>
      <c r="EB38" s="2042">
        <f t="shared" si="108"/>
        <v>0</v>
      </c>
      <c r="EC38" s="2042">
        <f t="shared" si="108"/>
        <v>0</v>
      </c>
      <c r="ED38" s="2042">
        <f t="shared" si="108"/>
        <v>0</v>
      </c>
      <c r="EE38" s="2042">
        <f t="shared" si="108"/>
        <v>0</v>
      </c>
      <c r="EF38" s="2042">
        <f t="shared" si="108"/>
        <v>0</v>
      </c>
      <c r="EG38" s="2042">
        <f t="shared" si="108"/>
        <v>0</v>
      </c>
      <c r="EH38" s="2042">
        <f t="shared" si="108"/>
        <v>0</v>
      </c>
      <c r="EI38" s="2042">
        <f t="shared" si="108"/>
        <v>0</v>
      </c>
      <c r="EJ38" s="2042">
        <f t="shared" si="108"/>
        <v>0</v>
      </c>
      <c r="EK38" s="2042">
        <f t="shared" si="108"/>
        <v>0</v>
      </c>
      <c r="EL38" s="2042"/>
      <c r="EM38" s="2042">
        <f t="shared" si="109"/>
        <v>0</v>
      </c>
      <c r="EN38" s="2042">
        <f t="shared" si="109"/>
        <v>0</v>
      </c>
      <c r="EO38" s="2042">
        <f t="shared" si="109"/>
        <v>0</v>
      </c>
      <c r="EP38" s="2042">
        <f t="shared" si="109"/>
        <v>0</v>
      </c>
      <c r="EQ38" s="2042">
        <f t="shared" si="109"/>
        <v>0</v>
      </c>
      <c r="ER38" s="2042">
        <f t="shared" si="109"/>
        <v>0</v>
      </c>
      <c r="ES38" s="2042">
        <f t="shared" si="109"/>
        <v>0</v>
      </c>
      <c r="ET38" s="2042">
        <f t="shared" si="109"/>
        <v>0</v>
      </c>
      <c r="EU38" s="2042">
        <f t="shared" si="109"/>
        <v>0</v>
      </c>
      <c r="EV38" s="2042">
        <f t="shared" si="109"/>
        <v>0</v>
      </c>
      <c r="EW38" s="2042">
        <f t="shared" si="109"/>
        <v>0</v>
      </c>
      <c r="EX38" s="2042">
        <f t="shared" si="109"/>
        <v>0</v>
      </c>
      <c r="EY38" s="2042"/>
      <c r="EZ38" s="2045">
        <f t="shared" si="50"/>
        <v>0</v>
      </c>
      <c r="FA38" s="2042">
        <f>EZ38+CZ38+DZ38                 -         SUMIF('Berechnung Nährstoffe und Lager'!$AX$113:$AX$155,$CX38,'Berechnung Nährstoffe und Lager'!$U$113:$U$155)/12  -$GB38*$HC38/12</f>
        <v>0</v>
      </c>
      <c r="FB38" s="2042">
        <f>FA38+DA38+EA38                 -         SUMIF('Berechnung Nährstoffe und Lager'!$AX$113:$AX$155,$CX38,'Berechnung Nährstoffe und Lager'!$U$113:$U$155)/12  -$GB38*$HC38/12</f>
        <v>0</v>
      </c>
      <c r="FC38" s="2042">
        <f>FB38+DB38+EB38                 -         SUMIF('Berechnung Nährstoffe und Lager'!$AX$113:$AX$155,$CX38,'Berechnung Nährstoffe und Lager'!$U$113:$U$155)/12  -$GB38*$HC38/12</f>
        <v>0</v>
      </c>
      <c r="FD38" s="2042">
        <f>FC38+DC38+EC38                 -         SUMIF('Berechnung Nährstoffe und Lager'!$AX$113:$AX$155,$CX38,'Berechnung Nährstoffe und Lager'!$U$113:$U$155)/12  -$GB38*$HC38/12</f>
        <v>0</v>
      </c>
      <c r="FE38" s="2042">
        <f>FD38+DD38+ED38                 -         SUMIF('Berechnung Nährstoffe und Lager'!$AX$113:$AX$155,$CX38,'Berechnung Nährstoffe und Lager'!$U$113:$U$155)/12  -$GB38*$HC38/12</f>
        <v>0</v>
      </c>
      <c r="FF38" s="2042">
        <f>FE38+DE38+EE38                 -         SUMIF('Berechnung Nährstoffe und Lager'!$AX$113:$AX$155,$CX38,'Berechnung Nährstoffe und Lager'!$U$113:$U$155)/12  -$GB38*$HC38/12</f>
        <v>0</v>
      </c>
      <c r="FG38" s="2042">
        <f>FF38+DF38+EF38                 -         SUMIF('Berechnung Nährstoffe und Lager'!$AX$113:$AX$155,$CX38,'Berechnung Nährstoffe und Lager'!$U$113:$U$155)/12  -$GB38*$HC38/12</f>
        <v>0</v>
      </c>
      <c r="FH38" s="2042">
        <f>FG38+DG38+EG38                 -         SUMIF('Berechnung Nährstoffe und Lager'!$AX$113:$AX$155,$CX38,'Berechnung Nährstoffe und Lager'!$U$113:$U$155)/12  -$GB38*$HC38/12</f>
        <v>0</v>
      </c>
      <c r="FI38" s="2042">
        <f>FH38+DH38+EH38                 -         SUMIF('Berechnung Nährstoffe und Lager'!$AX$113:$AX$155,$CX38,'Berechnung Nährstoffe und Lager'!$U$113:$U$155)/12  -$GB38*$HC38/12</f>
        <v>0</v>
      </c>
      <c r="FJ38" s="2042">
        <f>FI38+DI38+EI38                 -         SUMIF('Berechnung Nährstoffe und Lager'!$AX$113:$AX$155,$CX38,'Berechnung Nährstoffe und Lager'!$U$113:$U$155)/12  -$GB38*$HC38/12</f>
        <v>0</v>
      </c>
      <c r="FK38" s="2042">
        <f>FJ38+DJ38+EJ38                 -         SUMIF('Berechnung Nährstoffe und Lager'!$AX$113:$AX$155,$CX38,'Berechnung Nährstoffe und Lager'!$U$113:$U$155)/12  -$GB38*$HC38/12</f>
        <v>0</v>
      </c>
      <c r="FL38" s="2042">
        <f>FK38+DK38+EK38                 -         SUMIF('Berechnung Nährstoffe und Lager'!$AX$113:$AX$155,$CX38,'Berechnung Nährstoffe und Lager'!$U$113:$U$155)/12  -$GB38*$HC38/12</f>
        <v>0</v>
      </c>
      <c r="FM38" s="2042"/>
      <c r="FN38" s="2045">
        <f t="shared" si="51"/>
        <v>0</v>
      </c>
      <c r="FO38" s="2042">
        <f>FN38+DM38+EM38                 -         SUMIF('Berechnung Nährstoffe und Lager'!$AX$113:$AX$155,$CX38,'Berechnung Nährstoffe und Lager'!$V$113:$V$155)/12  -$GC38*$HC38/12</f>
        <v>0</v>
      </c>
      <c r="FP38" s="2042">
        <f>FO38+DN38+EN38                 -         SUMIF('Berechnung Nährstoffe und Lager'!$AX$113:$AX$155,$CX38,'Berechnung Nährstoffe und Lager'!$V$113:$V$155)/12  -$GC38*$HC38/12</f>
        <v>0</v>
      </c>
      <c r="FQ38" s="2042">
        <f>FP38+DO38+EO38                 -         SUMIF('Berechnung Nährstoffe und Lager'!$AX$113:$AX$155,$CX38,'Berechnung Nährstoffe und Lager'!$V$113:$V$155)/12  -$GC38*$HC38/12</f>
        <v>0</v>
      </c>
      <c r="FR38" s="2042">
        <f>FQ38+DP38+EP38                 -         SUMIF('Berechnung Nährstoffe und Lager'!$AX$113:$AX$155,$CX38,'Berechnung Nährstoffe und Lager'!$V$113:$V$155)/12  -$GC38*$HC38/12</f>
        <v>0</v>
      </c>
      <c r="FS38" s="2042">
        <f>FR38+DQ38+EQ38                 -         SUMIF('Berechnung Nährstoffe und Lager'!$AX$113:$AX$155,$CX38,'Berechnung Nährstoffe und Lager'!$V$113:$V$155)/12  -$GC38*$HC38/12</f>
        <v>0</v>
      </c>
      <c r="FT38" s="2042">
        <f>FS38+DR38+ER38                 -         SUMIF('Berechnung Nährstoffe und Lager'!$AX$113:$AX$155,$CX38,'Berechnung Nährstoffe und Lager'!$V$113:$V$155)/12  -$GC38*$HC38/12</f>
        <v>0</v>
      </c>
      <c r="FU38" s="2042">
        <f>FT38+DS38+ES38                 -         SUMIF('Berechnung Nährstoffe und Lager'!$AX$113:$AX$155,$CX38,'Berechnung Nährstoffe und Lager'!$V$113:$V$155)/12  -$GC38*$HC38/12</f>
        <v>0</v>
      </c>
      <c r="FV38" s="2042">
        <f>FU38+DT38+ET38                 -         SUMIF('Berechnung Nährstoffe und Lager'!$AX$113:$AX$155,$CX38,'Berechnung Nährstoffe und Lager'!$V$113:$V$155)/12  -$GC38*$HC38/12</f>
        <v>0</v>
      </c>
      <c r="FW38" s="2042">
        <f>FV38+DU38+EU38                 -         SUMIF('Berechnung Nährstoffe und Lager'!$AX$113:$AX$155,$CX38,'Berechnung Nährstoffe und Lager'!$V$113:$V$155)/12  -$GC38*$HC38/12</f>
        <v>0</v>
      </c>
      <c r="FX38" s="2042">
        <f>FW38+DV38+EV38                 -         SUMIF('Berechnung Nährstoffe und Lager'!$AX$113:$AX$155,$CX38,'Berechnung Nährstoffe und Lager'!$V$113:$V$155)/12  -$GC38*$HC38/12</f>
        <v>0</v>
      </c>
      <c r="FY38" s="2042">
        <f>FX38+DW38+EW38                 -         SUMIF('Berechnung Nährstoffe und Lager'!$AX$113:$AX$155,$CX38,'Berechnung Nährstoffe und Lager'!$V$113:$V$155)/12  -$GC38*$HC38/12</f>
        <v>0</v>
      </c>
      <c r="FZ38" s="2042">
        <f>FY38+DX38+EX38                 -         SUMIF('Berechnung Nährstoffe und Lager'!$AX$113:$AX$155,$CX38,'Berechnung Nährstoffe und Lager'!$V$113:$V$155)/12  -$GC38*$HC38/12</f>
        <v>0</v>
      </c>
      <c r="GA38" s="2042"/>
      <c r="GB38" s="2042">
        <f>SUMIFS($CI$14:$CI$68,$BR$14:$BR$68,$CX38)+SUMIFS($CM$14:$CM$68,$BR$14:$BR$68,$CX38)+SUMIFS($CR$14:$CR$68,$BR$14:$BR$68,$CX38)  -         SUMIF('Berechnung Nährstoffe und Lager'!$AX$113:$AX$155,$CX38,'Berechnung Nährstoffe und Lager'!$U$113:$U$155)</f>
        <v>0</v>
      </c>
      <c r="GC38" s="2042">
        <f>SUMIFS($CJ$14:$CJ$68,$BR$14:$BR$68,$CX38)+SUMIFS($CO$14:$CO$68,$BR$14:$BR$68,$CX38)+SUMIFS($CT$14:$CT$68,$BR$14:$BR$68,$CX38)  -         SUMIF('Berechnung Nährstoffe und Lager'!$AX$113:$AX$155,$CX38,'Berechnung Nährstoffe und Lager'!$V$113:$V$155)</f>
        <v>0</v>
      </c>
      <c r="GD38" s="2042"/>
      <c r="GE38" s="2042"/>
      <c r="GF38" s="2042">
        <f>SUMIF('Berechnung Nährstoffe und Lager'!$AX$113:$AX$155,$CX38,'Berechnung Nährstoffe und Lager'!$U$113:$U$155)</f>
        <v>0</v>
      </c>
      <c r="GG38" s="2042">
        <f>SUMIF('Berechnung Nährstoffe und Lager'!$AX$113:$AX$155,$CX38,'Berechnung Nährstoffe und Lager'!$V$113:$V$155)</f>
        <v>0</v>
      </c>
      <c r="GH38" s="2042">
        <f t="shared" si="52"/>
        <v>0</v>
      </c>
      <c r="GI38" s="2042">
        <f t="shared" si="53"/>
        <v>0</v>
      </c>
      <c r="GJ38" s="2042">
        <f t="shared" si="34"/>
        <v>0</v>
      </c>
      <c r="GK38" s="2042">
        <f t="shared" si="35"/>
        <v>0</v>
      </c>
      <c r="GL38" s="2042">
        <f t="shared" si="36"/>
        <v>0</v>
      </c>
      <c r="GM38" s="2042" cm="1">
        <f t="array" ref="GM38">IF(GL38=0,0,(IFERROR(SUMPRODUCT($J$14:$J$68,$CH$14:$CH$68,($BR$14:$BR$68=CX38)*1)+SUMPRODUCT($L$14:$L$68,$M$14:$M$68,$CK$14:$CK$68,($BR$14:$BR$68=CX38)*1,($BT$14:$BT$68=FALSE)*1)/10+SUMPRODUCT($R$14:$R$68,$CP$14:$CP$68,($BR$14:$BR$68=CX38)*1),0))/GL38)</f>
        <v>0</v>
      </c>
      <c r="GN38" s="2042">
        <f t="shared" si="54"/>
        <v>0</v>
      </c>
      <c r="GO38" s="2042">
        <f>(SUMIF('Berechnung Nährstoffe und Lager'!$AX$113:$AX$130,'Lagerhaltung (freiwillig)'!CX38,'Berechnung Nährstoffe und Lager'!$D$113:$D$130)+SUMIF('Berechnung Nährstoffe und Lager'!$AX$137:$AX$155,'Lagerhaltung (freiwillig)'!CX38,'Berechnung Nährstoffe und Lager'!$E$137:$E$155))</f>
        <v>0</v>
      </c>
      <c r="GP38" s="2042" cm="1">
        <f t="array" ref="GP38">IF(GO38=0,0,(IFERROR(SUMPRODUCT('Berechnung Nährstoffe und Lager'!$D$113:$D$130,'Berechnung Nährstoffe und Lager'!$F$113:$F$130,('Berechnung Nährstoffe und Lager'!$AX$113:$AX$130='Lagerhaltung (freiwillig)'!CX38)*1)+SUMPRODUCT('Berechnung Nährstoffe und Lager'!$E$137:$E$155,'Berechnung Nährstoffe und Lager'!$F$137:$F$155,('Berechnung Nährstoffe und Lager'!$AX$137:$AX$155='Lagerhaltung (freiwillig)'!CX38)*1),0))/GO38)</f>
        <v>0</v>
      </c>
      <c r="GQ38" s="2042">
        <f t="shared" si="55"/>
        <v>0</v>
      </c>
      <c r="GR38" s="2042">
        <f t="shared" si="56"/>
        <v>0</v>
      </c>
      <c r="GS38" s="2042">
        <f t="shared" si="57"/>
        <v>0</v>
      </c>
      <c r="GT38" s="2042">
        <f t="shared" si="58"/>
        <v>0</v>
      </c>
      <c r="GU38" s="2045" t="str">
        <f t="shared" si="39"/>
        <v xml:space="preserve"> </v>
      </c>
      <c r="GV38" s="2045" t="str">
        <f t="shared" si="39"/>
        <v xml:space="preserve"> </v>
      </c>
      <c r="GW38" s="2054">
        <f t="shared" si="40"/>
        <v>0</v>
      </c>
      <c r="GX38" s="2042">
        <f t="shared" si="41"/>
        <v>0</v>
      </c>
      <c r="GY38" s="2042" t="str">
        <f t="shared" si="42"/>
        <v>a</v>
      </c>
      <c r="GZ38" s="2055">
        <f t="shared" si="43"/>
        <v>0</v>
      </c>
      <c r="HA38" s="2055">
        <f t="shared" si="44"/>
        <v>0</v>
      </c>
      <c r="HB38" s="2055"/>
      <c r="HC38" s="2046">
        <f t="shared" si="45"/>
        <v>0</v>
      </c>
      <c r="HD38" s="2055">
        <f t="shared" si="46"/>
        <v>0</v>
      </c>
      <c r="HE38" s="2055">
        <f t="shared" si="47"/>
        <v>0</v>
      </c>
      <c r="HF38" s="2055">
        <f t="shared" si="48"/>
        <v>0</v>
      </c>
      <c r="HG38" s="2282" cm="1">
        <f t="array" ref="HG38">IF(AND(HE38=0,GJ38=0),0,IF(HE38=0,1,IF(OR(GJ38*1000/HE38/HF38&gt;INDEX(Pflanzen!$AD$5:$AD$109,CX38)/INDEX(Pflanzen!$M$5:$M$109,CX38)*$HG$1,GJ38*1000/HE38/HF38&lt;INDEX(Pflanzen!$AD$5:$AD$109,CX38)/INDEX(Pflanzen!$M$5:$M$109,CX38)/$HG$1),1,0)))</f>
        <v>0</v>
      </c>
      <c r="HH38" s="2282" cm="1">
        <f t="array" ref="HH38">IF(AND(GK38=0,HE38=0),0,IF(HE38=0,1,IF(OR(GK38*1000/HE38/HF38&gt;INDEX(Pflanzen!$AE$5:$AE$109,CX38)/INDEX(Pflanzen!$M$5:$M$109,CX38)*$HG$1,GK38*1000/HE38/HF38&lt;INDEX(Pflanzen!$AE$5:$AE$109,CX38)/INDEX(Pflanzen!$M$5:$M$109,CX38)/$HG$1),1,0)))</f>
        <v>0</v>
      </c>
      <c r="HI38" s="2042">
        <f t="shared" si="49"/>
        <v>3</v>
      </c>
      <c r="HJ38" s="2042"/>
      <c r="HL38" s="2042"/>
      <c r="HM38" s="2052" t="str">
        <f>Tiere!B64</f>
        <v>Junghennen bis 16 Wochen, N-/P-reduziert</v>
      </c>
      <c r="HN38" s="2042">
        <v>35</v>
      </c>
      <c r="HO38" s="2053">
        <f>SUMIF('Berechnung Nährstoffe und Lager'!$BM$68:$BM$81,'Lagerhaltung (freiwillig)'!HN38,'Berechnung Nährstoffe und Lager'!$Z$68:$Z$81)+SUMIF('Berechnung Nährstoffe und Lager'!$BM$68:$BM$81,'Lagerhaltung (freiwillig)'!HN38,'Berechnung Nährstoffe und Lager'!$AA$68:$AA$81)</f>
        <v>0</v>
      </c>
      <c r="HP38" s="2042" cm="1">
        <f t="array" ref="HP38">INDEX(Tiere!$C$30:$C$85,'Lagerhaltung (freiwillig)'!HN38)</f>
        <v>3</v>
      </c>
      <c r="HQ38" s="2042" cm="1">
        <f t="array" ref="HQ38">INDEX(Tiere!$H$30:$H$85,'Lagerhaltung (freiwillig)'!HN38)</f>
        <v>0</v>
      </c>
      <c r="HR38" s="2042">
        <f t="shared" si="112"/>
        <v>0</v>
      </c>
      <c r="HS38" s="2042" cm="1">
        <f t="array" ref="HS38">INDEX(Tiere!$I$30:$I$85,'Lagerhaltung (freiwillig)'!HN38)</f>
        <v>0</v>
      </c>
      <c r="HT38" s="2042">
        <f t="shared" si="13"/>
        <v>0</v>
      </c>
      <c r="HU38" s="2042" cm="1">
        <f t="array" ref="HU38">INDEX(Tiere!$BC$30:$BC$85,'Lagerhaltung (freiwillig)'!HN38)</f>
        <v>0.39830000000000004</v>
      </c>
      <c r="HV38" s="2042">
        <f t="shared" si="110"/>
        <v>0</v>
      </c>
      <c r="HW38" s="2042" cm="1">
        <f t="array" ref="HW38">INDEX(Tiere!$BD$30:$BD$85,'Lagerhaltung (freiwillig)'!HN38)</f>
        <v>0.14566400000000002</v>
      </c>
      <c r="HX38" s="2042">
        <f t="shared" si="111"/>
        <v>0</v>
      </c>
      <c r="HY38" s="2042"/>
      <c r="HZ38" s="2042"/>
      <c r="IA38" s="2042"/>
      <c r="IB38" s="2042"/>
      <c r="IC38" s="2042"/>
      <c r="ID38" s="2042"/>
      <c r="IE38" s="2042"/>
      <c r="IF38" s="2042"/>
      <c r="IG38" s="2042"/>
      <c r="IH38" s="2042"/>
      <c r="II38" s="2042"/>
      <c r="IJ38" s="2042"/>
      <c r="IK38" s="510"/>
    </row>
    <row r="39" spans="1:245" ht="8.25" customHeight="1" thickBot="1" x14ac:dyDescent="0.25">
      <c r="A39" s="510"/>
      <c r="B39" s="510"/>
      <c r="C39" s="510"/>
      <c r="D39" s="510"/>
      <c r="E39" s="510"/>
      <c r="F39" s="510"/>
      <c r="G39" s="510"/>
      <c r="H39" s="510"/>
      <c r="I39" s="510"/>
      <c r="J39" s="510"/>
      <c r="K39" s="510"/>
      <c r="L39" s="510"/>
      <c r="M39" s="510"/>
      <c r="N39" s="510"/>
      <c r="O39" s="510"/>
      <c r="P39" s="510"/>
      <c r="Q39" s="510"/>
      <c r="R39" s="510"/>
      <c r="S39" s="510"/>
      <c r="T39" s="510"/>
      <c r="U39" s="510"/>
      <c r="V39" s="510"/>
      <c r="W39" s="510"/>
      <c r="X39" s="510"/>
      <c r="Y39" s="510"/>
      <c r="Z39" s="510"/>
      <c r="AA39" s="510"/>
      <c r="AB39" s="510"/>
      <c r="AC39" s="510"/>
      <c r="AD39" s="510"/>
      <c r="AE39" s="510"/>
      <c r="AF39" s="510"/>
      <c r="AG39" s="510"/>
      <c r="AH39" s="510"/>
      <c r="AI39" s="510"/>
      <c r="AJ39" s="510"/>
      <c r="AK39" s="510"/>
      <c r="AL39" s="510"/>
      <c r="AM39" s="510"/>
      <c r="AN39" s="510"/>
      <c r="AO39" s="510"/>
      <c r="AP39" s="510"/>
      <c r="AQ39" s="510"/>
      <c r="AR39" s="510"/>
      <c r="AS39" s="510"/>
      <c r="AT39" s="510"/>
      <c r="AU39" s="2034"/>
      <c r="AV39" s="2034"/>
      <c r="AW39" s="510"/>
      <c r="AX39" s="510"/>
      <c r="AY39" s="2042"/>
      <c r="AZ39" s="2042"/>
      <c r="BA39" s="2053"/>
      <c r="BB39" s="2053"/>
      <c r="BC39" s="2053"/>
      <c r="BD39" s="2053"/>
      <c r="BE39" s="2307"/>
      <c r="BF39" s="2307"/>
      <c r="BG39" s="2307"/>
      <c r="BH39" s="2307"/>
      <c r="BI39" s="2307"/>
      <c r="BJ39" s="2307"/>
      <c r="BK39" s="2307"/>
      <c r="BL39" s="2307"/>
      <c r="BM39" s="2307"/>
      <c r="BN39" s="2307"/>
      <c r="BO39" s="2307"/>
      <c r="BP39" s="2043"/>
      <c r="BQ39" s="2042"/>
      <c r="BR39" s="2042"/>
      <c r="BS39" s="2042"/>
      <c r="BT39" s="2042"/>
      <c r="BU39" s="2044"/>
      <c r="BV39" s="2044"/>
      <c r="BW39" s="2042"/>
      <c r="BX39" s="2042"/>
      <c r="BY39" s="2042"/>
      <c r="BZ39" s="2042"/>
      <c r="CA39" s="2042"/>
      <c r="CB39" s="2042"/>
      <c r="CC39" s="2042"/>
      <c r="CD39" s="2042"/>
      <c r="CE39" s="2042"/>
      <c r="CF39" s="2042"/>
      <c r="CG39" s="2042"/>
      <c r="CH39" s="2042"/>
      <c r="CI39" s="2042"/>
      <c r="CJ39" s="2042"/>
      <c r="CK39" s="2042"/>
      <c r="CL39" s="2042"/>
      <c r="CM39" s="2042"/>
      <c r="CN39" s="2042"/>
      <c r="CO39" s="2042"/>
      <c r="CP39" s="2042"/>
      <c r="CQ39" s="2042"/>
      <c r="CR39" s="2042"/>
      <c r="CS39" s="2042"/>
      <c r="CT39" s="2042"/>
      <c r="CU39" s="2042"/>
      <c r="CV39" s="2042"/>
      <c r="CW39" s="609" t="str">
        <f>Pflanzen!A35</f>
        <v>Futter-, Runkelrüben</v>
      </c>
      <c r="CX39" s="2042">
        <f>IFERROR(MATCH($CW39,Pflanzen!$C$5:$C$119,0),1)</f>
        <v>31</v>
      </c>
      <c r="CY39" s="609" cm="1">
        <f t="array" ref="CY39">INDEX(Pflanzen!$I$5:$I$119,'Lagerhaltung (freiwillig)'!CX39)</f>
        <v>2</v>
      </c>
      <c r="CZ39" s="2042">
        <f t="shared" ref="CZ39:DK48" si="113">SUMIFS($CQ$14:$CQ$68,$BW$14:$BW$68,1,$BX$14:$BX$68,CZ$2,$BR$14:$BR$68,$CX39)+    SUMIFS($CQ$14:$CQ$68,$BW$14:$BW$68,"&gt;1",$BX$14:$BX$68,"&lt;="&amp;CZ$2,$BY$14:$BY$68,"&gt;="&amp;CZ$2,$BR$14:$BR$68,$CX39)</f>
        <v>0</v>
      </c>
      <c r="DA39" s="2042">
        <f t="shared" si="113"/>
        <v>0</v>
      </c>
      <c r="DB39" s="2042">
        <f t="shared" si="113"/>
        <v>0</v>
      </c>
      <c r="DC39" s="2042">
        <f t="shared" si="113"/>
        <v>0</v>
      </c>
      <c r="DD39" s="2042">
        <f t="shared" si="113"/>
        <v>0</v>
      </c>
      <c r="DE39" s="2042">
        <f t="shared" si="113"/>
        <v>0</v>
      </c>
      <c r="DF39" s="2042">
        <f t="shared" si="113"/>
        <v>0</v>
      </c>
      <c r="DG39" s="2042">
        <f t="shared" si="113"/>
        <v>0</v>
      </c>
      <c r="DH39" s="2042">
        <f t="shared" si="113"/>
        <v>0</v>
      </c>
      <c r="DI39" s="2042">
        <f t="shared" si="113"/>
        <v>0</v>
      </c>
      <c r="DJ39" s="2042">
        <f t="shared" si="113"/>
        <v>0</v>
      </c>
      <c r="DK39" s="2042">
        <f t="shared" si="113"/>
        <v>0</v>
      </c>
      <c r="DL39" s="2042"/>
      <c r="DM39" s="2042">
        <f t="shared" ref="DM39:DX48" si="114">SUMIFS($CS$14:$CS$68,$BW$14:$BW$68,1,$BX$14:$BX$68,DM$2,$BR$14:$BR$68,$CX39)+    SUMIFS($CS$14:$CS$68,$BW$14:$BW$68,"&gt;1",$BX$14:$BX$68,"&lt;="&amp;DM$2,$BY$14:$BY$68,"&gt;="&amp;DM$2,$BR$14:$BR$68,$CX39)</f>
        <v>0</v>
      </c>
      <c r="DN39" s="2042">
        <f t="shared" si="114"/>
        <v>0</v>
      </c>
      <c r="DO39" s="2042">
        <f t="shared" si="114"/>
        <v>0</v>
      </c>
      <c r="DP39" s="2042">
        <f t="shared" si="114"/>
        <v>0</v>
      </c>
      <c r="DQ39" s="2042">
        <f t="shared" si="114"/>
        <v>0</v>
      </c>
      <c r="DR39" s="2042">
        <f t="shared" si="114"/>
        <v>0</v>
      </c>
      <c r="DS39" s="2042">
        <f t="shared" si="114"/>
        <v>0</v>
      </c>
      <c r="DT39" s="2042">
        <f t="shared" si="114"/>
        <v>0</v>
      </c>
      <c r="DU39" s="2042">
        <f t="shared" si="114"/>
        <v>0</v>
      </c>
      <c r="DV39" s="2042">
        <f t="shared" si="114"/>
        <v>0</v>
      </c>
      <c r="DW39" s="2042">
        <f t="shared" si="114"/>
        <v>0</v>
      </c>
      <c r="DX39" s="2042">
        <f t="shared" si="114"/>
        <v>0</v>
      </c>
      <c r="DY39" s="2042"/>
      <c r="DZ39" s="2042">
        <f t="shared" ref="DZ39:EK48" si="115">SUMIFS($CL$14:$CL$68,$CC$14:$CC$68,1,$CD$14:$CD$68,DZ$2,$BR$14:$BR$68,$CX39)+         SUMIFS($CL$14:$CL$68,$CC$14:$CC$68,"&gt;1",$CD$14:$CD$68,"&lt;="&amp;DZ$2,$CE$14:$CE$68,"&gt;="&amp;DZ$2,$BR$14:$BR$68,$CX39)</f>
        <v>0</v>
      </c>
      <c r="EA39" s="2042">
        <f t="shared" si="115"/>
        <v>0</v>
      </c>
      <c r="EB39" s="2042">
        <f t="shared" si="115"/>
        <v>0</v>
      </c>
      <c r="EC39" s="2042">
        <f t="shared" si="115"/>
        <v>0</v>
      </c>
      <c r="ED39" s="2042">
        <f t="shared" si="115"/>
        <v>0</v>
      </c>
      <c r="EE39" s="2042">
        <f t="shared" si="115"/>
        <v>0</v>
      </c>
      <c r="EF39" s="2042">
        <f t="shared" si="115"/>
        <v>0</v>
      </c>
      <c r="EG39" s="2042">
        <f t="shared" si="115"/>
        <v>0</v>
      </c>
      <c r="EH39" s="2042">
        <f t="shared" si="115"/>
        <v>0</v>
      </c>
      <c r="EI39" s="2042">
        <f t="shared" si="115"/>
        <v>0</v>
      </c>
      <c r="EJ39" s="2042">
        <f t="shared" si="115"/>
        <v>0</v>
      </c>
      <c r="EK39" s="2042">
        <f t="shared" si="115"/>
        <v>0</v>
      </c>
      <c r="EL39" s="2042"/>
      <c r="EM39" s="2042">
        <f t="shared" ref="EM39:EX48" si="116">SUMIFS($CN$14:$CN$68,$CC$14:$CC$68,1,$CD$14:$CD$68,EM$2,$BR$14:$BR$68,$CX39)+         SUMIFS($CN$14:$CN$68,$CC$14:$CC$68,"&gt;1",$CD$14:$CD$68,"&lt;="&amp;EM$2,$CE$14:$CE$68,"&gt;="&amp;EM$2,$BR$14:$BR$68,$CX39)</f>
        <v>0</v>
      </c>
      <c r="EN39" s="2042">
        <f t="shared" si="116"/>
        <v>0</v>
      </c>
      <c r="EO39" s="2042">
        <f t="shared" si="116"/>
        <v>0</v>
      </c>
      <c r="EP39" s="2042">
        <f t="shared" si="116"/>
        <v>0</v>
      </c>
      <c r="EQ39" s="2042">
        <f t="shared" si="116"/>
        <v>0</v>
      </c>
      <c r="ER39" s="2042">
        <f t="shared" si="116"/>
        <v>0</v>
      </c>
      <c r="ES39" s="2042">
        <f t="shared" si="116"/>
        <v>0</v>
      </c>
      <c r="ET39" s="2042">
        <f t="shared" si="116"/>
        <v>0</v>
      </c>
      <c r="EU39" s="2042">
        <f t="shared" si="116"/>
        <v>0</v>
      </c>
      <c r="EV39" s="2042">
        <f t="shared" si="116"/>
        <v>0</v>
      </c>
      <c r="EW39" s="2042">
        <f t="shared" si="116"/>
        <v>0</v>
      </c>
      <c r="EX39" s="2042">
        <f t="shared" si="116"/>
        <v>0</v>
      </c>
      <c r="EY39" s="2042"/>
      <c r="EZ39" s="2045">
        <f t="shared" si="50"/>
        <v>0</v>
      </c>
      <c r="FA39" s="2042">
        <f>EZ39+CZ39+DZ39                 -         SUMIF('Berechnung Nährstoffe und Lager'!$AX$113:$AX$155,$CX39,'Berechnung Nährstoffe und Lager'!$U$113:$U$155)/12  -$GB39*$HC39/12</f>
        <v>0</v>
      </c>
      <c r="FB39" s="2042">
        <f>FA39+DA39+EA39                 -         SUMIF('Berechnung Nährstoffe und Lager'!$AX$113:$AX$155,$CX39,'Berechnung Nährstoffe und Lager'!$U$113:$U$155)/12  -$GB39*$HC39/12</f>
        <v>0</v>
      </c>
      <c r="FC39" s="2042">
        <f>FB39+DB39+EB39                 -         SUMIF('Berechnung Nährstoffe und Lager'!$AX$113:$AX$155,$CX39,'Berechnung Nährstoffe und Lager'!$U$113:$U$155)/12  -$GB39*$HC39/12</f>
        <v>0</v>
      </c>
      <c r="FD39" s="2042">
        <f>FC39+DC39+EC39                 -         SUMIF('Berechnung Nährstoffe und Lager'!$AX$113:$AX$155,$CX39,'Berechnung Nährstoffe und Lager'!$U$113:$U$155)/12  -$GB39*$HC39/12</f>
        <v>0</v>
      </c>
      <c r="FE39" s="2042">
        <f>FD39+DD39+ED39                 -         SUMIF('Berechnung Nährstoffe und Lager'!$AX$113:$AX$155,$CX39,'Berechnung Nährstoffe und Lager'!$U$113:$U$155)/12  -$GB39*$HC39/12</f>
        <v>0</v>
      </c>
      <c r="FF39" s="2042">
        <f>FE39+DE39+EE39                 -         SUMIF('Berechnung Nährstoffe und Lager'!$AX$113:$AX$155,$CX39,'Berechnung Nährstoffe und Lager'!$U$113:$U$155)/12  -$GB39*$HC39/12</f>
        <v>0</v>
      </c>
      <c r="FG39" s="2042">
        <f>FF39+DF39+EF39                 -         SUMIF('Berechnung Nährstoffe und Lager'!$AX$113:$AX$155,$CX39,'Berechnung Nährstoffe und Lager'!$U$113:$U$155)/12  -$GB39*$HC39/12</f>
        <v>0</v>
      </c>
      <c r="FH39" s="2042">
        <f>FG39+DG39+EG39                 -         SUMIF('Berechnung Nährstoffe und Lager'!$AX$113:$AX$155,$CX39,'Berechnung Nährstoffe und Lager'!$U$113:$U$155)/12  -$GB39*$HC39/12</f>
        <v>0</v>
      </c>
      <c r="FI39" s="2042">
        <f>FH39+DH39+EH39                 -         SUMIF('Berechnung Nährstoffe und Lager'!$AX$113:$AX$155,$CX39,'Berechnung Nährstoffe und Lager'!$U$113:$U$155)/12  -$GB39*$HC39/12</f>
        <v>0</v>
      </c>
      <c r="FJ39" s="2042">
        <f>FI39+DI39+EI39                 -         SUMIF('Berechnung Nährstoffe und Lager'!$AX$113:$AX$155,$CX39,'Berechnung Nährstoffe und Lager'!$U$113:$U$155)/12  -$GB39*$HC39/12</f>
        <v>0</v>
      </c>
      <c r="FK39" s="2042">
        <f>FJ39+DJ39+EJ39                 -         SUMIF('Berechnung Nährstoffe und Lager'!$AX$113:$AX$155,$CX39,'Berechnung Nährstoffe und Lager'!$U$113:$U$155)/12  -$GB39*$HC39/12</f>
        <v>0</v>
      </c>
      <c r="FL39" s="2042">
        <f>FK39+DK39+EK39                 -         SUMIF('Berechnung Nährstoffe und Lager'!$AX$113:$AX$155,$CX39,'Berechnung Nährstoffe und Lager'!$U$113:$U$155)/12  -$GB39*$HC39/12</f>
        <v>0</v>
      </c>
      <c r="FM39" s="2042"/>
      <c r="FN39" s="2045">
        <f t="shared" si="51"/>
        <v>0</v>
      </c>
      <c r="FO39" s="2042">
        <f>FN39+DM39+EM39                 -         SUMIF('Berechnung Nährstoffe und Lager'!$AX$113:$AX$155,$CX39,'Berechnung Nährstoffe und Lager'!$V$113:$V$155)/12  -$GC39*$HC39/12</f>
        <v>0</v>
      </c>
      <c r="FP39" s="2042">
        <f>FO39+DN39+EN39                 -         SUMIF('Berechnung Nährstoffe und Lager'!$AX$113:$AX$155,$CX39,'Berechnung Nährstoffe und Lager'!$V$113:$V$155)/12  -$GC39*$HC39/12</f>
        <v>0</v>
      </c>
      <c r="FQ39" s="2042">
        <f>FP39+DO39+EO39                 -         SUMIF('Berechnung Nährstoffe und Lager'!$AX$113:$AX$155,$CX39,'Berechnung Nährstoffe und Lager'!$V$113:$V$155)/12  -$GC39*$HC39/12</f>
        <v>0</v>
      </c>
      <c r="FR39" s="2042">
        <f>FQ39+DP39+EP39                 -         SUMIF('Berechnung Nährstoffe und Lager'!$AX$113:$AX$155,$CX39,'Berechnung Nährstoffe und Lager'!$V$113:$V$155)/12  -$GC39*$HC39/12</f>
        <v>0</v>
      </c>
      <c r="FS39" s="2042">
        <f>FR39+DQ39+EQ39                 -         SUMIF('Berechnung Nährstoffe und Lager'!$AX$113:$AX$155,$CX39,'Berechnung Nährstoffe und Lager'!$V$113:$V$155)/12  -$GC39*$HC39/12</f>
        <v>0</v>
      </c>
      <c r="FT39" s="2042">
        <f>FS39+DR39+ER39                 -         SUMIF('Berechnung Nährstoffe und Lager'!$AX$113:$AX$155,$CX39,'Berechnung Nährstoffe und Lager'!$V$113:$V$155)/12  -$GC39*$HC39/12</f>
        <v>0</v>
      </c>
      <c r="FU39" s="2042">
        <f>FT39+DS39+ES39                 -         SUMIF('Berechnung Nährstoffe und Lager'!$AX$113:$AX$155,$CX39,'Berechnung Nährstoffe und Lager'!$V$113:$V$155)/12  -$GC39*$HC39/12</f>
        <v>0</v>
      </c>
      <c r="FV39" s="2042">
        <f>FU39+DT39+ET39                 -         SUMIF('Berechnung Nährstoffe und Lager'!$AX$113:$AX$155,$CX39,'Berechnung Nährstoffe und Lager'!$V$113:$V$155)/12  -$GC39*$HC39/12</f>
        <v>0</v>
      </c>
      <c r="FW39" s="2042">
        <f>FV39+DU39+EU39                 -         SUMIF('Berechnung Nährstoffe und Lager'!$AX$113:$AX$155,$CX39,'Berechnung Nährstoffe und Lager'!$V$113:$V$155)/12  -$GC39*$HC39/12</f>
        <v>0</v>
      </c>
      <c r="FX39" s="2042">
        <f>FW39+DV39+EV39                 -         SUMIF('Berechnung Nährstoffe und Lager'!$AX$113:$AX$155,$CX39,'Berechnung Nährstoffe und Lager'!$V$113:$V$155)/12  -$GC39*$HC39/12</f>
        <v>0</v>
      </c>
      <c r="FY39" s="2042">
        <f>FX39+DW39+EW39                 -         SUMIF('Berechnung Nährstoffe und Lager'!$AX$113:$AX$155,$CX39,'Berechnung Nährstoffe und Lager'!$V$113:$V$155)/12  -$GC39*$HC39/12</f>
        <v>0</v>
      </c>
      <c r="FZ39" s="2042">
        <f>FY39+DX39+EX39                 -         SUMIF('Berechnung Nährstoffe und Lager'!$AX$113:$AX$155,$CX39,'Berechnung Nährstoffe und Lager'!$V$113:$V$155)/12  -$GC39*$HC39/12</f>
        <v>0</v>
      </c>
      <c r="GA39" s="2042"/>
      <c r="GB39" s="2042">
        <f>SUMIFS($CI$14:$CI$68,$BR$14:$BR$68,$CX39)+SUMIFS($CM$14:$CM$68,$BR$14:$BR$68,$CX39)+SUMIFS($CR$14:$CR$68,$BR$14:$BR$68,$CX39)  -         SUMIF('Berechnung Nährstoffe und Lager'!$AX$113:$AX$155,$CX39,'Berechnung Nährstoffe und Lager'!$U$113:$U$155)</f>
        <v>0</v>
      </c>
      <c r="GC39" s="2042">
        <f>SUMIFS($CJ$14:$CJ$68,$BR$14:$BR$68,$CX39)+SUMIFS($CO$14:$CO$68,$BR$14:$BR$68,$CX39)+SUMIFS($CT$14:$CT$68,$BR$14:$BR$68,$CX39)  -         SUMIF('Berechnung Nährstoffe und Lager'!$AX$113:$AX$155,$CX39,'Berechnung Nährstoffe und Lager'!$V$113:$V$155)</f>
        <v>0</v>
      </c>
      <c r="GD39" s="2042"/>
      <c r="GE39" s="2042"/>
      <c r="GF39" s="2042">
        <f>SUMIF('Berechnung Nährstoffe und Lager'!$AX$113:$AX$155,$CX39,'Berechnung Nährstoffe und Lager'!$U$113:$U$155)</f>
        <v>0</v>
      </c>
      <c r="GG39" s="2042">
        <f>SUMIF('Berechnung Nährstoffe und Lager'!$AX$113:$AX$155,$CX39,'Berechnung Nährstoffe und Lager'!$V$113:$V$155)</f>
        <v>0</v>
      </c>
      <c r="GH39" s="2042">
        <f t="shared" si="52"/>
        <v>0</v>
      </c>
      <c r="GI39" s="2042">
        <f t="shared" si="53"/>
        <v>0</v>
      </c>
      <c r="GJ39" s="2042">
        <f t="shared" si="34"/>
        <v>0</v>
      </c>
      <c r="GK39" s="2042">
        <f t="shared" si="35"/>
        <v>0</v>
      </c>
      <c r="GL39" s="2042">
        <f t="shared" si="36"/>
        <v>0</v>
      </c>
      <c r="GM39" s="2042" cm="1">
        <f t="array" ref="GM39">IF(GL39=0,0,(IFERROR(SUMPRODUCT($J$14:$J$68,$CH$14:$CH$68,($BR$14:$BR$68=CX39)*1)+SUMPRODUCT($L$14:$L$68,$M$14:$M$68,$CK$14:$CK$68,($BR$14:$BR$68=CX39)*1,($BT$14:$BT$68=FALSE)*1)/10+SUMPRODUCT($R$14:$R$68,$CP$14:$CP$68,($BR$14:$BR$68=CX39)*1),0))/GL39)</f>
        <v>0</v>
      </c>
      <c r="GN39" s="2042">
        <f t="shared" si="54"/>
        <v>0</v>
      </c>
      <c r="GO39" s="2042">
        <f>(SUMIF('Berechnung Nährstoffe und Lager'!$AX$113:$AX$130,'Lagerhaltung (freiwillig)'!CX39,'Berechnung Nährstoffe und Lager'!$D$113:$D$130)+SUMIF('Berechnung Nährstoffe und Lager'!$AX$137:$AX$155,'Lagerhaltung (freiwillig)'!CX39,'Berechnung Nährstoffe und Lager'!$E$137:$E$155))</f>
        <v>0</v>
      </c>
      <c r="GP39" s="2042" cm="1">
        <f t="array" ref="GP39">IF(GO39=0,0,(IFERROR(SUMPRODUCT('Berechnung Nährstoffe und Lager'!$D$113:$D$130,'Berechnung Nährstoffe und Lager'!$F$113:$F$130,('Berechnung Nährstoffe und Lager'!$AX$113:$AX$130='Lagerhaltung (freiwillig)'!CX39)*1)+SUMPRODUCT('Berechnung Nährstoffe und Lager'!$E$137:$E$155,'Berechnung Nährstoffe und Lager'!$F$137:$F$155,('Berechnung Nährstoffe und Lager'!$AX$137:$AX$155='Lagerhaltung (freiwillig)'!CX39)*1),0))/GO39)</f>
        <v>0</v>
      </c>
      <c r="GQ39" s="2042">
        <f t="shared" si="55"/>
        <v>0</v>
      </c>
      <c r="GR39" s="2042">
        <f t="shared" si="56"/>
        <v>0</v>
      </c>
      <c r="GS39" s="2042">
        <f t="shared" si="57"/>
        <v>0</v>
      </c>
      <c r="GT39" s="2042">
        <f t="shared" si="58"/>
        <v>0</v>
      </c>
      <c r="GU39" s="2045" t="str">
        <f t="shared" si="39"/>
        <v xml:space="preserve"> </v>
      </c>
      <c r="GV39" s="2045" t="str">
        <f t="shared" si="39"/>
        <v xml:space="preserve"> </v>
      </c>
      <c r="GW39" s="2054">
        <f t="shared" si="40"/>
        <v>0</v>
      </c>
      <c r="GX39" s="2042">
        <f t="shared" si="41"/>
        <v>0</v>
      </c>
      <c r="GY39" s="2042" t="str">
        <f t="shared" si="42"/>
        <v>a</v>
      </c>
      <c r="GZ39" s="2055">
        <f t="shared" si="43"/>
        <v>0</v>
      </c>
      <c r="HA39" s="2055">
        <f t="shared" si="44"/>
        <v>0</v>
      </c>
      <c r="HB39" s="2055"/>
      <c r="HC39" s="2046">
        <f t="shared" si="45"/>
        <v>0</v>
      </c>
      <c r="HD39" s="2055">
        <f t="shared" si="46"/>
        <v>0</v>
      </c>
      <c r="HE39" s="2055">
        <f t="shared" si="47"/>
        <v>0</v>
      </c>
      <c r="HF39" s="2055">
        <f t="shared" si="48"/>
        <v>0</v>
      </c>
      <c r="HG39" s="2282" cm="1">
        <f t="array" ref="HG39">IF(AND(HE39=0,GJ39=0),0,IF(HE39=0,1,IF(OR(GJ39*1000/HE39/HF39&gt;INDEX(Pflanzen!$AD$5:$AD$109,CX39)/INDEX(Pflanzen!$M$5:$M$109,CX39)*$HG$1,GJ39*1000/HE39/HF39&lt;INDEX(Pflanzen!$AD$5:$AD$109,CX39)/INDEX(Pflanzen!$M$5:$M$109,CX39)/$HG$1),1,0)))</f>
        <v>0</v>
      </c>
      <c r="HH39" s="2282" cm="1">
        <f t="array" ref="HH39">IF(AND(GK39=0,HE39=0),0,IF(HE39=0,1,IF(OR(GK39*1000/HE39/HF39&gt;INDEX(Pflanzen!$AE$5:$AE$109,CX39)/INDEX(Pflanzen!$M$5:$M$109,CX39)*$HG$1,GK39*1000/HE39/HF39&lt;INDEX(Pflanzen!$AE$5:$AE$109,CX39)/INDEX(Pflanzen!$M$5:$M$109,CX39)/$HG$1),1,0)))</f>
        <v>0</v>
      </c>
      <c r="HI39" s="2042">
        <f t="shared" si="49"/>
        <v>3</v>
      </c>
      <c r="HJ39" s="2042"/>
      <c r="HL39" s="2042"/>
      <c r="HM39" s="2052" t="str">
        <f>Tiere!B65</f>
        <v>Masthähnchen, Standard</v>
      </c>
      <c r="HN39" s="2042">
        <v>36</v>
      </c>
      <c r="HO39" s="2053">
        <f>SUMIF('Berechnung Nährstoffe und Lager'!$BM$68:$BM$81,'Lagerhaltung (freiwillig)'!HN39,'Berechnung Nährstoffe und Lager'!$Z$68:$Z$81)+SUMIF('Berechnung Nährstoffe und Lager'!$BM$68:$BM$81,'Lagerhaltung (freiwillig)'!HN39,'Berechnung Nährstoffe und Lager'!$AA$68:$AA$81)</f>
        <v>0</v>
      </c>
      <c r="HP39" s="2042" cm="1">
        <f t="array" ref="HP39">INDEX(Tiere!$C$30:$C$85,'Lagerhaltung (freiwillig)'!HN39)</f>
        <v>3</v>
      </c>
      <c r="HQ39" s="2042" cm="1">
        <f t="array" ref="HQ39">INDEX(Tiere!$H$30:$H$85,'Lagerhaltung (freiwillig)'!HN39)</f>
        <v>0</v>
      </c>
      <c r="HR39" s="2042">
        <f t="shared" si="112"/>
        <v>0</v>
      </c>
      <c r="HS39" s="2042" cm="1">
        <f t="array" ref="HS39">INDEX(Tiere!$I$30:$I$85,'Lagerhaltung (freiwillig)'!HN39)</f>
        <v>0</v>
      </c>
      <c r="HT39" s="2042">
        <f t="shared" si="13"/>
        <v>0</v>
      </c>
      <c r="HU39" s="2042" cm="1">
        <f t="array" ref="HU39">INDEX(Tiere!$BC$30:$BC$85,'Lagerhaltung (freiwillig)'!HN39)</f>
        <v>0.6996</v>
      </c>
      <c r="HV39" s="2042">
        <f t="shared" si="110"/>
        <v>0</v>
      </c>
      <c r="HW39" s="2042" cm="1">
        <f t="array" ref="HW39">INDEX(Tiere!$BD$30:$BD$85,'Lagerhaltung (freiwillig)'!HN39)</f>
        <v>0.21454400000000001</v>
      </c>
      <c r="HX39" s="2042">
        <f t="shared" si="111"/>
        <v>0</v>
      </c>
      <c r="HY39" s="2042"/>
      <c r="HZ39" s="2042"/>
      <c r="IA39" s="2042"/>
      <c r="IB39" s="2042"/>
      <c r="IC39" s="2042"/>
      <c r="ID39" s="2042"/>
      <c r="IE39" s="2042"/>
      <c r="IF39" s="2042"/>
      <c r="IG39" s="2042"/>
      <c r="IH39" s="2042"/>
      <c r="II39" s="2042"/>
      <c r="IJ39" s="2042"/>
      <c r="IK39" s="510"/>
    </row>
    <row r="40" spans="1:245" ht="13.5" customHeight="1" x14ac:dyDescent="0.2">
      <c r="A40" s="3022"/>
      <c r="B40" s="3026"/>
      <c r="C40" s="3026"/>
      <c r="D40" s="3026"/>
      <c r="E40" s="3026"/>
      <c r="F40" s="3024"/>
      <c r="G40" s="3024"/>
      <c r="H40" s="3023"/>
      <c r="I40" s="3022" t="s">
        <v>8461</v>
      </c>
      <c r="J40" s="3023"/>
      <c r="K40" s="3022" t="s">
        <v>1171</v>
      </c>
      <c r="L40" s="3024"/>
      <c r="M40" s="3024"/>
      <c r="N40" s="3024"/>
      <c r="O40" s="3024"/>
      <c r="P40" s="3023"/>
      <c r="Q40" s="3025" t="s">
        <v>8451</v>
      </c>
      <c r="R40" s="3026"/>
      <c r="S40" s="3026"/>
      <c r="T40" s="3027"/>
      <c r="U40" s="2217"/>
      <c r="V40" s="2219"/>
      <c r="Y40" s="2005" t="str" cm="1">
        <f t="array" ref="Y40">IFERROR(INDEX($CW$4:$CW$171,AY40),"")</f>
        <v/>
      </c>
      <c r="Z40" s="510"/>
      <c r="AA40" s="510"/>
      <c r="AB40" s="510"/>
      <c r="AC40" s="2031" t="str" cm="1">
        <f t="array" ref="AC40">IFERROR(INDEX($GL$4:$GL$171,AY40),"")</f>
        <v/>
      </c>
      <c r="AD40" s="2031" t="str" cm="1">
        <f t="array" ref="AD40">IFERROR(INDEX($GM$4:$GM$171,AY40),"")</f>
        <v/>
      </c>
      <c r="AE40" s="2031" t="str" cm="1">
        <f t="array" ref="AE40">IFERROR(INDEX($GH$4:$GH$171,AY40),"")</f>
        <v/>
      </c>
      <c r="AF40" s="2031" t="str" cm="1">
        <f t="array" ref="AF40">IFERROR(INDEX($GI$4:$GI$171,AY40),"")</f>
        <v/>
      </c>
      <c r="AG40" s="2031" t="str" cm="1">
        <f t="array" ref="AG40">IFERROR(INDEX($GO$4:$GO$171,AY40),"")</f>
        <v/>
      </c>
      <c r="AH40" s="2031" t="str" cm="1">
        <f t="array" ref="AH40">IFERROR(INDEX($GP$4:$GP$171,AY40),"")</f>
        <v/>
      </c>
      <c r="AI40" s="2031" t="str" cm="1">
        <f t="array" ref="AI40">IFERROR(INDEX($GF$4:$GF$171,AY40),"")</f>
        <v/>
      </c>
      <c r="AJ40" s="2031" t="str" cm="1">
        <f t="array" ref="AJ40">IFERROR(INDEX($GG$4:$GG$171,AY40),"")</f>
        <v/>
      </c>
      <c r="AK40" s="2031" t="str" cm="1">
        <f t="array" ref="AK40">IFERROR(INDEX($GS$4:$GS$171,AY40),"")</f>
        <v/>
      </c>
      <c r="AL40" s="2032" t="str" cm="1">
        <f t="array" ref="AL40">IFERROR(INDEX($GT$4:$GT$171,AY40),"")</f>
        <v/>
      </c>
      <c r="AM40" s="2031" t="str" cm="1">
        <f t="array" ref="AM40">IFERROR(INDEX($GB$4:$GB$171,AY40),"")</f>
        <v/>
      </c>
      <c r="AN40" s="2031" t="str" cm="1">
        <f t="array" ref="AN40">IFERROR(INDEX($GC$4:$GC$171,AY40),"")</f>
        <v/>
      </c>
      <c r="AO40" s="2031" t="str" cm="1">
        <f t="array" ref="AO40">IFERROR(INDEX($GU$4:$GU$171,AY40),"")</f>
        <v/>
      </c>
      <c r="AP40" s="2031" t="str" cm="1">
        <f t="array" ref="AP40">IFERROR(INDEX($GX$4:$GX$171,AY40),"")</f>
        <v/>
      </c>
      <c r="AQ40" s="1316"/>
      <c r="AR40" s="2031" t="str" cm="1">
        <f t="array" ref="AR40">IFERROR(INDEX($HD$4:$HD$171,AY40),"")</f>
        <v/>
      </c>
      <c r="AS40" s="2031" t="str" cm="1">
        <f t="array" ref="AS40">IFERROR(INDEX($HE$4:$HE$171,AY40),"")</f>
        <v/>
      </c>
      <c r="AT40" s="2031" t="str" cm="1">
        <f t="array" ref="AT40">IFERROR(INDEX($HF$4:$HF$171,AY40),"")</f>
        <v/>
      </c>
      <c r="AU40" s="2031" t="str" cm="1">
        <f t="array" ref="AU40">IFERROR(INDEX($GJ$4:$GJ$171,AY40),"")</f>
        <v/>
      </c>
      <c r="AV40" s="2031" t="str" cm="1">
        <f t="array" ref="AV40">IFERROR(INDEX($GK$4:$GK$171,AY40),"")</f>
        <v/>
      </c>
      <c r="AY40" s="2042" t="str" cm="1">
        <f t="array" ref="AY40">IFERROR(SMALL(IF($HI$4:$HI$171=1,ROW($HI$4:$HI$171)-3),ROW(W25)),IFERROR(SMALL(IF($HI$4:$HI$171=2,ROW($HI$4:$HI$171)-3),ROW(W25)-COUNTIF($HI$4:$HI$171,1)),IFERROR(SMALL(IF($HI$4:$HI$171=0,ROW($HI$4:$HI$171)-3),ROW(W25)-COUNTIF($HI$4:$HI$171,1)-COUNTIF($HI$4:$HI$171,2)),"")))</f>
        <v/>
      </c>
      <c r="AZ40" s="2042" t="str">
        <f t="shared" ref="AZ40:AZ71" si="117">IF(AQ40="","a",AQ40)</f>
        <v>a</v>
      </c>
      <c r="BA40" s="2053" t="e">
        <f t="shared" ref="BA40:BA71" si="118">IF(AK40=" ",0,AK40-AQ40)</f>
        <v>#VALUE!</v>
      </c>
      <c r="BB40" s="2053" cm="1">
        <f t="array" ref="BB40">IFERROR(INDEX($HI$4:$HI$171,AY40),0)</f>
        <v>0</v>
      </c>
      <c r="BC40" s="2053">
        <f t="shared" ref="BC40:BC71" si="119">IFERROR(SUM(INDEX($HG$4:$HG$171,AY40),INDEX($HH$4:$HH$171,AY40)),0)</f>
        <v>0</v>
      </c>
      <c r="BD40" s="2053"/>
      <c r="BE40" s="2307"/>
      <c r="BF40" s="2307"/>
      <c r="BG40" s="2307"/>
      <c r="BH40" s="2307"/>
      <c r="BI40" s="2307"/>
      <c r="BJ40" s="2307"/>
      <c r="BK40" s="2307"/>
      <c r="BL40" s="2307"/>
      <c r="BM40" s="2307"/>
      <c r="BN40" s="2307"/>
      <c r="BO40" s="2307"/>
      <c r="BP40" s="2043"/>
      <c r="BQ40" s="2042"/>
      <c r="BR40" s="2042"/>
      <c r="BS40" s="2042"/>
      <c r="BT40" s="2042"/>
      <c r="BU40" s="2044"/>
      <c r="BV40" s="2044"/>
      <c r="BW40" s="2042"/>
      <c r="BX40" s="2042"/>
      <c r="BY40" s="2042"/>
      <c r="BZ40" s="2042"/>
      <c r="CA40" s="2042"/>
      <c r="CB40" s="2042"/>
      <c r="CC40" s="2042"/>
      <c r="CD40" s="2042"/>
      <c r="CE40" s="2042"/>
      <c r="CF40" s="2042"/>
      <c r="CG40" s="2042"/>
      <c r="CH40" s="2042"/>
      <c r="CI40" s="2042"/>
      <c r="CJ40" s="2042"/>
      <c r="CK40" s="2042"/>
      <c r="CL40" s="2042"/>
      <c r="CM40" s="2042"/>
      <c r="CN40" s="2042"/>
      <c r="CO40" s="2042"/>
      <c r="CP40" s="2042"/>
      <c r="CQ40" s="2042"/>
      <c r="CR40" s="2042"/>
      <c r="CS40" s="2042"/>
      <c r="CT40" s="2042"/>
      <c r="CU40" s="2042"/>
      <c r="CV40" s="2042"/>
      <c r="CW40" s="609" t="str">
        <f>Pflanzen!A36</f>
        <v xml:space="preserve"> +++Mehrschnittiger Feldfutterbau +++</v>
      </c>
      <c r="CX40" s="2042">
        <f>IFERROR(MATCH($CW40,Pflanzen!$C$5:$C$119,0),1)</f>
        <v>32</v>
      </c>
      <c r="CY40" s="609" cm="1">
        <f t="array" ref="CY40">INDEX(Pflanzen!$I$5:$I$119,'Lagerhaltung (freiwillig)'!CX40)</f>
        <v>0</v>
      </c>
      <c r="CZ40" s="2042">
        <f t="shared" si="113"/>
        <v>0</v>
      </c>
      <c r="DA40" s="2042">
        <f t="shared" si="113"/>
        <v>0</v>
      </c>
      <c r="DB40" s="2042">
        <f t="shared" si="113"/>
        <v>0</v>
      </c>
      <c r="DC40" s="2042">
        <f t="shared" si="113"/>
        <v>0</v>
      </c>
      <c r="DD40" s="2042">
        <f t="shared" si="113"/>
        <v>0</v>
      </c>
      <c r="DE40" s="2042">
        <f t="shared" si="113"/>
        <v>0</v>
      </c>
      <c r="DF40" s="2042">
        <f t="shared" si="113"/>
        <v>0</v>
      </c>
      <c r="DG40" s="2042">
        <f t="shared" si="113"/>
        <v>0</v>
      </c>
      <c r="DH40" s="2042">
        <f t="shared" si="113"/>
        <v>0</v>
      </c>
      <c r="DI40" s="2042">
        <f t="shared" si="113"/>
        <v>0</v>
      </c>
      <c r="DJ40" s="2042">
        <f t="shared" si="113"/>
        <v>0</v>
      </c>
      <c r="DK40" s="2042">
        <f t="shared" si="113"/>
        <v>0</v>
      </c>
      <c r="DL40" s="2042"/>
      <c r="DM40" s="2042">
        <f t="shared" si="114"/>
        <v>0</v>
      </c>
      <c r="DN40" s="2042">
        <f t="shared" si="114"/>
        <v>0</v>
      </c>
      <c r="DO40" s="2042">
        <f t="shared" si="114"/>
        <v>0</v>
      </c>
      <c r="DP40" s="2042">
        <f t="shared" si="114"/>
        <v>0</v>
      </c>
      <c r="DQ40" s="2042">
        <f t="shared" si="114"/>
        <v>0</v>
      </c>
      <c r="DR40" s="2042">
        <f t="shared" si="114"/>
        <v>0</v>
      </c>
      <c r="DS40" s="2042">
        <f t="shared" si="114"/>
        <v>0</v>
      </c>
      <c r="DT40" s="2042">
        <f t="shared" si="114"/>
        <v>0</v>
      </c>
      <c r="DU40" s="2042">
        <f t="shared" si="114"/>
        <v>0</v>
      </c>
      <c r="DV40" s="2042">
        <f t="shared" si="114"/>
        <v>0</v>
      </c>
      <c r="DW40" s="2042">
        <f t="shared" si="114"/>
        <v>0</v>
      </c>
      <c r="DX40" s="2042">
        <f t="shared" si="114"/>
        <v>0</v>
      </c>
      <c r="DY40" s="2042"/>
      <c r="DZ40" s="2042">
        <f t="shared" si="115"/>
        <v>0</v>
      </c>
      <c r="EA40" s="2042">
        <f t="shared" si="115"/>
        <v>0</v>
      </c>
      <c r="EB40" s="2042">
        <f t="shared" si="115"/>
        <v>0</v>
      </c>
      <c r="EC40" s="2042">
        <f t="shared" si="115"/>
        <v>0</v>
      </c>
      <c r="ED40" s="2042">
        <f t="shared" si="115"/>
        <v>0</v>
      </c>
      <c r="EE40" s="2042">
        <f t="shared" si="115"/>
        <v>0</v>
      </c>
      <c r="EF40" s="2042">
        <f t="shared" si="115"/>
        <v>0</v>
      </c>
      <c r="EG40" s="2042">
        <f t="shared" si="115"/>
        <v>0</v>
      </c>
      <c r="EH40" s="2042">
        <f t="shared" si="115"/>
        <v>0</v>
      </c>
      <c r="EI40" s="2042">
        <f t="shared" si="115"/>
        <v>0</v>
      </c>
      <c r="EJ40" s="2042">
        <f t="shared" si="115"/>
        <v>0</v>
      </c>
      <c r="EK40" s="2042">
        <f t="shared" si="115"/>
        <v>0</v>
      </c>
      <c r="EL40" s="2042"/>
      <c r="EM40" s="2042">
        <f t="shared" si="116"/>
        <v>0</v>
      </c>
      <c r="EN40" s="2042">
        <f t="shared" si="116"/>
        <v>0</v>
      </c>
      <c r="EO40" s="2042">
        <f t="shared" si="116"/>
        <v>0</v>
      </c>
      <c r="EP40" s="2042">
        <f t="shared" si="116"/>
        <v>0</v>
      </c>
      <c r="EQ40" s="2042">
        <f t="shared" si="116"/>
        <v>0</v>
      </c>
      <c r="ER40" s="2042">
        <f t="shared" si="116"/>
        <v>0</v>
      </c>
      <c r="ES40" s="2042">
        <f t="shared" si="116"/>
        <v>0</v>
      </c>
      <c r="ET40" s="2042">
        <f t="shared" si="116"/>
        <v>0</v>
      </c>
      <c r="EU40" s="2042">
        <f t="shared" si="116"/>
        <v>0</v>
      </c>
      <c r="EV40" s="2042">
        <f t="shared" si="116"/>
        <v>0</v>
      </c>
      <c r="EW40" s="2042">
        <f t="shared" si="116"/>
        <v>0</v>
      </c>
      <c r="EX40" s="2042">
        <f t="shared" si="116"/>
        <v>0</v>
      </c>
      <c r="EY40" s="2042"/>
      <c r="EZ40" s="2045">
        <f t="shared" si="50"/>
        <v>0</v>
      </c>
      <c r="FA40" s="2042">
        <f>EZ40+CZ40+DZ40                 -         SUMIF('Berechnung Nährstoffe und Lager'!$AX$113:$AX$155,$CX40,'Berechnung Nährstoffe und Lager'!$U$113:$U$155)/12  -$GB40*$HC40/12</f>
        <v>0</v>
      </c>
      <c r="FB40" s="2042">
        <f>FA40+DA40+EA40                 -         SUMIF('Berechnung Nährstoffe und Lager'!$AX$113:$AX$155,$CX40,'Berechnung Nährstoffe und Lager'!$U$113:$U$155)/12  -$GB40*$HC40/12</f>
        <v>0</v>
      </c>
      <c r="FC40" s="2042">
        <f>FB40+DB40+EB40                 -         SUMIF('Berechnung Nährstoffe und Lager'!$AX$113:$AX$155,$CX40,'Berechnung Nährstoffe und Lager'!$U$113:$U$155)/12  -$GB40*$HC40/12</f>
        <v>0</v>
      </c>
      <c r="FD40" s="2042">
        <f>FC40+DC40+EC40                 -         SUMIF('Berechnung Nährstoffe und Lager'!$AX$113:$AX$155,$CX40,'Berechnung Nährstoffe und Lager'!$U$113:$U$155)/12  -$GB40*$HC40/12</f>
        <v>0</v>
      </c>
      <c r="FE40" s="2042">
        <f>FD40+DD40+ED40                 -         SUMIF('Berechnung Nährstoffe und Lager'!$AX$113:$AX$155,$CX40,'Berechnung Nährstoffe und Lager'!$U$113:$U$155)/12  -$GB40*$HC40/12</f>
        <v>0</v>
      </c>
      <c r="FF40" s="2042">
        <f>FE40+DE40+EE40                 -         SUMIF('Berechnung Nährstoffe und Lager'!$AX$113:$AX$155,$CX40,'Berechnung Nährstoffe und Lager'!$U$113:$U$155)/12  -$GB40*$HC40/12</f>
        <v>0</v>
      </c>
      <c r="FG40" s="2042">
        <f>FF40+DF40+EF40                 -         SUMIF('Berechnung Nährstoffe und Lager'!$AX$113:$AX$155,$CX40,'Berechnung Nährstoffe und Lager'!$U$113:$U$155)/12  -$GB40*$HC40/12</f>
        <v>0</v>
      </c>
      <c r="FH40" s="2042">
        <f>FG40+DG40+EG40                 -         SUMIF('Berechnung Nährstoffe und Lager'!$AX$113:$AX$155,$CX40,'Berechnung Nährstoffe und Lager'!$U$113:$U$155)/12  -$GB40*$HC40/12</f>
        <v>0</v>
      </c>
      <c r="FI40" s="2042">
        <f>FH40+DH40+EH40                 -         SUMIF('Berechnung Nährstoffe und Lager'!$AX$113:$AX$155,$CX40,'Berechnung Nährstoffe und Lager'!$U$113:$U$155)/12  -$GB40*$HC40/12</f>
        <v>0</v>
      </c>
      <c r="FJ40" s="2042">
        <f>FI40+DI40+EI40                 -         SUMIF('Berechnung Nährstoffe und Lager'!$AX$113:$AX$155,$CX40,'Berechnung Nährstoffe und Lager'!$U$113:$U$155)/12  -$GB40*$HC40/12</f>
        <v>0</v>
      </c>
      <c r="FK40" s="2042">
        <f>FJ40+DJ40+EJ40                 -         SUMIF('Berechnung Nährstoffe und Lager'!$AX$113:$AX$155,$CX40,'Berechnung Nährstoffe und Lager'!$U$113:$U$155)/12  -$GB40*$HC40/12</f>
        <v>0</v>
      </c>
      <c r="FL40" s="2042">
        <f>FK40+DK40+EK40                 -         SUMIF('Berechnung Nährstoffe und Lager'!$AX$113:$AX$155,$CX40,'Berechnung Nährstoffe und Lager'!$U$113:$U$155)/12  -$GB40*$HC40/12</f>
        <v>0</v>
      </c>
      <c r="FM40" s="2042"/>
      <c r="FN40" s="2045">
        <f t="shared" si="51"/>
        <v>0</v>
      </c>
      <c r="FO40" s="2042">
        <f>FN40+DM40+EM40                 -         SUMIF('Berechnung Nährstoffe und Lager'!$AX$113:$AX$155,$CX40,'Berechnung Nährstoffe und Lager'!$V$113:$V$155)/12  -$GC40*$HC40/12</f>
        <v>0</v>
      </c>
      <c r="FP40" s="2042">
        <f>FO40+DN40+EN40                 -         SUMIF('Berechnung Nährstoffe und Lager'!$AX$113:$AX$155,$CX40,'Berechnung Nährstoffe und Lager'!$V$113:$V$155)/12  -$GC40*$HC40/12</f>
        <v>0</v>
      </c>
      <c r="FQ40" s="2042">
        <f>FP40+DO40+EO40                 -         SUMIF('Berechnung Nährstoffe und Lager'!$AX$113:$AX$155,$CX40,'Berechnung Nährstoffe und Lager'!$V$113:$V$155)/12  -$GC40*$HC40/12</f>
        <v>0</v>
      </c>
      <c r="FR40" s="2042">
        <f>FQ40+DP40+EP40                 -         SUMIF('Berechnung Nährstoffe und Lager'!$AX$113:$AX$155,$CX40,'Berechnung Nährstoffe und Lager'!$V$113:$V$155)/12  -$GC40*$HC40/12</f>
        <v>0</v>
      </c>
      <c r="FS40" s="2042">
        <f>FR40+DQ40+EQ40                 -         SUMIF('Berechnung Nährstoffe und Lager'!$AX$113:$AX$155,$CX40,'Berechnung Nährstoffe und Lager'!$V$113:$V$155)/12  -$GC40*$HC40/12</f>
        <v>0</v>
      </c>
      <c r="FT40" s="2042">
        <f>FS40+DR40+ER40                 -         SUMIF('Berechnung Nährstoffe und Lager'!$AX$113:$AX$155,$CX40,'Berechnung Nährstoffe und Lager'!$V$113:$V$155)/12  -$GC40*$HC40/12</f>
        <v>0</v>
      </c>
      <c r="FU40" s="2042">
        <f>FT40+DS40+ES40                 -         SUMIF('Berechnung Nährstoffe und Lager'!$AX$113:$AX$155,$CX40,'Berechnung Nährstoffe und Lager'!$V$113:$V$155)/12  -$GC40*$HC40/12</f>
        <v>0</v>
      </c>
      <c r="FV40" s="2042">
        <f>FU40+DT40+ET40                 -         SUMIF('Berechnung Nährstoffe und Lager'!$AX$113:$AX$155,$CX40,'Berechnung Nährstoffe und Lager'!$V$113:$V$155)/12  -$GC40*$HC40/12</f>
        <v>0</v>
      </c>
      <c r="FW40" s="2042">
        <f>FV40+DU40+EU40                 -         SUMIF('Berechnung Nährstoffe und Lager'!$AX$113:$AX$155,$CX40,'Berechnung Nährstoffe und Lager'!$V$113:$V$155)/12  -$GC40*$HC40/12</f>
        <v>0</v>
      </c>
      <c r="FX40" s="2042">
        <f>FW40+DV40+EV40                 -         SUMIF('Berechnung Nährstoffe und Lager'!$AX$113:$AX$155,$CX40,'Berechnung Nährstoffe und Lager'!$V$113:$V$155)/12  -$GC40*$HC40/12</f>
        <v>0</v>
      </c>
      <c r="FY40" s="2042">
        <f>FX40+DW40+EW40                 -         SUMIF('Berechnung Nährstoffe und Lager'!$AX$113:$AX$155,$CX40,'Berechnung Nährstoffe und Lager'!$V$113:$V$155)/12  -$GC40*$HC40/12</f>
        <v>0</v>
      </c>
      <c r="FZ40" s="2042">
        <f>FY40+DX40+EX40                 -         SUMIF('Berechnung Nährstoffe und Lager'!$AX$113:$AX$155,$CX40,'Berechnung Nährstoffe und Lager'!$V$113:$V$155)/12  -$GC40*$HC40/12</f>
        <v>0</v>
      </c>
      <c r="GA40" s="2042"/>
      <c r="GB40" s="2042">
        <f>SUMIFS($CI$14:$CI$68,$BR$14:$BR$68,$CX40)+SUMIFS($CM$14:$CM$68,$BR$14:$BR$68,$CX40)+SUMIFS($CR$14:$CR$68,$BR$14:$BR$68,$CX40)  -         SUMIF('Berechnung Nährstoffe und Lager'!$AX$113:$AX$155,$CX40,'Berechnung Nährstoffe und Lager'!$U$113:$U$155)</f>
        <v>0</v>
      </c>
      <c r="GC40" s="2042">
        <f>SUMIFS($CJ$14:$CJ$68,$BR$14:$BR$68,$CX40)+SUMIFS($CO$14:$CO$68,$BR$14:$BR$68,$CX40)+SUMIFS($CT$14:$CT$68,$BR$14:$BR$68,$CX40)  -         SUMIF('Berechnung Nährstoffe und Lager'!$AX$113:$AX$155,$CX40,'Berechnung Nährstoffe und Lager'!$V$113:$V$155)</f>
        <v>0</v>
      </c>
      <c r="GD40" s="2042"/>
      <c r="GE40" s="2042"/>
      <c r="GF40" s="2042">
        <f>SUMIF('Berechnung Nährstoffe und Lager'!$AX$113:$AX$155,$CX40,'Berechnung Nährstoffe und Lager'!$U$113:$U$155)</f>
        <v>0</v>
      </c>
      <c r="GG40" s="2042">
        <f>SUMIF('Berechnung Nährstoffe und Lager'!$AX$113:$AX$155,$CX40,'Berechnung Nährstoffe und Lager'!$V$113:$V$155)</f>
        <v>0</v>
      </c>
      <c r="GH40" s="2042">
        <f t="shared" si="52"/>
        <v>0</v>
      </c>
      <c r="GI40" s="2042">
        <f t="shared" si="53"/>
        <v>0</v>
      </c>
      <c r="GJ40" s="2042">
        <f t="shared" si="34"/>
        <v>0</v>
      </c>
      <c r="GK40" s="2042">
        <f t="shared" si="35"/>
        <v>0</v>
      </c>
      <c r="GL40" s="2042">
        <f t="shared" si="36"/>
        <v>0</v>
      </c>
      <c r="GM40" s="2042" cm="1">
        <f t="array" ref="GM40">IF(GL40=0,0,(IFERROR(SUMPRODUCT($J$14:$J$68,$CH$14:$CH$68,($BR$14:$BR$68=CX40)*1)+SUMPRODUCT($L$14:$L$68,$M$14:$M$68,$CK$14:$CK$68,($BR$14:$BR$68=CX40)*1,($BT$14:$BT$68=FALSE)*1)/10+SUMPRODUCT($R$14:$R$68,$CP$14:$CP$68,($BR$14:$BR$68=CX40)*1),0))/GL40)</f>
        <v>0</v>
      </c>
      <c r="GN40" s="2042">
        <f t="shared" si="54"/>
        <v>0</v>
      </c>
      <c r="GO40" s="2042">
        <f>(SUMIF('Berechnung Nährstoffe und Lager'!$AX$113:$AX$130,'Lagerhaltung (freiwillig)'!CX40,'Berechnung Nährstoffe und Lager'!$D$113:$D$130)+SUMIF('Berechnung Nährstoffe und Lager'!$AX$137:$AX$155,'Lagerhaltung (freiwillig)'!CX40,'Berechnung Nährstoffe und Lager'!$E$137:$E$155))</f>
        <v>0</v>
      </c>
      <c r="GP40" s="2042" cm="1">
        <f t="array" ref="GP40">IF(GO40=0,0,(IFERROR(SUMPRODUCT('Berechnung Nährstoffe und Lager'!$D$113:$D$130,'Berechnung Nährstoffe und Lager'!$F$113:$F$130,('Berechnung Nährstoffe und Lager'!$AX$113:$AX$130='Lagerhaltung (freiwillig)'!CX40)*1)+SUMPRODUCT('Berechnung Nährstoffe und Lager'!$E$137:$E$155,'Berechnung Nährstoffe und Lager'!$F$137:$F$155,('Berechnung Nährstoffe und Lager'!$AX$137:$AX$155='Lagerhaltung (freiwillig)'!CX40)*1),0))/GO40)</f>
        <v>0</v>
      </c>
      <c r="GQ40" s="2042">
        <f t="shared" si="55"/>
        <v>0</v>
      </c>
      <c r="GR40" s="2042">
        <f t="shared" si="56"/>
        <v>0</v>
      </c>
      <c r="GS40" s="2042">
        <f t="shared" si="57"/>
        <v>0</v>
      </c>
      <c r="GT40" s="2042">
        <f t="shared" si="58"/>
        <v>0</v>
      </c>
      <c r="GU40" s="2045" t="str">
        <f t="shared" si="39"/>
        <v xml:space="preserve"> </v>
      </c>
      <c r="GV40" s="2045" t="str">
        <f t="shared" si="39"/>
        <v xml:space="preserve"> </v>
      </c>
      <c r="GW40" s="2054">
        <f t="shared" si="40"/>
        <v>0</v>
      </c>
      <c r="GX40" s="2042">
        <f t="shared" si="41"/>
        <v>0</v>
      </c>
      <c r="GY40" s="2042" t="str">
        <f t="shared" si="42"/>
        <v>a</v>
      </c>
      <c r="GZ40" s="2055">
        <f t="shared" si="43"/>
        <v>0</v>
      </c>
      <c r="HA40" s="2055">
        <f t="shared" si="44"/>
        <v>0</v>
      </c>
      <c r="HB40" s="2055"/>
      <c r="HC40" s="2046">
        <f t="shared" si="45"/>
        <v>0</v>
      </c>
      <c r="HD40" s="2055">
        <f t="shared" si="46"/>
        <v>0</v>
      </c>
      <c r="HE40" s="2055">
        <f t="shared" si="47"/>
        <v>0</v>
      </c>
      <c r="HF40" s="2055">
        <f t="shared" si="48"/>
        <v>0</v>
      </c>
      <c r="HG40" s="2282" cm="1">
        <f t="array" ref="HG40">IF(AND(HE40=0,GJ40=0),0,IF(HE40=0,1,IF(OR(GJ40*1000/HE40/HF40&gt;INDEX(Pflanzen!$AD$5:$AD$109,CX40)/INDEX(Pflanzen!$M$5:$M$109,CX40)*$HG$1,GJ40*1000/HE40/HF40&lt;INDEX(Pflanzen!$AD$5:$AD$109,CX40)/INDEX(Pflanzen!$M$5:$M$109,CX40)/$HG$1),1,0)))</f>
        <v>0</v>
      </c>
      <c r="HH40" s="2282" cm="1">
        <f t="array" ref="HH40">IF(AND(GK40=0,HE40=0),0,IF(HE40=0,1,IF(OR(GK40*1000/HE40/HF40&gt;INDEX(Pflanzen!$AE$5:$AE$109,CX40)/INDEX(Pflanzen!$M$5:$M$109,CX40)*$HG$1,GK40*1000/HE40/HF40&lt;INDEX(Pflanzen!$AE$5:$AE$109,CX40)/INDEX(Pflanzen!$M$5:$M$109,CX40)/$HG$1),1,0)))</f>
        <v>0</v>
      </c>
      <c r="HI40" s="2042">
        <f t="shared" si="49"/>
        <v>3</v>
      </c>
      <c r="HJ40" s="2042"/>
      <c r="HL40" s="2042"/>
      <c r="HM40" s="2052" t="str">
        <f>Tiere!B66</f>
        <v>Masthähnchen, N-/P-reduziert</v>
      </c>
      <c r="HN40" s="2042">
        <v>37</v>
      </c>
      <c r="HO40" s="2053">
        <f>SUMIF('Berechnung Nährstoffe und Lager'!$BM$68:$BM$81,'Lagerhaltung (freiwillig)'!HN40,'Berechnung Nährstoffe und Lager'!$Z$68:$Z$81)+SUMIF('Berechnung Nährstoffe und Lager'!$BM$68:$BM$81,'Lagerhaltung (freiwillig)'!HN40,'Berechnung Nährstoffe und Lager'!$AA$68:$AA$81)</f>
        <v>0</v>
      </c>
      <c r="HP40" s="2042" cm="1">
        <f t="array" ref="HP40">INDEX(Tiere!$C$30:$C$85,'Lagerhaltung (freiwillig)'!HN40)</f>
        <v>3</v>
      </c>
      <c r="HQ40" s="2042" cm="1">
        <f t="array" ref="HQ40">INDEX(Tiere!$H$30:$H$85,'Lagerhaltung (freiwillig)'!HN40)</f>
        <v>0</v>
      </c>
      <c r="HR40" s="2042">
        <f t="shared" si="112"/>
        <v>0</v>
      </c>
      <c r="HS40" s="2042" cm="1">
        <f t="array" ref="HS40">INDEX(Tiere!$I$30:$I$85,'Lagerhaltung (freiwillig)'!HN40)</f>
        <v>0</v>
      </c>
      <c r="HT40" s="2042">
        <f t="shared" si="13"/>
        <v>0</v>
      </c>
      <c r="HU40" s="2042" cm="1">
        <f t="array" ref="HU40">INDEX(Tiere!$BC$30:$BC$85,'Lagerhaltung (freiwillig)'!HN40)</f>
        <v>0.6996</v>
      </c>
      <c r="HV40" s="2042">
        <f t="shared" si="110"/>
        <v>0</v>
      </c>
      <c r="HW40" s="2042" cm="1">
        <f t="array" ref="HW40">INDEX(Tiere!$BD$30:$BD$85,'Lagerhaltung (freiwillig)'!HN40)</f>
        <v>0.21454400000000001</v>
      </c>
      <c r="HX40" s="2042">
        <f t="shared" si="111"/>
        <v>0</v>
      </c>
      <c r="HY40" s="2042"/>
      <c r="HZ40" s="2042"/>
      <c r="IA40" s="2042"/>
      <c r="IB40" s="2042"/>
      <c r="IC40" s="2042"/>
      <c r="ID40" s="2042"/>
      <c r="IE40" s="2042"/>
      <c r="IF40" s="2042"/>
      <c r="IG40" s="2042"/>
      <c r="IH40" s="2042"/>
      <c r="II40" s="2042"/>
      <c r="IJ40" s="2042"/>
    </row>
    <row r="41" spans="1:245" ht="16.5" customHeight="1" x14ac:dyDescent="0.2">
      <c r="A41" s="3013" t="s">
        <v>8527</v>
      </c>
      <c r="B41" s="3014"/>
      <c r="C41" s="3014"/>
      <c r="D41" s="3014"/>
      <c r="E41" s="3015"/>
      <c r="F41" s="3001" t="s">
        <v>1169</v>
      </c>
      <c r="G41" s="2008" t="s">
        <v>4</v>
      </c>
      <c r="H41" s="2009" t="s">
        <v>490</v>
      </c>
      <c r="I41" s="3001" t="s">
        <v>1183</v>
      </c>
      <c r="J41" s="3043" t="s">
        <v>1170</v>
      </c>
      <c r="K41" s="3001" t="s">
        <v>1183</v>
      </c>
      <c r="L41" s="2994" t="s">
        <v>1172</v>
      </c>
      <c r="M41" s="2994" t="s">
        <v>1173</v>
      </c>
      <c r="N41" s="3040" t="s">
        <v>8456</v>
      </c>
      <c r="O41" s="3090"/>
      <c r="P41" s="3069" t="s">
        <v>1097</v>
      </c>
      <c r="Q41" s="3001" t="s">
        <v>1183</v>
      </c>
      <c r="R41" s="2994" t="s">
        <v>8413</v>
      </c>
      <c r="S41" s="3040" t="s">
        <v>8462</v>
      </c>
      <c r="T41" s="3041"/>
      <c r="U41" s="2218"/>
      <c r="V41" s="2220"/>
      <c r="Y41" s="2005" t="str" cm="1">
        <f t="array" ref="Y41">IFERROR(INDEX($CW$4:$CW$171,AY41),"")</f>
        <v/>
      </c>
      <c r="Z41" s="510"/>
      <c r="AA41" s="510"/>
      <c r="AB41" s="510"/>
      <c r="AC41" s="2031" t="str" cm="1">
        <f t="array" ref="AC41">IFERROR(INDEX($GL$4:$GL$171,AY41),"")</f>
        <v/>
      </c>
      <c r="AD41" s="2031" t="str" cm="1">
        <f t="array" ref="AD41">IFERROR(INDEX($GM$4:$GM$171,AY41),"")</f>
        <v/>
      </c>
      <c r="AE41" s="2031" t="str" cm="1">
        <f t="array" ref="AE41">IFERROR(INDEX($GH$4:$GH$171,AY41),"")</f>
        <v/>
      </c>
      <c r="AF41" s="2031" t="str" cm="1">
        <f t="array" ref="AF41">IFERROR(INDEX($GI$4:$GI$171,AY41),"")</f>
        <v/>
      </c>
      <c r="AG41" s="2031" t="str" cm="1">
        <f t="array" ref="AG41">IFERROR(INDEX($GO$4:$GO$171,AY41),"")</f>
        <v/>
      </c>
      <c r="AH41" s="2031" t="str" cm="1">
        <f t="array" ref="AH41">IFERROR(INDEX($GP$4:$GP$171,AY41),"")</f>
        <v/>
      </c>
      <c r="AI41" s="2031" t="str" cm="1">
        <f t="array" ref="AI41">IFERROR(INDEX($GF$4:$GF$171,AY41),"")</f>
        <v/>
      </c>
      <c r="AJ41" s="2031" t="str" cm="1">
        <f t="array" ref="AJ41">IFERROR(INDEX($GG$4:$GG$171,AY41),"")</f>
        <v/>
      </c>
      <c r="AK41" s="2031" t="str" cm="1">
        <f t="array" ref="AK41">IFERROR(INDEX($GS$4:$GS$171,AY41),"")</f>
        <v/>
      </c>
      <c r="AL41" s="2032" t="str" cm="1">
        <f t="array" ref="AL41">IFERROR(INDEX($GT$4:$GT$171,AY41),"")</f>
        <v/>
      </c>
      <c r="AM41" s="2031" t="str" cm="1">
        <f t="array" ref="AM41">IFERROR(INDEX($GB$4:$GB$171,AY41),"")</f>
        <v/>
      </c>
      <c r="AN41" s="2031" t="str" cm="1">
        <f t="array" ref="AN41">IFERROR(INDEX($GC$4:$GC$171,AY41),"")</f>
        <v/>
      </c>
      <c r="AO41" s="2031" t="str" cm="1">
        <f t="array" ref="AO41">IFERROR(INDEX($GU$4:$GU$171,AY41),"")</f>
        <v/>
      </c>
      <c r="AP41" s="2031" t="str" cm="1">
        <f t="array" ref="AP41">IFERROR(INDEX($GX$4:$GX$171,AY41),"")</f>
        <v/>
      </c>
      <c r="AQ41" s="1316"/>
      <c r="AR41" s="2031" t="str" cm="1">
        <f t="array" ref="AR41">IFERROR(INDEX($HD$4:$HD$171,AY41),"")</f>
        <v/>
      </c>
      <c r="AS41" s="2031" t="str" cm="1">
        <f t="array" ref="AS41">IFERROR(INDEX($HE$4:$HE$171,AY41),"")</f>
        <v/>
      </c>
      <c r="AT41" s="2031" t="str" cm="1">
        <f t="array" ref="AT41">IFERROR(INDEX($HF$4:$HF$171,AY41),"")</f>
        <v/>
      </c>
      <c r="AU41" s="2031" t="str" cm="1">
        <f t="array" ref="AU41">IFERROR(INDEX($GJ$4:$GJ$171,AY41),"")</f>
        <v/>
      </c>
      <c r="AV41" s="2031" t="str" cm="1">
        <f t="array" ref="AV41">IFERROR(INDEX($GK$4:$GK$171,AY41),"")</f>
        <v/>
      </c>
      <c r="AY41" s="2042" t="str" cm="1">
        <f t="array" ref="AY41">IFERROR(SMALL(IF($HI$4:$HI$171=1,ROW($HI$4:$HI$171)-3),ROW(W26)),IFERROR(SMALL(IF($HI$4:$HI$171=2,ROW($HI$4:$HI$171)-3),ROW(W26)-COUNTIF($HI$4:$HI$171,1)),IFERROR(SMALL(IF($HI$4:$HI$171=0,ROW($HI$4:$HI$171)-3),ROW(W26)-COUNTIF($HI$4:$HI$171,1)-COUNTIF($HI$4:$HI$171,2)),"")))</f>
        <v/>
      </c>
      <c r="AZ41" s="2042" t="str">
        <f t="shared" si="117"/>
        <v>a</v>
      </c>
      <c r="BA41" s="2053" t="e">
        <f t="shared" si="118"/>
        <v>#VALUE!</v>
      </c>
      <c r="BB41" s="2053" cm="1">
        <f t="array" ref="BB41">IFERROR(INDEX($HI$4:$HI$171,AY41),0)</f>
        <v>0</v>
      </c>
      <c r="BC41" s="2053">
        <f t="shared" si="119"/>
        <v>0</v>
      </c>
      <c r="BD41" s="2053"/>
      <c r="BE41" s="2307"/>
      <c r="BF41" s="2307"/>
      <c r="BG41" s="2307"/>
      <c r="BH41" s="2307"/>
      <c r="BI41" s="2307"/>
      <c r="BJ41" s="2307"/>
      <c r="BK41" s="2307"/>
      <c r="BL41" s="2307"/>
      <c r="BM41" s="2307"/>
      <c r="BN41" s="2307"/>
      <c r="BO41" s="2307"/>
      <c r="BP41" s="2043"/>
      <c r="BQ41" s="2042"/>
      <c r="BR41" s="2042"/>
      <c r="BS41" s="2042"/>
      <c r="BT41" s="2042"/>
      <c r="BU41" s="2044"/>
      <c r="BV41" s="2044"/>
      <c r="BW41" s="2042"/>
      <c r="BX41" s="2042"/>
      <c r="BY41" s="2042"/>
      <c r="BZ41" s="2042"/>
      <c r="CA41" s="2042"/>
      <c r="CB41" s="2042"/>
      <c r="CC41" s="2042"/>
      <c r="CD41" s="2042"/>
      <c r="CE41" s="2042"/>
      <c r="CF41" s="2042"/>
      <c r="CG41" s="2042"/>
      <c r="CH41" s="2042"/>
      <c r="CI41" s="2042"/>
      <c r="CJ41" s="2042"/>
      <c r="CK41" s="2042"/>
      <c r="CL41" s="2042"/>
      <c r="CM41" s="2042"/>
      <c r="CN41" s="2042"/>
      <c r="CO41" s="2042"/>
      <c r="CP41" s="2042"/>
      <c r="CQ41" s="2042"/>
      <c r="CR41" s="2042"/>
      <c r="CS41" s="2042"/>
      <c r="CT41" s="2042"/>
      <c r="CU41" s="2042"/>
      <c r="CV41" s="2042"/>
      <c r="CW41" s="609" t="str">
        <f>Pflanzen!A37</f>
        <v xml:space="preserve">Ackergras 3-4 Schnitte/Jahr </v>
      </c>
      <c r="CX41" s="2042">
        <f>IFERROR(MATCH($CW41,Pflanzen!$C$5:$C$119,0),1)</f>
        <v>33</v>
      </c>
      <c r="CY41" s="609" cm="1">
        <f t="array" ref="CY41">INDEX(Pflanzen!$I$5:$I$119,'Lagerhaltung (freiwillig)'!CX41)</f>
        <v>1</v>
      </c>
      <c r="CZ41" s="2042">
        <f t="shared" si="113"/>
        <v>0</v>
      </c>
      <c r="DA41" s="2042">
        <f t="shared" si="113"/>
        <v>0</v>
      </c>
      <c r="DB41" s="2042">
        <f t="shared" si="113"/>
        <v>0</v>
      </c>
      <c r="DC41" s="2042">
        <f t="shared" si="113"/>
        <v>0</v>
      </c>
      <c r="DD41" s="2042">
        <f t="shared" si="113"/>
        <v>0</v>
      </c>
      <c r="DE41" s="2042">
        <f t="shared" si="113"/>
        <v>0</v>
      </c>
      <c r="DF41" s="2042">
        <f t="shared" si="113"/>
        <v>0</v>
      </c>
      <c r="DG41" s="2042">
        <f t="shared" si="113"/>
        <v>0</v>
      </c>
      <c r="DH41" s="2042">
        <f t="shared" si="113"/>
        <v>0</v>
      </c>
      <c r="DI41" s="2042">
        <f t="shared" si="113"/>
        <v>0</v>
      </c>
      <c r="DJ41" s="2042">
        <f t="shared" si="113"/>
        <v>0</v>
      </c>
      <c r="DK41" s="2042">
        <f t="shared" si="113"/>
        <v>0</v>
      </c>
      <c r="DL41" s="2042"/>
      <c r="DM41" s="2042">
        <f t="shared" si="114"/>
        <v>0</v>
      </c>
      <c r="DN41" s="2042">
        <f t="shared" si="114"/>
        <v>0</v>
      </c>
      <c r="DO41" s="2042">
        <f t="shared" si="114"/>
        <v>0</v>
      </c>
      <c r="DP41" s="2042">
        <f t="shared" si="114"/>
        <v>0</v>
      </c>
      <c r="DQ41" s="2042">
        <f t="shared" si="114"/>
        <v>0</v>
      </c>
      <c r="DR41" s="2042">
        <f t="shared" si="114"/>
        <v>0</v>
      </c>
      <c r="DS41" s="2042">
        <f t="shared" si="114"/>
        <v>0</v>
      </c>
      <c r="DT41" s="2042">
        <f t="shared" si="114"/>
        <v>0</v>
      </c>
      <c r="DU41" s="2042">
        <f t="shared" si="114"/>
        <v>0</v>
      </c>
      <c r="DV41" s="2042">
        <f t="shared" si="114"/>
        <v>0</v>
      </c>
      <c r="DW41" s="2042">
        <f t="shared" si="114"/>
        <v>0</v>
      </c>
      <c r="DX41" s="2042">
        <f t="shared" si="114"/>
        <v>0</v>
      </c>
      <c r="DY41" s="2042"/>
      <c r="DZ41" s="2042">
        <f t="shared" si="115"/>
        <v>0</v>
      </c>
      <c r="EA41" s="2042">
        <f t="shared" si="115"/>
        <v>0</v>
      </c>
      <c r="EB41" s="2042">
        <f t="shared" si="115"/>
        <v>0</v>
      </c>
      <c r="EC41" s="2042">
        <f t="shared" si="115"/>
        <v>0</v>
      </c>
      <c r="ED41" s="2042">
        <f t="shared" si="115"/>
        <v>0</v>
      </c>
      <c r="EE41" s="2042">
        <f t="shared" si="115"/>
        <v>0</v>
      </c>
      <c r="EF41" s="2042">
        <f t="shared" si="115"/>
        <v>0</v>
      </c>
      <c r="EG41" s="2042">
        <f t="shared" si="115"/>
        <v>0</v>
      </c>
      <c r="EH41" s="2042">
        <f t="shared" si="115"/>
        <v>0</v>
      </c>
      <c r="EI41" s="2042">
        <f t="shared" si="115"/>
        <v>0</v>
      </c>
      <c r="EJ41" s="2042">
        <f t="shared" si="115"/>
        <v>0</v>
      </c>
      <c r="EK41" s="2042">
        <f t="shared" si="115"/>
        <v>0</v>
      </c>
      <c r="EL41" s="2042"/>
      <c r="EM41" s="2042">
        <f t="shared" si="116"/>
        <v>0</v>
      </c>
      <c r="EN41" s="2042">
        <f t="shared" si="116"/>
        <v>0</v>
      </c>
      <c r="EO41" s="2042">
        <f t="shared" si="116"/>
        <v>0</v>
      </c>
      <c r="EP41" s="2042">
        <f t="shared" si="116"/>
        <v>0</v>
      </c>
      <c r="EQ41" s="2042">
        <f t="shared" si="116"/>
        <v>0</v>
      </c>
      <c r="ER41" s="2042">
        <f t="shared" si="116"/>
        <v>0</v>
      </c>
      <c r="ES41" s="2042">
        <f t="shared" si="116"/>
        <v>0</v>
      </c>
      <c r="ET41" s="2042">
        <f t="shared" si="116"/>
        <v>0</v>
      </c>
      <c r="EU41" s="2042">
        <f t="shared" si="116"/>
        <v>0</v>
      </c>
      <c r="EV41" s="2042">
        <f t="shared" si="116"/>
        <v>0</v>
      </c>
      <c r="EW41" s="2042">
        <f t="shared" si="116"/>
        <v>0</v>
      </c>
      <c r="EX41" s="2042">
        <f t="shared" si="116"/>
        <v>0</v>
      </c>
      <c r="EY41" s="2042"/>
      <c r="EZ41" s="2045">
        <f t="shared" si="50"/>
        <v>0</v>
      </c>
      <c r="FA41" s="2042">
        <f>EZ41+CZ41+DZ41                 -         SUMIF('Berechnung Nährstoffe und Lager'!$AX$113:$AX$155,$CX41,'Berechnung Nährstoffe und Lager'!$U$113:$U$155)/12  -$GB41*$HC41/12</f>
        <v>0</v>
      </c>
      <c r="FB41" s="2042">
        <f>FA41+DA41+EA41                 -         SUMIF('Berechnung Nährstoffe und Lager'!$AX$113:$AX$155,$CX41,'Berechnung Nährstoffe und Lager'!$U$113:$U$155)/12  -$GB41*$HC41/12</f>
        <v>0</v>
      </c>
      <c r="FC41" s="2042">
        <f>FB41+DB41+EB41                 -         SUMIF('Berechnung Nährstoffe und Lager'!$AX$113:$AX$155,$CX41,'Berechnung Nährstoffe und Lager'!$U$113:$U$155)/12  -$GB41*$HC41/12</f>
        <v>0</v>
      </c>
      <c r="FD41" s="2042">
        <f>FC41+DC41+EC41                 -         SUMIF('Berechnung Nährstoffe und Lager'!$AX$113:$AX$155,$CX41,'Berechnung Nährstoffe und Lager'!$U$113:$U$155)/12  -$GB41*$HC41/12</f>
        <v>0</v>
      </c>
      <c r="FE41" s="2042">
        <f>FD41+DD41+ED41                 -         SUMIF('Berechnung Nährstoffe und Lager'!$AX$113:$AX$155,$CX41,'Berechnung Nährstoffe und Lager'!$U$113:$U$155)/12  -$GB41*$HC41/12</f>
        <v>0</v>
      </c>
      <c r="FF41" s="2042">
        <f>FE41+DE41+EE41                 -         SUMIF('Berechnung Nährstoffe und Lager'!$AX$113:$AX$155,$CX41,'Berechnung Nährstoffe und Lager'!$U$113:$U$155)/12  -$GB41*$HC41/12</f>
        <v>0</v>
      </c>
      <c r="FG41" s="2042">
        <f>FF41+DF41+EF41                 -         SUMIF('Berechnung Nährstoffe und Lager'!$AX$113:$AX$155,$CX41,'Berechnung Nährstoffe und Lager'!$U$113:$U$155)/12  -$GB41*$HC41/12</f>
        <v>0</v>
      </c>
      <c r="FH41" s="2042">
        <f>FG41+DG41+EG41                 -         SUMIF('Berechnung Nährstoffe und Lager'!$AX$113:$AX$155,$CX41,'Berechnung Nährstoffe und Lager'!$U$113:$U$155)/12  -$GB41*$HC41/12</f>
        <v>0</v>
      </c>
      <c r="FI41" s="2042">
        <f>FH41+DH41+EH41                 -         SUMIF('Berechnung Nährstoffe und Lager'!$AX$113:$AX$155,$CX41,'Berechnung Nährstoffe und Lager'!$U$113:$U$155)/12  -$GB41*$HC41/12</f>
        <v>0</v>
      </c>
      <c r="FJ41" s="2042">
        <f>FI41+DI41+EI41                 -         SUMIF('Berechnung Nährstoffe und Lager'!$AX$113:$AX$155,$CX41,'Berechnung Nährstoffe und Lager'!$U$113:$U$155)/12  -$GB41*$HC41/12</f>
        <v>0</v>
      </c>
      <c r="FK41" s="2042">
        <f>FJ41+DJ41+EJ41                 -         SUMIF('Berechnung Nährstoffe und Lager'!$AX$113:$AX$155,$CX41,'Berechnung Nährstoffe und Lager'!$U$113:$U$155)/12  -$GB41*$HC41/12</f>
        <v>0</v>
      </c>
      <c r="FL41" s="2042">
        <f>FK41+DK41+EK41                 -         SUMIF('Berechnung Nährstoffe und Lager'!$AX$113:$AX$155,$CX41,'Berechnung Nährstoffe und Lager'!$U$113:$U$155)/12  -$GB41*$HC41/12</f>
        <v>0</v>
      </c>
      <c r="FM41" s="2042"/>
      <c r="FN41" s="2045">
        <f t="shared" si="51"/>
        <v>0</v>
      </c>
      <c r="FO41" s="2042">
        <f>FN41+DM41+EM41                 -         SUMIF('Berechnung Nährstoffe und Lager'!$AX$113:$AX$155,$CX41,'Berechnung Nährstoffe und Lager'!$V$113:$V$155)/12  -$GC41*$HC41/12</f>
        <v>0</v>
      </c>
      <c r="FP41" s="2042">
        <f>FO41+DN41+EN41                 -         SUMIF('Berechnung Nährstoffe und Lager'!$AX$113:$AX$155,$CX41,'Berechnung Nährstoffe und Lager'!$V$113:$V$155)/12  -$GC41*$HC41/12</f>
        <v>0</v>
      </c>
      <c r="FQ41" s="2042">
        <f>FP41+DO41+EO41                 -         SUMIF('Berechnung Nährstoffe und Lager'!$AX$113:$AX$155,$CX41,'Berechnung Nährstoffe und Lager'!$V$113:$V$155)/12  -$GC41*$HC41/12</f>
        <v>0</v>
      </c>
      <c r="FR41" s="2042">
        <f>FQ41+DP41+EP41                 -         SUMIF('Berechnung Nährstoffe und Lager'!$AX$113:$AX$155,$CX41,'Berechnung Nährstoffe und Lager'!$V$113:$V$155)/12  -$GC41*$HC41/12</f>
        <v>0</v>
      </c>
      <c r="FS41" s="2042">
        <f>FR41+DQ41+EQ41                 -         SUMIF('Berechnung Nährstoffe und Lager'!$AX$113:$AX$155,$CX41,'Berechnung Nährstoffe und Lager'!$V$113:$V$155)/12  -$GC41*$HC41/12</f>
        <v>0</v>
      </c>
      <c r="FT41" s="2042">
        <f>FS41+DR41+ER41                 -         SUMIF('Berechnung Nährstoffe und Lager'!$AX$113:$AX$155,$CX41,'Berechnung Nährstoffe und Lager'!$V$113:$V$155)/12  -$GC41*$HC41/12</f>
        <v>0</v>
      </c>
      <c r="FU41" s="2042">
        <f>FT41+DS41+ES41                 -         SUMIF('Berechnung Nährstoffe und Lager'!$AX$113:$AX$155,$CX41,'Berechnung Nährstoffe und Lager'!$V$113:$V$155)/12  -$GC41*$HC41/12</f>
        <v>0</v>
      </c>
      <c r="FV41" s="2042">
        <f>FU41+DT41+ET41                 -         SUMIF('Berechnung Nährstoffe und Lager'!$AX$113:$AX$155,$CX41,'Berechnung Nährstoffe und Lager'!$V$113:$V$155)/12  -$GC41*$HC41/12</f>
        <v>0</v>
      </c>
      <c r="FW41" s="2042">
        <f>FV41+DU41+EU41                 -         SUMIF('Berechnung Nährstoffe und Lager'!$AX$113:$AX$155,$CX41,'Berechnung Nährstoffe und Lager'!$V$113:$V$155)/12  -$GC41*$HC41/12</f>
        <v>0</v>
      </c>
      <c r="FX41" s="2042">
        <f>FW41+DV41+EV41                 -         SUMIF('Berechnung Nährstoffe und Lager'!$AX$113:$AX$155,$CX41,'Berechnung Nährstoffe und Lager'!$V$113:$V$155)/12  -$GC41*$HC41/12</f>
        <v>0</v>
      </c>
      <c r="FY41" s="2042">
        <f>FX41+DW41+EW41                 -         SUMIF('Berechnung Nährstoffe und Lager'!$AX$113:$AX$155,$CX41,'Berechnung Nährstoffe und Lager'!$V$113:$V$155)/12  -$GC41*$HC41/12</f>
        <v>0</v>
      </c>
      <c r="FZ41" s="2042">
        <f>FY41+DX41+EX41                 -         SUMIF('Berechnung Nährstoffe und Lager'!$AX$113:$AX$155,$CX41,'Berechnung Nährstoffe und Lager'!$V$113:$V$155)/12  -$GC41*$HC41/12</f>
        <v>0</v>
      </c>
      <c r="GA41" s="2042"/>
      <c r="GB41" s="2042">
        <f>SUMIFS($CI$14:$CI$68,$BR$14:$BR$68,$CX41)+SUMIFS($CM$14:$CM$68,$BR$14:$BR$68,$CX41)+SUMIFS($CR$14:$CR$68,$BR$14:$BR$68,$CX41)  -         SUMIF('Berechnung Nährstoffe und Lager'!$AX$113:$AX$155,$CX41,'Berechnung Nährstoffe und Lager'!$U$113:$U$155)</f>
        <v>0</v>
      </c>
      <c r="GC41" s="2042">
        <f>SUMIFS($CJ$14:$CJ$68,$BR$14:$BR$68,$CX41)+SUMIFS($CO$14:$CO$68,$BR$14:$BR$68,$CX41)+SUMIFS($CT$14:$CT$68,$BR$14:$BR$68,$CX41)  -         SUMIF('Berechnung Nährstoffe und Lager'!$AX$113:$AX$155,$CX41,'Berechnung Nährstoffe und Lager'!$V$113:$V$155)</f>
        <v>0</v>
      </c>
      <c r="GD41" s="2042"/>
      <c r="GE41" s="2042"/>
      <c r="GF41" s="2042">
        <f>SUMIF('Berechnung Nährstoffe und Lager'!$AX$113:$AX$155,$CX41,'Berechnung Nährstoffe und Lager'!$U$113:$U$155)</f>
        <v>0</v>
      </c>
      <c r="GG41" s="2042">
        <f>SUMIF('Berechnung Nährstoffe und Lager'!$AX$113:$AX$155,$CX41,'Berechnung Nährstoffe und Lager'!$V$113:$V$155)</f>
        <v>0</v>
      </c>
      <c r="GH41" s="2042">
        <f t="shared" si="52"/>
        <v>0</v>
      </c>
      <c r="GI41" s="2042">
        <f t="shared" si="53"/>
        <v>0</v>
      </c>
      <c r="GJ41" s="2042">
        <f t="shared" si="34"/>
        <v>0</v>
      </c>
      <c r="GK41" s="2042">
        <f t="shared" si="35"/>
        <v>0</v>
      </c>
      <c r="GL41" s="2042">
        <f t="shared" si="36"/>
        <v>0</v>
      </c>
      <c r="GM41" s="2042" cm="1">
        <f t="array" ref="GM41">IF(GL41=0,0,(IFERROR(SUMPRODUCT($J$14:$J$68,$CH$14:$CH$68,($BR$14:$BR$68=CX41)*1)+SUMPRODUCT($L$14:$L$68,$M$14:$M$68,$CK$14:$CK$68,($BR$14:$BR$68=CX41)*1,($BT$14:$BT$68=FALSE)*1)/10+SUMPRODUCT($R$14:$R$68,$CP$14:$CP$68,($BR$14:$BR$68=CX41)*1),0))/GL41)</f>
        <v>0</v>
      </c>
      <c r="GN41" s="2042">
        <f t="shared" si="54"/>
        <v>0</v>
      </c>
      <c r="GO41" s="2042">
        <f>(SUMIF('Berechnung Nährstoffe und Lager'!$AX$113:$AX$130,'Lagerhaltung (freiwillig)'!CX41,'Berechnung Nährstoffe und Lager'!$D$113:$D$130)+SUMIF('Berechnung Nährstoffe und Lager'!$AX$137:$AX$155,'Lagerhaltung (freiwillig)'!CX41,'Berechnung Nährstoffe und Lager'!$E$137:$E$155))</f>
        <v>0</v>
      </c>
      <c r="GP41" s="2042" cm="1">
        <f t="array" ref="GP41">IF(GO41=0,0,(IFERROR(SUMPRODUCT('Berechnung Nährstoffe und Lager'!$D$113:$D$130,'Berechnung Nährstoffe und Lager'!$F$113:$F$130,('Berechnung Nährstoffe und Lager'!$AX$113:$AX$130='Lagerhaltung (freiwillig)'!CX41)*1)+SUMPRODUCT('Berechnung Nährstoffe und Lager'!$E$137:$E$155,'Berechnung Nährstoffe und Lager'!$F$137:$F$155,('Berechnung Nährstoffe und Lager'!$AX$137:$AX$155='Lagerhaltung (freiwillig)'!CX41)*1),0))/GO41)</f>
        <v>0</v>
      </c>
      <c r="GQ41" s="2042">
        <f t="shared" si="55"/>
        <v>0</v>
      </c>
      <c r="GR41" s="2042">
        <f t="shared" si="56"/>
        <v>0</v>
      </c>
      <c r="GS41" s="2042">
        <f t="shared" si="57"/>
        <v>0</v>
      </c>
      <c r="GT41" s="2042">
        <f t="shared" si="58"/>
        <v>0</v>
      </c>
      <c r="GU41" s="2045" t="str">
        <f t="shared" si="39"/>
        <v xml:space="preserve"> </v>
      </c>
      <c r="GV41" s="2045" t="str">
        <f t="shared" si="39"/>
        <v xml:space="preserve"> </v>
      </c>
      <c r="GW41" s="2054">
        <f t="shared" si="40"/>
        <v>0</v>
      </c>
      <c r="GX41" s="2042">
        <f t="shared" si="41"/>
        <v>0</v>
      </c>
      <c r="GY41" s="2042" t="str">
        <f t="shared" ref="GY41:GY72" si="120">IF(HI41=3,"a",VLOOKUP(CW41,$Y$13:$AZ$132,COLUMN($AZ$1)-COLUMN($Y$1)+1,FALSE))</f>
        <v>a</v>
      </c>
      <c r="GZ41" s="2055">
        <f t="shared" si="43"/>
        <v>0</v>
      </c>
      <c r="HA41" s="2055">
        <f t="shared" si="44"/>
        <v>0</v>
      </c>
      <c r="HB41" s="2055"/>
      <c r="HC41" s="2046">
        <f t="shared" si="45"/>
        <v>0</v>
      </c>
      <c r="HD41" s="2055">
        <f t="shared" si="46"/>
        <v>0</v>
      </c>
      <c r="HE41" s="2055">
        <f t="shared" si="47"/>
        <v>0</v>
      </c>
      <c r="HF41" s="2055">
        <f t="shared" si="48"/>
        <v>0</v>
      </c>
      <c r="HG41" s="2282" cm="1">
        <f t="array" ref="HG41">IF(AND(HE41=0,GJ41=0),0,IF(HE41=0,1,IF(OR(GJ41*1000/HE41/HF41&gt;INDEX(Pflanzen!$AD$5:$AD$109,CX41)/INDEX(Pflanzen!$M$5:$M$109,CX41)*$HG$1,GJ41*1000/HE41/HF41&lt;INDEX(Pflanzen!$AD$5:$AD$109,CX41)/INDEX(Pflanzen!$M$5:$M$109,CX41)/$HG$1),1,0)))</f>
        <v>0</v>
      </c>
      <c r="HH41" s="2282" cm="1">
        <f t="array" ref="HH41">IF(AND(GK41=0,HE41=0),0,IF(HE41=0,1,IF(OR(GK41*1000/HE41/HF41&gt;INDEX(Pflanzen!$AE$5:$AE$109,CX41)/INDEX(Pflanzen!$M$5:$M$109,CX41)*$HG$1,GK41*1000/HE41/HF41&lt;INDEX(Pflanzen!$AE$5:$AE$109,CX41)/INDEX(Pflanzen!$M$5:$M$109,CX41)/$HG$1),1,0)))</f>
        <v>0</v>
      </c>
      <c r="HI41" s="2042">
        <f t="shared" si="49"/>
        <v>3</v>
      </c>
      <c r="HJ41" s="2042"/>
      <c r="HL41" s="2042"/>
      <c r="HM41" s="2052" t="str">
        <f>Tiere!B67</f>
        <v>Putenhähne bis 21 Wochen Mast, Standard</v>
      </c>
      <c r="HN41" s="2042">
        <v>38</v>
      </c>
      <c r="HO41" s="2053">
        <f>SUMIF('Berechnung Nährstoffe und Lager'!$BM$68:$BM$81,'Lagerhaltung (freiwillig)'!HN41,'Berechnung Nährstoffe und Lager'!$Z$68:$Z$81)+SUMIF('Berechnung Nährstoffe und Lager'!$BM$68:$BM$81,'Lagerhaltung (freiwillig)'!HN41,'Berechnung Nährstoffe und Lager'!$AA$68:$AA$81)</f>
        <v>0</v>
      </c>
      <c r="HP41" s="2042" cm="1">
        <f t="array" ref="HP41">INDEX(Tiere!$C$30:$C$85,'Lagerhaltung (freiwillig)'!HN41)</f>
        <v>3</v>
      </c>
      <c r="HQ41" s="2042" cm="1">
        <f t="array" ref="HQ41">INDEX(Tiere!$H$30:$H$85,'Lagerhaltung (freiwillig)'!HN41)</f>
        <v>0</v>
      </c>
      <c r="HR41" s="2042">
        <f t="shared" si="112"/>
        <v>0</v>
      </c>
      <c r="HS41" s="2042" cm="1">
        <f t="array" ref="HS41">INDEX(Tiere!$I$30:$I$85,'Lagerhaltung (freiwillig)'!HN41)</f>
        <v>0</v>
      </c>
      <c r="HT41" s="2042">
        <f t="shared" si="13"/>
        <v>0</v>
      </c>
      <c r="HU41" s="2042" cm="1">
        <f t="array" ref="HU41">INDEX(Tiere!$BC$30:$BC$85,'Lagerhaltung (freiwillig)'!HN41)</f>
        <v>1.80576</v>
      </c>
      <c r="HV41" s="2042">
        <f t="shared" si="110"/>
        <v>0</v>
      </c>
      <c r="HW41" s="2042" cm="1">
        <f t="array" ref="HW41">INDEX(Tiere!$BD$30:$BD$85,'Lagerhaltung (freiwillig)'!HN41)</f>
        <v>0.64022400000000002</v>
      </c>
      <c r="HX41" s="2042">
        <f t="shared" si="111"/>
        <v>0</v>
      </c>
      <c r="HY41" s="2042"/>
      <c r="HZ41" s="2042"/>
      <c r="IA41" s="2042"/>
      <c r="IB41" s="2042"/>
      <c r="IC41" s="2042"/>
      <c r="ID41" s="2042"/>
      <c r="IE41" s="2042"/>
      <c r="IF41" s="2042"/>
      <c r="IG41" s="2042"/>
      <c r="IH41" s="2042"/>
      <c r="II41" s="2042"/>
      <c r="IJ41" s="2042"/>
    </row>
    <row r="42" spans="1:245" ht="15" customHeight="1" x14ac:dyDescent="0.2">
      <c r="A42" s="2815"/>
      <c r="B42" s="2816"/>
      <c r="C42" s="2816"/>
      <c r="D42" s="2816"/>
      <c r="E42" s="2824"/>
      <c r="F42" s="3002"/>
      <c r="G42" s="2990" t="s">
        <v>1182</v>
      </c>
      <c r="H42" s="2991"/>
      <c r="I42" s="3002"/>
      <c r="J42" s="3044"/>
      <c r="K42" s="3002"/>
      <c r="L42" s="2971"/>
      <c r="M42" s="2971"/>
      <c r="N42" s="3042"/>
      <c r="O42" s="2985"/>
      <c r="P42" s="3070"/>
      <c r="Q42" s="3002"/>
      <c r="R42" s="2971"/>
      <c r="S42" s="3042"/>
      <c r="T42" s="2986"/>
      <c r="U42" s="2218"/>
      <c r="V42" s="2220"/>
      <c r="Y42" s="2005" t="str" cm="1">
        <f t="array" ref="Y42">IFERROR(INDEX($CW$4:$CW$171,AY42),"")</f>
        <v/>
      </c>
      <c r="Z42" s="510"/>
      <c r="AA42" s="510"/>
      <c r="AB42" s="510"/>
      <c r="AC42" s="2031" t="str" cm="1">
        <f t="array" ref="AC42">IFERROR(INDEX($GL$4:$GL$171,AY42),"")</f>
        <v/>
      </c>
      <c r="AD42" s="2031" t="str" cm="1">
        <f t="array" ref="AD42">IFERROR(INDEX($GM$4:$GM$171,AY42),"")</f>
        <v/>
      </c>
      <c r="AE42" s="2031" t="str" cm="1">
        <f t="array" ref="AE42">IFERROR(INDEX($GH$4:$GH$171,AY42),"")</f>
        <v/>
      </c>
      <c r="AF42" s="2031" t="str" cm="1">
        <f t="array" ref="AF42">IFERROR(INDEX($GI$4:$GI$171,AY42),"")</f>
        <v/>
      </c>
      <c r="AG42" s="2031" t="str" cm="1">
        <f t="array" ref="AG42">IFERROR(INDEX($GO$4:$GO$171,AY42),"")</f>
        <v/>
      </c>
      <c r="AH42" s="2031" t="str" cm="1">
        <f t="array" ref="AH42">IFERROR(INDEX($GP$4:$GP$171,AY42),"")</f>
        <v/>
      </c>
      <c r="AI42" s="2031" t="str" cm="1">
        <f t="array" ref="AI42">IFERROR(INDEX($GF$4:$GF$171,AY42),"")</f>
        <v/>
      </c>
      <c r="AJ42" s="2031" t="str" cm="1">
        <f t="array" ref="AJ42">IFERROR(INDEX($GG$4:$GG$171,AY42),"")</f>
        <v/>
      </c>
      <c r="AK42" s="2031" t="str" cm="1">
        <f t="array" ref="AK42">IFERROR(INDEX($GS$4:$GS$171,AY42),"")</f>
        <v/>
      </c>
      <c r="AL42" s="2032" t="str" cm="1">
        <f t="array" ref="AL42">IFERROR(INDEX($GT$4:$GT$171,AY42),"")</f>
        <v/>
      </c>
      <c r="AM42" s="2031" t="str" cm="1">
        <f t="array" ref="AM42">IFERROR(INDEX($GB$4:$GB$171,AY42),"")</f>
        <v/>
      </c>
      <c r="AN42" s="2031" t="str" cm="1">
        <f t="array" ref="AN42">IFERROR(INDEX($GC$4:$GC$171,AY42),"")</f>
        <v/>
      </c>
      <c r="AO42" s="2031" t="str" cm="1">
        <f t="array" ref="AO42">IFERROR(INDEX($GU$4:$GU$171,AY42),"")</f>
        <v/>
      </c>
      <c r="AP42" s="2031" t="str" cm="1">
        <f t="array" ref="AP42">IFERROR(INDEX($GX$4:$GX$171,AY42),"")</f>
        <v/>
      </c>
      <c r="AQ42" s="1316"/>
      <c r="AR42" s="2031" t="str" cm="1">
        <f t="array" ref="AR42">IFERROR(INDEX($HD$4:$HD$171,AY42),"")</f>
        <v/>
      </c>
      <c r="AS42" s="2031" t="str" cm="1">
        <f t="array" ref="AS42">IFERROR(INDEX($HE$4:$HE$171,AY42),"")</f>
        <v/>
      </c>
      <c r="AT42" s="2031" t="str" cm="1">
        <f t="array" ref="AT42">IFERROR(INDEX($HF$4:$HF$171,AY42),"")</f>
        <v/>
      </c>
      <c r="AU42" s="2031" t="str" cm="1">
        <f t="array" ref="AU42">IFERROR(INDEX($GJ$4:$GJ$171,AY42),"")</f>
        <v/>
      </c>
      <c r="AV42" s="2031" t="str" cm="1">
        <f t="array" ref="AV42">IFERROR(INDEX($GK$4:$GK$171,AY42),"")</f>
        <v/>
      </c>
      <c r="AY42" s="2042" t="str" cm="1">
        <f t="array" ref="AY42">IFERROR(SMALL(IF($HI$4:$HI$171=1,ROW($HI$4:$HI$171)-3),ROW(W27)),IFERROR(SMALL(IF($HI$4:$HI$171=2,ROW($HI$4:$HI$171)-3),ROW(W27)-COUNTIF($HI$4:$HI$171,1)),IFERROR(SMALL(IF($HI$4:$HI$171=0,ROW($HI$4:$HI$171)-3),ROW(W27)-COUNTIF($HI$4:$HI$171,1)-COUNTIF($HI$4:$HI$171,2)),"")))</f>
        <v/>
      </c>
      <c r="AZ42" s="2042" t="str">
        <f t="shared" si="117"/>
        <v>a</v>
      </c>
      <c r="BA42" s="2053" t="e">
        <f t="shared" si="118"/>
        <v>#VALUE!</v>
      </c>
      <c r="BB42" s="2053" cm="1">
        <f t="array" ref="BB42">IFERROR(INDEX($HI$4:$HI$171,AY42),0)</f>
        <v>0</v>
      </c>
      <c r="BC42" s="2053">
        <f t="shared" si="119"/>
        <v>0</v>
      </c>
      <c r="BD42" s="2053"/>
      <c r="BE42" s="2307"/>
      <c r="BF42" s="2307"/>
      <c r="BG42" s="2307"/>
      <c r="BH42" s="2307"/>
      <c r="BI42" s="2307"/>
      <c r="BJ42" s="2307"/>
      <c r="BK42" s="2307"/>
      <c r="BL42" s="2307"/>
      <c r="BM42" s="2307"/>
      <c r="BN42" s="2307"/>
      <c r="BO42" s="2307"/>
      <c r="BP42" s="2043"/>
      <c r="BQ42" s="2042"/>
      <c r="BR42" s="2042"/>
      <c r="BS42" s="2042"/>
      <c r="BT42" s="2042"/>
      <c r="BU42" s="2044"/>
      <c r="BV42" s="2044"/>
      <c r="BW42" s="2042"/>
      <c r="BX42" s="2042"/>
      <c r="BY42" s="2042"/>
      <c r="BZ42" s="2042"/>
      <c r="CA42" s="2042"/>
      <c r="CB42" s="2042"/>
      <c r="CC42" s="2042"/>
      <c r="CD42" s="2042"/>
      <c r="CE42" s="2042"/>
      <c r="CF42" s="2042"/>
      <c r="CG42" s="2042"/>
      <c r="CH42" s="2042"/>
      <c r="CI42" s="2042"/>
      <c r="CJ42" s="2042"/>
      <c r="CK42" s="2042"/>
      <c r="CL42" s="2042"/>
      <c r="CM42" s="2042"/>
      <c r="CN42" s="2042"/>
      <c r="CO42" s="2042"/>
      <c r="CP42" s="2042"/>
      <c r="CQ42" s="2042"/>
      <c r="CR42" s="2042"/>
      <c r="CS42" s="2042"/>
      <c r="CT42" s="2042"/>
      <c r="CU42" s="2042"/>
      <c r="CV42" s="2042"/>
      <c r="CW42" s="609" t="str">
        <f>Pflanzen!A38</f>
        <v>Ackergras 5 Schnitte/Jahr</v>
      </c>
      <c r="CX42" s="2042">
        <f>IFERROR(MATCH($CW42,Pflanzen!$C$5:$C$119,0),1)</f>
        <v>34</v>
      </c>
      <c r="CY42" s="609" cm="1">
        <f t="array" ref="CY42">INDEX(Pflanzen!$I$5:$I$119,'Lagerhaltung (freiwillig)'!CX42)</f>
        <v>1</v>
      </c>
      <c r="CZ42" s="2042">
        <f t="shared" si="113"/>
        <v>0</v>
      </c>
      <c r="DA42" s="2042">
        <f t="shared" si="113"/>
        <v>0</v>
      </c>
      <c r="DB42" s="2042">
        <f t="shared" si="113"/>
        <v>0</v>
      </c>
      <c r="DC42" s="2042">
        <f t="shared" si="113"/>
        <v>0</v>
      </c>
      <c r="DD42" s="2042">
        <f t="shared" si="113"/>
        <v>0</v>
      </c>
      <c r="DE42" s="2042">
        <f t="shared" si="113"/>
        <v>0</v>
      </c>
      <c r="DF42" s="2042">
        <f t="shared" si="113"/>
        <v>0</v>
      </c>
      <c r="DG42" s="2042">
        <f t="shared" si="113"/>
        <v>0</v>
      </c>
      <c r="DH42" s="2042">
        <f t="shared" si="113"/>
        <v>0</v>
      </c>
      <c r="DI42" s="2042">
        <f t="shared" si="113"/>
        <v>0</v>
      </c>
      <c r="DJ42" s="2042">
        <f t="shared" si="113"/>
        <v>0</v>
      </c>
      <c r="DK42" s="2042">
        <f t="shared" si="113"/>
        <v>0</v>
      </c>
      <c r="DL42" s="2042"/>
      <c r="DM42" s="2042">
        <f t="shared" si="114"/>
        <v>0</v>
      </c>
      <c r="DN42" s="2042">
        <f t="shared" si="114"/>
        <v>0</v>
      </c>
      <c r="DO42" s="2042">
        <f t="shared" si="114"/>
        <v>0</v>
      </c>
      <c r="DP42" s="2042">
        <f t="shared" si="114"/>
        <v>0</v>
      </c>
      <c r="DQ42" s="2042">
        <f t="shared" si="114"/>
        <v>0</v>
      </c>
      <c r="DR42" s="2042">
        <f t="shared" si="114"/>
        <v>0</v>
      </c>
      <c r="DS42" s="2042">
        <f t="shared" si="114"/>
        <v>0</v>
      </c>
      <c r="DT42" s="2042">
        <f t="shared" si="114"/>
        <v>0</v>
      </c>
      <c r="DU42" s="2042">
        <f t="shared" si="114"/>
        <v>0</v>
      </c>
      <c r="DV42" s="2042">
        <f t="shared" si="114"/>
        <v>0</v>
      </c>
      <c r="DW42" s="2042">
        <f t="shared" si="114"/>
        <v>0</v>
      </c>
      <c r="DX42" s="2042">
        <f t="shared" si="114"/>
        <v>0</v>
      </c>
      <c r="DY42" s="2042"/>
      <c r="DZ42" s="2042">
        <f t="shared" si="115"/>
        <v>0</v>
      </c>
      <c r="EA42" s="2042">
        <f t="shared" si="115"/>
        <v>0</v>
      </c>
      <c r="EB42" s="2042">
        <f t="shared" si="115"/>
        <v>0</v>
      </c>
      <c r="EC42" s="2042">
        <f t="shared" si="115"/>
        <v>0</v>
      </c>
      <c r="ED42" s="2042">
        <f t="shared" si="115"/>
        <v>0</v>
      </c>
      <c r="EE42" s="2042">
        <f t="shared" si="115"/>
        <v>0</v>
      </c>
      <c r="EF42" s="2042">
        <f t="shared" si="115"/>
        <v>0</v>
      </c>
      <c r="EG42" s="2042">
        <f t="shared" si="115"/>
        <v>0</v>
      </c>
      <c r="EH42" s="2042">
        <f t="shared" si="115"/>
        <v>0</v>
      </c>
      <c r="EI42" s="2042">
        <f t="shared" si="115"/>
        <v>0</v>
      </c>
      <c r="EJ42" s="2042">
        <f t="shared" si="115"/>
        <v>0</v>
      </c>
      <c r="EK42" s="2042">
        <f t="shared" si="115"/>
        <v>0</v>
      </c>
      <c r="EL42" s="2042"/>
      <c r="EM42" s="2042">
        <f t="shared" si="116"/>
        <v>0</v>
      </c>
      <c r="EN42" s="2042">
        <f t="shared" si="116"/>
        <v>0</v>
      </c>
      <c r="EO42" s="2042">
        <f t="shared" si="116"/>
        <v>0</v>
      </c>
      <c r="EP42" s="2042">
        <f t="shared" si="116"/>
        <v>0</v>
      </c>
      <c r="EQ42" s="2042">
        <f t="shared" si="116"/>
        <v>0</v>
      </c>
      <c r="ER42" s="2042">
        <f t="shared" si="116"/>
        <v>0</v>
      </c>
      <c r="ES42" s="2042">
        <f t="shared" si="116"/>
        <v>0</v>
      </c>
      <c r="ET42" s="2042">
        <f t="shared" si="116"/>
        <v>0</v>
      </c>
      <c r="EU42" s="2042">
        <f t="shared" si="116"/>
        <v>0</v>
      </c>
      <c r="EV42" s="2042">
        <f t="shared" si="116"/>
        <v>0</v>
      </c>
      <c r="EW42" s="2042">
        <f t="shared" si="116"/>
        <v>0</v>
      </c>
      <c r="EX42" s="2042">
        <f t="shared" si="116"/>
        <v>0</v>
      </c>
      <c r="EY42" s="2042"/>
      <c r="EZ42" s="2045">
        <f t="shared" si="50"/>
        <v>0</v>
      </c>
      <c r="FA42" s="2042">
        <f>EZ42+CZ42+DZ42                 -         SUMIF('Berechnung Nährstoffe und Lager'!$AX$113:$AX$155,$CX42,'Berechnung Nährstoffe und Lager'!$U$113:$U$155)/12  -$GB42*$HC42/12</f>
        <v>0</v>
      </c>
      <c r="FB42" s="2042">
        <f>FA42+DA42+EA42                 -         SUMIF('Berechnung Nährstoffe und Lager'!$AX$113:$AX$155,$CX42,'Berechnung Nährstoffe und Lager'!$U$113:$U$155)/12  -$GB42*$HC42/12</f>
        <v>0</v>
      </c>
      <c r="FC42" s="2042">
        <f>FB42+DB42+EB42                 -         SUMIF('Berechnung Nährstoffe und Lager'!$AX$113:$AX$155,$CX42,'Berechnung Nährstoffe und Lager'!$U$113:$U$155)/12  -$GB42*$HC42/12</f>
        <v>0</v>
      </c>
      <c r="FD42" s="2042">
        <f>FC42+DC42+EC42                 -         SUMIF('Berechnung Nährstoffe und Lager'!$AX$113:$AX$155,$CX42,'Berechnung Nährstoffe und Lager'!$U$113:$U$155)/12  -$GB42*$HC42/12</f>
        <v>0</v>
      </c>
      <c r="FE42" s="2042">
        <f>FD42+DD42+ED42                 -         SUMIF('Berechnung Nährstoffe und Lager'!$AX$113:$AX$155,$CX42,'Berechnung Nährstoffe und Lager'!$U$113:$U$155)/12  -$GB42*$HC42/12</f>
        <v>0</v>
      </c>
      <c r="FF42" s="2042">
        <f>FE42+DE42+EE42                 -         SUMIF('Berechnung Nährstoffe und Lager'!$AX$113:$AX$155,$CX42,'Berechnung Nährstoffe und Lager'!$U$113:$U$155)/12  -$GB42*$HC42/12</f>
        <v>0</v>
      </c>
      <c r="FG42" s="2042">
        <f>FF42+DF42+EF42                 -         SUMIF('Berechnung Nährstoffe und Lager'!$AX$113:$AX$155,$CX42,'Berechnung Nährstoffe und Lager'!$U$113:$U$155)/12  -$GB42*$HC42/12</f>
        <v>0</v>
      </c>
      <c r="FH42" s="2042">
        <f>FG42+DG42+EG42                 -         SUMIF('Berechnung Nährstoffe und Lager'!$AX$113:$AX$155,$CX42,'Berechnung Nährstoffe und Lager'!$U$113:$U$155)/12  -$GB42*$HC42/12</f>
        <v>0</v>
      </c>
      <c r="FI42" s="2042">
        <f>FH42+DH42+EH42                 -         SUMIF('Berechnung Nährstoffe und Lager'!$AX$113:$AX$155,$CX42,'Berechnung Nährstoffe und Lager'!$U$113:$U$155)/12  -$GB42*$HC42/12</f>
        <v>0</v>
      </c>
      <c r="FJ42" s="2042">
        <f>FI42+DI42+EI42                 -         SUMIF('Berechnung Nährstoffe und Lager'!$AX$113:$AX$155,$CX42,'Berechnung Nährstoffe und Lager'!$U$113:$U$155)/12  -$GB42*$HC42/12</f>
        <v>0</v>
      </c>
      <c r="FK42" s="2042">
        <f>FJ42+DJ42+EJ42                 -         SUMIF('Berechnung Nährstoffe und Lager'!$AX$113:$AX$155,$CX42,'Berechnung Nährstoffe und Lager'!$U$113:$U$155)/12  -$GB42*$HC42/12</f>
        <v>0</v>
      </c>
      <c r="FL42" s="2042">
        <f>FK42+DK42+EK42                 -         SUMIF('Berechnung Nährstoffe und Lager'!$AX$113:$AX$155,$CX42,'Berechnung Nährstoffe und Lager'!$U$113:$U$155)/12  -$GB42*$HC42/12</f>
        <v>0</v>
      </c>
      <c r="FM42" s="2042"/>
      <c r="FN42" s="2045">
        <f t="shared" si="51"/>
        <v>0</v>
      </c>
      <c r="FO42" s="2042">
        <f>FN42+DM42+EM42                 -         SUMIF('Berechnung Nährstoffe und Lager'!$AX$113:$AX$155,$CX42,'Berechnung Nährstoffe und Lager'!$V$113:$V$155)/12  -$GC42*$HC42/12</f>
        <v>0</v>
      </c>
      <c r="FP42" s="2042">
        <f>FO42+DN42+EN42                 -         SUMIF('Berechnung Nährstoffe und Lager'!$AX$113:$AX$155,$CX42,'Berechnung Nährstoffe und Lager'!$V$113:$V$155)/12  -$GC42*$HC42/12</f>
        <v>0</v>
      </c>
      <c r="FQ42" s="2042">
        <f>FP42+DO42+EO42                 -         SUMIF('Berechnung Nährstoffe und Lager'!$AX$113:$AX$155,$CX42,'Berechnung Nährstoffe und Lager'!$V$113:$V$155)/12  -$GC42*$HC42/12</f>
        <v>0</v>
      </c>
      <c r="FR42" s="2042">
        <f>FQ42+DP42+EP42                 -         SUMIF('Berechnung Nährstoffe und Lager'!$AX$113:$AX$155,$CX42,'Berechnung Nährstoffe und Lager'!$V$113:$V$155)/12  -$GC42*$HC42/12</f>
        <v>0</v>
      </c>
      <c r="FS42" s="2042">
        <f>FR42+DQ42+EQ42                 -         SUMIF('Berechnung Nährstoffe und Lager'!$AX$113:$AX$155,$CX42,'Berechnung Nährstoffe und Lager'!$V$113:$V$155)/12  -$GC42*$HC42/12</f>
        <v>0</v>
      </c>
      <c r="FT42" s="2042">
        <f>FS42+DR42+ER42                 -         SUMIF('Berechnung Nährstoffe und Lager'!$AX$113:$AX$155,$CX42,'Berechnung Nährstoffe und Lager'!$V$113:$V$155)/12  -$GC42*$HC42/12</f>
        <v>0</v>
      </c>
      <c r="FU42" s="2042">
        <f>FT42+DS42+ES42                 -         SUMIF('Berechnung Nährstoffe und Lager'!$AX$113:$AX$155,$CX42,'Berechnung Nährstoffe und Lager'!$V$113:$V$155)/12  -$GC42*$HC42/12</f>
        <v>0</v>
      </c>
      <c r="FV42" s="2042">
        <f>FU42+DT42+ET42                 -         SUMIF('Berechnung Nährstoffe und Lager'!$AX$113:$AX$155,$CX42,'Berechnung Nährstoffe und Lager'!$V$113:$V$155)/12  -$GC42*$HC42/12</f>
        <v>0</v>
      </c>
      <c r="FW42" s="2042">
        <f>FV42+DU42+EU42                 -         SUMIF('Berechnung Nährstoffe und Lager'!$AX$113:$AX$155,$CX42,'Berechnung Nährstoffe und Lager'!$V$113:$V$155)/12  -$GC42*$HC42/12</f>
        <v>0</v>
      </c>
      <c r="FX42" s="2042">
        <f>FW42+DV42+EV42                 -         SUMIF('Berechnung Nährstoffe und Lager'!$AX$113:$AX$155,$CX42,'Berechnung Nährstoffe und Lager'!$V$113:$V$155)/12  -$GC42*$HC42/12</f>
        <v>0</v>
      </c>
      <c r="FY42" s="2042">
        <f>FX42+DW42+EW42                 -         SUMIF('Berechnung Nährstoffe und Lager'!$AX$113:$AX$155,$CX42,'Berechnung Nährstoffe und Lager'!$V$113:$V$155)/12  -$GC42*$HC42/12</f>
        <v>0</v>
      </c>
      <c r="FZ42" s="2042">
        <f>FY42+DX42+EX42                 -         SUMIF('Berechnung Nährstoffe und Lager'!$AX$113:$AX$155,$CX42,'Berechnung Nährstoffe und Lager'!$V$113:$V$155)/12  -$GC42*$HC42/12</f>
        <v>0</v>
      </c>
      <c r="GA42" s="2042"/>
      <c r="GB42" s="2042">
        <f>SUMIFS($CI$14:$CI$68,$BR$14:$BR$68,$CX42)+SUMIFS($CM$14:$CM$68,$BR$14:$BR$68,$CX42)+SUMIFS($CR$14:$CR$68,$BR$14:$BR$68,$CX42)  -         SUMIF('Berechnung Nährstoffe und Lager'!$AX$113:$AX$155,$CX42,'Berechnung Nährstoffe und Lager'!$U$113:$U$155)</f>
        <v>0</v>
      </c>
      <c r="GC42" s="2042">
        <f>SUMIFS($CJ$14:$CJ$68,$BR$14:$BR$68,$CX42)+SUMIFS($CO$14:$CO$68,$BR$14:$BR$68,$CX42)+SUMIFS($CT$14:$CT$68,$BR$14:$BR$68,$CX42)  -         SUMIF('Berechnung Nährstoffe und Lager'!$AX$113:$AX$155,$CX42,'Berechnung Nährstoffe und Lager'!$V$113:$V$155)</f>
        <v>0</v>
      </c>
      <c r="GD42" s="2042"/>
      <c r="GE42" s="2042"/>
      <c r="GF42" s="2042">
        <f>SUMIF('Berechnung Nährstoffe und Lager'!$AX$113:$AX$155,$CX42,'Berechnung Nährstoffe und Lager'!$U$113:$U$155)</f>
        <v>0</v>
      </c>
      <c r="GG42" s="2042">
        <f>SUMIF('Berechnung Nährstoffe und Lager'!$AX$113:$AX$155,$CX42,'Berechnung Nährstoffe und Lager'!$V$113:$V$155)</f>
        <v>0</v>
      </c>
      <c r="GH42" s="2042">
        <f t="shared" si="52"/>
        <v>0</v>
      </c>
      <c r="GI42" s="2042">
        <f t="shared" si="53"/>
        <v>0</v>
      </c>
      <c r="GJ42" s="2042">
        <f t="shared" si="34"/>
        <v>0</v>
      </c>
      <c r="GK42" s="2042">
        <f t="shared" si="35"/>
        <v>0</v>
      </c>
      <c r="GL42" s="2042">
        <f t="shared" si="36"/>
        <v>0</v>
      </c>
      <c r="GM42" s="2042" cm="1">
        <f t="array" ref="GM42">IF(GL42=0,0,(IFERROR(SUMPRODUCT($J$14:$J$68,$CH$14:$CH$68,($BR$14:$BR$68=CX42)*1)+SUMPRODUCT($L$14:$L$68,$M$14:$M$68,$CK$14:$CK$68,($BR$14:$BR$68=CX42)*1,($BT$14:$BT$68=FALSE)*1)/10+SUMPRODUCT($R$14:$R$68,$CP$14:$CP$68,($BR$14:$BR$68=CX42)*1),0))/GL42)</f>
        <v>0</v>
      </c>
      <c r="GN42" s="2042">
        <f t="shared" si="54"/>
        <v>0</v>
      </c>
      <c r="GO42" s="2042">
        <f>(SUMIF('Berechnung Nährstoffe und Lager'!$AX$113:$AX$130,'Lagerhaltung (freiwillig)'!CX42,'Berechnung Nährstoffe und Lager'!$D$113:$D$130)+SUMIF('Berechnung Nährstoffe und Lager'!$AX$137:$AX$155,'Lagerhaltung (freiwillig)'!CX42,'Berechnung Nährstoffe und Lager'!$E$137:$E$155))</f>
        <v>0</v>
      </c>
      <c r="GP42" s="2042" cm="1">
        <f t="array" ref="GP42">IF(GO42=0,0,(IFERROR(SUMPRODUCT('Berechnung Nährstoffe und Lager'!$D$113:$D$130,'Berechnung Nährstoffe und Lager'!$F$113:$F$130,('Berechnung Nährstoffe und Lager'!$AX$113:$AX$130='Lagerhaltung (freiwillig)'!CX42)*1)+SUMPRODUCT('Berechnung Nährstoffe und Lager'!$E$137:$E$155,'Berechnung Nährstoffe und Lager'!$F$137:$F$155,('Berechnung Nährstoffe und Lager'!$AX$137:$AX$155='Lagerhaltung (freiwillig)'!CX42)*1),0))/GO42)</f>
        <v>0</v>
      </c>
      <c r="GQ42" s="2042">
        <f t="shared" si="55"/>
        <v>0</v>
      </c>
      <c r="GR42" s="2042">
        <f t="shared" si="56"/>
        <v>0</v>
      </c>
      <c r="GS42" s="2042">
        <f t="shared" si="57"/>
        <v>0</v>
      </c>
      <c r="GT42" s="2042">
        <f t="shared" si="58"/>
        <v>0</v>
      </c>
      <c r="GU42" s="2045" t="str">
        <f t="shared" si="39"/>
        <v xml:space="preserve"> </v>
      </c>
      <c r="GV42" s="2045" t="str">
        <f t="shared" si="39"/>
        <v xml:space="preserve"> </v>
      </c>
      <c r="GW42" s="2054">
        <f t="shared" si="40"/>
        <v>0</v>
      </c>
      <c r="GX42" s="2042">
        <f t="shared" si="41"/>
        <v>0</v>
      </c>
      <c r="GY42" s="2042" t="str">
        <f t="shared" si="120"/>
        <v>a</v>
      </c>
      <c r="GZ42" s="2055">
        <f t="shared" si="43"/>
        <v>0</v>
      </c>
      <c r="HA42" s="2055">
        <f t="shared" si="44"/>
        <v>0</v>
      </c>
      <c r="HB42" s="2055"/>
      <c r="HC42" s="2046">
        <f t="shared" si="45"/>
        <v>0</v>
      </c>
      <c r="HD42" s="2055">
        <f t="shared" si="46"/>
        <v>0</v>
      </c>
      <c r="HE42" s="2055">
        <f t="shared" si="47"/>
        <v>0</v>
      </c>
      <c r="HF42" s="2055">
        <f t="shared" si="48"/>
        <v>0</v>
      </c>
      <c r="HG42" s="2282" cm="1">
        <f t="array" ref="HG42">IF(AND(HE42=0,GJ42=0),0,IF(HE42=0,1,IF(OR(GJ42*1000/HE42/HF42&gt;INDEX(Pflanzen!$AD$5:$AD$109,CX42)/INDEX(Pflanzen!$M$5:$M$109,CX42)*$HG$1,GJ42*1000/HE42/HF42&lt;INDEX(Pflanzen!$AD$5:$AD$109,CX42)/INDEX(Pflanzen!$M$5:$M$109,CX42)/$HG$1),1,0)))</f>
        <v>0</v>
      </c>
      <c r="HH42" s="2282" cm="1">
        <f t="array" ref="HH42">IF(AND(GK42=0,HE42=0),0,IF(HE42=0,1,IF(OR(GK42*1000/HE42/HF42&gt;INDEX(Pflanzen!$AE$5:$AE$109,CX42)/INDEX(Pflanzen!$M$5:$M$109,CX42)*$HG$1,GK42*1000/HE42/HF42&lt;INDEX(Pflanzen!$AE$5:$AE$109,CX42)/INDEX(Pflanzen!$M$5:$M$109,CX42)/$HG$1),1,0)))</f>
        <v>0</v>
      </c>
      <c r="HI42" s="2042">
        <f t="shared" si="49"/>
        <v>3</v>
      </c>
      <c r="HJ42" s="2042"/>
      <c r="HL42" s="2042"/>
      <c r="HM42" s="2052" t="str">
        <f>Tiere!B68</f>
        <v>Putenhähne bis 21 Wochen Mast, N-/P-reduziert</v>
      </c>
      <c r="HN42" s="2042">
        <v>39</v>
      </c>
      <c r="HO42" s="2053">
        <f>SUMIF('Berechnung Nährstoffe und Lager'!$BM$68:$BM$81,'Lagerhaltung (freiwillig)'!HN42,'Berechnung Nährstoffe und Lager'!$Z$68:$Z$81)+SUMIF('Berechnung Nährstoffe und Lager'!$BM$68:$BM$81,'Lagerhaltung (freiwillig)'!HN42,'Berechnung Nährstoffe und Lager'!$AA$68:$AA$81)</f>
        <v>0</v>
      </c>
      <c r="HP42" s="2042" cm="1">
        <f t="array" ref="HP42">INDEX(Tiere!$C$30:$C$85,'Lagerhaltung (freiwillig)'!HN42)</f>
        <v>3</v>
      </c>
      <c r="HQ42" s="2042" cm="1">
        <f t="array" ref="HQ42">INDEX(Tiere!$H$30:$H$85,'Lagerhaltung (freiwillig)'!HN42)</f>
        <v>0</v>
      </c>
      <c r="HR42" s="2042">
        <f t="shared" si="112"/>
        <v>0</v>
      </c>
      <c r="HS42" s="2042" cm="1">
        <f t="array" ref="HS42">INDEX(Tiere!$I$30:$I$85,'Lagerhaltung (freiwillig)'!HN42)</f>
        <v>0</v>
      </c>
      <c r="HT42" s="2042">
        <f t="shared" si="13"/>
        <v>0</v>
      </c>
      <c r="HU42" s="2042" cm="1">
        <f t="array" ref="HU42">INDEX(Tiere!$BC$30:$BC$85,'Lagerhaltung (freiwillig)'!HN42)</f>
        <v>1.80576</v>
      </c>
      <c r="HV42" s="2042">
        <f t="shared" si="110"/>
        <v>0</v>
      </c>
      <c r="HW42" s="2042" cm="1">
        <f t="array" ref="HW42">INDEX(Tiere!$BD$30:$BD$85,'Lagerhaltung (freiwillig)'!HN42)</f>
        <v>0.64022400000000002</v>
      </c>
      <c r="HX42" s="2042">
        <f t="shared" si="111"/>
        <v>0</v>
      </c>
      <c r="HY42" s="2042"/>
      <c r="HZ42" s="2042"/>
      <c r="IA42" s="2042"/>
      <c r="IB42" s="2042"/>
      <c r="IC42" s="2042"/>
      <c r="ID42" s="2042"/>
      <c r="IE42" s="2042"/>
      <c r="IF42" s="2042"/>
      <c r="IG42" s="2042"/>
      <c r="IH42" s="2042"/>
      <c r="II42" s="2042"/>
      <c r="IJ42" s="2042"/>
    </row>
    <row r="43" spans="1:245" ht="12.75" customHeight="1" thickBot="1" x14ac:dyDescent="0.25">
      <c r="A43" s="3016"/>
      <c r="B43" s="3017"/>
      <c r="C43" s="3017"/>
      <c r="D43" s="3017"/>
      <c r="E43" s="3018"/>
      <c r="F43" s="3003"/>
      <c r="G43" s="3019" t="s">
        <v>500</v>
      </c>
      <c r="H43" s="3020"/>
      <c r="I43" s="3003"/>
      <c r="J43" s="3045"/>
      <c r="K43" s="3003"/>
      <c r="L43" s="2972"/>
      <c r="M43" s="2972"/>
      <c r="N43" s="2011" t="s">
        <v>8457</v>
      </c>
      <c r="O43" s="2203" t="s">
        <v>1098</v>
      </c>
      <c r="P43" s="3071"/>
      <c r="Q43" s="3003"/>
      <c r="R43" s="2972"/>
      <c r="S43" s="2198" t="s">
        <v>8457</v>
      </c>
      <c r="T43" s="2201" t="s">
        <v>1098</v>
      </c>
      <c r="U43" s="2218"/>
      <c r="V43" s="2220"/>
      <c r="Y43" s="2005" t="str" cm="1">
        <f t="array" ref="Y43">IFERROR(INDEX($CW$4:$CW$171,AY43),"")</f>
        <v/>
      </c>
      <c r="Z43" s="510"/>
      <c r="AA43" s="510"/>
      <c r="AB43" s="510"/>
      <c r="AC43" s="2031" t="str" cm="1">
        <f t="array" ref="AC43">IFERROR(INDEX($GL$4:$GL$171,AY43),"")</f>
        <v/>
      </c>
      <c r="AD43" s="2031" t="str" cm="1">
        <f t="array" ref="AD43">IFERROR(INDEX($GM$4:$GM$171,AY43),"")</f>
        <v/>
      </c>
      <c r="AE43" s="2031" t="str" cm="1">
        <f t="array" ref="AE43">IFERROR(INDEX($GH$4:$GH$171,AY43),"")</f>
        <v/>
      </c>
      <c r="AF43" s="2031" t="str" cm="1">
        <f t="array" ref="AF43">IFERROR(INDEX($GI$4:$GI$171,AY43),"")</f>
        <v/>
      </c>
      <c r="AG43" s="2031" t="str" cm="1">
        <f t="array" ref="AG43">IFERROR(INDEX($GO$4:$GO$171,AY43),"")</f>
        <v/>
      </c>
      <c r="AH43" s="2031" t="str" cm="1">
        <f t="array" ref="AH43">IFERROR(INDEX($GP$4:$GP$171,AY43),"")</f>
        <v/>
      </c>
      <c r="AI43" s="2031" t="str" cm="1">
        <f t="array" ref="AI43">IFERROR(INDEX($GF$4:$GF$171,AY43),"")</f>
        <v/>
      </c>
      <c r="AJ43" s="2031" t="str" cm="1">
        <f t="array" ref="AJ43">IFERROR(INDEX($GG$4:$GG$171,AY43),"")</f>
        <v/>
      </c>
      <c r="AK43" s="2031" t="str" cm="1">
        <f t="array" ref="AK43">IFERROR(INDEX($GS$4:$GS$171,AY43),"")</f>
        <v/>
      </c>
      <c r="AL43" s="2032" t="str" cm="1">
        <f t="array" ref="AL43">IFERROR(INDEX($GT$4:$GT$171,AY43),"")</f>
        <v/>
      </c>
      <c r="AM43" s="2031" t="str" cm="1">
        <f t="array" ref="AM43">IFERROR(INDEX($GB$4:$GB$171,AY43),"")</f>
        <v/>
      </c>
      <c r="AN43" s="2031" t="str" cm="1">
        <f t="array" ref="AN43">IFERROR(INDEX($GC$4:$GC$171,AY43),"")</f>
        <v/>
      </c>
      <c r="AO43" s="2031" t="str" cm="1">
        <f t="array" ref="AO43">IFERROR(INDEX($GU$4:$GU$171,AY43),"")</f>
        <v/>
      </c>
      <c r="AP43" s="2031" t="str" cm="1">
        <f t="array" ref="AP43">IFERROR(INDEX($GX$4:$GX$171,AY43),"")</f>
        <v/>
      </c>
      <c r="AQ43" s="1316"/>
      <c r="AR43" s="2031" t="str" cm="1">
        <f t="array" ref="AR43">IFERROR(INDEX($HD$4:$HD$171,AY43),"")</f>
        <v/>
      </c>
      <c r="AS43" s="2031" t="str" cm="1">
        <f t="array" ref="AS43">IFERROR(INDEX($HE$4:$HE$171,AY43),"")</f>
        <v/>
      </c>
      <c r="AT43" s="2031" t="str" cm="1">
        <f t="array" ref="AT43">IFERROR(INDEX($HF$4:$HF$171,AY43),"")</f>
        <v/>
      </c>
      <c r="AU43" s="2031" t="str" cm="1">
        <f t="array" ref="AU43">IFERROR(INDEX($GJ$4:$GJ$171,AY43),"")</f>
        <v/>
      </c>
      <c r="AV43" s="2031" t="str" cm="1">
        <f t="array" ref="AV43">IFERROR(INDEX($GK$4:$GK$171,AY43),"")</f>
        <v/>
      </c>
      <c r="AY43" s="2042" t="str" cm="1">
        <f t="array" ref="AY43">IFERROR(SMALL(IF($HI$4:$HI$171=1,ROW($HI$4:$HI$171)-3),ROW(W28)),IFERROR(SMALL(IF($HI$4:$HI$171=2,ROW($HI$4:$HI$171)-3),ROW(W28)-COUNTIF($HI$4:$HI$171,1)),IFERROR(SMALL(IF($HI$4:$HI$171=0,ROW($HI$4:$HI$171)-3),ROW(W28)-COUNTIF($HI$4:$HI$171,1)-COUNTIF($HI$4:$HI$171,2)),"")))</f>
        <v/>
      </c>
      <c r="AZ43" s="2042" t="str">
        <f t="shared" si="117"/>
        <v>a</v>
      </c>
      <c r="BA43" s="2053" t="e">
        <f t="shared" si="118"/>
        <v>#VALUE!</v>
      </c>
      <c r="BB43" s="2053" cm="1">
        <f t="array" ref="BB43">IFERROR(INDEX($HI$4:$HI$171,AY43),0)</f>
        <v>0</v>
      </c>
      <c r="BC43" s="2053">
        <f t="shared" si="119"/>
        <v>0</v>
      </c>
      <c r="BD43" s="2053"/>
      <c r="BE43" s="2307"/>
      <c r="BF43" s="2307"/>
      <c r="BG43" s="2307"/>
      <c r="BH43" s="2307"/>
      <c r="BI43" s="2307"/>
      <c r="BJ43" s="2307"/>
      <c r="BK43" s="2307"/>
      <c r="BL43" s="2307"/>
      <c r="BM43" s="2307"/>
      <c r="BN43" s="2307"/>
      <c r="BO43" s="2307"/>
      <c r="BP43" s="2043"/>
      <c r="BQ43" s="2042"/>
      <c r="BR43" s="2042"/>
      <c r="BS43" s="2042"/>
      <c r="BT43" s="2059"/>
      <c r="BU43" s="2044"/>
      <c r="BV43" s="2044"/>
      <c r="BW43" s="2042"/>
      <c r="BX43" s="2042"/>
      <c r="BY43" s="2042"/>
      <c r="BZ43" s="2042"/>
      <c r="CA43" s="2042"/>
      <c r="CB43" s="2042"/>
      <c r="CC43" s="2042"/>
      <c r="CD43" s="2042"/>
      <c r="CE43" s="2042"/>
      <c r="CF43" s="2042"/>
      <c r="CG43" s="2042"/>
      <c r="CH43" s="2042"/>
      <c r="CI43" s="2042"/>
      <c r="CJ43" s="2042"/>
      <c r="CK43" s="2042"/>
      <c r="CL43" s="2042"/>
      <c r="CM43" s="2042"/>
      <c r="CN43" s="2042"/>
      <c r="CO43" s="2042"/>
      <c r="CP43" s="2042"/>
      <c r="CQ43" s="2042"/>
      <c r="CR43" s="2042"/>
      <c r="CS43" s="2042"/>
      <c r="CT43" s="2042"/>
      <c r="CU43" s="2042"/>
      <c r="CV43" s="2042"/>
      <c r="CW43" s="609" t="str">
        <f>Pflanzen!A39</f>
        <v>Kleegras (Kleeanteil 30 %)</v>
      </c>
      <c r="CX43" s="2042">
        <f>IFERROR(MATCH($CW43,Pflanzen!$C$5:$C$119,0),1)</f>
        <v>35</v>
      </c>
      <c r="CY43" s="609" cm="1">
        <f t="array" ref="CY43">INDEX(Pflanzen!$I$5:$I$119,'Lagerhaltung (freiwillig)'!CX43)</f>
        <v>1</v>
      </c>
      <c r="CZ43" s="2042">
        <f t="shared" si="113"/>
        <v>0</v>
      </c>
      <c r="DA43" s="2042">
        <f t="shared" si="113"/>
        <v>0</v>
      </c>
      <c r="DB43" s="2042">
        <f t="shared" si="113"/>
        <v>0</v>
      </c>
      <c r="DC43" s="2042">
        <f t="shared" si="113"/>
        <v>0</v>
      </c>
      <c r="DD43" s="2042">
        <f t="shared" si="113"/>
        <v>0</v>
      </c>
      <c r="DE43" s="2042">
        <f t="shared" si="113"/>
        <v>0</v>
      </c>
      <c r="DF43" s="2042">
        <f t="shared" si="113"/>
        <v>0</v>
      </c>
      <c r="DG43" s="2042">
        <f t="shared" si="113"/>
        <v>0</v>
      </c>
      <c r="DH43" s="2042">
        <f t="shared" si="113"/>
        <v>0</v>
      </c>
      <c r="DI43" s="2042">
        <f t="shared" si="113"/>
        <v>0</v>
      </c>
      <c r="DJ43" s="2042">
        <f t="shared" si="113"/>
        <v>0</v>
      </c>
      <c r="DK43" s="2042">
        <f t="shared" si="113"/>
        <v>0</v>
      </c>
      <c r="DL43" s="2042"/>
      <c r="DM43" s="2042">
        <f t="shared" si="114"/>
        <v>0</v>
      </c>
      <c r="DN43" s="2042">
        <f t="shared" si="114"/>
        <v>0</v>
      </c>
      <c r="DO43" s="2042">
        <f t="shared" si="114"/>
        <v>0</v>
      </c>
      <c r="DP43" s="2042">
        <f t="shared" si="114"/>
        <v>0</v>
      </c>
      <c r="DQ43" s="2042">
        <f t="shared" si="114"/>
        <v>0</v>
      </c>
      <c r="DR43" s="2042">
        <f t="shared" si="114"/>
        <v>0</v>
      </c>
      <c r="DS43" s="2042">
        <f t="shared" si="114"/>
        <v>0</v>
      </c>
      <c r="DT43" s="2042">
        <f t="shared" si="114"/>
        <v>0</v>
      </c>
      <c r="DU43" s="2042">
        <f t="shared" si="114"/>
        <v>0</v>
      </c>
      <c r="DV43" s="2042">
        <f t="shared" si="114"/>
        <v>0</v>
      </c>
      <c r="DW43" s="2042">
        <f t="shared" si="114"/>
        <v>0</v>
      </c>
      <c r="DX43" s="2042">
        <f t="shared" si="114"/>
        <v>0</v>
      </c>
      <c r="DY43" s="2042"/>
      <c r="DZ43" s="2042">
        <f t="shared" si="115"/>
        <v>0</v>
      </c>
      <c r="EA43" s="2042">
        <f t="shared" si="115"/>
        <v>0</v>
      </c>
      <c r="EB43" s="2042">
        <f t="shared" si="115"/>
        <v>0</v>
      </c>
      <c r="EC43" s="2042">
        <f t="shared" si="115"/>
        <v>0</v>
      </c>
      <c r="ED43" s="2042">
        <f t="shared" si="115"/>
        <v>0</v>
      </c>
      <c r="EE43" s="2042">
        <f t="shared" si="115"/>
        <v>0</v>
      </c>
      <c r="EF43" s="2042">
        <f t="shared" si="115"/>
        <v>0</v>
      </c>
      <c r="EG43" s="2042">
        <f t="shared" si="115"/>
        <v>0</v>
      </c>
      <c r="EH43" s="2042">
        <f t="shared" si="115"/>
        <v>0</v>
      </c>
      <c r="EI43" s="2042">
        <f t="shared" si="115"/>
        <v>0</v>
      </c>
      <c r="EJ43" s="2042">
        <f t="shared" si="115"/>
        <v>0</v>
      </c>
      <c r="EK43" s="2042">
        <f t="shared" si="115"/>
        <v>0</v>
      </c>
      <c r="EL43" s="2042"/>
      <c r="EM43" s="2042">
        <f t="shared" si="116"/>
        <v>0</v>
      </c>
      <c r="EN43" s="2042">
        <f t="shared" si="116"/>
        <v>0</v>
      </c>
      <c r="EO43" s="2042">
        <f t="shared" si="116"/>
        <v>0</v>
      </c>
      <c r="EP43" s="2042">
        <f t="shared" si="116"/>
        <v>0</v>
      </c>
      <c r="EQ43" s="2042">
        <f t="shared" si="116"/>
        <v>0</v>
      </c>
      <c r="ER43" s="2042">
        <f t="shared" si="116"/>
        <v>0</v>
      </c>
      <c r="ES43" s="2042">
        <f t="shared" si="116"/>
        <v>0</v>
      </c>
      <c r="ET43" s="2042">
        <f t="shared" si="116"/>
        <v>0</v>
      </c>
      <c r="EU43" s="2042">
        <f t="shared" si="116"/>
        <v>0</v>
      </c>
      <c r="EV43" s="2042">
        <f t="shared" si="116"/>
        <v>0</v>
      </c>
      <c r="EW43" s="2042">
        <f t="shared" si="116"/>
        <v>0</v>
      </c>
      <c r="EX43" s="2042">
        <f t="shared" si="116"/>
        <v>0</v>
      </c>
      <c r="EY43" s="2042"/>
      <c r="EZ43" s="2045">
        <f t="shared" si="50"/>
        <v>0</v>
      </c>
      <c r="FA43" s="2042">
        <f>EZ43+CZ43+DZ43                 -         SUMIF('Berechnung Nährstoffe und Lager'!$AX$113:$AX$155,$CX43,'Berechnung Nährstoffe und Lager'!$U$113:$U$155)/12  -$GB43*$HC43/12</f>
        <v>0</v>
      </c>
      <c r="FB43" s="2042">
        <f>FA43+DA43+EA43                 -         SUMIF('Berechnung Nährstoffe und Lager'!$AX$113:$AX$155,$CX43,'Berechnung Nährstoffe und Lager'!$U$113:$U$155)/12  -$GB43*$HC43/12</f>
        <v>0</v>
      </c>
      <c r="FC43" s="2042">
        <f>FB43+DB43+EB43                 -         SUMIF('Berechnung Nährstoffe und Lager'!$AX$113:$AX$155,$CX43,'Berechnung Nährstoffe und Lager'!$U$113:$U$155)/12  -$GB43*$HC43/12</f>
        <v>0</v>
      </c>
      <c r="FD43" s="2042">
        <f>FC43+DC43+EC43                 -         SUMIF('Berechnung Nährstoffe und Lager'!$AX$113:$AX$155,$CX43,'Berechnung Nährstoffe und Lager'!$U$113:$U$155)/12  -$GB43*$HC43/12</f>
        <v>0</v>
      </c>
      <c r="FE43" s="2042">
        <f>FD43+DD43+ED43                 -         SUMIF('Berechnung Nährstoffe und Lager'!$AX$113:$AX$155,$CX43,'Berechnung Nährstoffe und Lager'!$U$113:$U$155)/12  -$GB43*$HC43/12</f>
        <v>0</v>
      </c>
      <c r="FF43" s="2042">
        <f>FE43+DE43+EE43                 -         SUMIF('Berechnung Nährstoffe und Lager'!$AX$113:$AX$155,$CX43,'Berechnung Nährstoffe und Lager'!$U$113:$U$155)/12  -$GB43*$HC43/12</f>
        <v>0</v>
      </c>
      <c r="FG43" s="2042">
        <f>FF43+DF43+EF43                 -         SUMIF('Berechnung Nährstoffe und Lager'!$AX$113:$AX$155,$CX43,'Berechnung Nährstoffe und Lager'!$U$113:$U$155)/12  -$GB43*$HC43/12</f>
        <v>0</v>
      </c>
      <c r="FH43" s="2042">
        <f>FG43+DG43+EG43                 -         SUMIF('Berechnung Nährstoffe und Lager'!$AX$113:$AX$155,$CX43,'Berechnung Nährstoffe und Lager'!$U$113:$U$155)/12  -$GB43*$HC43/12</f>
        <v>0</v>
      </c>
      <c r="FI43" s="2042">
        <f>FH43+DH43+EH43                 -         SUMIF('Berechnung Nährstoffe und Lager'!$AX$113:$AX$155,$CX43,'Berechnung Nährstoffe und Lager'!$U$113:$U$155)/12  -$GB43*$HC43/12</f>
        <v>0</v>
      </c>
      <c r="FJ43" s="2042">
        <f>FI43+DI43+EI43                 -         SUMIF('Berechnung Nährstoffe und Lager'!$AX$113:$AX$155,$CX43,'Berechnung Nährstoffe und Lager'!$U$113:$U$155)/12  -$GB43*$HC43/12</f>
        <v>0</v>
      </c>
      <c r="FK43" s="2042">
        <f>FJ43+DJ43+EJ43                 -         SUMIF('Berechnung Nährstoffe und Lager'!$AX$113:$AX$155,$CX43,'Berechnung Nährstoffe und Lager'!$U$113:$U$155)/12  -$GB43*$HC43/12</f>
        <v>0</v>
      </c>
      <c r="FL43" s="2042">
        <f>FK43+DK43+EK43                 -         SUMIF('Berechnung Nährstoffe und Lager'!$AX$113:$AX$155,$CX43,'Berechnung Nährstoffe und Lager'!$U$113:$U$155)/12  -$GB43*$HC43/12</f>
        <v>0</v>
      </c>
      <c r="FM43" s="2042"/>
      <c r="FN43" s="2045">
        <f t="shared" si="51"/>
        <v>0</v>
      </c>
      <c r="FO43" s="2042">
        <f>FN43+DM43+EM43                 -         SUMIF('Berechnung Nährstoffe und Lager'!$AX$113:$AX$155,$CX43,'Berechnung Nährstoffe und Lager'!$V$113:$V$155)/12  -$GC43*$HC43/12</f>
        <v>0</v>
      </c>
      <c r="FP43" s="2042">
        <f>FO43+DN43+EN43                 -         SUMIF('Berechnung Nährstoffe und Lager'!$AX$113:$AX$155,$CX43,'Berechnung Nährstoffe und Lager'!$V$113:$V$155)/12  -$GC43*$HC43/12</f>
        <v>0</v>
      </c>
      <c r="FQ43" s="2042">
        <f>FP43+DO43+EO43                 -         SUMIF('Berechnung Nährstoffe und Lager'!$AX$113:$AX$155,$CX43,'Berechnung Nährstoffe und Lager'!$V$113:$V$155)/12  -$GC43*$HC43/12</f>
        <v>0</v>
      </c>
      <c r="FR43" s="2042">
        <f>FQ43+DP43+EP43                 -         SUMIF('Berechnung Nährstoffe und Lager'!$AX$113:$AX$155,$CX43,'Berechnung Nährstoffe und Lager'!$V$113:$V$155)/12  -$GC43*$HC43/12</f>
        <v>0</v>
      </c>
      <c r="FS43" s="2042">
        <f>FR43+DQ43+EQ43                 -         SUMIF('Berechnung Nährstoffe und Lager'!$AX$113:$AX$155,$CX43,'Berechnung Nährstoffe und Lager'!$V$113:$V$155)/12  -$GC43*$HC43/12</f>
        <v>0</v>
      </c>
      <c r="FT43" s="2042">
        <f>FS43+DR43+ER43                 -         SUMIF('Berechnung Nährstoffe und Lager'!$AX$113:$AX$155,$CX43,'Berechnung Nährstoffe und Lager'!$V$113:$V$155)/12  -$GC43*$HC43/12</f>
        <v>0</v>
      </c>
      <c r="FU43" s="2042">
        <f>FT43+DS43+ES43                 -         SUMIF('Berechnung Nährstoffe und Lager'!$AX$113:$AX$155,$CX43,'Berechnung Nährstoffe und Lager'!$V$113:$V$155)/12  -$GC43*$HC43/12</f>
        <v>0</v>
      </c>
      <c r="FV43" s="2042">
        <f>FU43+DT43+ET43                 -         SUMIF('Berechnung Nährstoffe und Lager'!$AX$113:$AX$155,$CX43,'Berechnung Nährstoffe und Lager'!$V$113:$V$155)/12  -$GC43*$HC43/12</f>
        <v>0</v>
      </c>
      <c r="FW43" s="2042">
        <f>FV43+DU43+EU43                 -         SUMIF('Berechnung Nährstoffe und Lager'!$AX$113:$AX$155,$CX43,'Berechnung Nährstoffe und Lager'!$V$113:$V$155)/12  -$GC43*$HC43/12</f>
        <v>0</v>
      </c>
      <c r="FX43" s="2042">
        <f>FW43+DV43+EV43                 -         SUMIF('Berechnung Nährstoffe und Lager'!$AX$113:$AX$155,$CX43,'Berechnung Nährstoffe und Lager'!$V$113:$V$155)/12  -$GC43*$HC43/12</f>
        <v>0</v>
      </c>
      <c r="FY43" s="2042">
        <f>FX43+DW43+EW43                 -         SUMIF('Berechnung Nährstoffe und Lager'!$AX$113:$AX$155,$CX43,'Berechnung Nährstoffe und Lager'!$V$113:$V$155)/12  -$GC43*$HC43/12</f>
        <v>0</v>
      </c>
      <c r="FZ43" s="2042">
        <f>FY43+DX43+EX43                 -         SUMIF('Berechnung Nährstoffe und Lager'!$AX$113:$AX$155,$CX43,'Berechnung Nährstoffe und Lager'!$V$113:$V$155)/12  -$GC43*$HC43/12</f>
        <v>0</v>
      </c>
      <c r="GA43" s="2042"/>
      <c r="GB43" s="2042">
        <f>SUMIFS($CI$14:$CI$68,$BR$14:$BR$68,$CX43)+SUMIFS($CM$14:$CM$68,$BR$14:$BR$68,$CX43)+SUMIFS($CR$14:$CR$68,$BR$14:$BR$68,$CX43)  -         SUMIF('Berechnung Nährstoffe und Lager'!$AX$113:$AX$155,$CX43,'Berechnung Nährstoffe und Lager'!$U$113:$U$155)</f>
        <v>0</v>
      </c>
      <c r="GC43" s="2042">
        <f>SUMIFS($CJ$14:$CJ$68,$BR$14:$BR$68,$CX43)+SUMIFS($CO$14:$CO$68,$BR$14:$BR$68,$CX43)+SUMIFS($CT$14:$CT$68,$BR$14:$BR$68,$CX43)  -         SUMIF('Berechnung Nährstoffe und Lager'!$AX$113:$AX$155,$CX43,'Berechnung Nährstoffe und Lager'!$V$113:$V$155)</f>
        <v>0</v>
      </c>
      <c r="GD43" s="2042"/>
      <c r="GE43" s="2042"/>
      <c r="GF43" s="2042">
        <f>SUMIF('Berechnung Nährstoffe und Lager'!$AX$113:$AX$155,$CX43,'Berechnung Nährstoffe und Lager'!$U$113:$U$155)</f>
        <v>0</v>
      </c>
      <c r="GG43" s="2042">
        <f>SUMIF('Berechnung Nährstoffe und Lager'!$AX$113:$AX$155,$CX43,'Berechnung Nährstoffe und Lager'!$V$113:$V$155)</f>
        <v>0</v>
      </c>
      <c r="GH43" s="2042">
        <f t="shared" si="52"/>
        <v>0</v>
      </c>
      <c r="GI43" s="2042">
        <f t="shared" si="53"/>
        <v>0</v>
      </c>
      <c r="GJ43" s="2042">
        <f t="shared" ref="GJ43:GJ74" si="121">GB43-GB43*HC43</f>
        <v>0</v>
      </c>
      <c r="GK43" s="2042">
        <f t="shared" ref="GK43:GK74" si="122">GC43-GC43*HC43</f>
        <v>0</v>
      </c>
      <c r="GL43" s="2042">
        <f t="shared" ref="GL43:GL74" si="123">SUMIF($BR$14:$BR$68,CX43,$CU$14:$CU$68)</f>
        <v>0</v>
      </c>
      <c r="GM43" s="2042" cm="1">
        <f t="array" ref="GM43">IF(GL43=0,0,(IFERROR(SUMPRODUCT($J$14:$J$68,$CH$14:$CH$68,($BR$14:$BR$68=CX43)*1)+SUMPRODUCT($L$14:$L$68,$M$14:$M$68,$CK$14:$CK$68,($BR$14:$BR$68=CX43)*1,($BT$14:$BT$68=FALSE)*1)/10+SUMPRODUCT($R$14:$R$68,$CP$14:$CP$68,($BR$14:$BR$68=CX43)*1),0))/GL43)</f>
        <v>0</v>
      </c>
      <c r="GN43" s="2042">
        <f t="shared" si="54"/>
        <v>0</v>
      </c>
      <c r="GO43" s="2042">
        <f>(SUMIF('Berechnung Nährstoffe und Lager'!$AX$113:$AX$130,'Lagerhaltung (freiwillig)'!CX43,'Berechnung Nährstoffe und Lager'!$D$113:$D$130)+SUMIF('Berechnung Nährstoffe und Lager'!$AX$137:$AX$155,'Lagerhaltung (freiwillig)'!CX43,'Berechnung Nährstoffe und Lager'!$E$137:$E$155))</f>
        <v>0</v>
      </c>
      <c r="GP43" s="2042" cm="1">
        <f t="array" ref="GP43">IF(GO43=0,0,(IFERROR(SUMPRODUCT('Berechnung Nährstoffe und Lager'!$D$113:$D$130,'Berechnung Nährstoffe und Lager'!$F$113:$F$130,('Berechnung Nährstoffe und Lager'!$AX$113:$AX$130='Lagerhaltung (freiwillig)'!CX43)*1)+SUMPRODUCT('Berechnung Nährstoffe und Lager'!$E$137:$E$155,'Berechnung Nährstoffe und Lager'!$F$137:$F$155,('Berechnung Nährstoffe und Lager'!$AX$137:$AX$155='Lagerhaltung (freiwillig)'!CX43)*1),0))/GO43)</f>
        <v>0</v>
      </c>
      <c r="GQ43" s="2042">
        <f t="shared" si="55"/>
        <v>0</v>
      </c>
      <c r="GR43" s="2042">
        <f t="shared" si="56"/>
        <v>0</v>
      </c>
      <c r="GS43" s="2042">
        <f t="shared" si="57"/>
        <v>0</v>
      </c>
      <c r="GT43" s="2042">
        <f t="shared" si="58"/>
        <v>0</v>
      </c>
      <c r="GU43" s="2045" t="str">
        <f t="shared" si="39"/>
        <v xml:space="preserve"> </v>
      </c>
      <c r="GV43" s="2045" t="str">
        <f t="shared" si="39"/>
        <v xml:space="preserve"> </v>
      </c>
      <c r="GW43" s="2054">
        <f t="shared" ref="GW43:GW74" si="124">IF(OR(HI43=3,GS43&lt;=0),0,IF(CY43=$CY$4,$GV$4/$GE$4,IF(CY43=$CY$6,$GV$6/$GE$6,0)))</f>
        <v>0</v>
      </c>
      <c r="GX43" s="2042">
        <f t="shared" ref="GX43:GX74" si="125">GS43*GW43</f>
        <v>0</v>
      </c>
      <c r="GY43" s="2042" t="str">
        <f t="shared" si="120"/>
        <v>a</v>
      </c>
      <c r="GZ43" s="2055">
        <f t="shared" ref="GZ43:GZ74" si="126">IF(GY43="a",0,GB43*HC43)</f>
        <v>0</v>
      </c>
      <c r="HA43" s="2055">
        <f t="shared" ref="HA43:HA74" si="127">IF(GY43="a",0,GB43*(1-HC43))</f>
        <v>0</v>
      </c>
      <c r="HB43" s="2055"/>
      <c r="HC43" s="2046">
        <f t="shared" ref="HC43:HC74" si="128">IF(OR(HI43=3,GS43&lt;=0),0,IF(GY43&lt;&gt;"a",IF(GS43=0,0,MIN(1,GY43/GS43)),IF(CY43=$CY$4,IF($GE$4-$HA$4-$GZ$4=0,0,$HB$4/($GE$4-$HA$4-$GZ$4)),IF(CY43=$CY$6,IF($GE$6-$HA$6-$GZ$6=0,0,$HB$6/($GE$6-$HA$6-$GZ$6)),0))))</f>
        <v>0</v>
      </c>
      <c r="HD43" s="2055">
        <f t="shared" ref="HD43:HD74" si="129">MAX(0,GS43*HC43)</f>
        <v>0</v>
      </c>
      <c r="HE43" s="2055">
        <f t="shared" ref="HE43:HE74" si="130">GS43-HD43</f>
        <v>0</v>
      </c>
      <c r="HF43" s="2055">
        <f t="shared" ref="HF43:HF74" si="131">GM43</f>
        <v>0</v>
      </c>
      <c r="HG43" s="2282" cm="1">
        <f t="array" ref="HG43">IF(AND(HE43=0,GJ43=0),0,IF(HE43=0,1,IF(OR(GJ43*1000/HE43/HF43&gt;INDEX(Pflanzen!$AD$5:$AD$109,CX43)/INDEX(Pflanzen!$M$5:$M$109,CX43)*$HG$1,GJ43*1000/HE43/HF43&lt;INDEX(Pflanzen!$AD$5:$AD$109,CX43)/INDEX(Pflanzen!$M$5:$M$109,CX43)/$HG$1),1,0)))</f>
        <v>0</v>
      </c>
      <c r="HH43" s="2282" cm="1">
        <f t="array" ref="HH43">IF(AND(GK43=0,HE43=0),0,IF(HE43=0,1,IF(OR(GK43*1000/HE43/HF43&gt;INDEX(Pflanzen!$AE$5:$AE$109,CX43)/INDEX(Pflanzen!$M$5:$M$109,CX43)*$HG$1,GK43*1000/HE43/HF43&lt;INDEX(Pflanzen!$AE$5:$AE$109,CX43)/INDEX(Pflanzen!$M$5:$M$109,CX43)/$HG$1),1,0)))</f>
        <v>0</v>
      </c>
      <c r="HI43" s="2042">
        <f t="shared" ref="HI43:HI74" si="132">IF(AND(GB43=0,GF43=0,GH43=0),3,CY43)</f>
        <v>3</v>
      </c>
      <c r="HJ43" s="2042"/>
      <c r="HL43" s="2042"/>
      <c r="HM43" s="2052" t="str">
        <f>Tiere!B69</f>
        <v>Putenhennen bis 16 Wochen Mast, Standard</v>
      </c>
      <c r="HN43" s="2042">
        <v>40</v>
      </c>
      <c r="HO43" s="2053">
        <f>SUMIF('Berechnung Nährstoffe und Lager'!$BM$68:$BM$81,'Lagerhaltung (freiwillig)'!HN43,'Berechnung Nährstoffe und Lager'!$Z$68:$Z$81)+SUMIF('Berechnung Nährstoffe und Lager'!$BM$68:$BM$81,'Lagerhaltung (freiwillig)'!HN43,'Berechnung Nährstoffe und Lager'!$AA$68:$AA$81)</f>
        <v>0</v>
      </c>
      <c r="HP43" s="2042" cm="1">
        <f t="array" ref="HP43">INDEX(Tiere!$C$30:$C$85,'Lagerhaltung (freiwillig)'!HN43)</f>
        <v>3</v>
      </c>
      <c r="HQ43" s="2042" cm="1">
        <f t="array" ref="HQ43">INDEX(Tiere!$H$30:$H$85,'Lagerhaltung (freiwillig)'!HN43)</f>
        <v>0</v>
      </c>
      <c r="HR43" s="2042">
        <f t="shared" si="112"/>
        <v>0</v>
      </c>
      <c r="HS43" s="2042" cm="1">
        <f t="array" ref="HS43">INDEX(Tiere!$I$30:$I$85,'Lagerhaltung (freiwillig)'!HN43)</f>
        <v>0</v>
      </c>
      <c r="HT43" s="2042">
        <f t="shared" si="13"/>
        <v>0</v>
      </c>
      <c r="HU43" s="2042" cm="1">
        <f t="array" ref="HU43">INDEX(Tiere!$BC$30:$BC$85,'Lagerhaltung (freiwillig)'!HN43)</f>
        <v>1.16919</v>
      </c>
      <c r="HV43" s="2042">
        <f t="shared" si="110"/>
        <v>0</v>
      </c>
      <c r="HW43" s="2042" cm="1">
        <f t="array" ref="HW43">INDEX(Tiere!$BD$30:$BD$85,'Lagerhaltung (freiwillig)'!HN43)</f>
        <v>0.41453099999999998</v>
      </c>
      <c r="HX43" s="2042">
        <f t="shared" si="111"/>
        <v>0</v>
      </c>
      <c r="HY43" s="2042"/>
      <c r="HZ43" s="2042"/>
      <c r="IA43" s="2042"/>
      <c r="IB43" s="2042"/>
      <c r="IC43" s="2042"/>
      <c r="ID43" s="2042"/>
      <c r="IE43" s="2042"/>
      <c r="IF43" s="2042"/>
      <c r="IG43" s="2042"/>
      <c r="IH43" s="2042"/>
      <c r="II43" s="2042"/>
      <c r="IJ43" s="2042"/>
    </row>
    <row r="44" spans="1:245" ht="15.6" customHeight="1" x14ac:dyDescent="0.2">
      <c r="F44" s="1258"/>
      <c r="G44" s="2313"/>
      <c r="H44" s="2294"/>
      <c r="I44" s="2012" t="str">
        <f t="shared" ref="I44:I68" si="133">IF($F44="","",$F44)</f>
        <v/>
      </c>
      <c r="J44" s="1255"/>
      <c r="K44" s="2012" t="str">
        <f t="shared" ref="K44:K68" si="134">IF($F44="","",$F44)</f>
        <v/>
      </c>
      <c r="L44" s="1244"/>
      <c r="M44" s="1245"/>
      <c r="N44" s="1869"/>
      <c r="O44" s="1869"/>
      <c r="P44" s="2221"/>
      <c r="Q44" s="2012" t="str">
        <f t="shared" ref="Q44:Q68" si="135">IF($F44="","",$F44)</f>
        <v/>
      </c>
      <c r="R44" s="1244"/>
      <c r="S44" s="1245"/>
      <c r="T44" s="1255"/>
      <c r="V44" s="2316" t="str">
        <f>IF(OR(AND(BZ44=3,L44&gt;0),AND(OR(J44&gt;0,M44&gt;0,R44&gt;0),OR(G44="",H44="",F44="")),AND(L44="",M44&gt;0),AND(L44&gt;0,M44="")),"Fehler","")</f>
        <v/>
      </c>
      <c r="Y44" s="2005" t="str" cm="1">
        <f t="array" ref="Y44">IFERROR(INDEX($CW$4:$CW$171,AY44),"")</f>
        <v/>
      </c>
      <c r="Z44" s="510"/>
      <c r="AA44" s="510"/>
      <c r="AB44" s="510"/>
      <c r="AC44" s="2031" t="str" cm="1">
        <f t="array" ref="AC44">IFERROR(INDEX($GL$4:$GL$171,AY44),"")</f>
        <v/>
      </c>
      <c r="AD44" s="2031" t="str" cm="1">
        <f t="array" ref="AD44">IFERROR(INDEX($GM$4:$GM$171,AY44),"")</f>
        <v/>
      </c>
      <c r="AE44" s="2031" t="str" cm="1">
        <f t="array" ref="AE44">IFERROR(INDEX($GH$4:$GH$171,AY44),"")</f>
        <v/>
      </c>
      <c r="AF44" s="2031" t="str" cm="1">
        <f t="array" ref="AF44">IFERROR(INDEX($GI$4:$GI$171,AY44),"")</f>
        <v/>
      </c>
      <c r="AG44" s="2031" t="str" cm="1">
        <f t="array" ref="AG44">IFERROR(INDEX($GO$4:$GO$171,AY44),"")</f>
        <v/>
      </c>
      <c r="AH44" s="2031" t="str" cm="1">
        <f t="array" ref="AH44">IFERROR(INDEX($GP$4:$GP$171,AY44),"")</f>
        <v/>
      </c>
      <c r="AI44" s="2031" t="str" cm="1">
        <f t="array" ref="AI44">IFERROR(INDEX($GF$4:$GF$171,AY44),"")</f>
        <v/>
      </c>
      <c r="AJ44" s="2031" t="str" cm="1">
        <f t="array" ref="AJ44">IFERROR(INDEX($GG$4:$GG$171,AY44),"")</f>
        <v/>
      </c>
      <c r="AK44" s="2031" t="str" cm="1">
        <f t="array" ref="AK44">IFERROR(INDEX($GS$4:$GS$171,AY44),"")</f>
        <v/>
      </c>
      <c r="AL44" s="2032" t="str" cm="1">
        <f t="array" ref="AL44">IFERROR(INDEX($GT$4:$GT$171,AY44),"")</f>
        <v/>
      </c>
      <c r="AM44" s="2031" t="str" cm="1">
        <f t="array" ref="AM44">IFERROR(INDEX($GB$4:$GB$171,AY44),"")</f>
        <v/>
      </c>
      <c r="AN44" s="2031" t="str" cm="1">
        <f t="array" ref="AN44">IFERROR(INDEX($GC$4:$GC$171,AY44),"")</f>
        <v/>
      </c>
      <c r="AO44" s="2031" t="str" cm="1">
        <f t="array" ref="AO44">IFERROR(INDEX($GU$4:$GU$171,AY44),"")</f>
        <v/>
      </c>
      <c r="AP44" s="2031" t="str" cm="1">
        <f t="array" ref="AP44">IFERROR(INDEX($GX$4:$GX$171,AY44),"")</f>
        <v/>
      </c>
      <c r="AQ44" s="1316"/>
      <c r="AR44" s="2031" t="str" cm="1">
        <f t="array" ref="AR44">IFERROR(INDEX($HD$4:$HD$171,AY44),"")</f>
        <v/>
      </c>
      <c r="AS44" s="2031" t="str" cm="1">
        <f t="array" ref="AS44">IFERROR(INDEX($HE$4:$HE$171,AY44),"")</f>
        <v/>
      </c>
      <c r="AT44" s="2031" t="str" cm="1">
        <f t="array" ref="AT44">IFERROR(INDEX($HF$4:$HF$171,AY44),"")</f>
        <v/>
      </c>
      <c r="AU44" s="2031" t="str" cm="1">
        <f t="array" ref="AU44">IFERROR(INDEX($GJ$4:$GJ$171,AY44),"")</f>
        <v/>
      </c>
      <c r="AV44" s="2031" t="str" cm="1">
        <f t="array" ref="AV44">IFERROR(INDEX($GK$4:$GK$171,AY44),"")</f>
        <v/>
      </c>
      <c r="AY44" s="2042" t="str" cm="1">
        <f t="array" ref="AY44">IFERROR(SMALL(IF($HI$4:$HI$171=1,ROW($HI$4:$HI$171)-3),ROW(W29)),IFERROR(SMALL(IF($HI$4:$HI$171=2,ROW($HI$4:$HI$171)-3),ROW(W29)-COUNTIF($HI$4:$HI$171,1)),IFERROR(SMALL(IF($HI$4:$HI$171=0,ROW($HI$4:$HI$171)-3),ROW(W29)-COUNTIF($HI$4:$HI$171,1)-COUNTIF($HI$4:$HI$171,2)),"")))</f>
        <v/>
      </c>
      <c r="AZ44" s="2042" t="str">
        <f t="shared" si="117"/>
        <v>a</v>
      </c>
      <c r="BA44" s="2053" t="e">
        <f t="shared" si="118"/>
        <v>#VALUE!</v>
      </c>
      <c r="BB44" s="2053" cm="1">
        <f t="array" ref="BB44">IFERROR(INDEX($HI$4:$HI$171,AY44),0)</f>
        <v>0</v>
      </c>
      <c r="BC44" s="2053">
        <f t="shared" si="119"/>
        <v>0</v>
      </c>
      <c r="BD44" s="2053"/>
      <c r="BE44" s="2307"/>
      <c r="BF44" s="2307"/>
      <c r="BG44" s="2307"/>
      <c r="BH44" s="2307"/>
      <c r="BI44" s="2307"/>
      <c r="BJ44" s="2307"/>
      <c r="BK44" s="2307"/>
      <c r="BL44" s="2307"/>
      <c r="BM44" s="2307"/>
      <c r="BN44" s="2307"/>
      <c r="BO44" s="2307"/>
      <c r="BP44" s="2043"/>
      <c r="BQ44" s="2042">
        <v>1</v>
      </c>
      <c r="BR44" cm="1">
        <f t="array" ref="BR44">INDEX(Pflanzen!$B$5:$B$117,'Lagerhaltung (freiwillig)'!BQ44)</f>
        <v>1</v>
      </c>
      <c r="BS44" s="2042"/>
      <c r="BT44" s="2042" t="b">
        <v>0</v>
      </c>
      <c r="BU44" s="2044"/>
      <c r="BV44" s="2044"/>
      <c r="BW44" s="2042">
        <f t="shared" ref="BW44:BW68" si="136">IF(AND(S44&lt;&gt;T44,T44&gt;S44,S44&gt;0),T44-S44+1,IF(AND(S44=0,T44=0),12,1))</f>
        <v>12</v>
      </c>
      <c r="BX44" s="2042">
        <f t="shared" ref="BX44:BX68" si="137">IF(AND(S44=0,T44&gt;0),T44,S44)</f>
        <v>0</v>
      </c>
      <c r="BY44" s="2042">
        <f t="shared" ref="BY44:BY68" si="138">IF(AND(T44=0,S44&gt;0),S44,IF(AND(S44=0,T44=0),12,T44))</f>
        <v>12</v>
      </c>
      <c r="BZ44" s="2042" cm="1">
        <f t="array" ref="BZ44">INDEX(Pflanzen!$AI$5:$AI$119,'Lagerhaltung (freiwillig)'!BR44)</f>
        <v>0</v>
      </c>
      <c r="CA44" s="2042" cm="1">
        <f t="array" ref="CA44">IF(BZ44=1,INDEX(Pflanzen!$AJ$5:$AJ$119,BR44),N44)</f>
        <v>0</v>
      </c>
      <c r="CB44" s="2042" cm="1">
        <f t="array" ref="CB44">IF(BZ44=1,INDEX(Pflanzen!$AK$5:$AK$119,BR44),O44)</f>
        <v>0</v>
      </c>
      <c r="CC44" s="2042">
        <f t="shared" ref="CC44:CC68" si="139">IF(AND(CA44&lt;&gt;CB44,CB44&gt;CA44),CB44-CA44+1,IF(AND(CA44=0,CB44=0),12,1))</f>
        <v>12</v>
      </c>
      <c r="CD44" s="2042">
        <f t="shared" ref="CD44:CD68" si="140">IF(AND(CA44=0,CB44&gt;0),CB44,CA44)</f>
        <v>0</v>
      </c>
      <c r="CE44" s="2042">
        <f t="shared" ref="CE44:CE68" si="141">IF(AND(CB44=0,CA44&gt;0),CA44,IF(AND(CA44=0,CB44=0),12,CB44))</f>
        <v>12</v>
      </c>
      <c r="CF44" s="2042" cm="1">
        <f t="array" ref="CF44">INDEX(Pflanzen!$F$5:$F$119,BR44)</f>
        <v>0</v>
      </c>
      <c r="CG44" s="2042" cm="1">
        <f t="array" ref="CG44">INDEX(Pflanzen!$H$5:$H$119,BR44)</f>
        <v>0</v>
      </c>
      <c r="CH44" s="2042">
        <f t="shared" ref="CH44:CH68" si="142">F44</f>
        <v>0</v>
      </c>
      <c r="CI44" s="2042">
        <f t="shared" ref="CI44:CI68" si="143">J44*G44/1000</f>
        <v>0</v>
      </c>
      <c r="CJ44" s="2042">
        <f t="shared" ref="CJ44:CJ68" si="144">IF(BT44=2,0,J44*H44/1000)</f>
        <v>0</v>
      </c>
      <c r="CK44" s="2042">
        <f t="shared" ref="CK44:CK68" si="145">F44</f>
        <v>0</v>
      </c>
      <c r="CL44" s="2042">
        <f t="shared" ref="CL44:CL68" si="146">IF(BT44=TRUE,0,L44*M44/10*G44/CC44/1000)</f>
        <v>0</v>
      </c>
      <c r="CM44" s="2042">
        <f t="shared" ref="CM44:CM68" si="147">IF(BT44=TRUE,0,L44*M44/10*G44/1000)</f>
        <v>0</v>
      </c>
      <c r="CN44" s="2042">
        <f t="shared" ref="CN44:CN68" si="148">IF(BT44=TRUE,0,L44*M44/10*H44/CC44/1000)</f>
        <v>0</v>
      </c>
      <c r="CO44" s="2042">
        <f t="shared" ref="CO44:CO68" si="149">IF(BT44=TRUE,0,L44*M44/10*H44/1000)</f>
        <v>0</v>
      </c>
      <c r="CP44" s="2042">
        <f t="shared" ref="CP44:CP68" si="150">F44</f>
        <v>0</v>
      </c>
      <c r="CQ44" s="2042">
        <f t="shared" ref="CQ44:CQ68" si="151">R44*G44/BW44/1000</f>
        <v>0</v>
      </c>
      <c r="CR44" s="2042">
        <f t="shared" ref="CR44:CR68" si="152">R44*G44/1000</f>
        <v>0</v>
      </c>
      <c r="CS44" s="2042">
        <f t="shared" ref="CS44:CS68" si="153">R44*H44/BW44/1000</f>
        <v>0</v>
      </c>
      <c r="CT44" s="2042">
        <f t="shared" ref="CT44:CT68" si="154">R44*H44/1000</f>
        <v>0</v>
      </c>
      <c r="CU44" s="2042">
        <f t="shared" ref="CU44:CU68" si="155">IF(BT44=TRUE,SUM(J44,R44),SUM(J44,L44*M44/10,R44))</f>
        <v>0</v>
      </c>
      <c r="CV44" s="2042"/>
      <c r="CW44" s="609" t="str">
        <f>Pflanzen!A40</f>
        <v>Kleegras (Kleeanteil 50 %)</v>
      </c>
      <c r="CX44" s="2042">
        <f>IFERROR(MATCH($CW44,Pflanzen!$C$5:$C$119,0),1)</f>
        <v>36</v>
      </c>
      <c r="CY44" s="609" cm="1">
        <f t="array" ref="CY44">INDEX(Pflanzen!$I$5:$I$119,'Lagerhaltung (freiwillig)'!CX44)</f>
        <v>1</v>
      </c>
      <c r="CZ44" s="2042">
        <f t="shared" si="113"/>
        <v>0</v>
      </c>
      <c r="DA44" s="2042">
        <f t="shared" si="113"/>
        <v>0</v>
      </c>
      <c r="DB44" s="2042">
        <f t="shared" si="113"/>
        <v>0</v>
      </c>
      <c r="DC44" s="2042">
        <f t="shared" si="113"/>
        <v>0</v>
      </c>
      <c r="DD44" s="2042">
        <f t="shared" si="113"/>
        <v>0</v>
      </c>
      <c r="DE44" s="2042">
        <f t="shared" si="113"/>
        <v>0</v>
      </c>
      <c r="DF44" s="2042">
        <f t="shared" si="113"/>
        <v>0</v>
      </c>
      <c r="DG44" s="2042">
        <f t="shared" si="113"/>
        <v>0</v>
      </c>
      <c r="DH44" s="2042">
        <f t="shared" si="113"/>
        <v>0</v>
      </c>
      <c r="DI44" s="2042">
        <f t="shared" si="113"/>
        <v>0</v>
      </c>
      <c r="DJ44" s="2042">
        <f t="shared" si="113"/>
        <v>0</v>
      </c>
      <c r="DK44" s="2042">
        <f t="shared" si="113"/>
        <v>0</v>
      </c>
      <c r="DL44" s="2042"/>
      <c r="DM44" s="2042">
        <f t="shared" si="114"/>
        <v>0</v>
      </c>
      <c r="DN44" s="2042">
        <f t="shared" si="114"/>
        <v>0</v>
      </c>
      <c r="DO44" s="2042">
        <f t="shared" si="114"/>
        <v>0</v>
      </c>
      <c r="DP44" s="2042">
        <f t="shared" si="114"/>
        <v>0</v>
      </c>
      <c r="DQ44" s="2042">
        <f t="shared" si="114"/>
        <v>0</v>
      </c>
      <c r="DR44" s="2042">
        <f t="shared" si="114"/>
        <v>0</v>
      </c>
      <c r="DS44" s="2042">
        <f t="shared" si="114"/>
        <v>0</v>
      </c>
      <c r="DT44" s="2042">
        <f t="shared" si="114"/>
        <v>0</v>
      </c>
      <c r="DU44" s="2042">
        <f t="shared" si="114"/>
        <v>0</v>
      </c>
      <c r="DV44" s="2042">
        <f t="shared" si="114"/>
        <v>0</v>
      </c>
      <c r="DW44" s="2042">
        <f t="shared" si="114"/>
        <v>0</v>
      </c>
      <c r="DX44" s="2042">
        <f t="shared" si="114"/>
        <v>0</v>
      </c>
      <c r="DY44" s="2042"/>
      <c r="DZ44" s="2042">
        <f t="shared" si="115"/>
        <v>0</v>
      </c>
      <c r="EA44" s="2042">
        <f t="shared" si="115"/>
        <v>0</v>
      </c>
      <c r="EB44" s="2042">
        <f t="shared" si="115"/>
        <v>0</v>
      </c>
      <c r="EC44" s="2042">
        <f t="shared" si="115"/>
        <v>0</v>
      </c>
      <c r="ED44" s="2042">
        <f t="shared" si="115"/>
        <v>0</v>
      </c>
      <c r="EE44" s="2042">
        <f t="shared" si="115"/>
        <v>0</v>
      </c>
      <c r="EF44" s="2042">
        <f t="shared" si="115"/>
        <v>0</v>
      </c>
      <c r="EG44" s="2042">
        <f t="shared" si="115"/>
        <v>0</v>
      </c>
      <c r="EH44" s="2042">
        <f t="shared" si="115"/>
        <v>0</v>
      </c>
      <c r="EI44" s="2042">
        <f t="shared" si="115"/>
        <v>0</v>
      </c>
      <c r="EJ44" s="2042">
        <f t="shared" si="115"/>
        <v>0</v>
      </c>
      <c r="EK44" s="2042">
        <f t="shared" si="115"/>
        <v>0</v>
      </c>
      <c r="EL44" s="2042"/>
      <c r="EM44" s="2042">
        <f t="shared" si="116"/>
        <v>0</v>
      </c>
      <c r="EN44" s="2042">
        <f t="shared" si="116"/>
        <v>0</v>
      </c>
      <c r="EO44" s="2042">
        <f t="shared" si="116"/>
        <v>0</v>
      </c>
      <c r="EP44" s="2042">
        <f t="shared" si="116"/>
        <v>0</v>
      </c>
      <c r="EQ44" s="2042">
        <f t="shared" si="116"/>
        <v>0</v>
      </c>
      <c r="ER44" s="2042">
        <f t="shared" si="116"/>
        <v>0</v>
      </c>
      <c r="ES44" s="2042">
        <f t="shared" si="116"/>
        <v>0</v>
      </c>
      <c r="ET44" s="2042">
        <f t="shared" si="116"/>
        <v>0</v>
      </c>
      <c r="EU44" s="2042">
        <f t="shared" si="116"/>
        <v>0</v>
      </c>
      <c r="EV44" s="2042">
        <f t="shared" si="116"/>
        <v>0</v>
      </c>
      <c r="EW44" s="2042">
        <f t="shared" si="116"/>
        <v>0</v>
      </c>
      <c r="EX44" s="2042">
        <f t="shared" si="116"/>
        <v>0</v>
      </c>
      <c r="EY44" s="2042"/>
      <c r="EZ44" s="2045">
        <f t="shared" si="50"/>
        <v>0</v>
      </c>
      <c r="FA44" s="2042">
        <f>EZ44+CZ44+DZ44                 -         SUMIF('Berechnung Nährstoffe und Lager'!$AX$113:$AX$155,$CX44,'Berechnung Nährstoffe und Lager'!$U$113:$U$155)/12  -$GB44*$HC44/12</f>
        <v>0</v>
      </c>
      <c r="FB44" s="2042">
        <f>FA44+DA44+EA44                 -         SUMIF('Berechnung Nährstoffe und Lager'!$AX$113:$AX$155,$CX44,'Berechnung Nährstoffe und Lager'!$U$113:$U$155)/12  -$GB44*$HC44/12</f>
        <v>0</v>
      </c>
      <c r="FC44" s="2042">
        <f>FB44+DB44+EB44                 -         SUMIF('Berechnung Nährstoffe und Lager'!$AX$113:$AX$155,$CX44,'Berechnung Nährstoffe und Lager'!$U$113:$U$155)/12  -$GB44*$HC44/12</f>
        <v>0</v>
      </c>
      <c r="FD44" s="2042">
        <f>FC44+DC44+EC44                 -         SUMIF('Berechnung Nährstoffe und Lager'!$AX$113:$AX$155,$CX44,'Berechnung Nährstoffe und Lager'!$U$113:$U$155)/12  -$GB44*$HC44/12</f>
        <v>0</v>
      </c>
      <c r="FE44" s="2042">
        <f>FD44+DD44+ED44                 -         SUMIF('Berechnung Nährstoffe und Lager'!$AX$113:$AX$155,$CX44,'Berechnung Nährstoffe und Lager'!$U$113:$U$155)/12  -$GB44*$HC44/12</f>
        <v>0</v>
      </c>
      <c r="FF44" s="2042">
        <f>FE44+DE44+EE44                 -         SUMIF('Berechnung Nährstoffe und Lager'!$AX$113:$AX$155,$CX44,'Berechnung Nährstoffe und Lager'!$U$113:$U$155)/12  -$GB44*$HC44/12</f>
        <v>0</v>
      </c>
      <c r="FG44" s="2042">
        <f>FF44+DF44+EF44                 -         SUMIF('Berechnung Nährstoffe und Lager'!$AX$113:$AX$155,$CX44,'Berechnung Nährstoffe und Lager'!$U$113:$U$155)/12  -$GB44*$HC44/12</f>
        <v>0</v>
      </c>
      <c r="FH44" s="2042">
        <f>FG44+DG44+EG44                 -         SUMIF('Berechnung Nährstoffe und Lager'!$AX$113:$AX$155,$CX44,'Berechnung Nährstoffe und Lager'!$U$113:$U$155)/12  -$GB44*$HC44/12</f>
        <v>0</v>
      </c>
      <c r="FI44" s="2042">
        <f>FH44+DH44+EH44                 -         SUMIF('Berechnung Nährstoffe und Lager'!$AX$113:$AX$155,$CX44,'Berechnung Nährstoffe und Lager'!$U$113:$U$155)/12  -$GB44*$HC44/12</f>
        <v>0</v>
      </c>
      <c r="FJ44" s="2042">
        <f>FI44+DI44+EI44                 -         SUMIF('Berechnung Nährstoffe und Lager'!$AX$113:$AX$155,$CX44,'Berechnung Nährstoffe und Lager'!$U$113:$U$155)/12  -$GB44*$HC44/12</f>
        <v>0</v>
      </c>
      <c r="FK44" s="2042">
        <f>FJ44+DJ44+EJ44                 -         SUMIF('Berechnung Nährstoffe und Lager'!$AX$113:$AX$155,$CX44,'Berechnung Nährstoffe und Lager'!$U$113:$U$155)/12  -$GB44*$HC44/12</f>
        <v>0</v>
      </c>
      <c r="FL44" s="2042">
        <f>FK44+DK44+EK44                 -         SUMIF('Berechnung Nährstoffe und Lager'!$AX$113:$AX$155,$CX44,'Berechnung Nährstoffe und Lager'!$U$113:$U$155)/12  -$GB44*$HC44/12</f>
        <v>0</v>
      </c>
      <c r="FM44" s="2042"/>
      <c r="FN44" s="2045">
        <f t="shared" si="51"/>
        <v>0</v>
      </c>
      <c r="FO44" s="2042">
        <f>FN44+DM44+EM44                 -         SUMIF('Berechnung Nährstoffe und Lager'!$AX$113:$AX$155,$CX44,'Berechnung Nährstoffe und Lager'!$V$113:$V$155)/12  -$GC44*$HC44/12</f>
        <v>0</v>
      </c>
      <c r="FP44" s="2042">
        <f>FO44+DN44+EN44                 -         SUMIF('Berechnung Nährstoffe und Lager'!$AX$113:$AX$155,$CX44,'Berechnung Nährstoffe und Lager'!$V$113:$V$155)/12  -$GC44*$HC44/12</f>
        <v>0</v>
      </c>
      <c r="FQ44" s="2042">
        <f>FP44+DO44+EO44                 -         SUMIF('Berechnung Nährstoffe und Lager'!$AX$113:$AX$155,$CX44,'Berechnung Nährstoffe und Lager'!$V$113:$V$155)/12  -$GC44*$HC44/12</f>
        <v>0</v>
      </c>
      <c r="FR44" s="2042">
        <f>FQ44+DP44+EP44                 -         SUMIF('Berechnung Nährstoffe und Lager'!$AX$113:$AX$155,$CX44,'Berechnung Nährstoffe und Lager'!$V$113:$V$155)/12  -$GC44*$HC44/12</f>
        <v>0</v>
      </c>
      <c r="FS44" s="2042">
        <f>FR44+DQ44+EQ44                 -         SUMIF('Berechnung Nährstoffe und Lager'!$AX$113:$AX$155,$CX44,'Berechnung Nährstoffe und Lager'!$V$113:$V$155)/12  -$GC44*$HC44/12</f>
        <v>0</v>
      </c>
      <c r="FT44" s="2042">
        <f>FS44+DR44+ER44                 -         SUMIF('Berechnung Nährstoffe und Lager'!$AX$113:$AX$155,$CX44,'Berechnung Nährstoffe und Lager'!$V$113:$V$155)/12  -$GC44*$HC44/12</f>
        <v>0</v>
      </c>
      <c r="FU44" s="2042">
        <f>FT44+DS44+ES44                 -         SUMIF('Berechnung Nährstoffe und Lager'!$AX$113:$AX$155,$CX44,'Berechnung Nährstoffe und Lager'!$V$113:$V$155)/12  -$GC44*$HC44/12</f>
        <v>0</v>
      </c>
      <c r="FV44" s="2042">
        <f>FU44+DT44+ET44                 -         SUMIF('Berechnung Nährstoffe und Lager'!$AX$113:$AX$155,$CX44,'Berechnung Nährstoffe und Lager'!$V$113:$V$155)/12  -$GC44*$HC44/12</f>
        <v>0</v>
      </c>
      <c r="FW44" s="2042">
        <f>FV44+DU44+EU44                 -         SUMIF('Berechnung Nährstoffe und Lager'!$AX$113:$AX$155,$CX44,'Berechnung Nährstoffe und Lager'!$V$113:$V$155)/12  -$GC44*$HC44/12</f>
        <v>0</v>
      </c>
      <c r="FX44" s="2042">
        <f>FW44+DV44+EV44                 -         SUMIF('Berechnung Nährstoffe und Lager'!$AX$113:$AX$155,$CX44,'Berechnung Nährstoffe und Lager'!$V$113:$V$155)/12  -$GC44*$HC44/12</f>
        <v>0</v>
      </c>
      <c r="FY44" s="2042">
        <f>FX44+DW44+EW44                 -         SUMIF('Berechnung Nährstoffe und Lager'!$AX$113:$AX$155,$CX44,'Berechnung Nährstoffe und Lager'!$V$113:$V$155)/12  -$GC44*$HC44/12</f>
        <v>0</v>
      </c>
      <c r="FZ44" s="2042">
        <f>FY44+DX44+EX44                 -         SUMIF('Berechnung Nährstoffe und Lager'!$AX$113:$AX$155,$CX44,'Berechnung Nährstoffe und Lager'!$V$113:$V$155)/12  -$GC44*$HC44/12</f>
        <v>0</v>
      </c>
      <c r="GA44" s="2042"/>
      <c r="GB44" s="2042">
        <f>SUMIFS($CI$14:$CI$68,$BR$14:$BR$68,$CX44)+SUMIFS($CM$14:$CM$68,$BR$14:$BR$68,$CX44)+SUMIFS($CR$14:$CR$68,$BR$14:$BR$68,$CX44)  -         SUMIF('Berechnung Nährstoffe und Lager'!$AX$113:$AX$155,$CX44,'Berechnung Nährstoffe und Lager'!$U$113:$U$155)</f>
        <v>0</v>
      </c>
      <c r="GC44" s="2042">
        <f>SUMIFS($CJ$14:$CJ$68,$BR$14:$BR$68,$CX44)+SUMIFS($CO$14:$CO$68,$BR$14:$BR$68,$CX44)+SUMIFS($CT$14:$CT$68,$BR$14:$BR$68,$CX44)  -         SUMIF('Berechnung Nährstoffe und Lager'!$AX$113:$AX$155,$CX44,'Berechnung Nährstoffe und Lager'!$V$113:$V$155)</f>
        <v>0</v>
      </c>
      <c r="GD44" s="2042"/>
      <c r="GE44" s="2042"/>
      <c r="GF44" s="2042">
        <f>SUMIF('Berechnung Nährstoffe und Lager'!$AX$113:$AX$155,$CX44,'Berechnung Nährstoffe und Lager'!$U$113:$U$155)</f>
        <v>0</v>
      </c>
      <c r="GG44" s="2042">
        <f>SUMIF('Berechnung Nährstoffe und Lager'!$AX$113:$AX$155,$CX44,'Berechnung Nährstoffe und Lager'!$V$113:$V$155)</f>
        <v>0</v>
      </c>
      <c r="GH44" s="2042">
        <f t="shared" si="52"/>
        <v>0</v>
      </c>
      <c r="GI44" s="2042">
        <f t="shared" si="53"/>
        <v>0</v>
      </c>
      <c r="GJ44" s="2042">
        <f t="shared" si="121"/>
        <v>0</v>
      </c>
      <c r="GK44" s="2042">
        <f t="shared" si="122"/>
        <v>0</v>
      </c>
      <c r="GL44" s="2042">
        <f t="shared" si="123"/>
        <v>0</v>
      </c>
      <c r="GM44" s="2042" cm="1">
        <f t="array" ref="GM44">IF(GL44=0,0,(IFERROR(SUMPRODUCT($J$14:$J$68,$CH$14:$CH$68,($BR$14:$BR$68=CX44)*1)+SUMPRODUCT($L$14:$L$68,$M$14:$M$68,$CK$14:$CK$68,($BR$14:$BR$68=CX44)*1,($BT$14:$BT$68=FALSE)*1)/10+SUMPRODUCT($R$14:$R$68,$CP$14:$CP$68,($BR$14:$BR$68=CX44)*1),0))/GL44)</f>
        <v>0</v>
      </c>
      <c r="GN44" s="2042">
        <f t="shared" si="54"/>
        <v>0</v>
      </c>
      <c r="GO44" s="2042">
        <f>(SUMIF('Berechnung Nährstoffe und Lager'!$AX$113:$AX$130,'Lagerhaltung (freiwillig)'!CX44,'Berechnung Nährstoffe und Lager'!$D$113:$D$130)+SUMIF('Berechnung Nährstoffe und Lager'!$AX$137:$AX$155,'Lagerhaltung (freiwillig)'!CX44,'Berechnung Nährstoffe und Lager'!$E$137:$E$155))</f>
        <v>0</v>
      </c>
      <c r="GP44" s="2042" cm="1">
        <f t="array" ref="GP44">IF(GO44=0,0,(IFERROR(SUMPRODUCT('Berechnung Nährstoffe und Lager'!$D$113:$D$130,'Berechnung Nährstoffe und Lager'!$F$113:$F$130,('Berechnung Nährstoffe und Lager'!$AX$113:$AX$130='Lagerhaltung (freiwillig)'!CX44)*1)+SUMPRODUCT('Berechnung Nährstoffe und Lager'!$E$137:$E$155,'Berechnung Nährstoffe und Lager'!$F$137:$F$155,('Berechnung Nährstoffe und Lager'!$AX$137:$AX$155='Lagerhaltung (freiwillig)'!CX44)*1),0))/GO44)</f>
        <v>0</v>
      </c>
      <c r="GQ44" s="2042">
        <f t="shared" si="55"/>
        <v>0</v>
      </c>
      <c r="GR44" s="2042">
        <f t="shared" si="56"/>
        <v>0</v>
      </c>
      <c r="GS44" s="2042">
        <f t="shared" si="57"/>
        <v>0</v>
      </c>
      <c r="GT44" s="2042">
        <f t="shared" si="58"/>
        <v>0</v>
      </c>
      <c r="GU44" s="2045" t="str">
        <f t="shared" si="39"/>
        <v xml:space="preserve"> </v>
      </c>
      <c r="GV44" s="2045" t="str">
        <f t="shared" si="39"/>
        <v xml:space="preserve"> </v>
      </c>
      <c r="GW44" s="2054">
        <f t="shared" si="124"/>
        <v>0</v>
      </c>
      <c r="GX44" s="2042">
        <f t="shared" si="125"/>
        <v>0</v>
      </c>
      <c r="GY44" s="2042" t="str">
        <f t="shared" si="120"/>
        <v>a</v>
      </c>
      <c r="GZ44" s="2055">
        <f t="shared" si="126"/>
        <v>0</v>
      </c>
      <c r="HA44" s="2055">
        <f t="shared" si="127"/>
        <v>0</v>
      </c>
      <c r="HB44" s="2055"/>
      <c r="HC44" s="2046">
        <f t="shared" si="128"/>
        <v>0</v>
      </c>
      <c r="HD44" s="2055">
        <f t="shared" si="129"/>
        <v>0</v>
      </c>
      <c r="HE44" s="2055">
        <f t="shared" si="130"/>
        <v>0</v>
      </c>
      <c r="HF44" s="2055">
        <f t="shared" si="131"/>
        <v>0</v>
      </c>
      <c r="HG44" s="2282" cm="1">
        <f t="array" ref="HG44">IF(AND(HE44=0,GJ44=0),0,IF(HE44=0,1,IF(OR(GJ44*1000/HE44/HF44&gt;INDEX(Pflanzen!$AD$5:$AD$109,CX44)/INDEX(Pflanzen!$M$5:$M$109,CX44)*$HG$1,GJ44*1000/HE44/HF44&lt;INDEX(Pflanzen!$AD$5:$AD$109,CX44)/INDEX(Pflanzen!$M$5:$M$109,CX44)/$HG$1),1,0)))</f>
        <v>0</v>
      </c>
      <c r="HH44" s="2282" cm="1">
        <f t="array" ref="HH44">IF(AND(GK44=0,HE44=0),0,IF(HE44=0,1,IF(OR(GK44*1000/HE44/HF44&gt;INDEX(Pflanzen!$AE$5:$AE$109,CX44)/INDEX(Pflanzen!$M$5:$M$109,CX44)*$HG$1,GK44*1000/HE44/HF44&lt;INDEX(Pflanzen!$AE$5:$AE$109,CX44)/INDEX(Pflanzen!$M$5:$M$109,CX44)/$HG$1),1,0)))</f>
        <v>0</v>
      </c>
      <c r="HI44" s="2042">
        <f t="shared" si="132"/>
        <v>3</v>
      </c>
      <c r="HJ44" s="2042"/>
      <c r="HL44" s="2042"/>
      <c r="HM44" s="2052" t="str">
        <f>Tiere!B70</f>
        <v>Putenhennen bis 16 Wochen Mast, N-/P-reduziert</v>
      </c>
      <c r="HN44" s="2042">
        <v>41</v>
      </c>
      <c r="HO44" s="2053">
        <f>SUMIF('Berechnung Nährstoffe und Lager'!$BM$68:$BM$81,'Lagerhaltung (freiwillig)'!HN44,'Berechnung Nährstoffe und Lager'!$Z$68:$Z$81)+SUMIF('Berechnung Nährstoffe und Lager'!$BM$68:$BM$81,'Lagerhaltung (freiwillig)'!HN44,'Berechnung Nährstoffe und Lager'!$AA$68:$AA$81)</f>
        <v>0</v>
      </c>
      <c r="HP44" s="2042" cm="1">
        <f t="array" ref="HP44">INDEX(Tiere!$C$30:$C$85,'Lagerhaltung (freiwillig)'!HN44)</f>
        <v>3</v>
      </c>
      <c r="HQ44" s="2042" cm="1">
        <f t="array" ref="HQ44">INDEX(Tiere!$H$30:$H$85,'Lagerhaltung (freiwillig)'!HN44)</f>
        <v>0</v>
      </c>
      <c r="HR44" s="2042">
        <f t="shared" si="112"/>
        <v>0</v>
      </c>
      <c r="HS44" s="2042" cm="1">
        <f t="array" ref="HS44">INDEX(Tiere!$I$30:$I$85,'Lagerhaltung (freiwillig)'!HN44)</f>
        <v>0</v>
      </c>
      <c r="HT44" s="2042">
        <f t="shared" si="13"/>
        <v>0</v>
      </c>
      <c r="HU44" s="2042" cm="1">
        <f t="array" ref="HU44">INDEX(Tiere!$BC$30:$BC$85,'Lagerhaltung (freiwillig)'!HN44)</f>
        <v>1.16919</v>
      </c>
      <c r="HV44" s="2042">
        <f t="shared" si="110"/>
        <v>0</v>
      </c>
      <c r="HW44" s="2042" cm="1">
        <f t="array" ref="HW44">INDEX(Tiere!$BD$30:$BD$85,'Lagerhaltung (freiwillig)'!HN44)</f>
        <v>0.41453099999999998</v>
      </c>
      <c r="HX44" s="2042">
        <f t="shared" si="111"/>
        <v>0</v>
      </c>
      <c r="HY44" s="2042"/>
      <c r="HZ44" s="2042"/>
      <c r="IA44" s="2042"/>
      <c r="IB44" s="2042"/>
      <c r="IC44" s="2042"/>
      <c r="ID44" s="2042"/>
      <c r="IE44" s="2042"/>
      <c r="IF44" s="2042"/>
      <c r="IG44" s="2042"/>
      <c r="IH44" s="2042"/>
      <c r="II44" s="2042"/>
      <c r="IJ44" s="2042"/>
    </row>
    <row r="45" spans="1:245" ht="15.6" customHeight="1" x14ac:dyDescent="0.2">
      <c r="F45" s="1259"/>
      <c r="G45" s="2314"/>
      <c r="H45" s="2293"/>
      <c r="I45" s="2014" t="str">
        <f t="shared" si="133"/>
        <v/>
      </c>
      <c r="J45" s="1256"/>
      <c r="K45" s="2014" t="str">
        <f t="shared" si="134"/>
        <v/>
      </c>
      <c r="L45" s="1970"/>
      <c r="M45" s="1246"/>
      <c r="N45" s="1870"/>
      <c r="O45" s="1870"/>
      <c r="P45" s="2222"/>
      <c r="Q45" s="2014" t="str">
        <f t="shared" si="135"/>
        <v/>
      </c>
      <c r="R45" s="1970"/>
      <c r="S45" s="1246"/>
      <c r="T45" s="1256"/>
      <c r="V45" s="2316" t="str">
        <f t="shared" ref="V45:V68" si="156">IF(OR(AND(BZ45=3,L45&gt;0),AND(OR(J45&gt;0,M45&gt;0,R45&gt;0),OR(G45="",H45="",F45="")),AND(L45="",M45&gt;0),AND(L45&gt;0,M45="")),"Fehler","")</f>
        <v/>
      </c>
      <c r="Y45" s="2005" t="str" cm="1">
        <f t="array" ref="Y45">IFERROR(INDEX($CW$4:$CW$171,AY45),"")</f>
        <v/>
      </c>
      <c r="Z45" s="510"/>
      <c r="AA45" s="510"/>
      <c r="AB45" s="510"/>
      <c r="AC45" s="2031" t="str" cm="1">
        <f t="array" ref="AC45">IFERROR(INDEX($GL$4:$GL$171,AY45),"")</f>
        <v/>
      </c>
      <c r="AD45" s="2031" t="str" cm="1">
        <f t="array" ref="AD45">IFERROR(INDEX($GM$4:$GM$171,AY45),"")</f>
        <v/>
      </c>
      <c r="AE45" s="2031" t="str" cm="1">
        <f t="array" ref="AE45">IFERROR(INDEX($GH$4:$GH$171,AY45),"")</f>
        <v/>
      </c>
      <c r="AF45" s="2031" t="str" cm="1">
        <f t="array" ref="AF45">IFERROR(INDEX($GI$4:$GI$171,AY45),"")</f>
        <v/>
      </c>
      <c r="AG45" s="2031" t="str" cm="1">
        <f t="array" ref="AG45">IFERROR(INDEX($GO$4:$GO$171,AY45),"")</f>
        <v/>
      </c>
      <c r="AH45" s="2031" t="str" cm="1">
        <f t="array" ref="AH45">IFERROR(INDEX($GP$4:$GP$171,AY45),"")</f>
        <v/>
      </c>
      <c r="AI45" s="2031" t="str" cm="1">
        <f t="array" ref="AI45">IFERROR(INDEX($GF$4:$GF$171,AY45),"")</f>
        <v/>
      </c>
      <c r="AJ45" s="2031" t="str" cm="1">
        <f t="array" ref="AJ45">IFERROR(INDEX($GG$4:$GG$171,AY45),"")</f>
        <v/>
      </c>
      <c r="AK45" s="2031" t="str" cm="1">
        <f t="array" ref="AK45">IFERROR(INDEX($GS$4:$GS$171,AY45),"")</f>
        <v/>
      </c>
      <c r="AL45" s="2032" t="str" cm="1">
        <f t="array" ref="AL45">IFERROR(INDEX($GT$4:$GT$171,AY45),"")</f>
        <v/>
      </c>
      <c r="AM45" s="2031" t="str" cm="1">
        <f t="array" ref="AM45">IFERROR(INDEX($GB$4:$GB$171,AY45),"")</f>
        <v/>
      </c>
      <c r="AN45" s="2031" t="str" cm="1">
        <f t="array" ref="AN45">IFERROR(INDEX($GC$4:$GC$171,AY45),"")</f>
        <v/>
      </c>
      <c r="AO45" s="2031" t="str" cm="1">
        <f t="array" ref="AO45">IFERROR(INDEX($GU$4:$GU$171,AY45),"")</f>
        <v/>
      </c>
      <c r="AP45" s="2031" t="str" cm="1">
        <f t="array" ref="AP45">IFERROR(INDEX($GX$4:$GX$171,AY45),"")</f>
        <v/>
      </c>
      <c r="AQ45" s="1316"/>
      <c r="AR45" s="2031" t="str" cm="1">
        <f t="array" ref="AR45">IFERROR(INDEX($HD$4:$HD$171,AY45),"")</f>
        <v/>
      </c>
      <c r="AS45" s="2031" t="str" cm="1">
        <f t="array" ref="AS45">IFERROR(INDEX($HE$4:$HE$171,AY45),"")</f>
        <v/>
      </c>
      <c r="AT45" s="2031" t="str" cm="1">
        <f t="array" ref="AT45">IFERROR(INDEX($HF$4:$HF$171,AY45),"")</f>
        <v/>
      </c>
      <c r="AU45" s="2031" t="str" cm="1">
        <f t="array" ref="AU45">IFERROR(INDEX($GJ$4:$GJ$171,AY45),"")</f>
        <v/>
      </c>
      <c r="AV45" s="2031" t="str" cm="1">
        <f t="array" ref="AV45">IFERROR(INDEX($GK$4:$GK$171,AY45),"")</f>
        <v/>
      </c>
      <c r="AY45" s="2042" t="str" cm="1">
        <f t="array" ref="AY45">IFERROR(SMALL(IF($HI$4:$HI$171=1,ROW($HI$4:$HI$171)-3),ROW(W30)),IFERROR(SMALL(IF($HI$4:$HI$171=2,ROW($HI$4:$HI$171)-3),ROW(W30)-COUNTIF($HI$4:$HI$171,1)),IFERROR(SMALL(IF($HI$4:$HI$171=0,ROW($HI$4:$HI$171)-3),ROW(W30)-COUNTIF($HI$4:$HI$171,1)-COUNTIF($HI$4:$HI$171,2)),"")))</f>
        <v/>
      </c>
      <c r="AZ45" s="2042" t="str">
        <f t="shared" si="117"/>
        <v>a</v>
      </c>
      <c r="BA45" s="2053" t="e">
        <f t="shared" si="118"/>
        <v>#VALUE!</v>
      </c>
      <c r="BB45" s="2053" cm="1">
        <f t="array" ref="BB45">IFERROR(INDEX($HI$4:$HI$171,AY45),0)</f>
        <v>0</v>
      </c>
      <c r="BC45" s="2053">
        <f t="shared" si="119"/>
        <v>0</v>
      </c>
      <c r="BD45" s="2053"/>
      <c r="BE45" s="2307"/>
      <c r="BF45" s="2307"/>
      <c r="BG45" s="2307"/>
      <c r="BH45" s="2307"/>
      <c r="BI45" s="2307"/>
      <c r="BJ45" s="2307"/>
      <c r="BK45" s="2307"/>
      <c r="BL45" s="2307"/>
      <c r="BM45" s="2307"/>
      <c r="BN45" s="2307"/>
      <c r="BO45" s="2307"/>
      <c r="BP45" s="2043"/>
      <c r="BQ45" s="2042">
        <v>1</v>
      </c>
      <c r="BR45" cm="1">
        <f t="array" ref="BR45">INDEX(Pflanzen!$B$5:$B$117,'Lagerhaltung (freiwillig)'!BQ45)</f>
        <v>1</v>
      </c>
      <c r="BS45" s="2042"/>
      <c r="BT45" s="2042" t="b">
        <v>0</v>
      </c>
      <c r="BU45" s="2044"/>
      <c r="BV45" s="2044"/>
      <c r="BW45" s="2042">
        <f t="shared" si="136"/>
        <v>12</v>
      </c>
      <c r="BX45" s="2042">
        <f t="shared" si="137"/>
        <v>0</v>
      </c>
      <c r="BY45" s="2042">
        <f t="shared" si="138"/>
        <v>12</v>
      </c>
      <c r="BZ45" s="2042" cm="1">
        <f t="array" ref="BZ45">INDEX(Pflanzen!$AI$5:$AI$119,'Lagerhaltung (freiwillig)'!BR45)</f>
        <v>0</v>
      </c>
      <c r="CA45" s="2042" cm="1">
        <f t="array" ref="CA45">IF(BZ45=1,INDEX(Pflanzen!$AJ$5:$AJ$119,BR45),N45)</f>
        <v>0</v>
      </c>
      <c r="CB45" s="2042" cm="1">
        <f t="array" ref="CB45">IF(BZ45=1,INDEX(Pflanzen!$AK$5:$AK$119,BR45),O45)</f>
        <v>0</v>
      </c>
      <c r="CC45" s="2042">
        <f t="shared" si="139"/>
        <v>12</v>
      </c>
      <c r="CD45" s="2042">
        <f t="shared" si="140"/>
        <v>0</v>
      </c>
      <c r="CE45" s="2042">
        <f t="shared" si="141"/>
        <v>12</v>
      </c>
      <c r="CF45" s="2042" cm="1">
        <f t="array" ref="CF45">INDEX(Pflanzen!$F$5:$F$119,BR45)</f>
        <v>0</v>
      </c>
      <c r="CG45" s="2042" cm="1">
        <f t="array" ref="CG45">INDEX(Pflanzen!$H$5:$H$119,BR45)</f>
        <v>0</v>
      </c>
      <c r="CH45" s="2042">
        <f t="shared" si="142"/>
        <v>0</v>
      </c>
      <c r="CI45" s="2042">
        <f t="shared" si="143"/>
        <v>0</v>
      </c>
      <c r="CJ45" s="2042">
        <f t="shared" si="144"/>
        <v>0</v>
      </c>
      <c r="CK45" s="2042">
        <f t="shared" si="145"/>
        <v>0</v>
      </c>
      <c r="CL45" s="2042">
        <f t="shared" si="146"/>
        <v>0</v>
      </c>
      <c r="CM45" s="2042">
        <f t="shared" si="147"/>
        <v>0</v>
      </c>
      <c r="CN45" s="2042">
        <f t="shared" si="148"/>
        <v>0</v>
      </c>
      <c r="CO45" s="2042">
        <f t="shared" si="149"/>
        <v>0</v>
      </c>
      <c r="CP45" s="2042">
        <f t="shared" si="150"/>
        <v>0</v>
      </c>
      <c r="CQ45" s="2042">
        <f t="shared" si="151"/>
        <v>0</v>
      </c>
      <c r="CR45" s="2042">
        <f t="shared" si="152"/>
        <v>0</v>
      </c>
      <c r="CS45" s="2042">
        <f t="shared" si="153"/>
        <v>0</v>
      </c>
      <c r="CT45" s="2042">
        <f t="shared" si="154"/>
        <v>0</v>
      </c>
      <c r="CU45" s="2042">
        <f t="shared" si="155"/>
        <v>0</v>
      </c>
      <c r="CV45" s="2042"/>
      <c r="CW45" s="609" t="str">
        <f>Pflanzen!A41</f>
        <v>Kleegras (Kleeanteil 70 %)</v>
      </c>
      <c r="CX45" s="2042">
        <f>IFERROR(MATCH($CW45,Pflanzen!$C$5:$C$119,0),1)</f>
        <v>37</v>
      </c>
      <c r="CY45" s="609" cm="1">
        <f t="array" ref="CY45">INDEX(Pflanzen!$I$5:$I$119,'Lagerhaltung (freiwillig)'!CX45)</f>
        <v>1</v>
      </c>
      <c r="CZ45" s="2042">
        <f t="shared" si="113"/>
        <v>0</v>
      </c>
      <c r="DA45" s="2042">
        <f t="shared" si="113"/>
        <v>0</v>
      </c>
      <c r="DB45" s="2042">
        <f t="shared" si="113"/>
        <v>0</v>
      </c>
      <c r="DC45" s="2042">
        <f t="shared" si="113"/>
        <v>0</v>
      </c>
      <c r="DD45" s="2042">
        <f t="shared" si="113"/>
        <v>0</v>
      </c>
      <c r="DE45" s="2042">
        <f t="shared" si="113"/>
        <v>0</v>
      </c>
      <c r="DF45" s="2042">
        <f t="shared" si="113"/>
        <v>0</v>
      </c>
      <c r="DG45" s="2042">
        <f t="shared" si="113"/>
        <v>0</v>
      </c>
      <c r="DH45" s="2042">
        <f t="shared" si="113"/>
        <v>0</v>
      </c>
      <c r="DI45" s="2042">
        <f t="shared" si="113"/>
        <v>0</v>
      </c>
      <c r="DJ45" s="2042">
        <f t="shared" si="113"/>
        <v>0</v>
      </c>
      <c r="DK45" s="2042">
        <f t="shared" si="113"/>
        <v>0</v>
      </c>
      <c r="DL45" s="2042"/>
      <c r="DM45" s="2042">
        <f t="shared" si="114"/>
        <v>0</v>
      </c>
      <c r="DN45" s="2042">
        <f t="shared" si="114"/>
        <v>0</v>
      </c>
      <c r="DO45" s="2042">
        <f t="shared" si="114"/>
        <v>0</v>
      </c>
      <c r="DP45" s="2042">
        <f t="shared" si="114"/>
        <v>0</v>
      </c>
      <c r="DQ45" s="2042">
        <f t="shared" si="114"/>
        <v>0</v>
      </c>
      <c r="DR45" s="2042">
        <f t="shared" si="114"/>
        <v>0</v>
      </c>
      <c r="DS45" s="2042">
        <f t="shared" si="114"/>
        <v>0</v>
      </c>
      <c r="DT45" s="2042">
        <f t="shared" si="114"/>
        <v>0</v>
      </c>
      <c r="DU45" s="2042">
        <f t="shared" si="114"/>
        <v>0</v>
      </c>
      <c r="DV45" s="2042">
        <f t="shared" si="114"/>
        <v>0</v>
      </c>
      <c r="DW45" s="2042">
        <f t="shared" si="114"/>
        <v>0</v>
      </c>
      <c r="DX45" s="2042">
        <f t="shared" si="114"/>
        <v>0</v>
      </c>
      <c r="DY45" s="2042"/>
      <c r="DZ45" s="2042">
        <f t="shared" si="115"/>
        <v>0</v>
      </c>
      <c r="EA45" s="2042">
        <f t="shared" si="115"/>
        <v>0</v>
      </c>
      <c r="EB45" s="2042">
        <f t="shared" si="115"/>
        <v>0</v>
      </c>
      <c r="EC45" s="2042">
        <f t="shared" si="115"/>
        <v>0</v>
      </c>
      <c r="ED45" s="2042">
        <f t="shared" si="115"/>
        <v>0</v>
      </c>
      <c r="EE45" s="2042">
        <f t="shared" si="115"/>
        <v>0</v>
      </c>
      <c r="EF45" s="2042">
        <f t="shared" si="115"/>
        <v>0</v>
      </c>
      <c r="EG45" s="2042">
        <f t="shared" si="115"/>
        <v>0</v>
      </c>
      <c r="EH45" s="2042">
        <f t="shared" si="115"/>
        <v>0</v>
      </c>
      <c r="EI45" s="2042">
        <f t="shared" si="115"/>
        <v>0</v>
      </c>
      <c r="EJ45" s="2042">
        <f t="shared" si="115"/>
        <v>0</v>
      </c>
      <c r="EK45" s="2042">
        <f t="shared" si="115"/>
        <v>0</v>
      </c>
      <c r="EL45" s="2042"/>
      <c r="EM45" s="2042">
        <f t="shared" si="116"/>
        <v>0</v>
      </c>
      <c r="EN45" s="2042">
        <f t="shared" si="116"/>
        <v>0</v>
      </c>
      <c r="EO45" s="2042">
        <f t="shared" si="116"/>
        <v>0</v>
      </c>
      <c r="EP45" s="2042">
        <f t="shared" si="116"/>
        <v>0</v>
      </c>
      <c r="EQ45" s="2042">
        <f t="shared" si="116"/>
        <v>0</v>
      </c>
      <c r="ER45" s="2042">
        <f t="shared" si="116"/>
        <v>0</v>
      </c>
      <c r="ES45" s="2042">
        <f t="shared" si="116"/>
        <v>0</v>
      </c>
      <c r="ET45" s="2042">
        <f t="shared" si="116"/>
        <v>0</v>
      </c>
      <c r="EU45" s="2042">
        <f t="shared" si="116"/>
        <v>0</v>
      </c>
      <c r="EV45" s="2042">
        <f t="shared" si="116"/>
        <v>0</v>
      </c>
      <c r="EW45" s="2042">
        <f t="shared" si="116"/>
        <v>0</v>
      </c>
      <c r="EX45" s="2042">
        <f t="shared" si="116"/>
        <v>0</v>
      </c>
      <c r="EY45" s="2042"/>
      <c r="EZ45" s="2045">
        <f t="shared" si="50"/>
        <v>0</v>
      </c>
      <c r="FA45" s="2042">
        <f>EZ45+CZ45+DZ45                 -         SUMIF('Berechnung Nährstoffe und Lager'!$AX$113:$AX$155,$CX45,'Berechnung Nährstoffe und Lager'!$U$113:$U$155)/12  -$GB45*$HC45/12</f>
        <v>0</v>
      </c>
      <c r="FB45" s="2042">
        <f>FA45+DA45+EA45                 -         SUMIF('Berechnung Nährstoffe und Lager'!$AX$113:$AX$155,$CX45,'Berechnung Nährstoffe und Lager'!$U$113:$U$155)/12  -$GB45*$HC45/12</f>
        <v>0</v>
      </c>
      <c r="FC45" s="2042">
        <f>FB45+DB45+EB45                 -         SUMIF('Berechnung Nährstoffe und Lager'!$AX$113:$AX$155,$CX45,'Berechnung Nährstoffe und Lager'!$U$113:$U$155)/12  -$GB45*$HC45/12</f>
        <v>0</v>
      </c>
      <c r="FD45" s="2042">
        <f>FC45+DC45+EC45                 -         SUMIF('Berechnung Nährstoffe und Lager'!$AX$113:$AX$155,$CX45,'Berechnung Nährstoffe und Lager'!$U$113:$U$155)/12  -$GB45*$HC45/12</f>
        <v>0</v>
      </c>
      <c r="FE45" s="2042">
        <f>FD45+DD45+ED45                 -         SUMIF('Berechnung Nährstoffe und Lager'!$AX$113:$AX$155,$CX45,'Berechnung Nährstoffe und Lager'!$U$113:$U$155)/12  -$GB45*$HC45/12</f>
        <v>0</v>
      </c>
      <c r="FF45" s="2042">
        <f>FE45+DE45+EE45                 -         SUMIF('Berechnung Nährstoffe und Lager'!$AX$113:$AX$155,$CX45,'Berechnung Nährstoffe und Lager'!$U$113:$U$155)/12  -$GB45*$HC45/12</f>
        <v>0</v>
      </c>
      <c r="FG45" s="2042">
        <f>FF45+DF45+EF45                 -         SUMIF('Berechnung Nährstoffe und Lager'!$AX$113:$AX$155,$CX45,'Berechnung Nährstoffe und Lager'!$U$113:$U$155)/12  -$GB45*$HC45/12</f>
        <v>0</v>
      </c>
      <c r="FH45" s="2042">
        <f>FG45+DG45+EG45                 -         SUMIF('Berechnung Nährstoffe und Lager'!$AX$113:$AX$155,$CX45,'Berechnung Nährstoffe und Lager'!$U$113:$U$155)/12  -$GB45*$HC45/12</f>
        <v>0</v>
      </c>
      <c r="FI45" s="2042">
        <f>FH45+DH45+EH45                 -         SUMIF('Berechnung Nährstoffe und Lager'!$AX$113:$AX$155,$CX45,'Berechnung Nährstoffe und Lager'!$U$113:$U$155)/12  -$GB45*$HC45/12</f>
        <v>0</v>
      </c>
      <c r="FJ45" s="2042">
        <f>FI45+DI45+EI45                 -         SUMIF('Berechnung Nährstoffe und Lager'!$AX$113:$AX$155,$CX45,'Berechnung Nährstoffe und Lager'!$U$113:$U$155)/12  -$GB45*$HC45/12</f>
        <v>0</v>
      </c>
      <c r="FK45" s="2042">
        <f>FJ45+DJ45+EJ45                 -         SUMIF('Berechnung Nährstoffe und Lager'!$AX$113:$AX$155,$CX45,'Berechnung Nährstoffe und Lager'!$U$113:$U$155)/12  -$GB45*$HC45/12</f>
        <v>0</v>
      </c>
      <c r="FL45" s="2042">
        <f>FK45+DK45+EK45                 -         SUMIF('Berechnung Nährstoffe und Lager'!$AX$113:$AX$155,$CX45,'Berechnung Nährstoffe und Lager'!$U$113:$U$155)/12  -$GB45*$HC45/12</f>
        <v>0</v>
      </c>
      <c r="FM45" s="2042"/>
      <c r="FN45" s="2045">
        <f t="shared" si="51"/>
        <v>0</v>
      </c>
      <c r="FO45" s="2042">
        <f>FN45+DM45+EM45                 -         SUMIF('Berechnung Nährstoffe und Lager'!$AX$113:$AX$155,$CX45,'Berechnung Nährstoffe und Lager'!$V$113:$V$155)/12  -$GC45*$HC45/12</f>
        <v>0</v>
      </c>
      <c r="FP45" s="2042">
        <f>FO45+DN45+EN45                 -         SUMIF('Berechnung Nährstoffe und Lager'!$AX$113:$AX$155,$CX45,'Berechnung Nährstoffe und Lager'!$V$113:$V$155)/12  -$GC45*$HC45/12</f>
        <v>0</v>
      </c>
      <c r="FQ45" s="2042">
        <f>FP45+DO45+EO45                 -         SUMIF('Berechnung Nährstoffe und Lager'!$AX$113:$AX$155,$CX45,'Berechnung Nährstoffe und Lager'!$V$113:$V$155)/12  -$GC45*$HC45/12</f>
        <v>0</v>
      </c>
      <c r="FR45" s="2042">
        <f>FQ45+DP45+EP45                 -         SUMIF('Berechnung Nährstoffe und Lager'!$AX$113:$AX$155,$CX45,'Berechnung Nährstoffe und Lager'!$V$113:$V$155)/12  -$GC45*$HC45/12</f>
        <v>0</v>
      </c>
      <c r="FS45" s="2042">
        <f>FR45+DQ45+EQ45                 -         SUMIF('Berechnung Nährstoffe und Lager'!$AX$113:$AX$155,$CX45,'Berechnung Nährstoffe und Lager'!$V$113:$V$155)/12  -$GC45*$HC45/12</f>
        <v>0</v>
      </c>
      <c r="FT45" s="2042">
        <f>FS45+DR45+ER45                 -         SUMIF('Berechnung Nährstoffe und Lager'!$AX$113:$AX$155,$CX45,'Berechnung Nährstoffe und Lager'!$V$113:$V$155)/12  -$GC45*$HC45/12</f>
        <v>0</v>
      </c>
      <c r="FU45" s="2042">
        <f>FT45+DS45+ES45                 -         SUMIF('Berechnung Nährstoffe und Lager'!$AX$113:$AX$155,$CX45,'Berechnung Nährstoffe und Lager'!$V$113:$V$155)/12  -$GC45*$HC45/12</f>
        <v>0</v>
      </c>
      <c r="FV45" s="2042">
        <f>FU45+DT45+ET45                 -         SUMIF('Berechnung Nährstoffe und Lager'!$AX$113:$AX$155,$CX45,'Berechnung Nährstoffe und Lager'!$V$113:$V$155)/12  -$GC45*$HC45/12</f>
        <v>0</v>
      </c>
      <c r="FW45" s="2042">
        <f>FV45+DU45+EU45                 -         SUMIF('Berechnung Nährstoffe und Lager'!$AX$113:$AX$155,$CX45,'Berechnung Nährstoffe und Lager'!$V$113:$V$155)/12  -$GC45*$HC45/12</f>
        <v>0</v>
      </c>
      <c r="FX45" s="2042">
        <f>FW45+DV45+EV45                 -         SUMIF('Berechnung Nährstoffe und Lager'!$AX$113:$AX$155,$CX45,'Berechnung Nährstoffe und Lager'!$V$113:$V$155)/12  -$GC45*$HC45/12</f>
        <v>0</v>
      </c>
      <c r="FY45" s="2042">
        <f>FX45+DW45+EW45                 -         SUMIF('Berechnung Nährstoffe und Lager'!$AX$113:$AX$155,$CX45,'Berechnung Nährstoffe und Lager'!$V$113:$V$155)/12  -$GC45*$HC45/12</f>
        <v>0</v>
      </c>
      <c r="FZ45" s="2042">
        <f>FY45+DX45+EX45                 -         SUMIF('Berechnung Nährstoffe und Lager'!$AX$113:$AX$155,$CX45,'Berechnung Nährstoffe und Lager'!$V$113:$V$155)/12  -$GC45*$HC45/12</f>
        <v>0</v>
      </c>
      <c r="GA45" s="2042"/>
      <c r="GB45" s="2042">
        <f>SUMIFS($CI$14:$CI$68,$BR$14:$BR$68,$CX45)+SUMIFS($CM$14:$CM$68,$BR$14:$BR$68,$CX45)+SUMIFS($CR$14:$CR$68,$BR$14:$BR$68,$CX45)  -         SUMIF('Berechnung Nährstoffe und Lager'!$AX$113:$AX$155,$CX45,'Berechnung Nährstoffe und Lager'!$U$113:$U$155)</f>
        <v>0</v>
      </c>
      <c r="GC45" s="2042">
        <f>SUMIFS($CJ$14:$CJ$68,$BR$14:$BR$68,$CX45)+SUMIFS($CO$14:$CO$68,$BR$14:$BR$68,$CX45)+SUMIFS($CT$14:$CT$68,$BR$14:$BR$68,$CX45)  -         SUMIF('Berechnung Nährstoffe und Lager'!$AX$113:$AX$155,$CX45,'Berechnung Nährstoffe und Lager'!$V$113:$V$155)</f>
        <v>0</v>
      </c>
      <c r="GD45" s="2042"/>
      <c r="GE45" s="2042"/>
      <c r="GF45" s="2042">
        <f>SUMIF('Berechnung Nährstoffe und Lager'!$AX$113:$AX$155,$CX45,'Berechnung Nährstoffe und Lager'!$U$113:$U$155)</f>
        <v>0</v>
      </c>
      <c r="GG45" s="2042">
        <f>SUMIF('Berechnung Nährstoffe und Lager'!$AX$113:$AX$155,$CX45,'Berechnung Nährstoffe und Lager'!$V$113:$V$155)</f>
        <v>0</v>
      </c>
      <c r="GH45" s="2042">
        <f t="shared" si="52"/>
        <v>0</v>
      </c>
      <c r="GI45" s="2042">
        <f t="shared" si="53"/>
        <v>0</v>
      </c>
      <c r="GJ45" s="2042">
        <f t="shared" si="121"/>
        <v>0</v>
      </c>
      <c r="GK45" s="2042">
        <f t="shared" si="122"/>
        <v>0</v>
      </c>
      <c r="GL45" s="2042">
        <f t="shared" si="123"/>
        <v>0</v>
      </c>
      <c r="GM45" s="2042" cm="1">
        <f t="array" ref="GM45">IF(GL45=0,0,(IFERROR(SUMPRODUCT($J$14:$J$68,$CH$14:$CH$68,($BR$14:$BR$68=CX45)*1)+SUMPRODUCT($L$14:$L$68,$M$14:$M$68,$CK$14:$CK$68,($BR$14:$BR$68=CX45)*1,($BT$14:$BT$68=FALSE)*1)/10+SUMPRODUCT($R$14:$R$68,$CP$14:$CP$68,($BR$14:$BR$68=CX45)*1),0))/GL45)</f>
        <v>0</v>
      </c>
      <c r="GN45" s="2042">
        <f t="shared" si="54"/>
        <v>0</v>
      </c>
      <c r="GO45" s="2042">
        <f>(SUMIF('Berechnung Nährstoffe und Lager'!$AX$113:$AX$130,'Lagerhaltung (freiwillig)'!CX45,'Berechnung Nährstoffe und Lager'!$D$113:$D$130)+SUMIF('Berechnung Nährstoffe und Lager'!$AX$137:$AX$155,'Lagerhaltung (freiwillig)'!CX45,'Berechnung Nährstoffe und Lager'!$E$137:$E$155))</f>
        <v>0</v>
      </c>
      <c r="GP45" s="2042" cm="1">
        <f t="array" ref="GP45">IF(GO45=0,0,(IFERROR(SUMPRODUCT('Berechnung Nährstoffe und Lager'!$D$113:$D$130,'Berechnung Nährstoffe und Lager'!$F$113:$F$130,('Berechnung Nährstoffe und Lager'!$AX$113:$AX$130='Lagerhaltung (freiwillig)'!CX45)*1)+SUMPRODUCT('Berechnung Nährstoffe und Lager'!$E$137:$E$155,'Berechnung Nährstoffe und Lager'!$F$137:$F$155,('Berechnung Nährstoffe und Lager'!$AX$137:$AX$155='Lagerhaltung (freiwillig)'!CX45)*1),0))/GO45)</f>
        <v>0</v>
      </c>
      <c r="GQ45" s="2042">
        <f t="shared" si="55"/>
        <v>0</v>
      </c>
      <c r="GR45" s="2042">
        <f t="shared" si="56"/>
        <v>0</v>
      </c>
      <c r="GS45" s="2042">
        <f t="shared" si="57"/>
        <v>0</v>
      </c>
      <c r="GT45" s="2042">
        <f t="shared" si="58"/>
        <v>0</v>
      </c>
      <c r="GU45" s="2045" t="str">
        <f t="shared" si="39"/>
        <v xml:space="preserve"> </v>
      </c>
      <c r="GV45" s="2045" t="str">
        <f t="shared" si="39"/>
        <v xml:space="preserve"> </v>
      </c>
      <c r="GW45" s="2054">
        <f t="shared" si="124"/>
        <v>0</v>
      </c>
      <c r="GX45" s="2042">
        <f t="shared" si="125"/>
        <v>0</v>
      </c>
      <c r="GY45" s="2042" t="str">
        <f t="shared" si="120"/>
        <v>a</v>
      </c>
      <c r="GZ45" s="2055">
        <f t="shared" si="126"/>
        <v>0</v>
      </c>
      <c r="HA45" s="2055">
        <f t="shared" si="127"/>
        <v>0</v>
      </c>
      <c r="HB45" s="2055"/>
      <c r="HC45" s="2046">
        <f t="shared" si="128"/>
        <v>0</v>
      </c>
      <c r="HD45" s="2055">
        <f t="shared" si="129"/>
        <v>0</v>
      </c>
      <c r="HE45" s="2055">
        <f t="shared" si="130"/>
        <v>0</v>
      </c>
      <c r="HF45" s="2055">
        <f t="shared" si="131"/>
        <v>0</v>
      </c>
      <c r="HG45" s="2282" cm="1">
        <f t="array" ref="HG45">IF(AND(HE45=0,GJ45=0),0,IF(HE45=0,1,IF(OR(GJ45*1000/HE45/HF45&gt;INDEX(Pflanzen!$AD$5:$AD$109,CX45)/INDEX(Pflanzen!$M$5:$M$109,CX45)*$HG$1,GJ45*1000/HE45/HF45&lt;INDEX(Pflanzen!$AD$5:$AD$109,CX45)/INDEX(Pflanzen!$M$5:$M$109,CX45)/$HG$1),1,0)))</f>
        <v>0</v>
      </c>
      <c r="HH45" s="2282" cm="1">
        <f t="array" ref="HH45">IF(AND(GK45=0,HE45=0),0,IF(HE45=0,1,IF(OR(GK45*1000/HE45/HF45&gt;INDEX(Pflanzen!$AE$5:$AE$109,CX45)/INDEX(Pflanzen!$M$5:$M$109,CX45)*$HG$1,GK45*1000/HE45/HF45&lt;INDEX(Pflanzen!$AE$5:$AE$109,CX45)/INDEX(Pflanzen!$M$5:$M$109,CX45)/$HG$1),1,0)))</f>
        <v>0</v>
      </c>
      <c r="HI45" s="2042">
        <f t="shared" si="132"/>
        <v>3</v>
      </c>
      <c r="HJ45" s="2042"/>
      <c r="HL45" s="2042"/>
      <c r="HM45" s="2052" t="str">
        <f>Tiere!B71</f>
        <v>Gänse Spätmast/Weidemast</v>
      </c>
      <c r="HN45" s="2042">
        <v>42</v>
      </c>
      <c r="HO45" s="2053">
        <f>SUMIF('Berechnung Nährstoffe und Lager'!$BM$68:$BM$81,'Lagerhaltung (freiwillig)'!HN45,'Berechnung Nährstoffe und Lager'!$Z$68:$Z$81)+SUMIF('Berechnung Nährstoffe und Lager'!$BM$68:$BM$81,'Lagerhaltung (freiwillig)'!HN45,'Berechnung Nährstoffe und Lager'!$AA$68:$AA$81)</f>
        <v>0</v>
      </c>
      <c r="HP45" s="2042" cm="1">
        <f t="array" ref="HP45">INDEX(Tiere!$C$30:$C$85,'Lagerhaltung (freiwillig)'!HN45)</f>
        <v>3</v>
      </c>
      <c r="HQ45" s="2042" cm="1">
        <f t="array" ref="HQ45">INDEX(Tiere!$H$30:$H$85,'Lagerhaltung (freiwillig)'!HN45)</f>
        <v>1.24</v>
      </c>
      <c r="HR45" s="2042">
        <f t="shared" si="112"/>
        <v>0</v>
      </c>
      <c r="HS45" s="2042" cm="1">
        <f t="array" ref="HS45">INDEX(Tiere!$I$30:$I$85,'Lagerhaltung (freiwillig)'!HN45)</f>
        <v>0.35</v>
      </c>
      <c r="HT45" s="2042">
        <f t="shared" si="13"/>
        <v>0</v>
      </c>
      <c r="HU45" s="2042" cm="1">
        <f t="array" ref="HU45">INDEX(Tiere!$BC$30:$BC$85,'Lagerhaltung (freiwillig)'!HN45)</f>
        <v>0.40559999999999996</v>
      </c>
      <c r="HV45" s="2042">
        <f t="shared" si="110"/>
        <v>0</v>
      </c>
      <c r="HW45" s="2042" cm="1">
        <f t="array" ref="HW45">INDEX(Tiere!$BD$30:$BD$85,'Lagerhaltung (freiwillig)'!HN45)</f>
        <v>0.16359199999999999</v>
      </c>
      <c r="HX45" s="2042">
        <f t="shared" si="111"/>
        <v>0</v>
      </c>
      <c r="HY45" s="2042"/>
      <c r="HZ45" s="2042"/>
      <c r="IA45" s="2042"/>
      <c r="IB45" s="2042"/>
      <c r="IC45" s="2042"/>
      <c r="ID45" s="2042"/>
      <c r="IE45" s="2042"/>
      <c r="IF45" s="2042"/>
      <c r="IG45" s="2042"/>
      <c r="IH45" s="2042"/>
      <c r="II45" s="2042"/>
      <c r="IJ45" s="2042"/>
    </row>
    <row r="46" spans="1:245" ht="15.6" customHeight="1" x14ac:dyDescent="0.2">
      <c r="F46" s="1259"/>
      <c r="G46" s="2314"/>
      <c r="H46" s="2293"/>
      <c r="I46" s="2014" t="str">
        <f t="shared" si="133"/>
        <v/>
      </c>
      <c r="J46" s="1256"/>
      <c r="K46" s="2014" t="str">
        <f t="shared" si="134"/>
        <v/>
      </c>
      <c r="L46" s="1970"/>
      <c r="M46" s="1246"/>
      <c r="N46" s="1870"/>
      <c r="O46" s="1870"/>
      <c r="P46" s="2222"/>
      <c r="Q46" s="2014" t="str">
        <f t="shared" si="135"/>
        <v/>
      </c>
      <c r="R46" s="1970"/>
      <c r="S46" s="1246"/>
      <c r="T46" s="1256"/>
      <c r="V46" s="2316" t="str">
        <f t="shared" si="156"/>
        <v/>
      </c>
      <c r="Y46" s="2005" t="str" cm="1">
        <f t="array" ref="Y46">IFERROR(INDEX($CW$4:$CW$171,AY46),"")</f>
        <v/>
      </c>
      <c r="Z46" s="510"/>
      <c r="AA46" s="510"/>
      <c r="AB46" s="510"/>
      <c r="AC46" s="2031" t="str" cm="1">
        <f t="array" ref="AC46">IFERROR(INDEX($GL$4:$GL$171,AY46),"")</f>
        <v/>
      </c>
      <c r="AD46" s="2031" t="str" cm="1">
        <f t="array" ref="AD46">IFERROR(INDEX($GM$4:$GM$171,AY46),"")</f>
        <v/>
      </c>
      <c r="AE46" s="2031" t="str" cm="1">
        <f t="array" ref="AE46">IFERROR(INDEX($GH$4:$GH$171,AY46),"")</f>
        <v/>
      </c>
      <c r="AF46" s="2031" t="str" cm="1">
        <f t="array" ref="AF46">IFERROR(INDEX($GI$4:$GI$171,AY46),"")</f>
        <v/>
      </c>
      <c r="AG46" s="2031" t="str" cm="1">
        <f t="array" ref="AG46">IFERROR(INDEX($GO$4:$GO$171,AY46),"")</f>
        <v/>
      </c>
      <c r="AH46" s="2031" t="str" cm="1">
        <f t="array" ref="AH46">IFERROR(INDEX($GP$4:$GP$171,AY46),"")</f>
        <v/>
      </c>
      <c r="AI46" s="2031" t="str" cm="1">
        <f t="array" ref="AI46">IFERROR(INDEX($GF$4:$GF$171,AY46),"")</f>
        <v/>
      </c>
      <c r="AJ46" s="2031" t="str" cm="1">
        <f t="array" ref="AJ46">IFERROR(INDEX($GG$4:$GG$171,AY46),"")</f>
        <v/>
      </c>
      <c r="AK46" s="2031" t="str" cm="1">
        <f t="array" ref="AK46">IFERROR(INDEX($GS$4:$GS$171,AY46),"")</f>
        <v/>
      </c>
      <c r="AL46" s="2032" t="str" cm="1">
        <f t="array" ref="AL46">IFERROR(INDEX($GT$4:$GT$171,AY46),"")</f>
        <v/>
      </c>
      <c r="AM46" s="2031" t="str" cm="1">
        <f t="array" ref="AM46">IFERROR(INDEX($GB$4:$GB$171,AY46),"")</f>
        <v/>
      </c>
      <c r="AN46" s="2031" t="str" cm="1">
        <f t="array" ref="AN46">IFERROR(INDEX($GC$4:$GC$171,AY46),"")</f>
        <v/>
      </c>
      <c r="AO46" s="2031" t="str" cm="1">
        <f t="array" ref="AO46">IFERROR(INDEX($GU$4:$GU$171,AY46),"")</f>
        <v/>
      </c>
      <c r="AP46" s="2031" t="str" cm="1">
        <f t="array" ref="AP46">IFERROR(INDEX($GX$4:$GX$171,AY46),"")</f>
        <v/>
      </c>
      <c r="AQ46" s="1316"/>
      <c r="AR46" s="2031" t="str" cm="1">
        <f t="array" ref="AR46">IFERROR(INDEX($HD$4:$HD$171,AY46),"")</f>
        <v/>
      </c>
      <c r="AS46" s="2031" t="str" cm="1">
        <f t="array" ref="AS46">IFERROR(INDEX($HE$4:$HE$171,AY46),"")</f>
        <v/>
      </c>
      <c r="AT46" s="2031" t="str" cm="1">
        <f t="array" ref="AT46">IFERROR(INDEX($HF$4:$HF$171,AY46),"")</f>
        <v/>
      </c>
      <c r="AU46" s="2031" t="str" cm="1">
        <f t="array" ref="AU46">IFERROR(INDEX($GJ$4:$GJ$171,AY46),"")</f>
        <v/>
      </c>
      <c r="AV46" s="2031" t="str" cm="1">
        <f t="array" ref="AV46">IFERROR(INDEX($GK$4:$GK$171,AY46),"")</f>
        <v/>
      </c>
      <c r="AY46" s="2042" t="str" cm="1">
        <f t="array" ref="AY46">IFERROR(SMALL(IF($HI$4:$HI$171=1,ROW($HI$4:$HI$171)-3),ROW(W31)),IFERROR(SMALL(IF($HI$4:$HI$171=2,ROW($HI$4:$HI$171)-3),ROW(W31)-COUNTIF($HI$4:$HI$171,1)),IFERROR(SMALL(IF($HI$4:$HI$171=0,ROW($HI$4:$HI$171)-3),ROW(W31)-COUNTIF($HI$4:$HI$171,1)-COUNTIF($HI$4:$HI$171,2)),"")))</f>
        <v/>
      </c>
      <c r="AZ46" s="2042" t="str">
        <f t="shared" si="117"/>
        <v>a</v>
      </c>
      <c r="BA46" s="2053" t="e">
        <f t="shared" si="118"/>
        <v>#VALUE!</v>
      </c>
      <c r="BB46" s="2053" cm="1">
        <f t="array" ref="BB46">IFERROR(INDEX($HI$4:$HI$171,AY46),0)</f>
        <v>0</v>
      </c>
      <c r="BC46" s="2053">
        <f t="shared" si="119"/>
        <v>0</v>
      </c>
      <c r="BD46" s="2053"/>
      <c r="BE46" s="2307"/>
      <c r="BF46" s="2307"/>
      <c r="BG46" s="2307"/>
      <c r="BH46" s="2307"/>
      <c r="BI46" s="2307"/>
      <c r="BJ46" s="2307"/>
      <c r="BK46" s="2307"/>
      <c r="BL46" s="2307"/>
      <c r="BM46" s="2307"/>
      <c r="BN46" s="2307"/>
      <c r="BO46" s="2307"/>
      <c r="BP46" s="2043"/>
      <c r="BQ46" s="2042">
        <v>1</v>
      </c>
      <c r="BR46" cm="1">
        <f t="array" ref="BR46">INDEX(Pflanzen!$B$5:$B$117,'Lagerhaltung (freiwillig)'!BQ46)</f>
        <v>1</v>
      </c>
      <c r="BS46" s="2042"/>
      <c r="BT46" s="2042" t="b">
        <v>0</v>
      </c>
      <c r="BU46" s="2044"/>
      <c r="BV46" s="2044"/>
      <c r="BW46" s="2042">
        <f t="shared" si="136"/>
        <v>12</v>
      </c>
      <c r="BX46" s="2042">
        <f t="shared" si="137"/>
        <v>0</v>
      </c>
      <c r="BY46" s="2042">
        <f t="shared" si="138"/>
        <v>12</v>
      </c>
      <c r="BZ46" s="2042" cm="1">
        <f t="array" ref="BZ46">INDEX(Pflanzen!$AI$5:$AI$119,'Lagerhaltung (freiwillig)'!BR46)</f>
        <v>0</v>
      </c>
      <c r="CA46" s="2042" cm="1">
        <f t="array" ref="CA46">IF(BZ46=1,INDEX(Pflanzen!$AJ$5:$AJ$119,BR46),N46)</f>
        <v>0</v>
      </c>
      <c r="CB46" s="2042" cm="1">
        <f t="array" ref="CB46">IF(BZ46=1,INDEX(Pflanzen!$AK$5:$AK$119,BR46),O46)</f>
        <v>0</v>
      </c>
      <c r="CC46" s="2042">
        <f t="shared" si="139"/>
        <v>12</v>
      </c>
      <c r="CD46" s="2042">
        <f t="shared" si="140"/>
        <v>0</v>
      </c>
      <c r="CE46" s="2042">
        <f t="shared" si="141"/>
        <v>12</v>
      </c>
      <c r="CF46" s="2042" cm="1">
        <f t="array" ref="CF46">INDEX(Pflanzen!$F$5:$F$119,BR46)</f>
        <v>0</v>
      </c>
      <c r="CG46" s="2042" cm="1">
        <f t="array" ref="CG46">INDEX(Pflanzen!$H$5:$H$119,BR46)</f>
        <v>0</v>
      </c>
      <c r="CH46" s="2042">
        <f t="shared" si="142"/>
        <v>0</v>
      </c>
      <c r="CI46" s="2042">
        <f t="shared" si="143"/>
        <v>0</v>
      </c>
      <c r="CJ46" s="2042">
        <f t="shared" si="144"/>
        <v>0</v>
      </c>
      <c r="CK46" s="2042">
        <f t="shared" si="145"/>
        <v>0</v>
      </c>
      <c r="CL46" s="2042">
        <f t="shared" si="146"/>
        <v>0</v>
      </c>
      <c r="CM46" s="2042">
        <f t="shared" si="147"/>
        <v>0</v>
      </c>
      <c r="CN46" s="2042">
        <f t="shared" si="148"/>
        <v>0</v>
      </c>
      <c r="CO46" s="2042">
        <f t="shared" si="149"/>
        <v>0</v>
      </c>
      <c r="CP46" s="2042">
        <f t="shared" si="150"/>
        <v>0</v>
      </c>
      <c r="CQ46" s="2042">
        <f t="shared" si="151"/>
        <v>0</v>
      </c>
      <c r="CR46" s="2042">
        <f t="shared" si="152"/>
        <v>0</v>
      </c>
      <c r="CS46" s="2042">
        <f t="shared" si="153"/>
        <v>0</v>
      </c>
      <c r="CT46" s="2042">
        <f t="shared" si="154"/>
        <v>0</v>
      </c>
      <c r="CU46" s="2042">
        <f t="shared" si="155"/>
        <v>0</v>
      </c>
      <c r="CV46" s="2042"/>
      <c r="CW46" s="609" t="str">
        <f>Pflanzen!A42</f>
        <v>Luzernegras (Luz.anteil 30 %)</v>
      </c>
      <c r="CX46" s="2042">
        <f>IFERROR(MATCH($CW46,Pflanzen!$C$5:$C$119,0),1)</f>
        <v>38</v>
      </c>
      <c r="CY46" s="609" cm="1">
        <f t="array" ref="CY46">INDEX(Pflanzen!$I$5:$I$119,'Lagerhaltung (freiwillig)'!CX46)</f>
        <v>1</v>
      </c>
      <c r="CZ46" s="2042">
        <f t="shared" si="113"/>
        <v>0</v>
      </c>
      <c r="DA46" s="2042">
        <f t="shared" si="113"/>
        <v>0</v>
      </c>
      <c r="DB46" s="2042">
        <f t="shared" si="113"/>
        <v>0</v>
      </c>
      <c r="DC46" s="2042">
        <f t="shared" si="113"/>
        <v>0</v>
      </c>
      <c r="DD46" s="2042">
        <f t="shared" si="113"/>
        <v>0</v>
      </c>
      <c r="DE46" s="2042">
        <f t="shared" si="113"/>
        <v>0</v>
      </c>
      <c r="DF46" s="2042">
        <f t="shared" si="113"/>
        <v>0</v>
      </c>
      <c r="DG46" s="2042">
        <f t="shared" si="113"/>
        <v>0</v>
      </c>
      <c r="DH46" s="2042">
        <f t="shared" si="113"/>
        <v>0</v>
      </c>
      <c r="DI46" s="2042">
        <f t="shared" si="113"/>
        <v>0</v>
      </c>
      <c r="DJ46" s="2042">
        <f t="shared" si="113"/>
        <v>0</v>
      </c>
      <c r="DK46" s="2042">
        <f t="shared" si="113"/>
        <v>0</v>
      </c>
      <c r="DL46" s="2042"/>
      <c r="DM46" s="2042">
        <f t="shared" si="114"/>
        <v>0</v>
      </c>
      <c r="DN46" s="2042">
        <f t="shared" si="114"/>
        <v>0</v>
      </c>
      <c r="DO46" s="2042">
        <f t="shared" si="114"/>
        <v>0</v>
      </c>
      <c r="DP46" s="2042">
        <f t="shared" si="114"/>
        <v>0</v>
      </c>
      <c r="DQ46" s="2042">
        <f t="shared" si="114"/>
        <v>0</v>
      </c>
      <c r="DR46" s="2042">
        <f t="shared" si="114"/>
        <v>0</v>
      </c>
      <c r="DS46" s="2042">
        <f t="shared" si="114"/>
        <v>0</v>
      </c>
      <c r="DT46" s="2042">
        <f t="shared" si="114"/>
        <v>0</v>
      </c>
      <c r="DU46" s="2042">
        <f t="shared" si="114"/>
        <v>0</v>
      </c>
      <c r="DV46" s="2042">
        <f t="shared" si="114"/>
        <v>0</v>
      </c>
      <c r="DW46" s="2042">
        <f t="shared" si="114"/>
        <v>0</v>
      </c>
      <c r="DX46" s="2042">
        <f t="shared" si="114"/>
        <v>0</v>
      </c>
      <c r="DY46" s="2042"/>
      <c r="DZ46" s="2042">
        <f t="shared" si="115"/>
        <v>0</v>
      </c>
      <c r="EA46" s="2042">
        <f t="shared" si="115"/>
        <v>0</v>
      </c>
      <c r="EB46" s="2042">
        <f t="shared" si="115"/>
        <v>0</v>
      </c>
      <c r="EC46" s="2042">
        <f t="shared" si="115"/>
        <v>0</v>
      </c>
      <c r="ED46" s="2042">
        <f t="shared" si="115"/>
        <v>0</v>
      </c>
      <c r="EE46" s="2042">
        <f t="shared" si="115"/>
        <v>0</v>
      </c>
      <c r="EF46" s="2042">
        <f t="shared" si="115"/>
        <v>0</v>
      </c>
      <c r="EG46" s="2042">
        <f t="shared" si="115"/>
        <v>0</v>
      </c>
      <c r="EH46" s="2042">
        <f t="shared" si="115"/>
        <v>0</v>
      </c>
      <c r="EI46" s="2042">
        <f t="shared" si="115"/>
        <v>0</v>
      </c>
      <c r="EJ46" s="2042">
        <f t="shared" si="115"/>
        <v>0</v>
      </c>
      <c r="EK46" s="2042">
        <f t="shared" si="115"/>
        <v>0</v>
      </c>
      <c r="EL46" s="2042"/>
      <c r="EM46" s="2042">
        <f t="shared" si="116"/>
        <v>0</v>
      </c>
      <c r="EN46" s="2042">
        <f t="shared" si="116"/>
        <v>0</v>
      </c>
      <c r="EO46" s="2042">
        <f t="shared" si="116"/>
        <v>0</v>
      </c>
      <c r="EP46" s="2042">
        <f t="shared" si="116"/>
        <v>0</v>
      </c>
      <c r="EQ46" s="2042">
        <f t="shared" si="116"/>
        <v>0</v>
      </c>
      <c r="ER46" s="2042">
        <f t="shared" si="116"/>
        <v>0</v>
      </c>
      <c r="ES46" s="2042">
        <f t="shared" si="116"/>
        <v>0</v>
      </c>
      <c r="ET46" s="2042">
        <f t="shared" si="116"/>
        <v>0</v>
      </c>
      <c r="EU46" s="2042">
        <f t="shared" si="116"/>
        <v>0</v>
      </c>
      <c r="EV46" s="2042">
        <f t="shared" si="116"/>
        <v>0</v>
      </c>
      <c r="EW46" s="2042">
        <f t="shared" si="116"/>
        <v>0</v>
      </c>
      <c r="EX46" s="2042">
        <f t="shared" si="116"/>
        <v>0</v>
      </c>
      <c r="EY46" s="2042"/>
      <c r="EZ46" s="2045">
        <f t="shared" si="50"/>
        <v>0</v>
      </c>
      <c r="FA46" s="2042">
        <f>EZ46+CZ46+DZ46                 -         SUMIF('Berechnung Nährstoffe und Lager'!$AX$113:$AX$155,$CX46,'Berechnung Nährstoffe und Lager'!$U$113:$U$155)/12  -$GB46*$HC46/12</f>
        <v>0</v>
      </c>
      <c r="FB46" s="2042">
        <f>FA46+DA46+EA46                 -         SUMIF('Berechnung Nährstoffe und Lager'!$AX$113:$AX$155,$CX46,'Berechnung Nährstoffe und Lager'!$U$113:$U$155)/12  -$GB46*$HC46/12</f>
        <v>0</v>
      </c>
      <c r="FC46" s="2042">
        <f>FB46+DB46+EB46                 -         SUMIF('Berechnung Nährstoffe und Lager'!$AX$113:$AX$155,$CX46,'Berechnung Nährstoffe und Lager'!$U$113:$U$155)/12  -$GB46*$HC46/12</f>
        <v>0</v>
      </c>
      <c r="FD46" s="2042">
        <f>FC46+DC46+EC46                 -         SUMIF('Berechnung Nährstoffe und Lager'!$AX$113:$AX$155,$CX46,'Berechnung Nährstoffe und Lager'!$U$113:$U$155)/12  -$GB46*$HC46/12</f>
        <v>0</v>
      </c>
      <c r="FE46" s="2042">
        <f>FD46+DD46+ED46                 -         SUMIF('Berechnung Nährstoffe und Lager'!$AX$113:$AX$155,$CX46,'Berechnung Nährstoffe und Lager'!$U$113:$U$155)/12  -$GB46*$HC46/12</f>
        <v>0</v>
      </c>
      <c r="FF46" s="2042">
        <f>FE46+DE46+EE46                 -         SUMIF('Berechnung Nährstoffe und Lager'!$AX$113:$AX$155,$CX46,'Berechnung Nährstoffe und Lager'!$U$113:$U$155)/12  -$GB46*$HC46/12</f>
        <v>0</v>
      </c>
      <c r="FG46" s="2042">
        <f>FF46+DF46+EF46                 -         SUMIF('Berechnung Nährstoffe und Lager'!$AX$113:$AX$155,$CX46,'Berechnung Nährstoffe und Lager'!$U$113:$U$155)/12  -$GB46*$HC46/12</f>
        <v>0</v>
      </c>
      <c r="FH46" s="2042">
        <f>FG46+DG46+EG46                 -         SUMIF('Berechnung Nährstoffe und Lager'!$AX$113:$AX$155,$CX46,'Berechnung Nährstoffe und Lager'!$U$113:$U$155)/12  -$GB46*$HC46/12</f>
        <v>0</v>
      </c>
      <c r="FI46" s="2042">
        <f>FH46+DH46+EH46                 -         SUMIF('Berechnung Nährstoffe und Lager'!$AX$113:$AX$155,$CX46,'Berechnung Nährstoffe und Lager'!$U$113:$U$155)/12  -$GB46*$HC46/12</f>
        <v>0</v>
      </c>
      <c r="FJ46" s="2042">
        <f>FI46+DI46+EI46                 -         SUMIF('Berechnung Nährstoffe und Lager'!$AX$113:$AX$155,$CX46,'Berechnung Nährstoffe und Lager'!$U$113:$U$155)/12  -$GB46*$HC46/12</f>
        <v>0</v>
      </c>
      <c r="FK46" s="2042">
        <f>FJ46+DJ46+EJ46                 -         SUMIF('Berechnung Nährstoffe und Lager'!$AX$113:$AX$155,$CX46,'Berechnung Nährstoffe und Lager'!$U$113:$U$155)/12  -$GB46*$HC46/12</f>
        <v>0</v>
      </c>
      <c r="FL46" s="2042">
        <f>FK46+DK46+EK46                 -         SUMIF('Berechnung Nährstoffe und Lager'!$AX$113:$AX$155,$CX46,'Berechnung Nährstoffe und Lager'!$U$113:$U$155)/12  -$GB46*$HC46/12</f>
        <v>0</v>
      </c>
      <c r="FM46" s="2042"/>
      <c r="FN46" s="2045">
        <f t="shared" si="51"/>
        <v>0</v>
      </c>
      <c r="FO46" s="2042">
        <f>FN46+DM46+EM46                 -         SUMIF('Berechnung Nährstoffe und Lager'!$AX$113:$AX$155,$CX46,'Berechnung Nährstoffe und Lager'!$V$113:$V$155)/12  -$GC46*$HC46/12</f>
        <v>0</v>
      </c>
      <c r="FP46" s="2042">
        <f>FO46+DN46+EN46                 -         SUMIF('Berechnung Nährstoffe und Lager'!$AX$113:$AX$155,$CX46,'Berechnung Nährstoffe und Lager'!$V$113:$V$155)/12  -$GC46*$HC46/12</f>
        <v>0</v>
      </c>
      <c r="FQ46" s="2042">
        <f>FP46+DO46+EO46                 -         SUMIF('Berechnung Nährstoffe und Lager'!$AX$113:$AX$155,$CX46,'Berechnung Nährstoffe und Lager'!$V$113:$V$155)/12  -$GC46*$HC46/12</f>
        <v>0</v>
      </c>
      <c r="FR46" s="2042">
        <f>FQ46+DP46+EP46                 -         SUMIF('Berechnung Nährstoffe und Lager'!$AX$113:$AX$155,$CX46,'Berechnung Nährstoffe und Lager'!$V$113:$V$155)/12  -$GC46*$HC46/12</f>
        <v>0</v>
      </c>
      <c r="FS46" s="2042">
        <f>FR46+DQ46+EQ46                 -         SUMIF('Berechnung Nährstoffe und Lager'!$AX$113:$AX$155,$CX46,'Berechnung Nährstoffe und Lager'!$V$113:$V$155)/12  -$GC46*$HC46/12</f>
        <v>0</v>
      </c>
      <c r="FT46" s="2042">
        <f>FS46+DR46+ER46                 -         SUMIF('Berechnung Nährstoffe und Lager'!$AX$113:$AX$155,$CX46,'Berechnung Nährstoffe und Lager'!$V$113:$V$155)/12  -$GC46*$HC46/12</f>
        <v>0</v>
      </c>
      <c r="FU46" s="2042">
        <f>FT46+DS46+ES46                 -         SUMIF('Berechnung Nährstoffe und Lager'!$AX$113:$AX$155,$CX46,'Berechnung Nährstoffe und Lager'!$V$113:$V$155)/12  -$GC46*$HC46/12</f>
        <v>0</v>
      </c>
      <c r="FV46" s="2042">
        <f>FU46+DT46+ET46                 -         SUMIF('Berechnung Nährstoffe und Lager'!$AX$113:$AX$155,$CX46,'Berechnung Nährstoffe und Lager'!$V$113:$V$155)/12  -$GC46*$HC46/12</f>
        <v>0</v>
      </c>
      <c r="FW46" s="2042">
        <f>FV46+DU46+EU46                 -         SUMIF('Berechnung Nährstoffe und Lager'!$AX$113:$AX$155,$CX46,'Berechnung Nährstoffe und Lager'!$V$113:$V$155)/12  -$GC46*$HC46/12</f>
        <v>0</v>
      </c>
      <c r="FX46" s="2042">
        <f>FW46+DV46+EV46                 -         SUMIF('Berechnung Nährstoffe und Lager'!$AX$113:$AX$155,$CX46,'Berechnung Nährstoffe und Lager'!$V$113:$V$155)/12  -$GC46*$HC46/12</f>
        <v>0</v>
      </c>
      <c r="FY46" s="2042">
        <f>FX46+DW46+EW46                 -         SUMIF('Berechnung Nährstoffe und Lager'!$AX$113:$AX$155,$CX46,'Berechnung Nährstoffe und Lager'!$V$113:$V$155)/12  -$GC46*$HC46/12</f>
        <v>0</v>
      </c>
      <c r="FZ46" s="2042">
        <f>FY46+DX46+EX46                 -         SUMIF('Berechnung Nährstoffe und Lager'!$AX$113:$AX$155,$CX46,'Berechnung Nährstoffe und Lager'!$V$113:$V$155)/12  -$GC46*$HC46/12</f>
        <v>0</v>
      </c>
      <c r="GA46" s="2042"/>
      <c r="GB46" s="2042">
        <f>SUMIFS($CI$14:$CI$68,$BR$14:$BR$68,$CX46)+SUMIFS($CM$14:$CM$68,$BR$14:$BR$68,$CX46)+SUMIFS($CR$14:$CR$68,$BR$14:$BR$68,$CX46)  -         SUMIF('Berechnung Nährstoffe und Lager'!$AX$113:$AX$155,$CX46,'Berechnung Nährstoffe und Lager'!$U$113:$U$155)</f>
        <v>0</v>
      </c>
      <c r="GC46" s="2042">
        <f>SUMIFS($CJ$14:$CJ$68,$BR$14:$BR$68,$CX46)+SUMIFS($CO$14:$CO$68,$BR$14:$BR$68,$CX46)+SUMIFS($CT$14:$CT$68,$BR$14:$BR$68,$CX46)  -         SUMIF('Berechnung Nährstoffe und Lager'!$AX$113:$AX$155,$CX46,'Berechnung Nährstoffe und Lager'!$V$113:$V$155)</f>
        <v>0</v>
      </c>
      <c r="GD46" s="2042"/>
      <c r="GE46" s="2042"/>
      <c r="GF46" s="2042">
        <f>SUMIF('Berechnung Nährstoffe und Lager'!$AX$113:$AX$155,$CX46,'Berechnung Nährstoffe und Lager'!$U$113:$U$155)</f>
        <v>0</v>
      </c>
      <c r="GG46" s="2042">
        <f>SUMIF('Berechnung Nährstoffe und Lager'!$AX$113:$AX$155,$CX46,'Berechnung Nährstoffe und Lager'!$V$113:$V$155)</f>
        <v>0</v>
      </c>
      <c r="GH46" s="2042">
        <f t="shared" si="52"/>
        <v>0</v>
      </c>
      <c r="GI46" s="2042">
        <f t="shared" si="53"/>
        <v>0</v>
      </c>
      <c r="GJ46" s="2042">
        <f t="shared" si="121"/>
        <v>0</v>
      </c>
      <c r="GK46" s="2042">
        <f t="shared" si="122"/>
        <v>0</v>
      </c>
      <c r="GL46" s="2042">
        <f t="shared" si="123"/>
        <v>0</v>
      </c>
      <c r="GM46" s="2042" cm="1">
        <f t="array" ref="GM46">IF(GL46=0,0,(IFERROR(SUMPRODUCT($J$14:$J$68,$CH$14:$CH$68,($BR$14:$BR$68=CX46)*1)+SUMPRODUCT($L$14:$L$68,$M$14:$M$68,$CK$14:$CK$68,($BR$14:$BR$68=CX46)*1,($BT$14:$BT$68=FALSE)*1)/10+SUMPRODUCT($R$14:$R$68,$CP$14:$CP$68,($BR$14:$BR$68=CX46)*1),0))/GL46)</f>
        <v>0</v>
      </c>
      <c r="GN46" s="2042">
        <f t="shared" si="54"/>
        <v>0</v>
      </c>
      <c r="GO46" s="2042">
        <f>(SUMIF('Berechnung Nährstoffe und Lager'!$AX$113:$AX$130,'Lagerhaltung (freiwillig)'!CX46,'Berechnung Nährstoffe und Lager'!$D$113:$D$130)+SUMIF('Berechnung Nährstoffe und Lager'!$AX$137:$AX$155,'Lagerhaltung (freiwillig)'!CX46,'Berechnung Nährstoffe und Lager'!$E$137:$E$155))</f>
        <v>0</v>
      </c>
      <c r="GP46" s="2042" cm="1">
        <f t="array" ref="GP46">IF(GO46=0,0,(IFERROR(SUMPRODUCT('Berechnung Nährstoffe und Lager'!$D$113:$D$130,'Berechnung Nährstoffe und Lager'!$F$113:$F$130,('Berechnung Nährstoffe und Lager'!$AX$113:$AX$130='Lagerhaltung (freiwillig)'!CX46)*1)+SUMPRODUCT('Berechnung Nährstoffe und Lager'!$E$137:$E$155,'Berechnung Nährstoffe und Lager'!$F$137:$F$155,('Berechnung Nährstoffe und Lager'!$AX$137:$AX$155='Lagerhaltung (freiwillig)'!CX46)*1),0))/GO46)</f>
        <v>0</v>
      </c>
      <c r="GQ46" s="2042">
        <f t="shared" si="55"/>
        <v>0</v>
      </c>
      <c r="GR46" s="2042">
        <f t="shared" si="56"/>
        <v>0</v>
      </c>
      <c r="GS46" s="2042">
        <f t="shared" si="57"/>
        <v>0</v>
      </c>
      <c r="GT46" s="2042">
        <f t="shared" si="58"/>
        <v>0</v>
      </c>
      <c r="GU46" s="2045" t="str">
        <f t="shared" si="39"/>
        <v xml:space="preserve"> </v>
      </c>
      <c r="GV46" s="2045" t="str">
        <f t="shared" si="39"/>
        <v xml:space="preserve"> </v>
      </c>
      <c r="GW46" s="2054">
        <f t="shared" si="124"/>
        <v>0</v>
      </c>
      <c r="GX46" s="2042">
        <f t="shared" si="125"/>
        <v>0</v>
      </c>
      <c r="GY46" s="2042" t="str">
        <f t="shared" si="120"/>
        <v>a</v>
      </c>
      <c r="GZ46" s="2055">
        <f t="shared" si="126"/>
        <v>0</v>
      </c>
      <c r="HA46" s="2055">
        <f t="shared" si="127"/>
        <v>0</v>
      </c>
      <c r="HB46" s="2055"/>
      <c r="HC46" s="2046">
        <f t="shared" si="128"/>
        <v>0</v>
      </c>
      <c r="HD46" s="2055">
        <f t="shared" si="129"/>
        <v>0</v>
      </c>
      <c r="HE46" s="2055">
        <f t="shared" si="130"/>
        <v>0</v>
      </c>
      <c r="HF46" s="2055">
        <f t="shared" si="131"/>
        <v>0</v>
      </c>
      <c r="HG46" s="2282" cm="1">
        <f t="array" ref="HG46">IF(AND(HE46=0,GJ46=0),0,IF(HE46=0,1,IF(OR(GJ46*1000/HE46/HF46&gt;INDEX(Pflanzen!$AD$5:$AD$109,CX46)/INDEX(Pflanzen!$M$5:$M$109,CX46)*$HG$1,GJ46*1000/HE46/HF46&lt;INDEX(Pflanzen!$AD$5:$AD$109,CX46)/INDEX(Pflanzen!$M$5:$M$109,CX46)/$HG$1),1,0)))</f>
        <v>0</v>
      </c>
      <c r="HH46" s="2282" cm="1">
        <f t="array" ref="HH46">IF(AND(GK46=0,HE46=0),0,IF(HE46=0,1,IF(OR(GK46*1000/HE46/HF46&gt;INDEX(Pflanzen!$AE$5:$AE$109,CX46)/INDEX(Pflanzen!$M$5:$M$109,CX46)*$HG$1,GK46*1000/HE46/HF46&lt;INDEX(Pflanzen!$AE$5:$AE$109,CX46)/INDEX(Pflanzen!$M$5:$M$109,CX46)/$HG$1),1,0)))</f>
        <v>0</v>
      </c>
      <c r="HI46" s="2042">
        <f t="shared" si="132"/>
        <v>3</v>
      </c>
      <c r="HJ46" s="2042"/>
      <c r="HL46" s="2042"/>
      <c r="HM46" s="2052" t="str">
        <f>Tiere!B72</f>
        <v>Pekingenten</v>
      </c>
      <c r="HN46" s="2042">
        <v>43</v>
      </c>
      <c r="HO46" s="2053">
        <f>SUMIF('Berechnung Nährstoffe und Lager'!$BM$68:$BM$81,'Lagerhaltung (freiwillig)'!HN46,'Berechnung Nährstoffe und Lager'!$Z$68:$Z$81)+SUMIF('Berechnung Nährstoffe und Lager'!$BM$68:$BM$81,'Lagerhaltung (freiwillig)'!HN46,'Berechnung Nährstoffe und Lager'!$AA$68:$AA$81)</f>
        <v>0</v>
      </c>
      <c r="HP46" s="2042" cm="1">
        <f t="array" ref="HP46">INDEX(Tiere!$C$30:$C$85,'Lagerhaltung (freiwillig)'!HN46)</f>
        <v>3</v>
      </c>
      <c r="HQ46" s="2042" cm="1">
        <f t="array" ref="HQ46">INDEX(Tiere!$H$30:$H$85,'Lagerhaltung (freiwillig)'!HN46)</f>
        <v>0</v>
      </c>
      <c r="HR46" s="2042">
        <f t="shared" si="112"/>
        <v>0</v>
      </c>
      <c r="HS46" s="2042" cm="1">
        <f t="array" ref="HS46">INDEX(Tiere!$I$30:$I$85,'Lagerhaltung (freiwillig)'!HN46)</f>
        <v>0</v>
      </c>
      <c r="HT46" s="2042">
        <f t="shared" si="13"/>
        <v>0</v>
      </c>
      <c r="HU46" s="2042" cm="1">
        <f t="array" ref="HU46">INDEX(Tiere!$BC$30:$BC$85,'Lagerhaltung (freiwillig)'!HN46)</f>
        <v>0.58499999999999996</v>
      </c>
      <c r="HV46" s="2042">
        <f t="shared" si="110"/>
        <v>0</v>
      </c>
      <c r="HW46" s="2042" cm="1">
        <f t="array" ref="HW46">INDEX(Tiere!$BD$30:$BD$85,'Lagerhaltung (freiwillig)'!HN46)</f>
        <v>0.22424999999999998</v>
      </c>
      <c r="HX46" s="2042">
        <f t="shared" si="111"/>
        <v>0</v>
      </c>
      <c r="HY46" s="2042"/>
      <c r="HZ46" s="2042"/>
      <c r="IA46" s="2042"/>
      <c r="IB46" s="2042"/>
      <c r="IC46" s="2042"/>
      <c r="ID46" s="2042"/>
      <c r="IE46" s="2042"/>
      <c r="IF46" s="2042"/>
      <c r="IG46" s="2042"/>
      <c r="IH46" s="2042"/>
      <c r="II46" s="2042"/>
      <c r="IJ46" s="2042"/>
    </row>
    <row r="47" spans="1:245" ht="15.6" customHeight="1" x14ac:dyDescent="0.2">
      <c r="F47" s="1259"/>
      <c r="G47" s="2314"/>
      <c r="H47" s="2293"/>
      <c r="I47" s="2014" t="str">
        <f t="shared" si="133"/>
        <v/>
      </c>
      <c r="J47" s="1256"/>
      <c r="K47" s="2014" t="str">
        <f t="shared" si="134"/>
        <v/>
      </c>
      <c r="L47" s="1970"/>
      <c r="M47" s="1246"/>
      <c r="N47" s="1870"/>
      <c r="O47" s="1870"/>
      <c r="P47" s="2222"/>
      <c r="Q47" s="2014" t="str">
        <f t="shared" si="135"/>
        <v/>
      </c>
      <c r="R47" s="1970"/>
      <c r="S47" s="1246"/>
      <c r="T47" s="1256"/>
      <c r="V47" s="2316" t="str">
        <f t="shared" si="156"/>
        <v/>
      </c>
      <c r="Y47" s="2005" t="str" cm="1">
        <f t="array" ref="Y47">IFERROR(INDEX($CW$4:$CW$171,AY47),"")</f>
        <v/>
      </c>
      <c r="Z47" s="510"/>
      <c r="AA47" s="510"/>
      <c r="AB47" s="510"/>
      <c r="AC47" s="2031" t="str" cm="1">
        <f t="array" ref="AC47">IFERROR(INDEX($GL$4:$GL$171,AY47),"")</f>
        <v/>
      </c>
      <c r="AD47" s="2031" t="str" cm="1">
        <f t="array" ref="AD47">IFERROR(INDEX($GM$4:$GM$171,AY47),"")</f>
        <v/>
      </c>
      <c r="AE47" s="2031" t="str" cm="1">
        <f t="array" ref="AE47">IFERROR(INDEX($GH$4:$GH$171,AY47),"")</f>
        <v/>
      </c>
      <c r="AF47" s="2031" t="str" cm="1">
        <f t="array" ref="AF47">IFERROR(INDEX($GI$4:$GI$171,AY47),"")</f>
        <v/>
      </c>
      <c r="AG47" s="2031" t="str" cm="1">
        <f t="array" ref="AG47">IFERROR(INDEX($GO$4:$GO$171,AY47),"")</f>
        <v/>
      </c>
      <c r="AH47" s="2031" t="str" cm="1">
        <f t="array" ref="AH47">IFERROR(INDEX($GP$4:$GP$171,AY47),"")</f>
        <v/>
      </c>
      <c r="AI47" s="2031" t="str" cm="1">
        <f t="array" ref="AI47">IFERROR(INDEX($GF$4:$GF$171,AY47),"")</f>
        <v/>
      </c>
      <c r="AJ47" s="2031" t="str" cm="1">
        <f t="array" ref="AJ47">IFERROR(INDEX($GG$4:$GG$171,AY47),"")</f>
        <v/>
      </c>
      <c r="AK47" s="2031" t="str" cm="1">
        <f t="array" ref="AK47">IFERROR(INDEX($GS$4:$GS$171,AY47),"")</f>
        <v/>
      </c>
      <c r="AL47" s="2032" t="str" cm="1">
        <f t="array" ref="AL47">IFERROR(INDEX($GT$4:$GT$171,AY47),"")</f>
        <v/>
      </c>
      <c r="AM47" s="2031" t="str" cm="1">
        <f t="array" ref="AM47">IFERROR(INDEX($GB$4:$GB$171,AY47),"")</f>
        <v/>
      </c>
      <c r="AN47" s="2031" t="str" cm="1">
        <f t="array" ref="AN47">IFERROR(INDEX($GC$4:$GC$171,AY47),"")</f>
        <v/>
      </c>
      <c r="AO47" s="2031" t="str" cm="1">
        <f t="array" ref="AO47">IFERROR(INDEX($GU$4:$GU$171,AY47),"")</f>
        <v/>
      </c>
      <c r="AP47" s="2031" t="str" cm="1">
        <f t="array" ref="AP47">IFERROR(INDEX($GX$4:$GX$171,AY47),"")</f>
        <v/>
      </c>
      <c r="AQ47" s="1316"/>
      <c r="AR47" s="2031" t="str" cm="1">
        <f t="array" ref="AR47">IFERROR(INDEX($HD$4:$HD$171,AY47),"")</f>
        <v/>
      </c>
      <c r="AS47" s="2031" t="str" cm="1">
        <f t="array" ref="AS47">IFERROR(INDEX($HE$4:$HE$171,AY47),"")</f>
        <v/>
      </c>
      <c r="AT47" s="2031" t="str" cm="1">
        <f t="array" ref="AT47">IFERROR(INDEX($HF$4:$HF$171,AY47),"")</f>
        <v/>
      </c>
      <c r="AU47" s="2031" t="str" cm="1">
        <f t="array" ref="AU47">IFERROR(INDEX($GJ$4:$GJ$171,AY47),"")</f>
        <v/>
      </c>
      <c r="AV47" s="2031" t="str" cm="1">
        <f t="array" ref="AV47">IFERROR(INDEX($GK$4:$GK$171,AY47),"")</f>
        <v/>
      </c>
      <c r="AY47" s="2042" t="str" cm="1">
        <f t="array" ref="AY47">IFERROR(SMALL(IF($HI$4:$HI$171=1,ROW($HI$4:$HI$171)-3),ROW(W32)),IFERROR(SMALL(IF($HI$4:$HI$171=2,ROW($HI$4:$HI$171)-3),ROW(W32)-COUNTIF($HI$4:$HI$171,1)),IFERROR(SMALL(IF($HI$4:$HI$171=0,ROW($HI$4:$HI$171)-3),ROW(W32)-COUNTIF($HI$4:$HI$171,1)-COUNTIF($HI$4:$HI$171,2)),"")))</f>
        <v/>
      </c>
      <c r="AZ47" s="2042" t="str">
        <f t="shared" si="117"/>
        <v>a</v>
      </c>
      <c r="BA47" s="2053" t="e">
        <f t="shared" si="118"/>
        <v>#VALUE!</v>
      </c>
      <c r="BB47" s="2053" cm="1">
        <f t="array" ref="BB47">IFERROR(INDEX($HI$4:$HI$171,AY47),0)</f>
        <v>0</v>
      </c>
      <c r="BC47" s="2053">
        <f t="shared" si="119"/>
        <v>0</v>
      </c>
      <c r="BD47" s="2053"/>
      <c r="BE47" s="2307"/>
      <c r="BF47" s="2307"/>
      <c r="BG47" s="2307"/>
      <c r="BH47" s="2307"/>
      <c r="BI47" s="2307"/>
      <c r="BJ47" s="2307"/>
      <c r="BK47" s="2307"/>
      <c r="BL47" s="2307"/>
      <c r="BM47" s="2307"/>
      <c r="BN47" s="2307"/>
      <c r="BO47" s="2307"/>
      <c r="BP47" s="2043"/>
      <c r="BQ47" s="2042">
        <v>1</v>
      </c>
      <c r="BR47" cm="1">
        <f t="array" ref="BR47">INDEX(Pflanzen!$B$5:$B$117,'Lagerhaltung (freiwillig)'!BQ47)</f>
        <v>1</v>
      </c>
      <c r="BS47" s="2042"/>
      <c r="BT47" s="2042" t="b">
        <v>0</v>
      </c>
      <c r="BU47" s="2044"/>
      <c r="BV47" s="2044"/>
      <c r="BW47" s="2042">
        <f t="shared" si="136"/>
        <v>12</v>
      </c>
      <c r="BX47" s="2042">
        <f t="shared" si="137"/>
        <v>0</v>
      </c>
      <c r="BY47" s="2042">
        <f t="shared" si="138"/>
        <v>12</v>
      </c>
      <c r="BZ47" s="2042" cm="1">
        <f t="array" ref="BZ47">INDEX(Pflanzen!$AI$5:$AI$119,'Lagerhaltung (freiwillig)'!BR47)</f>
        <v>0</v>
      </c>
      <c r="CA47" s="2042" cm="1">
        <f t="array" ref="CA47">IF(BZ47=1,INDEX(Pflanzen!$AJ$5:$AJ$119,BR47),N47)</f>
        <v>0</v>
      </c>
      <c r="CB47" s="2042" cm="1">
        <f t="array" ref="CB47">IF(BZ47=1,INDEX(Pflanzen!$AK$5:$AK$119,BR47),O47)</f>
        <v>0</v>
      </c>
      <c r="CC47" s="2042">
        <f t="shared" si="139"/>
        <v>12</v>
      </c>
      <c r="CD47" s="2042">
        <f t="shared" si="140"/>
        <v>0</v>
      </c>
      <c r="CE47" s="2042">
        <f t="shared" si="141"/>
        <v>12</v>
      </c>
      <c r="CF47" s="2042" cm="1">
        <f t="array" ref="CF47">INDEX(Pflanzen!$F$5:$F$119,BR47)</f>
        <v>0</v>
      </c>
      <c r="CG47" s="2042" cm="1">
        <f t="array" ref="CG47">INDEX(Pflanzen!$H$5:$H$119,BR47)</f>
        <v>0</v>
      </c>
      <c r="CH47" s="2042">
        <f t="shared" si="142"/>
        <v>0</v>
      </c>
      <c r="CI47" s="2042">
        <f t="shared" si="143"/>
        <v>0</v>
      </c>
      <c r="CJ47" s="2042">
        <f t="shared" si="144"/>
        <v>0</v>
      </c>
      <c r="CK47" s="2042">
        <f t="shared" si="145"/>
        <v>0</v>
      </c>
      <c r="CL47" s="2042">
        <f t="shared" si="146"/>
        <v>0</v>
      </c>
      <c r="CM47" s="2042">
        <f t="shared" si="147"/>
        <v>0</v>
      </c>
      <c r="CN47" s="2042">
        <f t="shared" si="148"/>
        <v>0</v>
      </c>
      <c r="CO47" s="2042">
        <f t="shared" si="149"/>
        <v>0</v>
      </c>
      <c r="CP47" s="2042">
        <f t="shared" si="150"/>
        <v>0</v>
      </c>
      <c r="CQ47" s="2042">
        <f t="shared" si="151"/>
        <v>0</v>
      </c>
      <c r="CR47" s="2042">
        <f t="shared" si="152"/>
        <v>0</v>
      </c>
      <c r="CS47" s="2042">
        <f t="shared" si="153"/>
        <v>0</v>
      </c>
      <c r="CT47" s="2042">
        <f t="shared" si="154"/>
        <v>0</v>
      </c>
      <c r="CU47" s="2042">
        <f t="shared" si="155"/>
        <v>0</v>
      </c>
      <c r="CV47" s="2042"/>
      <c r="CW47" s="609" t="str">
        <f>Pflanzen!A43</f>
        <v>Luzernegras (Luz.anteil 50 %)</v>
      </c>
      <c r="CX47" s="2042">
        <f>IFERROR(MATCH($CW47,Pflanzen!$C$5:$C$119,0),1)</f>
        <v>39</v>
      </c>
      <c r="CY47" s="609" cm="1">
        <f t="array" ref="CY47">INDEX(Pflanzen!$I$5:$I$119,'Lagerhaltung (freiwillig)'!CX47)</f>
        <v>1</v>
      </c>
      <c r="CZ47" s="2042">
        <f t="shared" si="113"/>
        <v>0</v>
      </c>
      <c r="DA47" s="2042">
        <f t="shared" si="113"/>
        <v>0</v>
      </c>
      <c r="DB47" s="2042">
        <f t="shared" si="113"/>
        <v>0</v>
      </c>
      <c r="DC47" s="2042">
        <f t="shared" si="113"/>
        <v>0</v>
      </c>
      <c r="DD47" s="2042">
        <f t="shared" si="113"/>
        <v>0</v>
      </c>
      <c r="DE47" s="2042">
        <f t="shared" si="113"/>
        <v>0</v>
      </c>
      <c r="DF47" s="2042">
        <f t="shared" si="113"/>
        <v>0</v>
      </c>
      <c r="DG47" s="2042">
        <f t="shared" si="113"/>
        <v>0</v>
      </c>
      <c r="DH47" s="2042">
        <f t="shared" si="113"/>
        <v>0</v>
      </c>
      <c r="DI47" s="2042">
        <f t="shared" si="113"/>
        <v>0</v>
      </c>
      <c r="DJ47" s="2042">
        <f t="shared" si="113"/>
        <v>0</v>
      </c>
      <c r="DK47" s="2042">
        <f t="shared" si="113"/>
        <v>0</v>
      </c>
      <c r="DL47" s="2042"/>
      <c r="DM47" s="2042">
        <f t="shared" si="114"/>
        <v>0</v>
      </c>
      <c r="DN47" s="2042">
        <f t="shared" si="114"/>
        <v>0</v>
      </c>
      <c r="DO47" s="2042">
        <f t="shared" si="114"/>
        <v>0</v>
      </c>
      <c r="DP47" s="2042">
        <f t="shared" si="114"/>
        <v>0</v>
      </c>
      <c r="DQ47" s="2042">
        <f t="shared" si="114"/>
        <v>0</v>
      </c>
      <c r="DR47" s="2042">
        <f t="shared" si="114"/>
        <v>0</v>
      </c>
      <c r="DS47" s="2042">
        <f t="shared" si="114"/>
        <v>0</v>
      </c>
      <c r="DT47" s="2042">
        <f t="shared" si="114"/>
        <v>0</v>
      </c>
      <c r="DU47" s="2042">
        <f t="shared" si="114"/>
        <v>0</v>
      </c>
      <c r="DV47" s="2042">
        <f t="shared" si="114"/>
        <v>0</v>
      </c>
      <c r="DW47" s="2042">
        <f t="shared" si="114"/>
        <v>0</v>
      </c>
      <c r="DX47" s="2042">
        <f t="shared" si="114"/>
        <v>0</v>
      </c>
      <c r="DY47" s="2042"/>
      <c r="DZ47" s="2042">
        <f t="shared" si="115"/>
        <v>0</v>
      </c>
      <c r="EA47" s="2042">
        <f t="shared" si="115"/>
        <v>0</v>
      </c>
      <c r="EB47" s="2042">
        <f t="shared" si="115"/>
        <v>0</v>
      </c>
      <c r="EC47" s="2042">
        <f t="shared" si="115"/>
        <v>0</v>
      </c>
      <c r="ED47" s="2042">
        <f t="shared" si="115"/>
        <v>0</v>
      </c>
      <c r="EE47" s="2042">
        <f t="shared" si="115"/>
        <v>0</v>
      </c>
      <c r="EF47" s="2042">
        <f t="shared" si="115"/>
        <v>0</v>
      </c>
      <c r="EG47" s="2042">
        <f t="shared" si="115"/>
        <v>0</v>
      </c>
      <c r="EH47" s="2042">
        <f t="shared" si="115"/>
        <v>0</v>
      </c>
      <c r="EI47" s="2042">
        <f t="shared" si="115"/>
        <v>0</v>
      </c>
      <c r="EJ47" s="2042">
        <f t="shared" si="115"/>
        <v>0</v>
      </c>
      <c r="EK47" s="2042">
        <f t="shared" si="115"/>
        <v>0</v>
      </c>
      <c r="EL47" s="2042"/>
      <c r="EM47" s="2042">
        <f t="shared" si="116"/>
        <v>0</v>
      </c>
      <c r="EN47" s="2042">
        <f t="shared" si="116"/>
        <v>0</v>
      </c>
      <c r="EO47" s="2042">
        <f t="shared" si="116"/>
        <v>0</v>
      </c>
      <c r="EP47" s="2042">
        <f t="shared" si="116"/>
        <v>0</v>
      </c>
      <c r="EQ47" s="2042">
        <f t="shared" si="116"/>
        <v>0</v>
      </c>
      <c r="ER47" s="2042">
        <f t="shared" si="116"/>
        <v>0</v>
      </c>
      <c r="ES47" s="2042">
        <f t="shared" si="116"/>
        <v>0</v>
      </c>
      <c r="ET47" s="2042">
        <f t="shared" si="116"/>
        <v>0</v>
      </c>
      <c r="EU47" s="2042">
        <f t="shared" si="116"/>
        <v>0</v>
      </c>
      <c r="EV47" s="2042">
        <f t="shared" si="116"/>
        <v>0</v>
      </c>
      <c r="EW47" s="2042">
        <f t="shared" si="116"/>
        <v>0</v>
      </c>
      <c r="EX47" s="2042">
        <f t="shared" si="116"/>
        <v>0</v>
      </c>
      <c r="EY47" s="2042"/>
      <c r="EZ47" s="2045">
        <f t="shared" si="50"/>
        <v>0</v>
      </c>
      <c r="FA47" s="2042">
        <f>EZ47+CZ47+DZ47                 -         SUMIF('Berechnung Nährstoffe und Lager'!$AX$113:$AX$155,$CX47,'Berechnung Nährstoffe und Lager'!$U$113:$U$155)/12  -$GB47*$HC47/12</f>
        <v>0</v>
      </c>
      <c r="FB47" s="2042">
        <f>FA47+DA47+EA47                 -         SUMIF('Berechnung Nährstoffe und Lager'!$AX$113:$AX$155,$CX47,'Berechnung Nährstoffe und Lager'!$U$113:$U$155)/12  -$GB47*$HC47/12</f>
        <v>0</v>
      </c>
      <c r="FC47" s="2042">
        <f>FB47+DB47+EB47                 -         SUMIF('Berechnung Nährstoffe und Lager'!$AX$113:$AX$155,$CX47,'Berechnung Nährstoffe und Lager'!$U$113:$U$155)/12  -$GB47*$HC47/12</f>
        <v>0</v>
      </c>
      <c r="FD47" s="2042">
        <f>FC47+DC47+EC47                 -         SUMIF('Berechnung Nährstoffe und Lager'!$AX$113:$AX$155,$CX47,'Berechnung Nährstoffe und Lager'!$U$113:$U$155)/12  -$GB47*$HC47/12</f>
        <v>0</v>
      </c>
      <c r="FE47" s="2042">
        <f>FD47+DD47+ED47                 -         SUMIF('Berechnung Nährstoffe und Lager'!$AX$113:$AX$155,$CX47,'Berechnung Nährstoffe und Lager'!$U$113:$U$155)/12  -$GB47*$HC47/12</f>
        <v>0</v>
      </c>
      <c r="FF47" s="2042">
        <f>FE47+DE47+EE47                 -         SUMIF('Berechnung Nährstoffe und Lager'!$AX$113:$AX$155,$CX47,'Berechnung Nährstoffe und Lager'!$U$113:$U$155)/12  -$GB47*$HC47/12</f>
        <v>0</v>
      </c>
      <c r="FG47" s="2042">
        <f>FF47+DF47+EF47                 -         SUMIF('Berechnung Nährstoffe und Lager'!$AX$113:$AX$155,$CX47,'Berechnung Nährstoffe und Lager'!$U$113:$U$155)/12  -$GB47*$HC47/12</f>
        <v>0</v>
      </c>
      <c r="FH47" s="2042">
        <f>FG47+DG47+EG47                 -         SUMIF('Berechnung Nährstoffe und Lager'!$AX$113:$AX$155,$CX47,'Berechnung Nährstoffe und Lager'!$U$113:$U$155)/12  -$GB47*$HC47/12</f>
        <v>0</v>
      </c>
      <c r="FI47" s="2042">
        <f>FH47+DH47+EH47                 -         SUMIF('Berechnung Nährstoffe und Lager'!$AX$113:$AX$155,$CX47,'Berechnung Nährstoffe und Lager'!$U$113:$U$155)/12  -$GB47*$HC47/12</f>
        <v>0</v>
      </c>
      <c r="FJ47" s="2042">
        <f>FI47+DI47+EI47                 -         SUMIF('Berechnung Nährstoffe und Lager'!$AX$113:$AX$155,$CX47,'Berechnung Nährstoffe und Lager'!$U$113:$U$155)/12  -$GB47*$HC47/12</f>
        <v>0</v>
      </c>
      <c r="FK47" s="2042">
        <f>FJ47+DJ47+EJ47                 -         SUMIF('Berechnung Nährstoffe und Lager'!$AX$113:$AX$155,$CX47,'Berechnung Nährstoffe und Lager'!$U$113:$U$155)/12  -$GB47*$HC47/12</f>
        <v>0</v>
      </c>
      <c r="FL47" s="2042">
        <f>FK47+DK47+EK47                 -         SUMIF('Berechnung Nährstoffe und Lager'!$AX$113:$AX$155,$CX47,'Berechnung Nährstoffe und Lager'!$U$113:$U$155)/12  -$GB47*$HC47/12</f>
        <v>0</v>
      </c>
      <c r="FM47" s="2042"/>
      <c r="FN47" s="2045">
        <f t="shared" si="51"/>
        <v>0</v>
      </c>
      <c r="FO47" s="2042">
        <f>FN47+DM47+EM47                 -         SUMIF('Berechnung Nährstoffe und Lager'!$AX$113:$AX$155,$CX47,'Berechnung Nährstoffe und Lager'!$V$113:$V$155)/12  -$GC47*$HC47/12</f>
        <v>0</v>
      </c>
      <c r="FP47" s="2042">
        <f>FO47+DN47+EN47                 -         SUMIF('Berechnung Nährstoffe und Lager'!$AX$113:$AX$155,$CX47,'Berechnung Nährstoffe und Lager'!$V$113:$V$155)/12  -$GC47*$HC47/12</f>
        <v>0</v>
      </c>
      <c r="FQ47" s="2042">
        <f>FP47+DO47+EO47                 -         SUMIF('Berechnung Nährstoffe und Lager'!$AX$113:$AX$155,$CX47,'Berechnung Nährstoffe und Lager'!$V$113:$V$155)/12  -$GC47*$HC47/12</f>
        <v>0</v>
      </c>
      <c r="FR47" s="2042">
        <f>FQ47+DP47+EP47                 -         SUMIF('Berechnung Nährstoffe und Lager'!$AX$113:$AX$155,$CX47,'Berechnung Nährstoffe und Lager'!$V$113:$V$155)/12  -$GC47*$HC47/12</f>
        <v>0</v>
      </c>
      <c r="FS47" s="2042">
        <f>FR47+DQ47+EQ47                 -         SUMIF('Berechnung Nährstoffe und Lager'!$AX$113:$AX$155,$CX47,'Berechnung Nährstoffe und Lager'!$V$113:$V$155)/12  -$GC47*$HC47/12</f>
        <v>0</v>
      </c>
      <c r="FT47" s="2042">
        <f>FS47+DR47+ER47                 -         SUMIF('Berechnung Nährstoffe und Lager'!$AX$113:$AX$155,$CX47,'Berechnung Nährstoffe und Lager'!$V$113:$V$155)/12  -$GC47*$HC47/12</f>
        <v>0</v>
      </c>
      <c r="FU47" s="2042">
        <f>FT47+DS47+ES47                 -         SUMIF('Berechnung Nährstoffe und Lager'!$AX$113:$AX$155,$CX47,'Berechnung Nährstoffe und Lager'!$V$113:$V$155)/12  -$GC47*$HC47/12</f>
        <v>0</v>
      </c>
      <c r="FV47" s="2042">
        <f>FU47+DT47+ET47                 -         SUMIF('Berechnung Nährstoffe und Lager'!$AX$113:$AX$155,$CX47,'Berechnung Nährstoffe und Lager'!$V$113:$V$155)/12  -$GC47*$HC47/12</f>
        <v>0</v>
      </c>
      <c r="FW47" s="2042">
        <f>FV47+DU47+EU47                 -         SUMIF('Berechnung Nährstoffe und Lager'!$AX$113:$AX$155,$CX47,'Berechnung Nährstoffe und Lager'!$V$113:$V$155)/12  -$GC47*$HC47/12</f>
        <v>0</v>
      </c>
      <c r="FX47" s="2042">
        <f>FW47+DV47+EV47                 -         SUMIF('Berechnung Nährstoffe und Lager'!$AX$113:$AX$155,$CX47,'Berechnung Nährstoffe und Lager'!$V$113:$V$155)/12  -$GC47*$HC47/12</f>
        <v>0</v>
      </c>
      <c r="FY47" s="2042">
        <f>FX47+DW47+EW47                 -         SUMIF('Berechnung Nährstoffe und Lager'!$AX$113:$AX$155,$CX47,'Berechnung Nährstoffe und Lager'!$V$113:$V$155)/12  -$GC47*$HC47/12</f>
        <v>0</v>
      </c>
      <c r="FZ47" s="2042">
        <f>FY47+DX47+EX47                 -         SUMIF('Berechnung Nährstoffe und Lager'!$AX$113:$AX$155,$CX47,'Berechnung Nährstoffe und Lager'!$V$113:$V$155)/12  -$GC47*$HC47/12</f>
        <v>0</v>
      </c>
      <c r="GA47" s="2042"/>
      <c r="GB47" s="2042">
        <f>SUMIFS($CI$14:$CI$68,$BR$14:$BR$68,$CX47)+SUMIFS($CM$14:$CM$68,$BR$14:$BR$68,$CX47)+SUMIFS($CR$14:$CR$68,$BR$14:$BR$68,$CX47)  -         SUMIF('Berechnung Nährstoffe und Lager'!$AX$113:$AX$155,$CX47,'Berechnung Nährstoffe und Lager'!$U$113:$U$155)</f>
        <v>0</v>
      </c>
      <c r="GC47" s="2042">
        <f>SUMIFS($CJ$14:$CJ$68,$BR$14:$BR$68,$CX47)+SUMIFS($CO$14:$CO$68,$BR$14:$BR$68,$CX47)+SUMIFS($CT$14:$CT$68,$BR$14:$BR$68,$CX47)  -         SUMIF('Berechnung Nährstoffe und Lager'!$AX$113:$AX$155,$CX47,'Berechnung Nährstoffe und Lager'!$V$113:$V$155)</f>
        <v>0</v>
      </c>
      <c r="GD47" s="2042"/>
      <c r="GE47" s="2042"/>
      <c r="GF47" s="2042">
        <f>SUMIF('Berechnung Nährstoffe und Lager'!$AX$113:$AX$155,$CX47,'Berechnung Nährstoffe und Lager'!$U$113:$U$155)</f>
        <v>0</v>
      </c>
      <c r="GG47" s="2042">
        <f>SUMIF('Berechnung Nährstoffe und Lager'!$AX$113:$AX$155,$CX47,'Berechnung Nährstoffe und Lager'!$V$113:$V$155)</f>
        <v>0</v>
      </c>
      <c r="GH47" s="2042">
        <f t="shared" si="52"/>
        <v>0</v>
      </c>
      <c r="GI47" s="2042">
        <f t="shared" si="53"/>
        <v>0</v>
      </c>
      <c r="GJ47" s="2042">
        <f t="shared" si="121"/>
        <v>0</v>
      </c>
      <c r="GK47" s="2042">
        <f t="shared" si="122"/>
        <v>0</v>
      </c>
      <c r="GL47" s="2042">
        <f t="shared" si="123"/>
        <v>0</v>
      </c>
      <c r="GM47" s="2042" cm="1">
        <f t="array" ref="GM47">IF(GL47=0,0,(IFERROR(SUMPRODUCT($J$14:$J$68,$CH$14:$CH$68,($BR$14:$BR$68=CX47)*1)+SUMPRODUCT($L$14:$L$68,$M$14:$M$68,$CK$14:$CK$68,($BR$14:$BR$68=CX47)*1,($BT$14:$BT$68=FALSE)*1)/10+SUMPRODUCT($R$14:$R$68,$CP$14:$CP$68,($BR$14:$BR$68=CX47)*1),0))/GL47)</f>
        <v>0</v>
      </c>
      <c r="GN47" s="2042">
        <f t="shared" si="54"/>
        <v>0</v>
      </c>
      <c r="GO47" s="2042">
        <f>(SUMIF('Berechnung Nährstoffe und Lager'!$AX$113:$AX$130,'Lagerhaltung (freiwillig)'!CX47,'Berechnung Nährstoffe und Lager'!$D$113:$D$130)+SUMIF('Berechnung Nährstoffe und Lager'!$AX$137:$AX$155,'Lagerhaltung (freiwillig)'!CX47,'Berechnung Nährstoffe und Lager'!$E$137:$E$155))</f>
        <v>0</v>
      </c>
      <c r="GP47" s="2042" cm="1">
        <f t="array" ref="GP47">IF(GO47=0,0,(IFERROR(SUMPRODUCT('Berechnung Nährstoffe und Lager'!$D$113:$D$130,'Berechnung Nährstoffe und Lager'!$F$113:$F$130,('Berechnung Nährstoffe und Lager'!$AX$113:$AX$130='Lagerhaltung (freiwillig)'!CX47)*1)+SUMPRODUCT('Berechnung Nährstoffe und Lager'!$E$137:$E$155,'Berechnung Nährstoffe und Lager'!$F$137:$F$155,('Berechnung Nährstoffe und Lager'!$AX$137:$AX$155='Lagerhaltung (freiwillig)'!CX47)*1),0))/GO47)</f>
        <v>0</v>
      </c>
      <c r="GQ47" s="2042">
        <f t="shared" si="55"/>
        <v>0</v>
      </c>
      <c r="GR47" s="2042">
        <f t="shared" si="56"/>
        <v>0</v>
      </c>
      <c r="GS47" s="2042">
        <f t="shared" si="57"/>
        <v>0</v>
      </c>
      <c r="GT47" s="2042">
        <f t="shared" si="58"/>
        <v>0</v>
      </c>
      <c r="GU47" s="2045" t="str">
        <f t="shared" si="39"/>
        <v xml:space="preserve"> </v>
      </c>
      <c r="GV47" s="2045" t="str">
        <f t="shared" si="39"/>
        <v xml:space="preserve"> </v>
      </c>
      <c r="GW47" s="2054">
        <f t="shared" si="124"/>
        <v>0</v>
      </c>
      <c r="GX47" s="2042">
        <f t="shared" si="125"/>
        <v>0</v>
      </c>
      <c r="GY47" s="2042" t="str">
        <f t="shared" si="120"/>
        <v>a</v>
      </c>
      <c r="GZ47" s="2055">
        <f t="shared" si="126"/>
        <v>0</v>
      </c>
      <c r="HA47" s="2055">
        <f t="shared" si="127"/>
        <v>0</v>
      </c>
      <c r="HB47" s="2055"/>
      <c r="HC47" s="2046">
        <f t="shared" si="128"/>
        <v>0</v>
      </c>
      <c r="HD47" s="2055">
        <f t="shared" si="129"/>
        <v>0</v>
      </c>
      <c r="HE47" s="2055">
        <f t="shared" si="130"/>
        <v>0</v>
      </c>
      <c r="HF47" s="2055">
        <f t="shared" si="131"/>
        <v>0</v>
      </c>
      <c r="HG47" s="2282" cm="1">
        <f t="array" ref="HG47">IF(AND(HE47=0,GJ47=0),0,IF(HE47=0,1,IF(OR(GJ47*1000/HE47/HF47&gt;INDEX(Pflanzen!$AD$5:$AD$109,CX47)/INDEX(Pflanzen!$M$5:$M$109,CX47)*$HG$1,GJ47*1000/HE47/HF47&lt;INDEX(Pflanzen!$AD$5:$AD$109,CX47)/INDEX(Pflanzen!$M$5:$M$109,CX47)/$HG$1),1,0)))</f>
        <v>0</v>
      </c>
      <c r="HH47" s="2282" cm="1">
        <f t="array" ref="HH47">IF(AND(GK47=0,HE47=0),0,IF(HE47=0,1,IF(OR(GK47*1000/HE47/HF47&gt;INDEX(Pflanzen!$AE$5:$AE$109,CX47)/INDEX(Pflanzen!$M$5:$M$109,CX47)*$HG$1,GK47*1000/HE47/HF47&lt;INDEX(Pflanzen!$AE$5:$AE$109,CX47)/INDEX(Pflanzen!$M$5:$M$109,CX47)/$HG$1),1,0)))</f>
        <v>0</v>
      </c>
      <c r="HI47" s="2042">
        <f t="shared" si="132"/>
        <v>3</v>
      </c>
      <c r="HJ47" s="2042"/>
      <c r="HL47" s="2042"/>
      <c r="HM47" s="2052" t="str">
        <f>Tiere!B73</f>
        <v>Flugenten</v>
      </c>
      <c r="HN47" s="2042">
        <v>44</v>
      </c>
      <c r="HO47" s="2053">
        <f>SUMIF('Berechnung Nährstoffe und Lager'!$BM$68:$BM$81,'Lagerhaltung (freiwillig)'!HN47,'Berechnung Nährstoffe und Lager'!$Z$68:$Z$81)+SUMIF('Berechnung Nährstoffe und Lager'!$BM$68:$BM$81,'Lagerhaltung (freiwillig)'!HN47,'Berechnung Nährstoffe und Lager'!$AA$68:$AA$81)</f>
        <v>0</v>
      </c>
      <c r="HP47" s="2042" cm="1">
        <f t="array" ref="HP47">INDEX(Tiere!$C$30:$C$85,'Lagerhaltung (freiwillig)'!HN47)</f>
        <v>3</v>
      </c>
      <c r="HQ47" s="2042" cm="1">
        <f t="array" ref="HQ47">INDEX(Tiere!$H$30:$H$85,'Lagerhaltung (freiwillig)'!HN47)</f>
        <v>0</v>
      </c>
      <c r="HR47" s="2042">
        <f t="shared" si="112"/>
        <v>0</v>
      </c>
      <c r="HS47" s="2042" cm="1">
        <f t="array" ref="HS47">INDEX(Tiere!$I$30:$I$85,'Lagerhaltung (freiwillig)'!HN47)</f>
        <v>0</v>
      </c>
      <c r="HT47" s="2042">
        <f t="shared" si="13"/>
        <v>0</v>
      </c>
      <c r="HU47" s="2042" cm="1">
        <f t="array" ref="HU47">INDEX(Tiere!$BC$30:$BC$85,'Lagerhaltung (freiwillig)'!HN47)</f>
        <v>0.60000000000000009</v>
      </c>
      <c r="HV47" s="2042">
        <f t="shared" si="110"/>
        <v>0</v>
      </c>
      <c r="HW47" s="2042" cm="1">
        <f t="array" ref="HW47">INDEX(Tiere!$BD$30:$BD$85,'Lagerhaltung (freiwillig)'!HN47)</f>
        <v>0.22999999999999998</v>
      </c>
      <c r="HX47" s="2042">
        <f t="shared" si="111"/>
        <v>0</v>
      </c>
      <c r="HY47" s="2042"/>
      <c r="HZ47" s="2042"/>
      <c r="IA47" s="2042"/>
      <c r="IB47" s="2042"/>
      <c r="IC47" s="2042"/>
      <c r="ID47" s="2042"/>
      <c r="IE47" s="2042"/>
      <c r="IF47" s="2042"/>
      <c r="IG47" s="2042"/>
      <c r="IH47" s="2042"/>
      <c r="II47" s="2042"/>
      <c r="IJ47" s="2042"/>
    </row>
    <row r="48" spans="1:245" ht="15.6" customHeight="1" x14ac:dyDescent="0.2">
      <c r="F48" s="1259"/>
      <c r="G48" s="2314"/>
      <c r="H48" s="2293"/>
      <c r="I48" s="2014" t="str">
        <f t="shared" si="133"/>
        <v/>
      </c>
      <c r="J48" s="1256"/>
      <c r="K48" s="2014" t="str">
        <f t="shared" si="134"/>
        <v/>
      </c>
      <c r="L48" s="1970"/>
      <c r="M48" s="1246"/>
      <c r="N48" s="1870"/>
      <c r="O48" s="1870"/>
      <c r="P48" s="2222"/>
      <c r="Q48" s="2014" t="str">
        <f t="shared" si="135"/>
        <v/>
      </c>
      <c r="R48" s="1970"/>
      <c r="S48" s="1246"/>
      <c r="T48" s="1256"/>
      <c r="V48" s="2316" t="str">
        <f t="shared" si="156"/>
        <v/>
      </c>
      <c r="Y48" s="2005" t="str" cm="1">
        <f t="array" ref="Y48">IFERROR(INDEX($CW$4:$CW$171,AY48),"")</f>
        <v/>
      </c>
      <c r="Z48" s="510"/>
      <c r="AA48" s="510"/>
      <c r="AB48" s="510"/>
      <c r="AC48" s="2031" t="str" cm="1">
        <f t="array" ref="AC48">IFERROR(INDEX($GL$4:$GL$171,AY48),"")</f>
        <v/>
      </c>
      <c r="AD48" s="2031" t="str" cm="1">
        <f t="array" ref="AD48">IFERROR(INDEX($GM$4:$GM$171,AY48),"")</f>
        <v/>
      </c>
      <c r="AE48" s="2031" t="str" cm="1">
        <f t="array" ref="AE48">IFERROR(INDEX($GH$4:$GH$171,AY48),"")</f>
        <v/>
      </c>
      <c r="AF48" s="2031" t="str" cm="1">
        <f t="array" ref="AF48">IFERROR(INDEX($GI$4:$GI$171,AY48),"")</f>
        <v/>
      </c>
      <c r="AG48" s="2031" t="str" cm="1">
        <f t="array" ref="AG48">IFERROR(INDEX($GO$4:$GO$171,AY48),"")</f>
        <v/>
      </c>
      <c r="AH48" s="2031" t="str" cm="1">
        <f t="array" ref="AH48">IFERROR(INDEX($GP$4:$GP$171,AY48),"")</f>
        <v/>
      </c>
      <c r="AI48" s="2031" t="str" cm="1">
        <f t="array" ref="AI48">IFERROR(INDEX($GF$4:$GF$171,AY48),"")</f>
        <v/>
      </c>
      <c r="AJ48" s="2031" t="str" cm="1">
        <f t="array" ref="AJ48">IFERROR(INDEX($GG$4:$GG$171,AY48),"")</f>
        <v/>
      </c>
      <c r="AK48" s="2031" t="str" cm="1">
        <f t="array" ref="AK48">IFERROR(INDEX($GS$4:$GS$171,AY48),"")</f>
        <v/>
      </c>
      <c r="AL48" s="2032" t="str" cm="1">
        <f t="array" ref="AL48">IFERROR(INDEX($GT$4:$GT$171,AY48),"")</f>
        <v/>
      </c>
      <c r="AM48" s="2031" t="str" cm="1">
        <f t="array" ref="AM48">IFERROR(INDEX($GB$4:$GB$171,AY48),"")</f>
        <v/>
      </c>
      <c r="AN48" s="2031" t="str" cm="1">
        <f t="array" ref="AN48">IFERROR(INDEX($GC$4:$GC$171,AY48),"")</f>
        <v/>
      </c>
      <c r="AO48" s="2031" t="str" cm="1">
        <f t="array" ref="AO48">IFERROR(INDEX($GU$4:$GU$171,AY48),"")</f>
        <v/>
      </c>
      <c r="AP48" s="2031" t="str" cm="1">
        <f t="array" ref="AP48">IFERROR(INDEX($GX$4:$GX$171,AY48),"")</f>
        <v/>
      </c>
      <c r="AQ48" s="1316"/>
      <c r="AR48" s="2031" t="str" cm="1">
        <f t="array" ref="AR48">IFERROR(INDEX($HD$4:$HD$171,AY48),"")</f>
        <v/>
      </c>
      <c r="AS48" s="2031" t="str" cm="1">
        <f t="array" ref="AS48">IFERROR(INDEX($HE$4:$HE$171,AY48),"")</f>
        <v/>
      </c>
      <c r="AT48" s="2031" t="str" cm="1">
        <f t="array" ref="AT48">IFERROR(INDEX($HF$4:$HF$171,AY48),"")</f>
        <v/>
      </c>
      <c r="AU48" s="2031" t="str" cm="1">
        <f t="array" ref="AU48">IFERROR(INDEX($GJ$4:$GJ$171,AY48),"")</f>
        <v/>
      </c>
      <c r="AV48" s="2031" t="str" cm="1">
        <f t="array" ref="AV48">IFERROR(INDEX($GK$4:$GK$171,AY48),"")</f>
        <v/>
      </c>
      <c r="AY48" s="2042" t="str" cm="1">
        <f t="array" ref="AY48">IFERROR(SMALL(IF($HI$4:$HI$171=1,ROW($HI$4:$HI$171)-3),ROW(W33)),IFERROR(SMALL(IF($HI$4:$HI$171=2,ROW($HI$4:$HI$171)-3),ROW(W33)-COUNTIF($HI$4:$HI$171,1)),IFERROR(SMALL(IF($HI$4:$HI$171=0,ROW($HI$4:$HI$171)-3),ROW(W33)-COUNTIF($HI$4:$HI$171,1)-COUNTIF($HI$4:$HI$171,2)),"")))</f>
        <v/>
      </c>
      <c r="AZ48" s="2042" t="str">
        <f t="shared" si="117"/>
        <v>a</v>
      </c>
      <c r="BA48" s="2053" t="e">
        <f t="shared" si="118"/>
        <v>#VALUE!</v>
      </c>
      <c r="BB48" s="2053" cm="1">
        <f t="array" ref="BB48">IFERROR(INDEX($HI$4:$HI$171,AY48),0)</f>
        <v>0</v>
      </c>
      <c r="BC48" s="2053">
        <f t="shared" si="119"/>
        <v>0</v>
      </c>
      <c r="BD48" s="2053"/>
      <c r="BE48" s="2307"/>
      <c r="BF48" s="2307"/>
      <c r="BG48" s="2307"/>
      <c r="BH48" s="2307"/>
      <c r="BI48" s="2307"/>
      <c r="BJ48" s="2307"/>
      <c r="BK48" s="2307"/>
      <c r="BL48" s="2307"/>
      <c r="BM48" s="2307"/>
      <c r="BN48" s="2307"/>
      <c r="BO48" s="2307"/>
      <c r="BP48" s="2043"/>
      <c r="BQ48" s="2042">
        <v>1</v>
      </c>
      <c r="BR48" cm="1">
        <f t="array" ref="BR48">INDEX(Pflanzen!$B$5:$B$117,'Lagerhaltung (freiwillig)'!BQ48)</f>
        <v>1</v>
      </c>
      <c r="BS48" s="2042"/>
      <c r="BT48" s="2042" t="b">
        <v>0</v>
      </c>
      <c r="BU48" s="2044"/>
      <c r="BV48" s="2044"/>
      <c r="BW48" s="2042">
        <f t="shared" si="136"/>
        <v>12</v>
      </c>
      <c r="BX48" s="2042">
        <f t="shared" si="137"/>
        <v>0</v>
      </c>
      <c r="BY48" s="2042">
        <f t="shared" si="138"/>
        <v>12</v>
      </c>
      <c r="BZ48" s="2042" cm="1">
        <f t="array" ref="BZ48">INDEX(Pflanzen!$AI$5:$AI$119,'Lagerhaltung (freiwillig)'!BR48)</f>
        <v>0</v>
      </c>
      <c r="CA48" s="2042" cm="1">
        <f t="array" ref="CA48">IF(BZ48=1,INDEX(Pflanzen!$AJ$5:$AJ$119,BR48),N48)</f>
        <v>0</v>
      </c>
      <c r="CB48" s="2042" cm="1">
        <f t="array" ref="CB48">IF(BZ48=1,INDEX(Pflanzen!$AK$5:$AK$119,BR48),O48)</f>
        <v>0</v>
      </c>
      <c r="CC48" s="2042">
        <f t="shared" si="139"/>
        <v>12</v>
      </c>
      <c r="CD48" s="2042">
        <f t="shared" si="140"/>
        <v>0</v>
      </c>
      <c r="CE48" s="2042">
        <f t="shared" si="141"/>
        <v>12</v>
      </c>
      <c r="CF48" s="2042" cm="1">
        <f t="array" ref="CF48">INDEX(Pflanzen!$F$5:$F$119,BR48)</f>
        <v>0</v>
      </c>
      <c r="CG48" s="2042" cm="1">
        <f t="array" ref="CG48">INDEX(Pflanzen!$H$5:$H$119,BR48)</f>
        <v>0</v>
      </c>
      <c r="CH48" s="2042">
        <f t="shared" si="142"/>
        <v>0</v>
      </c>
      <c r="CI48" s="2042">
        <f t="shared" si="143"/>
        <v>0</v>
      </c>
      <c r="CJ48" s="2042">
        <f t="shared" si="144"/>
        <v>0</v>
      </c>
      <c r="CK48" s="2042">
        <f t="shared" si="145"/>
        <v>0</v>
      </c>
      <c r="CL48" s="2042">
        <f t="shared" si="146"/>
        <v>0</v>
      </c>
      <c r="CM48" s="2042">
        <f t="shared" si="147"/>
        <v>0</v>
      </c>
      <c r="CN48" s="2042">
        <f t="shared" si="148"/>
        <v>0</v>
      </c>
      <c r="CO48" s="2042">
        <f t="shared" si="149"/>
        <v>0</v>
      </c>
      <c r="CP48" s="2042">
        <f t="shared" si="150"/>
        <v>0</v>
      </c>
      <c r="CQ48" s="2042">
        <f t="shared" si="151"/>
        <v>0</v>
      </c>
      <c r="CR48" s="2042">
        <f t="shared" si="152"/>
        <v>0</v>
      </c>
      <c r="CS48" s="2042">
        <f t="shared" si="153"/>
        <v>0</v>
      </c>
      <c r="CT48" s="2042">
        <f t="shared" si="154"/>
        <v>0</v>
      </c>
      <c r="CU48" s="2042">
        <f t="shared" si="155"/>
        <v>0</v>
      </c>
      <c r="CV48" s="2042"/>
      <c r="CW48" s="609" t="str">
        <f>Pflanzen!A44</f>
        <v>Luzernegras (Luz.anteil 70 %)</v>
      </c>
      <c r="CX48" s="2042">
        <f>IFERROR(MATCH($CW48,Pflanzen!$C$5:$C$119,0),1)</f>
        <v>40</v>
      </c>
      <c r="CY48" s="609" cm="1">
        <f t="array" ref="CY48">INDEX(Pflanzen!$I$5:$I$119,'Lagerhaltung (freiwillig)'!CX48)</f>
        <v>1</v>
      </c>
      <c r="CZ48" s="2042">
        <f t="shared" si="113"/>
        <v>0</v>
      </c>
      <c r="DA48" s="2042">
        <f t="shared" si="113"/>
        <v>0</v>
      </c>
      <c r="DB48" s="2042">
        <f t="shared" si="113"/>
        <v>0</v>
      </c>
      <c r="DC48" s="2042">
        <f t="shared" si="113"/>
        <v>0</v>
      </c>
      <c r="DD48" s="2042">
        <f t="shared" si="113"/>
        <v>0</v>
      </c>
      <c r="DE48" s="2042">
        <f t="shared" si="113"/>
        <v>0</v>
      </c>
      <c r="DF48" s="2042">
        <f t="shared" si="113"/>
        <v>0</v>
      </c>
      <c r="DG48" s="2042">
        <f t="shared" si="113"/>
        <v>0</v>
      </c>
      <c r="DH48" s="2042">
        <f t="shared" si="113"/>
        <v>0</v>
      </c>
      <c r="DI48" s="2042">
        <f t="shared" si="113"/>
        <v>0</v>
      </c>
      <c r="DJ48" s="2042">
        <f t="shared" si="113"/>
        <v>0</v>
      </c>
      <c r="DK48" s="2042">
        <f t="shared" si="113"/>
        <v>0</v>
      </c>
      <c r="DL48" s="2042"/>
      <c r="DM48" s="2042">
        <f t="shared" si="114"/>
        <v>0</v>
      </c>
      <c r="DN48" s="2042">
        <f t="shared" si="114"/>
        <v>0</v>
      </c>
      <c r="DO48" s="2042">
        <f t="shared" si="114"/>
        <v>0</v>
      </c>
      <c r="DP48" s="2042">
        <f t="shared" si="114"/>
        <v>0</v>
      </c>
      <c r="DQ48" s="2042">
        <f t="shared" si="114"/>
        <v>0</v>
      </c>
      <c r="DR48" s="2042">
        <f t="shared" si="114"/>
        <v>0</v>
      </c>
      <c r="DS48" s="2042">
        <f t="shared" si="114"/>
        <v>0</v>
      </c>
      <c r="DT48" s="2042">
        <f t="shared" si="114"/>
        <v>0</v>
      </c>
      <c r="DU48" s="2042">
        <f t="shared" si="114"/>
        <v>0</v>
      </c>
      <c r="DV48" s="2042">
        <f t="shared" si="114"/>
        <v>0</v>
      </c>
      <c r="DW48" s="2042">
        <f t="shared" si="114"/>
        <v>0</v>
      </c>
      <c r="DX48" s="2042">
        <f t="shared" si="114"/>
        <v>0</v>
      </c>
      <c r="DY48" s="2042"/>
      <c r="DZ48" s="2042">
        <f t="shared" si="115"/>
        <v>0</v>
      </c>
      <c r="EA48" s="2042">
        <f t="shared" si="115"/>
        <v>0</v>
      </c>
      <c r="EB48" s="2042">
        <f t="shared" si="115"/>
        <v>0</v>
      </c>
      <c r="EC48" s="2042">
        <f t="shared" si="115"/>
        <v>0</v>
      </c>
      <c r="ED48" s="2042">
        <f t="shared" si="115"/>
        <v>0</v>
      </c>
      <c r="EE48" s="2042">
        <f t="shared" si="115"/>
        <v>0</v>
      </c>
      <c r="EF48" s="2042">
        <f t="shared" si="115"/>
        <v>0</v>
      </c>
      <c r="EG48" s="2042">
        <f t="shared" si="115"/>
        <v>0</v>
      </c>
      <c r="EH48" s="2042">
        <f t="shared" si="115"/>
        <v>0</v>
      </c>
      <c r="EI48" s="2042">
        <f t="shared" si="115"/>
        <v>0</v>
      </c>
      <c r="EJ48" s="2042">
        <f t="shared" si="115"/>
        <v>0</v>
      </c>
      <c r="EK48" s="2042">
        <f t="shared" si="115"/>
        <v>0</v>
      </c>
      <c r="EL48" s="2042"/>
      <c r="EM48" s="2042">
        <f t="shared" si="116"/>
        <v>0</v>
      </c>
      <c r="EN48" s="2042">
        <f t="shared" si="116"/>
        <v>0</v>
      </c>
      <c r="EO48" s="2042">
        <f t="shared" si="116"/>
        <v>0</v>
      </c>
      <c r="EP48" s="2042">
        <f t="shared" si="116"/>
        <v>0</v>
      </c>
      <c r="EQ48" s="2042">
        <f t="shared" si="116"/>
        <v>0</v>
      </c>
      <c r="ER48" s="2042">
        <f t="shared" si="116"/>
        <v>0</v>
      </c>
      <c r="ES48" s="2042">
        <f t="shared" si="116"/>
        <v>0</v>
      </c>
      <c r="ET48" s="2042">
        <f t="shared" si="116"/>
        <v>0</v>
      </c>
      <c r="EU48" s="2042">
        <f t="shared" si="116"/>
        <v>0</v>
      </c>
      <c r="EV48" s="2042">
        <f t="shared" si="116"/>
        <v>0</v>
      </c>
      <c r="EW48" s="2042">
        <f t="shared" si="116"/>
        <v>0</v>
      </c>
      <c r="EX48" s="2042">
        <f t="shared" si="116"/>
        <v>0</v>
      </c>
      <c r="EY48" s="2042"/>
      <c r="EZ48" s="2045">
        <f t="shared" si="50"/>
        <v>0</v>
      </c>
      <c r="FA48" s="2042">
        <f>EZ48+CZ48+DZ48                 -         SUMIF('Berechnung Nährstoffe und Lager'!$AX$113:$AX$155,$CX48,'Berechnung Nährstoffe und Lager'!$U$113:$U$155)/12  -$GB48*$HC48/12</f>
        <v>0</v>
      </c>
      <c r="FB48" s="2042">
        <f>FA48+DA48+EA48                 -         SUMIF('Berechnung Nährstoffe und Lager'!$AX$113:$AX$155,$CX48,'Berechnung Nährstoffe und Lager'!$U$113:$U$155)/12  -$GB48*$HC48/12</f>
        <v>0</v>
      </c>
      <c r="FC48" s="2042">
        <f>FB48+DB48+EB48                 -         SUMIF('Berechnung Nährstoffe und Lager'!$AX$113:$AX$155,$CX48,'Berechnung Nährstoffe und Lager'!$U$113:$U$155)/12  -$GB48*$HC48/12</f>
        <v>0</v>
      </c>
      <c r="FD48" s="2042">
        <f>FC48+DC48+EC48                 -         SUMIF('Berechnung Nährstoffe und Lager'!$AX$113:$AX$155,$CX48,'Berechnung Nährstoffe und Lager'!$U$113:$U$155)/12  -$GB48*$HC48/12</f>
        <v>0</v>
      </c>
      <c r="FE48" s="2042">
        <f>FD48+DD48+ED48                 -         SUMIF('Berechnung Nährstoffe und Lager'!$AX$113:$AX$155,$CX48,'Berechnung Nährstoffe und Lager'!$U$113:$U$155)/12  -$GB48*$HC48/12</f>
        <v>0</v>
      </c>
      <c r="FF48" s="2042">
        <f>FE48+DE48+EE48                 -         SUMIF('Berechnung Nährstoffe und Lager'!$AX$113:$AX$155,$CX48,'Berechnung Nährstoffe und Lager'!$U$113:$U$155)/12  -$GB48*$HC48/12</f>
        <v>0</v>
      </c>
      <c r="FG48" s="2042">
        <f>FF48+DF48+EF48                 -         SUMIF('Berechnung Nährstoffe und Lager'!$AX$113:$AX$155,$CX48,'Berechnung Nährstoffe und Lager'!$U$113:$U$155)/12  -$GB48*$HC48/12</f>
        <v>0</v>
      </c>
      <c r="FH48" s="2042">
        <f>FG48+DG48+EG48                 -         SUMIF('Berechnung Nährstoffe und Lager'!$AX$113:$AX$155,$CX48,'Berechnung Nährstoffe und Lager'!$U$113:$U$155)/12  -$GB48*$HC48/12</f>
        <v>0</v>
      </c>
      <c r="FI48" s="2042">
        <f>FH48+DH48+EH48                 -         SUMIF('Berechnung Nährstoffe und Lager'!$AX$113:$AX$155,$CX48,'Berechnung Nährstoffe und Lager'!$U$113:$U$155)/12  -$GB48*$HC48/12</f>
        <v>0</v>
      </c>
      <c r="FJ48" s="2042">
        <f>FI48+DI48+EI48                 -         SUMIF('Berechnung Nährstoffe und Lager'!$AX$113:$AX$155,$CX48,'Berechnung Nährstoffe und Lager'!$U$113:$U$155)/12  -$GB48*$HC48/12</f>
        <v>0</v>
      </c>
      <c r="FK48" s="2042">
        <f>FJ48+DJ48+EJ48                 -         SUMIF('Berechnung Nährstoffe und Lager'!$AX$113:$AX$155,$CX48,'Berechnung Nährstoffe und Lager'!$U$113:$U$155)/12  -$GB48*$HC48/12</f>
        <v>0</v>
      </c>
      <c r="FL48" s="2042">
        <f>FK48+DK48+EK48                 -         SUMIF('Berechnung Nährstoffe und Lager'!$AX$113:$AX$155,$CX48,'Berechnung Nährstoffe und Lager'!$U$113:$U$155)/12  -$GB48*$HC48/12</f>
        <v>0</v>
      </c>
      <c r="FM48" s="2042"/>
      <c r="FN48" s="2045">
        <f t="shared" si="51"/>
        <v>0</v>
      </c>
      <c r="FO48" s="2042">
        <f>FN48+DM48+EM48                 -         SUMIF('Berechnung Nährstoffe und Lager'!$AX$113:$AX$155,$CX48,'Berechnung Nährstoffe und Lager'!$V$113:$V$155)/12  -$GC48*$HC48/12</f>
        <v>0</v>
      </c>
      <c r="FP48" s="2042">
        <f>FO48+DN48+EN48                 -         SUMIF('Berechnung Nährstoffe und Lager'!$AX$113:$AX$155,$CX48,'Berechnung Nährstoffe und Lager'!$V$113:$V$155)/12  -$GC48*$HC48/12</f>
        <v>0</v>
      </c>
      <c r="FQ48" s="2042">
        <f>FP48+DO48+EO48                 -         SUMIF('Berechnung Nährstoffe und Lager'!$AX$113:$AX$155,$CX48,'Berechnung Nährstoffe und Lager'!$V$113:$V$155)/12  -$GC48*$HC48/12</f>
        <v>0</v>
      </c>
      <c r="FR48" s="2042">
        <f>FQ48+DP48+EP48                 -         SUMIF('Berechnung Nährstoffe und Lager'!$AX$113:$AX$155,$CX48,'Berechnung Nährstoffe und Lager'!$V$113:$V$155)/12  -$GC48*$HC48/12</f>
        <v>0</v>
      </c>
      <c r="FS48" s="2042">
        <f>FR48+DQ48+EQ48                 -         SUMIF('Berechnung Nährstoffe und Lager'!$AX$113:$AX$155,$CX48,'Berechnung Nährstoffe und Lager'!$V$113:$V$155)/12  -$GC48*$HC48/12</f>
        <v>0</v>
      </c>
      <c r="FT48" s="2042">
        <f>FS48+DR48+ER48                 -         SUMIF('Berechnung Nährstoffe und Lager'!$AX$113:$AX$155,$CX48,'Berechnung Nährstoffe und Lager'!$V$113:$V$155)/12  -$GC48*$HC48/12</f>
        <v>0</v>
      </c>
      <c r="FU48" s="2042">
        <f>FT48+DS48+ES48                 -         SUMIF('Berechnung Nährstoffe und Lager'!$AX$113:$AX$155,$CX48,'Berechnung Nährstoffe und Lager'!$V$113:$V$155)/12  -$GC48*$HC48/12</f>
        <v>0</v>
      </c>
      <c r="FV48" s="2042">
        <f>FU48+DT48+ET48                 -         SUMIF('Berechnung Nährstoffe und Lager'!$AX$113:$AX$155,$CX48,'Berechnung Nährstoffe und Lager'!$V$113:$V$155)/12  -$GC48*$HC48/12</f>
        <v>0</v>
      </c>
      <c r="FW48" s="2042">
        <f>FV48+DU48+EU48                 -         SUMIF('Berechnung Nährstoffe und Lager'!$AX$113:$AX$155,$CX48,'Berechnung Nährstoffe und Lager'!$V$113:$V$155)/12  -$GC48*$HC48/12</f>
        <v>0</v>
      </c>
      <c r="FX48" s="2042">
        <f>FW48+DV48+EV48                 -         SUMIF('Berechnung Nährstoffe und Lager'!$AX$113:$AX$155,$CX48,'Berechnung Nährstoffe und Lager'!$V$113:$V$155)/12  -$GC48*$HC48/12</f>
        <v>0</v>
      </c>
      <c r="FY48" s="2042">
        <f>FX48+DW48+EW48                 -         SUMIF('Berechnung Nährstoffe und Lager'!$AX$113:$AX$155,$CX48,'Berechnung Nährstoffe und Lager'!$V$113:$V$155)/12  -$GC48*$HC48/12</f>
        <v>0</v>
      </c>
      <c r="FZ48" s="2042">
        <f>FY48+DX48+EX48                 -         SUMIF('Berechnung Nährstoffe und Lager'!$AX$113:$AX$155,$CX48,'Berechnung Nährstoffe und Lager'!$V$113:$V$155)/12  -$GC48*$HC48/12</f>
        <v>0</v>
      </c>
      <c r="GA48" s="2042"/>
      <c r="GB48" s="2042">
        <f>SUMIFS($CI$14:$CI$68,$BR$14:$BR$68,$CX48)+SUMIFS($CM$14:$CM$68,$BR$14:$BR$68,$CX48)+SUMIFS($CR$14:$CR$68,$BR$14:$BR$68,$CX48)  -         SUMIF('Berechnung Nährstoffe und Lager'!$AX$113:$AX$155,$CX48,'Berechnung Nährstoffe und Lager'!$U$113:$U$155)</f>
        <v>0</v>
      </c>
      <c r="GC48" s="2042">
        <f>SUMIFS($CJ$14:$CJ$68,$BR$14:$BR$68,$CX48)+SUMIFS($CO$14:$CO$68,$BR$14:$BR$68,$CX48)+SUMIFS($CT$14:$CT$68,$BR$14:$BR$68,$CX48)  -         SUMIF('Berechnung Nährstoffe und Lager'!$AX$113:$AX$155,$CX48,'Berechnung Nährstoffe und Lager'!$V$113:$V$155)</f>
        <v>0</v>
      </c>
      <c r="GD48" s="2042"/>
      <c r="GE48" s="2042"/>
      <c r="GF48" s="2042">
        <f>SUMIF('Berechnung Nährstoffe und Lager'!$AX$113:$AX$155,$CX48,'Berechnung Nährstoffe und Lager'!$U$113:$U$155)</f>
        <v>0</v>
      </c>
      <c r="GG48" s="2042">
        <f>SUMIF('Berechnung Nährstoffe und Lager'!$AX$113:$AX$155,$CX48,'Berechnung Nährstoffe und Lager'!$V$113:$V$155)</f>
        <v>0</v>
      </c>
      <c r="GH48" s="2042">
        <f t="shared" si="52"/>
        <v>0</v>
      </c>
      <c r="GI48" s="2042">
        <f t="shared" si="53"/>
        <v>0</v>
      </c>
      <c r="GJ48" s="2042">
        <f t="shared" si="121"/>
        <v>0</v>
      </c>
      <c r="GK48" s="2042">
        <f t="shared" si="122"/>
        <v>0</v>
      </c>
      <c r="GL48" s="2042">
        <f t="shared" si="123"/>
        <v>0</v>
      </c>
      <c r="GM48" s="2042" cm="1">
        <f t="array" ref="GM48">IF(GL48=0,0,(IFERROR(SUMPRODUCT($J$14:$J$68,$CH$14:$CH$68,($BR$14:$BR$68=CX48)*1)+SUMPRODUCT($L$14:$L$68,$M$14:$M$68,$CK$14:$CK$68,($BR$14:$BR$68=CX48)*1,($BT$14:$BT$68=FALSE)*1)/10+SUMPRODUCT($R$14:$R$68,$CP$14:$CP$68,($BR$14:$BR$68=CX48)*1),0))/GL48)</f>
        <v>0</v>
      </c>
      <c r="GN48" s="2042">
        <f t="shared" si="54"/>
        <v>0</v>
      </c>
      <c r="GO48" s="2042">
        <f>(SUMIF('Berechnung Nährstoffe und Lager'!$AX$113:$AX$130,'Lagerhaltung (freiwillig)'!CX48,'Berechnung Nährstoffe und Lager'!$D$113:$D$130)+SUMIF('Berechnung Nährstoffe und Lager'!$AX$137:$AX$155,'Lagerhaltung (freiwillig)'!CX48,'Berechnung Nährstoffe und Lager'!$E$137:$E$155))</f>
        <v>0</v>
      </c>
      <c r="GP48" s="2042" cm="1">
        <f t="array" ref="GP48">IF(GO48=0,0,(IFERROR(SUMPRODUCT('Berechnung Nährstoffe und Lager'!$D$113:$D$130,'Berechnung Nährstoffe und Lager'!$F$113:$F$130,('Berechnung Nährstoffe und Lager'!$AX$113:$AX$130='Lagerhaltung (freiwillig)'!CX48)*1)+SUMPRODUCT('Berechnung Nährstoffe und Lager'!$E$137:$E$155,'Berechnung Nährstoffe und Lager'!$F$137:$F$155,('Berechnung Nährstoffe und Lager'!$AX$137:$AX$155='Lagerhaltung (freiwillig)'!CX48)*1),0))/GO48)</f>
        <v>0</v>
      </c>
      <c r="GQ48" s="2042">
        <f t="shared" si="55"/>
        <v>0</v>
      </c>
      <c r="GR48" s="2042">
        <f t="shared" si="56"/>
        <v>0</v>
      </c>
      <c r="GS48" s="2042">
        <f t="shared" si="57"/>
        <v>0</v>
      </c>
      <c r="GT48" s="2042">
        <f t="shared" si="58"/>
        <v>0</v>
      </c>
      <c r="GU48" s="2045" t="str">
        <f t="shared" si="39"/>
        <v xml:space="preserve"> </v>
      </c>
      <c r="GV48" s="2045" t="str">
        <f t="shared" si="39"/>
        <v xml:space="preserve"> </v>
      </c>
      <c r="GW48" s="2054">
        <f t="shared" si="124"/>
        <v>0</v>
      </c>
      <c r="GX48" s="2042">
        <f t="shared" si="125"/>
        <v>0</v>
      </c>
      <c r="GY48" s="2042" t="str">
        <f t="shared" si="120"/>
        <v>a</v>
      </c>
      <c r="GZ48" s="2055">
        <f t="shared" si="126"/>
        <v>0</v>
      </c>
      <c r="HA48" s="2055">
        <f t="shared" si="127"/>
        <v>0</v>
      </c>
      <c r="HB48" s="2055"/>
      <c r="HC48" s="2046">
        <f t="shared" si="128"/>
        <v>0</v>
      </c>
      <c r="HD48" s="2055">
        <f t="shared" si="129"/>
        <v>0</v>
      </c>
      <c r="HE48" s="2055">
        <f t="shared" si="130"/>
        <v>0</v>
      </c>
      <c r="HF48" s="2055">
        <f t="shared" si="131"/>
        <v>0</v>
      </c>
      <c r="HG48" s="2282" cm="1">
        <f t="array" ref="HG48">IF(AND(HE48=0,GJ48=0),0,IF(HE48=0,1,IF(OR(GJ48*1000/HE48/HF48&gt;INDEX(Pflanzen!$AD$5:$AD$109,CX48)/INDEX(Pflanzen!$M$5:$M$109,CX48)*$HG$1,GJ48*1000/HE48/HF48&lt;INDEX(Pflanzen!$AD$5:$AD$109,CX48)/INDEX(Pflanzen!$M$5:$M$109,CX48)/$HG$1),1,0)))</f>
        <v>0</v>
      </c>
      <c r="HH48" s="2282" cm="1">
        <f t="array" ref="HH48">IF(AND(GK48=0,HE48=0),0,IF(HE48=0,1,IF(OR(GK48*1000/HE48/HF48&gt;INDEX(Pflanzen!$AE$5:$AE$109,CX48)/INDEX(Pflanzen!$M$5:$M$109,CX48)*$HG$1,GK48*1000/HE48/HF48&lt;INDEX(Pflanzen!$AE$5:$AE$109,CX48)/INDEX(Pflanzen!$M$5:$M$109,CX48)/$HG$1),1,0)))</f>
        <v>0</v>
      </c>
      <c r="HI48" s="2042">
        <f t="shared" si="132"/>
        <v>3</v>
      </c>
      <c r="HJ48" s="2042"/>
      <c r="HL48" s="2042"/>
      <c r="HM48" s="2052" t="str">
        <f>Tiere!B74</f>
        <v>Lämmer, Schafe bis ein Jahr, konventionell</v>
      </c>
      <c r="HN48" s="2042">
        <v>45</v>
      </c>
      <c r="HO48" s="2053">
        <f>SUMIF('Berechnung Nährstoffe und Lager'!$BM$68:$BM$81,'Lagerhaltung (freiwillig)'!HN48,'Berechnung Nährstoffe und Lager'!$Z$68:$Z$81)+SUMIF('Berechnung Nährstoffe und Lager'!$BM$68:$BM$81,'Lagerhaltung (freiwillig)'!HN48,'Berechnung Nährstoffe und Lager'!$AA$68:$AA$81)</f>
        <v>0</v>
      </c>
      <c r="HP48" s="2042" cm="1">
        <f t="array" ref="HP48">INDEX(Tiere!$C$30:$C$85,'Lagerhaltung (freiwillig)'!HN48)</f>
        <v>4</v>
      </c>
      <c r="HQ48" s="2042" cm="1">
        <f t="array" ref="HQ48">INDEX(Tiere!$H$30:$H$85,'Lagerhaltung (freiwillig)'!HN48)</f>
        <v>6.18</v>
      </c>
      <c r="HR48" s="2042">
        <f t="shared" si="112"/>
        <v>0</v>
      </c>
      <c r="HS48" s="2042" cm="1">
        <f t="array" ref="HS48">INDEX(Tiere!$I$30:$I$85,'Lagerhaltung (freiwillig)'!HN48)</f>
        <v>1.94</v>
      </c>
      <c r="HT48" s="2042">
        <f t="shared" si="13"/>
        <v>0</v>
      </c>
      <c r="HU48" s="2042" cm="1">
        <f t="array" ref="HU48">INDEX(Tiere!$BC$30:$BC$85,'Lagerhaltung (freiwillig)'!HN48)</f>
        <v>1.3</v>
      </c>
      <c r="HV48" s="2042">
        <f t="shared" si="110"/>
        <v>0</v>
      </c>
      <c r="HW48" s="2042" cm="1">
        <f t="array" ref="HW48">INDEX(Tiere!$BD$30:$BD$85,'Lagerhaltung (freiwillig)'!HN48)</f>
        <v>0.68500000000000005</v>
      </c>
      <c r="HX48" s="2042">
        <f t="shared" si="111"/>
        <v>0</v>
      </c>
      <c r="HY48" s="2042"/>
      <c r="HZ48" s="2042"/>
      <c r="IA48" s="2042"/>
      <c r="IB48" s="2042"/>
      <c r="IC48" s="2042"/>
      <c r="ID48" s="2042"/>
      <c r="IE48" s="2042"/>
      <c r="IF48" s="2042"/>
      <c r="IG48" s="2042"/>
      <c r="IH48" s="2042"/>
      <c r="II48" s="2042"/>
      <c r="IJ48" s="2042"/>
    </row>
    <row r="49" spans="6:244" ht="15.6" customHeight="1" x14ac:dyDescent="0.2">
      <c r="F49" s="1259"/>
      <c r="G49" s="2314"/>
      <c r="H49" s="2293"/>
      <c r="I49" s="2014" t="str">
        <f t="shared" si="133"/>
        <v/>
      </c>
      <c r="J49" s="1256"/>
      <c r="K49" s="2014" t="str">
        <f t="shared" si="134"/>
        <v/>
      </c>
      <c r="L49" s="1970"/>
      <c r="M49" s="1246"/>
      <c r="N49" s="1870"/>
      <c r="O49" s="1870"/>
      <c r="P49" s="2222"/>
      <c r="Q49" s="2014" t="str">
        <f t="shared" si="135"/>
        <v/>
      </c>
      <c r="R49" s="1970"/>
      <c r="S49" s="1246"/>
      <c r="T49" s="1256"/>
      <c r="V49" s="2316" t="str">
        <f t="shared" si="156"/>
        <v/>
      </c>
      <c r="Y49" s="2005" t="str" cm="1">
        <f t="array" ref="Y49">IFERROR(INDEX($CW$4:$CW$171,AY49),"")</f>
        <v/>
      </c>
      <c r="Z49" s="510"/>
      <c r="AA49" s="510"/>
      <c r="AB49" s="510"/>
      <c r="AC49" s="2031" t="str" cm="1">
        <f t="array" ref="AC49">IFERROR(INDEX($GL$4:$GL$171,AY49),"")</f>
        <v/>
      </c>
      <c r="AD49" s="2031" t="str" cm="1">
        <f t="array" ref="AD49">IFERROR(INDEX($GM$4:$GM$171,AY49),"")</f>
        <v/>
      </c>
      <c r="AE49" s="2031" t="str" cm="1">
        <f t="array" ref="AE49">IFERROR(INDEX($GH$4:$GH$171,AY49),"")</f>
        <v/>
      </c>
      <c r="AF49" s="2031" t="str" cm="1">
        <f t="array" ref="AF49">IFERROR(INDEX($GI$4:$GI$171,AY49),"")</f>
        <v/>
      </c>
      <c r="AG49" s="2031" t="str" cm="1">
        <f t="array" ref="AG49">IFERROR(INDEX($GO$4:$GO$171,AY49),"")</f>
        <v/>
      </c>
      <c r="AH49" s="2031" t="str" cm="1">
        <f t="array" ref="AH49">IFERROR(INDEX($GP$4:$GP$171,AY49),"")</f>
        <v/>
      </c>
      <c r="AI49" s="2031" t="str" cm="1">
        <f t="array" ref="AI49">IFERROR(INDEX($GF$4:$GF$171,AY49),"")</f>
        <v/>
      </c>
      <c r="AJ49" s="2031" t="str" cm="1">
        <f t="array" ref="AJ49">IFERROR(INDEX($GG$4:$GG$171,AY49),"")</f>
        <v/>
      </c>
      <c r="AK49" s="2031" t="str" cm="1">
        <f t="array" ref="AK49">IFERROR(INDEX($GS$4:$GS$171,AY49),"")</f>
        <v/>
      </c>
      <c r="AL49" s="2032" t="str" cm="1">
        <f t="array" ref="AL49">IFERROR(INDEX($GT$4:$GT$171,AY49),"")</f>
        <v/>
      </c>
      <c r="AM49" s="2031" t="str" cm="1">
        <f t="array" ref="AM49">IFERROR(INDEX($GB$4:$GB$171,AY49),"")</f>
        <v/>
      </c>
      <c r="AN49" s="2031" t="str" cm="1">
        <f t="array" ref="AN49">IFERROR(INDEX($GC$4:$GC$171,AY49),"")</f>
        <v/>
      </c>
      <c r="AO49" s="2031" t="str" cm="1">
        <f t="array" ref="AO49">IFERROR(INDEX($GU$4:$GU$171,AY49),"")</f>
        <v/>
      </c>
      <c r="AP49" s="2031" t="str" cm="1">
        <f t="array" ref="AP49">IFERROR(INDEX($GX$4:$GX$171,AY49),"")</f>
        <v/>
      </c>
      <c r="AQ49" s="1316"/>
      <c r="AR49" s="2031" t="str" cm="1">
        <f t="array" ref="AR49">IFERROR(INDEX($HD$4:$HD$171,AY49),"")</f>
        <v/>
      </c>
      <c r="AS49" s="2031" t="str" cm="1">
        <f t="array" ref="AS49">IFERROR(INDEX($HE$4:$HE$171,AY49),"")</f>
        <v/>
      </c>
      <c r="AT49" s="2031" t="str" cm="1">
        <f t="array" ref="AT49">IFERROR(INDEX($HF$4:$HF$171,AY49),"")</f>
        <v/>
      </c>
      <c r="AU49" s="2031" t="str" cm="1">
        <f t="array" ref="AU49">IFERROR(INDEX($GJ$4:$GJ$171,AY49),"")</f>
        <v/>
      </c>
      <c r="AV49" s="2031" t="str" cm="1">
        <f t="array" ref="AV49">IFERROR(INDEX($GK$4:$GK$171,AY49),"")</f>
        <v/>
      </c>
      <c r="AY49" s="2042" t="str" cm="1">
        <f t="array" ref="AY49">IFERROR(SMALL(IF($HI$4:$HI$171=1,ROW($HI$4:$HI$171)-3),ROW(W34)),IFERROR(SMALL(IF($HI$4:$HI$171=2,ROW($HI$4:$HI$171)-3),ROW(W34)-COUNTIF($HI$4:$HI$171,1)),IFERROR(SMALL(IF($HI$4:$HI$171=0,ROW($HI$4:$HI$171)-3),ROW(W34)-COUNTIF($HI$4:$HI$171,1)-COUNTIF($HI$4:$HI$171,2)),"")))</f>
        <v/>
      </c>
      <c r="AZ49" s="2042" t="str">
        <f t="shared" si="117"/>
        <v>a</v>
      </c>
      <c r="BA49" s="2053" t="e">
        <f t="shared" si="118"/>
        <v>#VALUE!</v>
      </c>
      <c r="BB49" s="2053" cm="1">
        <f t="array" ref="BB49">IFERROR(INDEX($HI$4:$HI$171,AY49),0)</f>
        <v>0</v>
      </c>
      <c r="BC49" s="2053">
        <f t="shared" si="119"/>
        <v>0</v>
      </c>
      <c r="BD49" s="2053"/>
      <c r="BE49" s="2307"/>
      <c r="BF49" s="2307"/>
      <c r="BG49" s="2307"/>
      <c r="BH49" s="2307"/>
      <c r="BI49" s="2307"/>
      <c r="BJ49" s="2307"/>
      <c r="BK49" s="2307"/>
      <c r="BL49" s="2307"/>
      <c r="BM49" s="2307"/>
      <c r="BN49" s="2307"/>
      <c r="BO49" s="2307"/>
      <c r="BP49" s="2043"/>
      <c r="BQ49" s="2042">
        <v>1</v>
      </c>
      <c r="BR49" cm="1">
        <f t="array" ref="BR49">INDEX(Pflanzen!$B$5:$B$117,'Lagerhaltung (freiwillig)'!BQ49)</f>
        <v>1</v>
      </c>
      <c r="BS49" s="2042"/>
      <c r="BT49" s="2042" t="b">
        <v>0</v>
      </c>
      <c r="BU49" s="2044"/>
      <c r="BV49" s="2044"/>
      <c r="BW49" s="2042">
        <f t="shared" si="136"/>
        <v>12</v>
      </c>
      <c r="BX49" s="2042">
        <f t="shared" si="137"/>
        <v>0</v>
      </c>
      <c r="BY49" s="2042">
        <f t="shared" si="138"/>
        <v>12</v>
      </c>
      <c r="BZ49" s="2042" cm="1">
        <f t="array" ref="BZ49">INDEX(Pflanzen!$AI$5:$AI$119,'Lagerhaltung (freiwillig)'!BR49)</f>
        <v>0</v>
      </c>
      <c r="CA49" s="2042" cm="1">
        <f t="array" ref="CA49">IF(BZ49=1,INDEX(Pflanzen!$AJ$5:$AJ$119,BR49),N49)</f>
        <v>0</v>
      </c>
      <c r="CB49" s="2042" cm="1">
        <f t="array" ref="CB49">IF(BZ49=1,INDEX(Pflanzen!$AK$5:$AK$119,BR49),O49)</f>
        <v>0</v>
      </c>
      <c r="CC49" s="2042">
        <f t="shared" si="139"/>
        <v>12</v>
      </c>
      <c r="CD49" s="2042">
        <f t="shared" si="140"/>
        <v>0</v>
      </c>
      <c r="CE49" s="2042">
        <f t="shared" si="141"/>
        <v>12</v>
      </c>
      <c r="CF49" s="2042" cm="1">
        <f t="array" ref="CF49">INDEX(Pflanzen!$F$5:$F$119,BR49)</f>
        <v>0</v>
      </c>
      <c r="CG49" s="2042" cm="1">
        <f t="array" ref="CG49">INDEX(Pflanzen!$H$5:$H$119,BR49)</f>
        <v>0</v>
      </c>
      <c r="CH49" s="2042">
        <f t="shared" si="142"/>
        <v>0</v>
      </c>
      <c r="CI49" s="2042">
        <f t="shared" si="143"/>
        <v>0</v>
      </c>
      <c r="CJ49" s="2042">
        <f t="shared" si="144"/>
        <v>0</v>
      </c>
      <c r="CK49" s="2042">
        <f t="shared" si="145"/>
        <v>0</v>
      </c>
      <c r="CL49" s="2042">
        <f t="shared" si="146"/>
        <v>0</v>
      </c>
      <c r="CM49" s="2042">
        <f t="shared" si="147"/>
        <v>0</v>
      </c>
      <c r="CN49" s="2042">
        <f t="shared" si="148"/>
        <v>0</v>
      </c>
      <c r="CO49" s="2042">
        <f t="shared" si="149"/>
        <v>0</v>
      </c>
      <c r="CP49" s="2042">
        <f t="shared" si="150"/>
        <v>0</v>
      </c>
      <c r="CQ49" s="2042">
        <f t="shared" si="151"/>
        <v>0</v>
      </c>
      <c r="CR49" s="2042">
        <f t="shared" si="152"/>
        <v>0</v>
      </c>
      <c r="CS49" s="2042">
        <f t="shared" si="153"/>
        <v>0</v>
      </c>
      <c r="CT49" s="2042">
        <f t="shared" si="154"/>
        <v>0</v>
      </c>
      <c r="CU49" s="2042">
        <f t="shared" si="155"/>
        <v>0</v>
      </c>
      <c r="CV49" s="2042"/>
      <c r="CW49" s="609" t="str">
        <f>Pflanzen!A45</f>
        <v>Klee (Reinkultur)</v>
      </c>
      <c r="CX49" s="2042">
        <f>IFERROR(MATCH($CW49,Pflanzen!$C$5:$C$119,0),1)</f>
        <v>41</v>
      </c>
      <c r="CY49" s="609" cm="1">
        <f t="array" ref="CY49">INDEX(Pflanzen!$I$5:$I$119,'Lagerhaltung (freiwillig)'!CX49)</f>
        <v>1</v>
      </c>
      <c r="CZ49" s="2042">
        <f t="shared" ref="CZ49:DK58" si="157">SUMIFS($CQ$14:$CQ$68,$BW$14:$BW$68,1,$BX$14:$BX$68,CZ$2,$BR$14:$BR$68,$CX49)+    SUMIFS($CQ$14:$CQ$68,$BW$14:$BW$68,"&gt;1",$BX$14:$BX$68,"&lt;="&amp;CZ$2,$BY$14:$BY$68,"&gt;="&amp;CZ$2,$BR$14:$BR$68,$CX49)</f>
        <v>0</v>
      </c>
      <c r="DA49" s="2042">
        <f t="shared" si="157"/>
        <v>0</v>
      </c>
      <c r="DB49" s="2042">
        <f t="shared" si="157"/>
        <v>0</v>
      </c>
      <c r="DC49" s="2042">
        <f t="shared" si="157"/>
        <v>0</v>
      </c>
      <c r="DD49" s="2042">
        <f t="shared" si="157"/>
        <v>0</v>
      </c>
      <c r="DE49" s="2042">
        <f t="shared" si="157"/>
        <v>0</v>
      </c>
      <c r="DF49" s="2042">
        <f t="shared" si="157"/>
        <v>0</v>
      </c>
      <c r="DG49" s="2042">
        <f t="shared" si="157"/>
        <v>0</v>
      </c>
      <c r="DH49" s="2042">
        <f t="shared" si="157"/>
        <v>0</v>
      </c>
      <c r="DI49" s="2042">
        <f t="shared" si="157"/>
        <v>0</v>
      </c>
      <c r="DJ49" s="2042">
        <f t="shared" si="157"/>
        <v>0</v>
      </c>
      <c r="DK49" s="2042">
        <f t="shared" si="157"/>
        <v>0</v>
      </c>
      <c r="DL49" s="2042"/>
      <c r="DM49" s="2042">
        <f t="shared" ref="DM49:DX58" si="158">SUMIFS($CS$14:$CS$68,$BW$14:$BW$68,1,$BX$14:$BX$68,DM$2,$BR$14:$BR$68,$CX49)+    SUMIFS($CS$14:$CS$68,$BW$14:$BW$68,"&gt;1",$BX$14:$BX$68,"&lt;="&amp;DM$2,$BY$14:$BY$68,"&gt;="&amp;DM$2,$BR$14:$BR$68,$CX49)</f>
        <v>0</v>
      </c>
      <c r="DN49" s="2042">
        <f t="shared" si="158"/>
        <v>0</v>
      </c>
      <c r="DO49" s="2042">
        <f t="shared" si="158"/>
        <v>0</v>
      </c>
      <c r="DP49" s="2042">
        <f t="shared" si="158"/>
        <v>0</v>
      </c>
      <c r="DQ49" s="2042">
        <f t="shared" si="158"/>
        <v>0</v>
      </c>
      <c r="DR49" s="2042">
        <f t="shared" si="158"/>
        <v>0</v>
      </c>
      <c r="DS49" s="2042">
        <f t="shared" si="158"/>
        <v>0</v>
      </c>
      <c r="DT49" s="2042">
        <f t="shared" si="158"/>
        <v>0</v>
      </c>
      <c r="DU49" s="2042">
        <f t="shared" si="158"/>
        <v>0</v>
      </c>
      <c r="DV49" s="2042">
        <f t="shared" si="158"/>
        <v>0</v>
      </c>
      <c r="DW49" s="2042">
        <f t="shared" si="158"/>
        <v>0</v>
      </c>
      <c r="DX49" s="2042">
        <f t="shared" si="158"/>
        <v>0</v>
      </c>
      <c r="DY49" s="2042"/>
      <c r="DZ49" s="2042">
        <f t="shared" ref="DZ49:EK58" si="159">SUMIFS($CL$14:$CL$68,$CC$14:$CC$68,1,$CD$14:$CD$68,DZ$2,$BR$14:$BR$68,$CX49)+         SUMIFS($CL$14:$CL$68,$CC$14:$CC$68,"&gt;1",$CD$14:$CD$68,"&lt;="&amp;DZ$2,$CE$14:$CE$68,"&gt;="&amp;DZ$2,$BR$14:$BR$68,$CX49)</f>
        <v>0</v>
      </c>
      <c r="EA49" s="2042">
        <f t="shared" si="159"/>
        <v>0</v>
      </c>
      <c r="EB49" s="2042">
        <f t="shared" si="159"/>
        <v>0</v>
      </c>
      <c r="EC49" s="2042">
        <f t="shared" si="159"/>
        <v>0</v>
      </c>
      <c r="ED49" s="2042">
        <f t="shared" si="159"/>
        <v>0</v>
      </c>
      <c r="EE49" s="2042">
        <f t="shared" si="159"/>
        <v>0</v>
      </c>
      <c r="EF49" s="2042">
        <f t="shared" si="159"/>
        <v>0</v>
      </c>
      <c r="EG49" s="2042">
        <f t="shared" si="159"/>
        <v>0</v>
      </c>
      <c r="EH49" s="2042">
        <f t="shared" si="159"/>
        <v>0</v>
      </c>
      <c r="EI49" s="2042">
        <f t="shared" si="159"/>
        <v>0</v>
      </c>
      <c r="EJ49" s="2042">
        <f t="shared" si="159"/>
        <v>0</v>
      </c>
      <c r="EK49" s="2042">
        <f t="shared" si="159"/>
        <v>0</v>
      </c>
      <c r="EL49" s="2042"/>
      <c r="EM49" s="2042">
        <f t="shared" ref="EM49:EX58" si="160">SUMIFS($CN$14:$CN$68,$CC$14:$CC$68,1,$CD$14:$CD$68,EM$2,$BR$14:$BR$68,$CX49)+         SUMIFS($CN$14:$CN$68,$CC$14:$CC$68,"&gt;1",$CD$14:$CD$68,"&lt;="&amp;EM$2,$CE$14:$CE$68,"&gt;="&amp;EM$2,$BR$14:$BR$68,$CX49)</f>
        <v>0</v>
      </c>
      <c r="EN49" s="2042">
        <f t="shared" si="160"/>
        <v>0</v>
      </c>
      <c r="EO49" s="2042">
        <f t="shared" si="160"/>
        <v>0</v>
      </c>
      <c r="EP49" s="2042">
        <f t="shared" si="160"/>
        <v>0</v>
      </c>
      <c r="EQ49" s="2042">
        <f t="shared" si="160"/>
        <v>0</v>
      </c>
      <c r="ER49" s="2042">
        <f t="shared" si="160"/>
        <v>0</v>
      </c>
      <c r="ES49" s="2042">
        <f t="shared" si="160"/>
        <v>0</v>
      </c>
      <c r="ET49" s="2042">
        <f t="shared" si="160"/>
        <v>0</v>
      </c>
      <c r="EU49" s="2042">
        <f t="shared" si="160"/>
        <v>0</v>
      </c>
      <c r="EV49" s="2042">
        <f t="shared" si="160"/>
        <v>0</v>
      </c>
      <c r="EW49" s="2042">
        <f t="shared" si="160"/>
        <v>0</v>
      </c>
      <c r="EX49" s="2042">
        <f t="shared" si="160"/>
        <v>0</v>
      </c>
      <c r="EY49" s="2042"/>
      <c r="EZ49" s="2045">
        <f t="shared" si="50"/>
        <v>0</v>
      </c>
      <c r="FA49" s="2042">
        <f>EZ49+CZ49+DZ49                 -         SUMIF('Berechnung Nährstoffe und Lager'!$AX$113:$AX$155,$CX49,'Berechnung Nährstoffe und Lager'!$U$113:$U$155)/12  -$GB49*$HC49/12</f>
        <v>0</v>
      </c>
      <c r="FB49" s="2042">
        <f>FA49+DA49+EA49                 -         SUMIF('Berechnung Nährstoffe und Lager'!$AX$113:$AX$155,$CX49,'Berechnung Nährstoffe und Lager'!$U$113:$U$155)/12  -$GB49*$HC49/12</f>
        <v>0</v>
      </c>
      <c r="FC49" s="2042">
        <f>FB49+DB49+EB49                 -         SUMIF('Berechnung Nährstoffe und Lager'!$AX$113:$AX$155,$CX49,'Berechnung Nährstoffe und Lager'!$U$113:$U$155)/12  -$GB49*$HC49/12</f>
        <v>0</v>
      </c>
      <c r="FD49" s="2042">
        <f>FC49+DC49+EC49                 -         SUMIF('Berechnung Nährstoffe und Lager'!$AX$113:$AX$155,$CX49,'Berechnung Nährstoffe und Lager'!$U$113:$U$155)/12  -$GB49*$HC49/12</f>
        <v>0</v>
      </c>
      <c r="FE49" s="2042">
        <f>FD49+DD49+ED49                 -         SUMIF('Berechnung Nährstoffe und Lager'!$AX$113:$AX$155,$CX49,'Berechnung Nährstoffe und Lager'!$U$113:$U$155)/12  -$GB49*$HC49/12</f>
        <v>0</v>
      </c>
      <c r="FF49" s="2042">
        <f>FE49+DE49+EE49                 -         SUMIF('Berechnung Nährstoffe und Lager'!$AX$113:$AX$155,$CX49,'Berechnung Nährstoffe und Lager'!$U$113:$U$155)/12  -$GB49*$HC49/12</f>
        <v>0</v>
      </c>
      <c r="FG49" s="2042">
        <f>FF49+DF49+EF49                 -         SUMIF('Berechnung Nährstoffe und Lager'!$AX$113:$AX$155,$CX49,'Berechnung Nährstoffe und Lager'!$U$113:$U$155)/12  -$GB49*$HC49/12</f>
        <v>0</v>
      </c>
      <c r="FH49" s="2042">
        <f>FG49+DG49+EG49                 -         SUMIF('Berechnung Nährstoffe und Lager'!$AX$113:$AX$155,$CX49,'Berechnung Nährstoffe und Lager'!$U$113:$U$155)/12  -$GB49*$HC49/12</f>
        <v>0</v>
      </c>
      <c r="FI49" s="2042">
        <f>FH49+DH49+EH49                 -         SUMIF('Berechnung Nährstoffe und Lager'!$AX$113:$AX$155,$CX49,'Berechnung Nährstoffe und Lager'!$U$113:$U$155)/12  -$GB49*$HC49/12</f>
        <v>0</v>
      </c>
      <c r="FJ49" s="2042">
        <f>FI49+DI49+EI49                 -         SUMIF('Berechnung Nährstoffe und Lager'!$AX$113:$AX$155,$CX49,'Berechnung Nährstoffe und Lager'!$U$113:$U$155)/12  -$GB49*$HC49/12</f>
        <v>0</v>
      </c>
      <c r="FK49" s="2042">
        <f>FJ49+DJ49+EJ49                 -         SUMIF('Berechnung Nährstoffe und Lager'!$AX$113:$AX$155,$CX49,'Berechnung Nährstoffe und Lager'!$U$113:$U$155)/12  -$GB49*$HC49/12</f>
        <v>0</v>
      </c>
      <c r="FL49" s="2042">
        <f>FK49+DK49+EK49                 -         SUMIF('Berechnung Nährstoffe und Lager'!$AX$113:$AX$155,$CX49,'Berechnung Nährstoffe und Lager'!$U$113:$U$155)/12  -$GB49*$HC49/12</f>
        <v>0</v>
      </c>
      <c r="FM49" s="2042"/>
      <c r="FN49" s="2045">
        <f t="shared" si="51"/>
        <v>0</v>
      </c>
      <c r="FO49" s="2042">
        <f>FN49+DM49+EM49                 -         SUMIF('Berechnung Nährstoffe und Lager'!$AX$113:$AX$155,$CX49,'Berechnung Nährstoffe und Lager'!$V$113:$V$155)/12  -$GC49*$HC49/12</f>
        <v>0</v>
      </c>
      <c r="FP49" s="2042">
        <f>FO49+DN49+EN49                 -         SUMIF('Berechnung Nährstoffe und Lager'!$AX$113:$AX$155,$CX49,'Berechnung Nährstoffe und Lager'!$V$113:$V$155)/12  -$GC49*$HC49/12</f>
        <v>0</v>
      </c>
      <c r="FQ49" s="2042">
        <f>FP49+DO49+EO49                 -         SUMIF('Berechnung Nährstoffe und Lager'!$AX$113:$AX$155,$CX49,'Berechnung Nährstoffe und Lager'!$V$113:$V$155)/12  -$GC49*$HC49/12</f>
        <v>0</v>
      </c>
      <c r="FR49" s="2042">
        <f>FQ49+DP49+EP49                 -         SUMIF('Berechnung Nährstoffe und Lager'!$AX$113:$AX$155,$CX49,'Berechnung Nährstoffe und Lager'!$V$113:$V$155)/12  -$GC49*$HC49/12</f>
        <v>0</v>
      </c>
      <c r="FS49" s="2042">
        <f>FR49+DQ49+EQ49                 -         SUMIF('Berechnung Nährstoffe und Lager'!$AX$113:$AX$155,$CX49,'Berechnung Nährstoffe und Lager'!$V$113:$V$155)/12  -$GC49*$HC49/12</f>
        <v>0</v>
      </c>
      <c r="FT49" s="2042">
        <f>FS49+DR49+ER49                 -         SUMIF('Berechnung Nährstoffe und Lager'!$AX$113:$AX$155,$CX49,'Berechnung Nährstoffe und Lager'!$V$113:$V$155)/12  -$GC49*$HC49/12</f>
        <v>0</v>
      </c>
      <c r="FU49" s="2042">
        <f>FT49+DS49+ES49                 -         SUMIF('Berechnung Nährstoffe und Lager'!$AX$113:$AX$155,$CX49,'Berechnung Nährstoffe und Lager'!$V$113:$V$155)/12  -$GC49*$HC49/12</f>
        <v>0</v>
      </c>
      <c r="FV49" s="2042">
        <f>FU49+DT49+ET49                 -         SUMIF('Berechnung Nährstoffe und Lager'!$AX$113:$AX$155,$CX49,'Berechnung Nährstoffe und Lager'!$V$113:$V$155)/12  -$GC49*$HC49/12</f>
        <v>0</v>
      </c>
      <c r="FW49" s="2042">
        <f>FV49+DU49+EU49                 -         SUMIF('Berechnung Nährstoffe und Lager'!$AX$113:$AX$155,$CX49,'Berechnung Nährstoffe und Lager'!$V$113:$V$155)/12  -$GC49*$HC49/12</f>
        <v>0</v>
      </c>
      <c r="FX49" s="2042">
        <f>FW49+DV49+EV49                 -         SUMIF('Berechnung Nährstoffe und Lager'!$AX$113:$AX$155,$CX49,'Berechnung Nährstoffe und Lager'!$V$113:$V$155)/12  -$GC49*$HC49/12</f>
        <v>0</v>
      </c>
      <c r="FY49" s="2042">
        <f>FX49+DW49+EW49                 -         SUMIF('Berechnung Nährstoffe und Lager'!$AX$113:$AX$155,$CX49,'Berechnung Nährstoffe und Lager'!$V$113:$V$155)/12  -$GC49*$HC49/12</f>
        <v>0</v>
      </c>
      <c r="FZ49" s="2042">
        <f>FY49+DX49+EX49                 -         SUMIF('Berechnung Nährstoffe und Lager'!$AX$113:$AX$155,$CX49,'Berechnung Nährstoffe und Lager'!$V$113:$V$155)/12  -$GC49*$HC49/12</f>
        <v>0</v>
      </c>
      <c r="GA49" s="2042"/>
      <c r="GB49" s="2042">
        <f>SUMIFS($CI$14:$CI$68,$BR$14:$BR$68,$CX49)+SUMIFS($CM$14:$CM$68,$BR$14:$BR$68,$CX49)+SUMIFS($CR$14:$CR$68,$BR$14:$BR$68,$CX49)  -         SUMIF('Berechnung Nährstoffe und Lager'!$AX$113:$AX$155,$CX49,'Berechnung Nährstoffe und Lager'!$U$113:$U$155)</f>
        <v>0</v>
      </c>
      <c r="GC49" s="2042">
        <f>SUMIFS($CJ$14:$CJ$68,$BR$14:$BR$68,$CX49)+SUMIFS($CO$14:$CO$68,$BR$14:$BR$68,$CX49)+SUMIFS($CT$14:$CT$68,$BR$14:$BR$68,$CX49)  -         SUMIF('Berechnung Nährstoffe und Lager'!$AX$113:$AX$155,$CX49,'Berechnung Nährstoffe und Lager'!$V$113:$V$155)</f>
        <v>0</v>
      </c>
      <c r="GD49" s="2042"/>
      <c r="GE49" s="2042"/>
      <c r="GF49" s="2042">
        <f>SUMIF('Berechnung Nährstoffe und Lager'!$AX$113:$AX$155,$CX49,'Berechnung Nährstoffe und Lager'!$U$113:$U$155)</f>
        <v>0</v>
      </c>
      <c r="GG49" s="2042">
        <f>SUMIF('Berechnung Nährstoffe und Lager'!$AX$113:$AX$155,$CX49,'Berechnung Nährstoffe und Lager'!$V$113:$V$155)</f>
        <v>0</v>
      </c>
      <c r="GH49" s="2042">
        <f t="shared" si="52"/>
        <v>0</v>
      </c>
      <c r="GI49" s="2042">
        <f t="shared" si="53"/>
        <v>0</v>
      </c>
      <c r="GJ49" s="2042">
        <f t="shared" si="121"/>
        <v>0</v>
      </c>
      <c r="GK49" s="2042">
        <f t="shared" si="122"/>
        <v>0</v>
      </c>
      <c r="GL49" s="2042">
        <f t="shared" si="123"/>
        <v>0</v>
      </c>
      <c r="GM49" s="2042" cm="1">
        <f t="array" ref="GM49">IF(GL49=0,0,(IFERROR(SUMPRODUCT($J$14:$J$68,$CH$14:$CH$68,($BR$14:$BR$68=CX49)*1)+SUMPRODUCT($L$14:$L$68,$M$14:$M$68,$CK$14:$CK$68,($BR$14:$BR$68=CX49)*1,($BT$14:$BT$68=FALSE)*1)/10+SUMPRODUCT($R$14:$R$68,$CP$14:$CP$68,($BR$14:$BR$68=CX49)*1),0))/GL49)</f>
        <v>0</v>
      </c>
      <c r="GN49" s="2042">
        <f t="shared" si="54"/>
        <v>0</v>
      </c>
      <c r="GO49" s="2042">
        <f>(SUMIF('Berechnung Nährstoffe und Lager'!$AX$113:$AX$130,'Lagerhaltung (freiwillig)'!CX49,'Berechnung Nährstoffe und Lager'!$D$113:$D$130)+SUMIF('Berechnung Nährstoffe und Lager'!$AX$137:$AX$155,'Lagerhaltung (freiwillig)'!CX49,'Berechnung Nährstoffe und Lager'!$E$137:$E$155))</f>
        <v>0</v>
      </c>
      <c r="GP49" s="2042" cm="1">
        <f t="array" ref="GP49">IF(GO49=0,0,(IFERROR(SUMPRODUCT('Berechnung Nährstoffe und Lager'!$D$113:$D$130,'Berechnung Nährstoffe und Lager'!$F$113:$F$130,('Berechnung Nährstoffe und Lager'!$AX$113:$AX$130='Lagerhaltung (freiwillig)'!CX49)*1)+SUMPRODUCT('Berechnung Nährstoffe und Lager'!$E$137:$E$155,'Berechnung Nährstoffe und Lager'!$F$137:$F$155,('Berechnung Nährstoffe und Lager'!$AX$137:$AX$155='Lagerhaltung (freiwillig)'!CX49)*1),0))/GO49)</f>
        <v>0</v>
      </c>
      <c r="GQ49" s="2042">
        <f t="shared" si="55"/>
        <v>0</v>
      </c>
      <c r="GR49" s="2042">
        <f t="shared" si="56"/>
        <v>0</v>
      </c>
      <c r="GS49" s="2042">
        <f t="shared" si="57"/>
        <v>0</v>
      </c>
      <c r="GT49" s="2042">
        <f t="shared" si="58"/>
        <v>0</v>
      </c>
      <c r="GU49" s="2045" t="str">
        <f t="shared" si="39"/>
        <v xml:space="preserve"> </v>
      </c>
      <c r="GV49" s="2045" t="str">
        <f t="shared" si="39"/>
        <v xml:space="preserve"> </v>
      </c>
      <c r="GW49" s="2054">
        <f t="shared" si="124"/>
        <v>0</v>
      </c>
      <c r="GX49" s="2042">
        <f t="shared" si="125"/>
        <v>0</v>
      </c>
      <c r="GY49" s="2042" t="str">
        <f t="shared" si="120"/>
        <v>a</v>
      </c>
      <c r="GZ49" s="2055">
        <f t="shared" si="126"/>
        <v>0</v>
      </c>
      <c r="HA49" s="2055">
        <f t="shared" si="127"/>
        <v>0</v>
      </c>
      <c r="HB49" s="2055"/>
      <c r="HC49" s="2046">
        <f t="shared" si="128"/>
        <v>0</v>
      </c>
      <c r="HD49" s="2055">
        <f t="shared" si="129"/>
        <v>0</v>
      </c>
      <c r="HE49" s="2055">
        <f t="shared" si="130"/>
        <v>0</v>
      </c>
      <c r="HF49" s="2055">
        <f t="shared" si="131"/>
        <v>0</v>
      </c>
      <c r="HG49" s="2282" cm="1">
        <f t="array" ref="HG49">IF(AND(HE49=0,GJ49=0),0,IF(HE49=0,1,IF(OR(GJ49*1000/HE49/HF49&gt;INDEX(Pflanzen!$AD$5:$AD$109,CX49)/INDEX(Pflanzen!$M$5:$M$109,CX49)*$HG$1,GJ49*1000/HE49/HF49&lt;INDEX(Pflanzen!$AD$5:$AD$109,CX49)/INDEX(Pflanzen!$M$5:$M$109,CX49)/$HG$1),1,0)))</f>
        <v>0</v>
      </c>
      <c r="HH49" s="2282" cm="1">
        <f t="array" ref="HH49">IF(AND(GK49=0,HE49=0),0,IF(HE49=0,1,IF(OR(GK49*1000/HE49/HF49&gt;INDEX(Pflanzen!$AE$5:$AE$109,CX49)/INDEX(Pflanzen!$M$5:$M$109,CX49)*$HG$1,GK49*1000/HE49/HF49&lt;INDEX(Pflanzen!$AE$5:$AE$109,CX49)/INDEX(Pflanzen!$M$5:$M$109,CX49)/$HG$1),1,0)))</f>
        <v>0</v>
      </c>
      <c r="HI49" s="2042">
        <f t="shared" si="132"/>
        <v>3</v>
      </c>
      <c r="HJ49" s="2042"/>
      <c r="HL49" s="2042"/>
      <c r="HM49" s="2052" t="str">
        <f>Tiere!B75</f>
        <v>Mutterschafe (ohne Lamm), andere Schafe, konventionell</v>
      </c>
      <c r="HN49" s="2042">
        <v>46</v>
      </c>
      <c r="HO49" s="2053">
        <f>SUMIF('Berechnung Nährstoffe und Lager'!$BM$68:$BM$81,'Lagerhaltung (freiwillig)'!HN49,'Berechnung Nährstoffe und Lager'!$Z$68:$Z$81)+SUMIF('Berechnung Nährstoffe und Lager'!$BM$68:$BM$81,'Lagerhaltung (freiwillig)'!HN49,'Berechnung Nährstoffe und Lager'!$AA$68:$AA$81)</f>
        <v>0</v>
      </c>
      <c r="HP49" s="2042" cm="1">
        <f t="array" ref="HP49">INDEX(Tiere!$C$30:$C$85,'Lagerhaltung (freiwillig)'!HN49)</f>
        <v>4</v>
      </c>
      <c r="HQ49" s="2042" cm="1">
        <f t="array" ref="HQ49">INDEX(Tiere!$H$30:$H$85,'Lagerhaltung (freiwillig)'!HN49)</f>
        <v>12.8</v>
      </c>
      <c r="HR49" s="2042">
        <f t="shared" si="112"/>
        <v>0</v>
      </c>
      <c r="HS49" s="2042" cm="1">
        <f t="array" ref="HS49">INDEX(Tiere!$I$30:$I$85,'Lagerhaltung (freiwillig)'!HN49)</f>
        <v>3.56</v>
      </c>
      <c r="HT49" s="2042">
        <f t="shared" si="13"/>
        <v>0</v>
      </c>
      <c r="HU49" s="2042" cm="1">
        <f t="array" ref="HU49">INDEX(Tiere!$BC$30:$BC$85,'Lagerhaltung (freiwillig)'!HN49)</f>
        <v>0.18200000000000002</v>
      </c>
      <c r="HV49" s="2042">
        <f t="shared" si="110"/>
        <v>0</v>
      </c>
      <c r="HW49" s="2042" cm="1">
        <f t="array" ref="HW49">INDEX(Tiere!$BD$30:$BD$85,'Lagerhaltung (freiwillig)'!HN49)</f>
        <v>9.5900000000000013E-2</v>
      </c>
      <c r="HX49" s="2042">
        <f t="shared" si="111"/>
        <v>0</v>
      </c>
      <c r="HY49" s="2042"/>
      <c r="HZ49" s="2042"/>
      <c r="IA49" s="2042"/>
      <c r="IB49" s="2042"/>
      <c r="IC49" s="2042"/>
      <c r="ID49" s="2042"/>
      <c r="IE49" s="2042"/>
      <c r="IF49" s="2042"/>
      <c r="IG49" s="2042"/>
      <c r="IH49" s="2042"/>
      <c r="II49" s="2042"/>
      <c r="IJ49" s="2042"/>
    </row>
    <row r="50" spans="6:244" ht="15.6" customHeight="1" x14ac:dyDescent="0.2">
      <c r="F50" s="1259"/>
      <c r="G50" s="2314"/>
      <c r="H50" s="2293"/>
      <c r="I50" s="2014" t="str">
        <f t="shared" si="133"/>
        <v/>
      </c>
      <c r="J50" s="1256"/>
      <c r="K50" s="2014" t="str">
        <f t="shared" si="134"/>
        <v/>
      </c>
      <c r="L50" s="1970"/>
      <c r="M50" s="1246"/>
      <c r="N50" s="1870"/>
      <c r="O50" s="1870"/>
      <c r="P50" s="2222"/>
      <c r="Q50" s="2014" t="str">
        <f t="shared" si="135"/>
        <v/>
      </c>
      <c r="R50" s="1970"/>
      <c r="S50" s="1246"/>
      <c r="T50" s="1256"/>
      <c r="V50" s="2316" t="str">
        <f t="shared" si="156"/>
        <v/>
      </c>
      <c r="Y50" s="2005" t="str" cm="1">
        <f t="array" ref="Y50">IFERROR(INDEX($CW$4:$CW$171,AY50),"")</f>
        <v/>
      </c>
      <c r="Z50" s="510"/>
      <c r="AA50" s="510"/>
      <c r="AB50" s="510"/>
      <c r="AC50" s="2031" t="str" cm="1">
        <f t="array" ref="AC50">IFERROR(INDEX($GL$4:$GL$171,AY50),"")</f>
        <v/>
      </c>
      <c r="AD50" s="2031" t="str" cm="1">
        <f t="array" ref="AD50">IFERROR(INDEX($GM$4:$GM$171,AY50),"")</f>
        <v/>
      </c>
      <c r="AE50" s="2031" t="str" cm="1">
        <f t="array" ref="AE50">IFERROR(INDEX($GH$4:$GH$171,AY50),"")</f>
        <v/>
      </c>
      <c r="AF50" s="2031" t="str" cm="1">
        <f t="array" ref="AF50">IFERROR(INDEX($GI$4:$GI$171,AY50),"")</f>
        <v/>
      </c>
      <c r="AG50" s="2031" t="str" cm="1">
        <f t="array" ref="AG50">IFERROR(INDEX($GO$4:$GO$171,AY50),"")</f>
        <v/>
      </c>
      <c r="AH50" s="2031" t="str" cm="1">
        <f t="array" ref="AH50">IFERROR(INDEX($GP$4:$GP$171,AY50),"")</f>
        <v/>
      </c>
      <c r="AI50" s="2031" t="str" cm="1">
        <f t="array" ref="AI50">IFERROR(INDEX($GF$4:$GF$171,AY50),"")</f>
        <v/>
      </c>
      <c r="AJ50" s="2031" t="str" cm="1">
        <f t="array" ref="AJ50">IFERROR(INDEX($GG$4:$GG$171,AY50),"")</f>
        <v/>
      </c>
      <c r="AK50" s="2031" t="str" cm="1">
        <f t="array" ref="AK50">IFERROR(INDEX($GS$4:$GS$171,AY50),"")</f>
        <v/>
      </c>
      <c r="AL50" s="2032" t="str" cm="1">
        <f t="array" ref="AL50">IFERROR(INDEX($GT$4:$GT$171,AY50),"")</f>
        <v/>
      </c>
      <c r="AM50" s="2031" t="str" cm="1">
        <f t="array" ref="AM50">IFERROR(INDEX($GB$4:$GB$171,AY50),"")</f>
        <v/>
      </c>
      <c r="AN50" s="2031" t="str" cm="1">
        <f t="array" ref="AN50">IFERROR(INDEX($GC$4:$GC$171,AY50),"")</f>
        <v/>
      </c>
      <c r="AO50" s="2031" t="str" cm="1">
        <f t="array" ref="AO50">IFERROR(INDEX($GU$4:$GU$171,AY50),"")</f>
        <v/>
      </c>
      <c r="AP50" s="2031" t="str" cm="1">
        <f t="array" ref="AP50">IFERROR(INDEX($GX$4:$GX$171,AY50),"")</f>
        <v/>
      </c>
      <c r="AQ50" s="1316"/>
      <c r="AR50" s="2031" t="str" cm="1">
        <f t="array" ref="AR50">IFERROR(INDEX($HD$4:$HD$171,AY50),"")</f>
        <v/>
      </c>
      <c r="AS50" s="2031" t="str" cm="1">
        <f t="array" ref="AS50">IFERROR(INDEX($HE$4:$HE$171,AY50),"")</f>
        <v/>
      </c>
      <c r="AT50" s="2031" t="str" cm="1">
        <f t="array" ref="AT50">IFERROR(INDEX($HF$4:$HF$171,AY50),"")</f>
        <v/>
      </c>
      <c r="AU50" s="2031" t="str" cm="1">
        <f t="array" ref="AU50">IFERROR(INDEX($GJ$4:$GJ$171,AY50),"")</f>
        <v/>
      </c>
      <c r="AV50" s="2031" t="str" cm="1">
        <f t="array" ref="AV50">IFERROR(INDEX($GK$4:$GK$171,AY50),"")</f>
        <v/>
      </c>
      <c r="AY50" s="2042" t="str" cm="1">
        <f t="array" ref="AY50">IFERROR(SMALL(IF($HI$4:$HI$171=1,ROW($HI$4:$HI$171)-3),ROW(W35)),IFERROR(SMALL(IF($HI$4:$HI$171=2,ROW($HI$4:$HI$171)-3),ROW(W35)-COUNTIF($HI$4:$HI$171,1)),IFERROR(SMALL(IF($HI$4:$HI$171=0,ROW($HI$4:$HI$171)-3),ROW(W35)-COUNTIF($HI$4:$HI$171,1)-COUNTIF($HI$4:$HI$171,2)),"")))</f>
        <v/>
      </c>
      <c r="AZ50" s="2042" t="str">
        <f t="shared" si="117"/>
        <v>a</v>
      </c>
      <c r="BA50" s="2053" t="e">
        <f t="shared" si="118"/>
        <v>#VALUE!</v>
      </c>
      <c r="BB50" s="2053" cm="1">
        <f t="array" ref="BB50">IFERROR(INDEX($HI$4:$HI$171,AY50),0)</f>
        <v>0</v>
      </c>
      <c r="BC50" s="2053">
        <f t="shared" si="119"/>
        <v>0</v>
      </c>
      <c r="BD50" s="2053"/>
      <c r="BE50" s="2307"/>
      <c r="BF50" s="2307"/>
      <c r="BG50" s="2307"/>
      <c r="BH50" s="2307"/>
      <c r="BI50" s="2307"/>
      <c r="BJ50" s="2307"/>
      <c r="BK50" s="2307"/>
      <c r="BL50" s="2307"/>
      <c r="BM50" s="2307"/>
      <c r="BN50" s="2307"/>
      <c r="BO50" s="2307"/>
      <c r="BP50" s="2043"/>
      <c r="BQ50" s="2042">
        <v>1</v>
      </c>
      <c r="BR50" cm="1">
        <f t="array" ref="BR50">INDEX(Pflanzen!$B$5:$B$117,'Lagerhaltung (freiwillig)'!BQ50)</f>
        <v>1</v>
      </c>
      <c r="BS50" s="2042"/>
      <c r="BT50" s="2042" t="b">
        <v>0</v>
      </c>
      <c r="BU50" s="2044"/>
      <c r="BV50" s="2044"/>
      <c r="BW50" s="2042">
        <f t="shared" si="136"/>
        <v>12</v>
      </c>
      <c r="BX50" s="2042">
        <f t="shared" si="137"/>
        <v>0</v>
      </c>
      <c r="BY50" s="2042">
        <f t="shared" si="138"/>
        <v>12</v>
      </c>
      <c r="BZ50" s="2042" cm="1">
        <f t="array" ref="BZ50">INDEX(Pflanzen!$AI$5:$AI$119,'Lagerhaltung (freiwillig)'!BR50)</f>
        <v>0</v>
      </c>
      <c r="CA50" s="2042" cm="1">
        <f t="array" ref="CA50">IF(BZ50=1,INDEX(Pflanzen!$AJ$5:$AJ$119,BR50),N50)</f>
        <v>0</v>
      </c>
      <c r="CB50" s="2042" cm="1">
        <f t="array" ref="CB50">IF(BZ50=1,INDEX(Pflanzen!$AK$5:$AK$119,BR50),O50)</f>
        <v>0</v>
      </c>
      <c r="CC50" s="2042">
        <f t="shared" si="139"/>
        <v>12</v>
      </c>
      <c r="CD50" s="2042">
        <f t="shared" si="140"/>
        <v>0</v>
      </c>
      <c r="CE50" s="2042">
        <f t="shared" si="141"/>
        <v>12</v>
      </c>
      <c r="CF50" s="2042" cm="1">
        <f t="array" ref="CF50">INDEX(Pflanzen!$F$5:$F$119,BR50)</f>
        <v>0</v>
      </c>
      <c r="CG50" s="2042" cm="1">
        <f t="array" ref="CG50">INDEX(Pflanzen!$H$5:$H$119,BR50)</f>
        <v>0</v>
      </c>
      <c r="CH50" s="2042">
        <f t="shared" si="142"/>
        <v>0</v>
      </c>
      <c r="CI50" s="2042">
        <f t="shared" si="143"/>
        <v>0</v>
      </c>
      <c r="CJ50" s="2042">
        <f t="shared" si="144"/>
        <v>0</v>
      </c>
      <c r="CK50" s="2042">
        <f t="shared" si="145"/>
        <v>0</v>
      </c>
      <c r="CL50" s="2042">
        <f t="shared" si="146"/>
        <v>0</v>
      </c>
      <c r="CM50" s="2042">
        <f t="shared" si="147"/>
        <v>0</v>
      </c>
      <c r="CN50" s="2042">
        <f t="shared" si="148"/>
        <v>0</v>
      </c>
      <c r="CO50" s="2042">
        <f t="shared" si="149"/>
        <v>0</v>
      </c>
      <c r="CP50" s="2042">
        <f t="shared" si="150"/>
        <v>0</v>
      </c>
      <c r="CQ50" s="2042">
        <f t="shared" si="151"/>
        <v>0</v>
      </c>
      <c r="CR50" s="2042">
        <f t="shared" si="152"/>
        <v>0</v>
      </c>
      <c r="CS50" s="2042">
        <f t="shared" si="153"/>
        <v>0</v>
      </c>
      <c r="CT50" s="2042">
        <f t="shared" si="154"/>
        <v>0</v>
      </c>
      <c r="CU50" s="2042">
        <f t="shared" si="155"/>
        <v>0</v>
      </c>
      <c r="CV50" s="2042"/>
      <c r="CW50" s="609" t="str">
        <f>Pflanzen!A46</f>
        <v>Luzerne (Reinkultur)</v>
      </c>
      <c r="CX50" s="2042">
        <f>IFERROR(MATCH($CW50,Pflanzen!$C$5:$C$119,0),1)</f>
        <v>42</v>
      </c>
      <c r="CY50" s="609" cm="1">
        <f t="array" ref="CY50">INDEX(Pflanzen!$I$5:$I$119,'Lagerhaltung (freiwillig)'!CX50)</f>
        <v>1</v>
      </c>
      <c r="CZ50" s="2042">
        <f t="shared" si="157"/>
        <v>0</v>
      </c>
      <c r="DA50" s="2042">
        <f t="shared" si="157"/>
        <v>0</v>
      </c>
      <c r="DB50" s="2042">
        <f t="shared" si="157"/>
        <v>0</v>
      </c>
      <c r="DC50" s="2042">
        <f t="shared" si="157"/>
        <v>0</v>
      </c>
      <c r="DD50" s="2042">
        <f t="shared" si="157"/>
        <v>0</v>
      </c>
      <c r="DE50" s="2042">
        <f t="shared" si="157"/>
        <v>0</v>
      </c>
      <c r="DF50" s="2042">
        <f t="shared" si="157"/>
        <v>0</v>
      </c>
      <c r="DG50" s="2042">
        <f t="shared" si="157"/>
        <v>0</v>
      </c>
      <c r="DH50" s="2042">
        <f t="shared" si="157"/>
        <v>0</v>
      </c>
      <c r="DI50" s="2042">
        <f t="shared" si="157"/>
        <v>0</v>
      </c>
      <c r="DJ50" s="2042">
        <f t="shared" si="157"/>
        <v>0</v>
      </c>
      <c r="DK50" s="2042">
        <f t="shared" si="157"/>
        <v>0</v>
      </c>
      <c r="DL50" s="2042"/>
      <c r="DM50" s="2042">
        <f t="shared" si="158"/>
        <v>0</v>
      </c>
      <c r="DN50" s="2042">
        <f t="shared" si="158"/>
        <v>0</v>
      </c>
      <c r="DO50" s="2042">
        <f t="shared" si="158"/>
        <v>0</v>
      </c>
      <c r="DP50" s="2042">
        <f t="shared" si="158"/>
        <v>0</v>
      </c>
      <c r="DQ50" s="2042">
        <f t="shared" si="158"/>
        <v>0</v>
      </c>
      <c r="DR50" s="2042">
        <f t="shared" si="158"/>
        <v>0</v>
      </c>
      <c r="DS50" s="2042">
        <f t="shared" si="158"/>
        <v>0</v>
      </c>
      <c r="DT50" s="2042">
        <f t="shared" si="158"/>
        <v>0</v>
      </c>
      <c r="DU50" s="2042">
        <f t="shared" si="158"/>
        <v>0</v>
      </c>
      <c r="DV50" s="2042">
        <f t="shared" si="158"/>
        <v>0</v>
      </c>
      <c r="DW50" s="2042">
        <f t="shared" si="158"/>
        <v>0</v>
      </c>
      <c r="DX50" s="2042">
        <f t="shared" si="158"/>
        <v>0</v>
      </c>
      <c r="DY50" s="2042"/>
      <c r="DZ50" s="2042">
        <f t="shared" si="159"/>
        <v>0</v>
      </c>
      <c r="EA50" s="2042">
        <f t="shared" si="159"/>
        <v>0</v>
      </c>
      <c r="EB50" s="2042">
        <f t="shared" si="159"/>
        <v>0</v>
      </c>
      <c r="EC50" s="2042">
        <f t="shared" si="159"/>
        <v>0</v>
      </c>
      <c r="ED50" s="2042">
        <f t="shared" si="159"/>
        <v>0</v>
      </c>
      <c r="EE50" s="2042">
        <f t="shared" si="159"/>
        <v>0</v>
      </c>
      <c r="EF50" s="2042">
        <f t="shared" si="159"/>
        <v>0</v>
      </c>
      <c r="EG50" s="2042">
        <f t="shared" si="159"/>
        <v>0</v>
      </c>
      <c r="EH50" s="2042">
        <f t="shared" si="159"/>
        <v>0</v>
      </c>
      <c r="EI50" s="2042">
        <f t="shared" si="159"/>
        <v>0</v>
      </c>
      <c r="EJ50" s="2042">
        <f t="shared" si="159"/>
        <v>0</v>
      </c>
      <c r="EK50" s="2042">
        <f t="shared" si="159"/>
        <v>0</v>
      </c>
      <c r="EL50" s="2042"/>
      <c r="EM50" s="2042">
        <f t="shared" si="160"/>
        <v>0</v>
      </c>
      <c r="EN50" s="2042">
        <f t="shared" si="160"/>
        <v>0</v>
      </c>
      <c r="EO50" s="2042">
        <f t="shared" si="160"/>
        <v>0</v>
      </c>
      <c r="EP50" s="2042">
        <f t="shared" si="160"/>
        <v>0</v>
      </c>
      <c r="EQ50" s="2042">
        <f t="shared" si="160"/>
        <v>0</v>
      </c>
      <c r="ER50" s="2042">
        <f t="shared" si="160"/>
        <v>0</v>
      </c>
      <c r="ES50" s="2042">
        <f t="shared" si="160"/>
        <v>0</v>
      </c>
      <c r="ET50" s="2042">
        <f t="shared" si="160"/>
        <v>0</v>
      </c>
      <c r="EU50" s="2042">
        <f t="shared" si="160"/>
        <v>0</v>
      </c>
      <c r="EV50" s="2042">
        <f t="shared" si="160"/>
        <v>0</v>
      </c>
      <c r="EW50" s="2042">
        <f t="shared" si="160"/>
        <v>0</v>
      </c>
      <c r="EX50" s="2042">
        <f t="shared" si="160"/>
        <v>0</v>
      </c>
      <c r="EY50" s="2042"/>
      <c r="EZ50" s="2045">
        <f t="shared" si="50"/>
        <v>0</v>
      </c>
      <c r="FA50" s="2042">
        <f>EZ50+CZ50+DZ50                 -         SUMIF('Berechnung Nährstoffe und Lager'!$AX$113:$AX$155,$CX50,'Berechnung Nährstoffe und Lager'!$U$113:$U$155)/12  -$GB50*$HC50/12</f>
        <v>0</v>
      </c>
      <c r="FB50" s="2042">
        <f>FA50+DA50+EA50                 -         SUMIF('Berechnung Nährstoffe und Lager'!$AX$113:$AX$155,$CX50,'Berechnung Nährstoffe und Lager'!$U$113:$U$155)/12  -$GB50*$HC50/12</f>
        <v>0</v>
      </c>
      <c r="FC50" s="2042">
        <f>FB50+DB50+EB50                 -         SUMIF('Berechnung Nährstoffe und Lager'!$AX$113:$AX$155,$CX50,'Berechnung Nährstoffe und Lager'!$U$113:$U$155)/12  -$GB50*$HC50/12</f>
        <v>0</v>
      </c>
      <c r="FD50" s="2042">
        <f>FC50+DC50+EC50                 -         SUMIF('Berechnung Nährstoffe und Lager'!$AX$113:$AX$155,$CX50,'Berechnung Nährstoffe und Lager'!$U$113:$U$155)/12  -$GB50*$HC50/12</f>
        <v>0</v>
      </c>
      <c r="FE50" s="2042">
        <f>FD50+DD50+ED50                 -         SUMIF('Berechnung Nährstoffe und Lager'!$AX$113:$AX$155,$CX50,'Berechnung Nährstoffe und Lager'!$U$113:$U$155)/12  -$GB50*$HC50/12</f>
        <v>0</v>
      </c>
      <c r="FF50" s="2042">
        <f>FE50+DE50+EE50                 -         SUMIF('Berechnung Nährstoffe und Lager'!$AX$113:$AX$155,$CX50,'Berechnung Nährstoffe und Lager'!$U$113:$U$155)/12  -$GB50*$HC50/12</f>
        <v>0</v>
      </c>
      <c r="FG50" s="2042">
        <f>FF50+DF50+EF50                 -         SUMIF('Berechnung Nährstoffe und Lager'!$AX$113:$AX$155,$CX50,'Berechnung Nährstoffe und Lager'!$U$113:$U$155)/12  -$GB50*$HC50/12</f>
        <v>0</v>
      </c>
      <c r="FH50" s="2042">
        <f>FG50+DG50+EG50                 -         SUMIF('Berechnung Nährstoffe und Lager'!$AX$113:$AX$155,$CX50,'Berechnung Nährstoffe und Lager'!$U$113:$U$155)/12  -$GB50*$HC50/12</f>
        <v>0</v>
      </c>
      <c r="FI50" s="2042">
        <f>FH50+DH50+EH50                 -         SUMIF('Berechnung Nährstoffe und Lager'!$AX$113:$AX$155,$CX50,'Berechnung Nährstoffe und Lager'!$U$113:$U$155)/12  -$GB50*$HC50/12</f>
        <v>0</v>
      </c>
      <c r="FJ50" s="2042">
        <f>FI50+DI50+EI50                 -         SUMIF('Berechnung Nährstoffe und Lager'!$AX$113:$AX$155,$CX50,'Berechnung Nährstoffe und Lager'!$U$113:$U$155)/12  -$GB50*$HC50/12</f>
        <v>0</v>
      </c>
      <c r="FK50" s="2042">
        <f>FJ50+DJ50+EJ50                 -         SUMIF('Berechnung Nährstoffe und Lager'!$AX$113:$AX$155,$CX50,'Berechnung Nährstoffe und Lager'!$U$113:$U$155)/12  -$GB50*$HC50/12</f>
        <v>0</v>
      </c>
      <c r="FL50" s="2042">
        <f>FK50+DK50+EK50                 -         SUMIF('Berechnung Nährstoffe und Lager'!$AX$113:$AX$155,$CX50,'Berechnung Nährstoffe und Lager'!$U$113:$U$155)/12  -$GB50*$HC50/12</f>
        <v>0</v>
      </c>
      <c r="FM50" s="2042"/>
      <c r="FN50" s="2045">
        <f t="shared" si="51"/>
        <v>0</v>
      </c>
      <c r="FO50" s="2042">
        <f>FN50+DM50+EM50                 -         SUMIF('Berechnung Nährstoffe und Lager'!$AX$113:$AX$155,$CX50,'Berechnung Nährstoffe und Lager'!$V$113:$V$155)/12  -$GC50*$HC50/12</f>
        <v>0</v>
      </c>
      <c r="FP50" s="2042">
        <f>FO50+DN50+EN50                 -         SUMIF('Berechnung Nährstoffe und Lager'!$AX$113:$AX$155,$CX50,'Berechnung Nährstoffe und Lager'!$V$113:$V$155)/12  -$GC50*$HC50/12</f>
        <v>0</v>
      </c>
      <c r="FQ50" s="2042">
        <f>FP50+DO50+EO50                 -         SUMIF('Berechnung Nährstoffe und Lager'!$AX$113:$AX$155,$CX50,'Berechnung Nährstoffe und Lager'!$V$113:$V$155)/12  -$GC50*$HC50/12</f>
        <v>0</v>
      </c>
      <c r="FR50" s="2042">
        <f>FQ50+DP50+EP50                 -         SUMIF('Berechnung Nährstoffe und Lager'!$AX$113:$AX$155,$CX50,'Berechnung Nährstoffe und Lager'!$V$113:$V$155)/12  -$GC50*$HC50/12</f>
        <v>0</v>
      </c>
      <c r="FS50" s="2042">
        <f>FR50+DQ50+EQ50                 -         SUMIF('Berechnung Nährstoffe und Lager'!$AX$113:$AX$155,$CX50,'Berechnung Nährstoffe und Lager'!$V$113:$V$155)/12  -$GC50*$HC50/12</f>
        <v>0</v>
      </c>
      <c r="FT50" s="2042">
        <f>FS50+DR50+ER50                 -         SUMIF('Berechnung Nährstoffe und Lager'!$AX$113:$AX$155,$CX50,'Berechnung Nährstoffe und Lager'!$V$113:$V$155)/12  -$GC50*$HC50/12</f>
        <v>0</v>
      </c>
      <c r="FU50" s="2042">
        <f>FT50+DS50+ES50                 -         SUMIF('Berechnung Nährstoffe und Lager'!$AX$113:$AX$155,$CX50,'Berechnung Nährstoffe und Lager'!$V$113:$V$155)/12  -$GC50*$HC50/12</f>
        <v>0</v>
      </c>
      <c r="FV50" s="2042">
        <f>FU50+DT50+ET50                 -         SUMIF('Berechnung Nährstoffe und Lager'!$AX$113:$AX$155,$CX50,'Berechnung Nährstoffe und Lager'!$V$113:$V$155)/12  -$GC50*$HC50/12</f>
        <v>0</v>
      </c>
      <c r="FW50" s="2042">
        <f>FV50+DU50+EU50                 -         SUMIF('Berechnung Nährstoffe und Lager'!$AX$113:$AX$155,$CX50,'Berechnung Nährstoffe und Lager'!$V$113:$V$155)/12  -$GC50*$HC50/12</f>
        <v>0</v>
      </c>
      <c r="FX50" s="2042">
        <f>FW50+DV50+EV50                 -         SUMIF('Berechnung Nährstoffe und Lager'!$AX$113:$AX$155,$CX50,'Berechnung Nährstoffe und Lager'!$V$113:$V$155)/12  -$GC50*$HC50/12</f>
        <v>0</v>
      </c>
      <c r="FY50" s="2042">
        <f>FX50+DW50+EW50                 -         SUMIF('Berechnung Nährstoffe und Lager'!$AX$113:$AX$155,$CX50,'Berechnung Nährstoffe und Lager'!$V$113:$V$155)/12  -$GC50*$HC50/12</f>
        <v>0</v>
      </c>
      <c r="FZ50" s="2042">
        <f>FY50+DX50+EX50                 -         SUMIF('Berechnung Nährstoffe und Lager'!$AX$113:$AX$155,$CX50,'Berechnung Nährstoffe und Lager'!$V$113:$V$155)/12  -$GC50*$HC50/12</f>
        <v>0</v>
      </c>
      <c r="GA50" s="2042"/>
      <c r="GB50" s="2042">
        <f>SUMIFS($CI$14:$CI$68,$BR$14:$BR$68,$CX50)+SUMIFS($CM$14:$CM$68,$BR$14:$BR$68,$CX50)+SUMIFS($CR$14:$CR$68,$BR$14:$BR$68,$CX50)  -         SUMIF('Berechnung Nährstoffe und Lager'!$AX$113:$AX$155,$CX50,'Berechnung Nährstoffe und Lager'!$U$113:$U$155)</f>
        <v>0</v>
      </c>
      <c r="GC50" s="2042">
        <f>SUMIFS($CJ$14:$CJ$68,$BR$14:$BR$68,$CX50)+SUMIFS($CO$14:$CO$68,$BR$14:$BR$68,$CX50)+SUMIFS($CT$14:$CT$68,$BR$14:$BR$68,$CX50)  -         SUMIF('Berechnung Nährstoffe und Lager'!$AX$113:$AX$155,$CX50,'Berechnung Nährstoffe und Lager'!$V$113:$V$155)</f>
        <v>0</v>
      </c>
      <c r="GD50" s="2042"/>
      <c r="GE50" s="2042"/>
      <c r="GF50" s="2042">
        <f>SUMIF('Berechnung Nährstoffe und Lager'!$AX$113:$AX$155,$CX50,'Berechnung Nährstoffe und Lager'!$U$113:$U$155)</f>
        <v>0</v>
      </c>
      <c r="GG50" s="2042">
        <f>SUMIF('Berechnung Nährstoffe und Lager'!$AX$113:$AX$155,$CX50,'Berechnung Nährstoffe und Lager'!$V$113:$V$155)</f>
        <v>0</v>
      </c>
      <c r="GH50" s="2042">
        <f t="shared" si="52"/>
        <v>0</v>
      </c>
      <c r="GI50" s="2042">
        <f t="shared" si="53"/>
        <v>0</v>
      </c>
      <c r="GJ50" s="2042">
        <f t="shared" si="121"/>
        <v>0</v>
      </c>
      <c r="GK50" s="2042">
        <f t="shared" si="122"/>
        <v>0</v>
      </c>
      <c r="GL50" s="2042">
        <f t="shared" si="123"/>
        <v>0</v>
      </c>
      <c r="GM50" s="2042" cm="1">
        <f t="array" ref="GM50">IF(GL50=0,0,(IFERROR(SUMPRODUCT($J$14:$J$68,$CH$14:$CH$68,($BR$14:$BR$68=CX50)*1)+SUMPRODUCT($L$14:$L$68,$M$14:$M$68,$CK$14:$CK$68,($BR$14:$BR$68=CX50)*1,($BT$14:$BT$68=FALSE)*1)/10+SUMPRODUCT($R$14:$R$68,$CP$14:$CP$68,($BR$14:$BR$68=CX50)*1),0))/GL50)</f>
        <v>0</v>
      </c>
      <c r="GN50" s="2042">
        <f t="shared" si="54"/>
        <v>0</v>
      </c>
      <c r="GO50" s="2042">
        <f>(SUMIF('Berechnung Nährstoffe und Lager'!$AX$113:$AX$130,'Lagerhaltung (freiwillig)'!CX50,'Berechnung Nährstoffe und Lager'!$D$113:$D$130)+SUMIF('Berechnung Nährstoffe und Lager'!$AX$137:$AX$155,'Lagerhaltung (freiwillig)'!CX50,'Berechnung Nährstoffe und Lager'!$E$137:$E$155))</f>
        <v>0</v>
      </c>
      <c r="GP50" s="2042" cm="1">
        <f t="array" ref="GP50">IF(GO50=0,0,(IFERROR(SUMPRODUCT('Berechnung Nährstoffe und Lager'!$D$113:$D$130,'Berechnung Nährstoffe und Lager'!$F$113:$F$130,('Berechnung Nährstoffe und Lager'!$AX$113:$AX$130='Lagerhaltung (freiwillig)'!CX50)*1)+SUMPRODUCT('Berechnung Nährstoffe und Lager'!$E$137:$E$155,'Berechnung Nährstoffe und Lager'!$F$137:$F$155,('Berechnung Nährstoffe und Lager'!$AX$137:$AX$155='Lagerhaltung (freiwillig)'!CX50)*1),0))/GO50)</f>
        <v>0</v>
      </c>
      <c r="GQ50" s="2042">
        <f t="shared" si="55"/>
        <v>0</v>
      </c>
      <c r="GR50" s="2042">
        <f t="shared" si="56"/>
        <v>0</v>
      </c>
      <c r="GS50" s="2042">
        <f t="shared" si="57"/>
        <v>0</v>
      </c>
      <c r="GT50" s="2042">
        <f t="shared" si="58"/>
        <v>0</v>
      </c>
      <c r="GU50" s="2045" t="str">
        <f t="shared" si="39"/>
        <v xml:space="preserve"> </v>
      </c>
      <c r="GV50" s="2045" t="str">
        <f t="shared" si="39"/>
        <v xml:space="preserve"> </v>
      </c>
      <c r="GW50" s="2054">
        <f t="shared" si="124"/>
        <v>0</v>
      </c>
      <c r="GX50" s="2042">
        <f t="shared" si="125"/>
        <v>0</v>
      </c>
      <c r="GY50" s="2042" t="str">
        <f t="shared" si="120"/>
        <v>a</v>
      </c>
      <c r="GZ50" s="2055">
        <f t="shared" si="126"/>
        <v>0</v>
      </c>
      <c r="HA50" s="2055">
        <f t="shared" si="127"/>
        <v>0</v>
      </c>
      <c r="HB50" s="2055"/>
      <c r="HC50" s="2046">
        <f t="shared" si="128"/>
        <v>0</v>
      </c>
      <c r="HD50" s="2055">
        <f t="shared" si="129"/>
        <v>0</v>
      </c>
      <c r="HE50" s="2055">
        <f t="shared" si="130"/>
        <v>0</v>
      </c>
      <c r="HF50" s="2055">
        <f t="shared" si="131"/>
        <v>0</v>
      </c>
      <c r="HG50" s="2282" cm="1">
        <f t="array" ref="HG50">IF(AND(HE50=0,GJ50=0),0,IF(HE50=0,1,IF(OR(GJ50*1000/HE50/HF50&gt;INDEX(Pflanzen!$AD$5:$AD$109,CX50)/INDEX(Pflanzen!$M$5:$M$109,CX50)*$HG$1,GJ50*1000/HE50/HF50&lt;INDEX(Pflanzen!$AD$5:$AD$109,CX50)/INDEX(Pflanzen!$M$5:$M$109,CX50)/$HG$1),1,0)))</f>
        <v>0</v>
      </c>
      <c r="HH50" s="2282" cm="1">
        <f t="array" ref="HH50">IF(AND(GK50=0,HE50=0),0,IF(HE50=0,1,IF(OR(GK50*1000/HE50/HF50&gt;INDEX(Pflanzen!$AE$5:$AE$109,CX50)/INDEX(Pflanzen!$M$5:$M$109,CX50)*$HG$1,GK50*1000/HE50/HF50&lt;INDEX(Pflanzen!$AE$5:$AE$109,CX50)/INDEX(Pflanzen!$M$5:$M$109,CX50)/$HG$1),1,0)))</f>
        <v>0</v>
      </c>
      <c r="HI50" s="2042">
        <f t="shared" si="132"/>
        <v>3</v>
      </c>
      <c r="HJ50" s="2042"/>
      <c r="HL50" s="2042"/>
      <c r="HM50" s="2052" t="str">
        <f>Tiere!B76</f>
        <v>Milchziegen mit Lämmer, andere Ziegen</v>
      </c>
      <c r="HN50" s="2042">
        <v>47</v>
      </c>
      <c r="HO50" s="2053">
        <f>SUMIF('Berechnung Nährstoffe und Lager'!$BM$68:$BM$81,'Lagerhaltung (freiwillig)'!HN50,'Berechnung Nährstoffe und Lager'!$Z$68:$Z$81)+SUMIF('Berechnung Nährstoffe und Lager'!$BM$68:$BM$81,'Lagerhaltung (freiwillig)'!HN50,'Berechnung Nährstoffe und Lager'!$AA$68:$AA$81)</f>
        <v>0</v>
      </c>
      <c r="HP50" s="2042" cm="1">
        <f t="array" ref="HP50">INDEX(Tiere!$C$30:$C$85,'Lagerhaltung (freiwillig)'!HN50)</f>
        <v>5</v>
      </c>
      <c r="HQ50" s="2042" cm="1">
        <f t="array" ref="HQ50">INDEX(Tiere!$H$30:$H$85,'Lagerhaltung (freiwillig)'!HN50)</f>
        <v>11.7</v>
      </c>
      <c r="HR50" s="2042">
        <f t="shared" si="112"/>
        <v>0</v>
      </c>
      <c r="HS50" s="2042" cm="1">
        <f t="array" ref="HS50">INDEX(Tiere!$I$30:$I$85,'Lagerhaltung (freiwillig)'!HN50)</f>
        <v>3.81</v>
      </c>
      <c r="HT50" s="2042">
        <f t="shared" si="13"/>
        <v>0</v>
      </c>
      <c r="HU50" s="2042" cm="1">
        <f t="array" ref="HU50">INDEX(Tiere!$BC$30:$BC$85,'Lagerhaltung (freiwillig)'!HN50)</f>
        <v>0.624</v>
      </c>
      <c r="HV50" s="2042">
        <f t="shared" si="110"/>
        <v>0</v>
      </c>
      <c r="HW50" s="2042" cm="1">
        <f t="array" ref="HW50">INDEX(Tiere!$BD$30:$BD$85,'Lagerhaltung (freiwillig)'!HN50)</f>
        <v>0.32880000000000004</v>
      </c>
      <c r="HX50" s="2042">
        <f t="shared" si="111"/>
        <v>0</v>
      </c>
      <c r="HY50" s="2042"/>
      <c r="HZ50" s="2042"/>
      <c r="IA50" s="2042"/>
      <c r="IB50" s="2042"/>
      <c r="IC50" s="2042"/>
      <c r="ID50" s="2042"/>
      <c r="IE50" s="2042"/>
      <c r="IF50" s="2042"/>
      <c r="IG50" s="2042"/>
      <c r="IH50" s="2042"/>
      <c r="II50" s="2042"/>
      <c r="IJ50" s="2042"/>
    </row>
    <row r="51" spans="6:244" ht="15.6" customHeight="1" x14ac:dyDescent="0.2">
      <c r="F51" s="1259"/>
      <c r="G51" s="2314"/>
      <c r="H51" s="2293"/>
      <c r="I51" s="2014" t="str">
        <f t="shared" si="133"/>
        <v/>
      </c>
      <c r="J51" s="1256"/>
      <c r="K51" s="2014" t="str">
        <f t="shared" si="134"/>
        <v/>
      </c>
      <c r="L51" s="1970"/>
      <c r="M51" s="1246"/>
      <c r="N51" s="1870"/>
      <c r="O51" s="1870"/>
      <c r="P51" s="2222"/>
      <c r="Q51" s="2014" t="str">
        <f t="shared" si="135"/>
        <v/>
      </c>
      <c r="R51" s="1970"/>
      <c r="S51" s="1246"/>
      <c r="T51" s="1256"/>
      <c r="V51" s="2316" t="str">
        <f t="shared" si="156"/>
        <v/>
      </c>
      <c r="Y51" s="2005" t="str" cm="1">
        <f t="array" ref="Y51">IFERROR(INDEX($CW$4:$CW$171,AY51),"")</f>
        <v/>
      </c>
      <c r="Z51" s="510"/>
      <c r="AA51" s="510"/>
      <c r="AB51" s="510"/>
      <c r="AC51" s="2031" t="str" cm="1">
        <f t="array" ref="AC51">IFERROR(INDEX($GL$4:$GL$171,AY51),"")</f>
        <v/>
      </c>
      <c r="AD51" s="2031" t="str" cm="1">
        <f t="array" ref="AD51">IFERROR(INDEX($GM$4:$GM$171,AY51),"")</f>
        <v/>
      </c>
      <c r="AE51" s="2031" t="str" cm="1">
        <f t="array" ref="AE51">IFERROR(INDEX($GH$4:$GH$171,AY51),"")</f>
        <v/>
      </c>
      <c r="AF51" s="2031" t="str" cm="1">
        <f t="array" ref="AF51">IFERROR(INDEX($GI$4:$GI$171,AY51),"")</f>
        <v/>
      </c>
      <c r="AG51" s="2031" t="str" cm="1">
        <f t="array" ref="AG51">IFERROR(INDEX($GO$4:$GO$171,AY51),"")</f>
        <v/>
      </c>
      <c r="AH51" s="2031" t="str" cm="1">
        <f t="array" ref="AH51">IFERROR(INDEX($GP$4:$GP$171,AY51),"")</f>
        <v/>
      </c>
      <c r="AI51" s="2031" t="str" cm="1">
        <f t="array" ref="AI51">IFERROR(INDEX($GF$4:$GF$171,AY51),"")</f>
        <v/>
      </c>
      <c r="AJ51" s="2031" t="str" cm="1">
        <f t="array" ref="AJ51">IFERROR(INDEX($GG$4:$GG$171,AY51),"")</f>
        <v/>
      </c>
      <c r="AK51" s="2031" t="str" cm="1">
        <f t="array" ref="AK51">IFERROR(INDEX($GS$4:$GS$171,AY51),"")</f>
        <v/>
      </c>
      <c r="AL51" s="2032" t="str" cm="1">
        <f t="array" ref="AL51">IFERROR(INDEX($GT$4:$GT$171,AY51),"")</f>
        <v/>
      </c>
      <c r="AM51" s="2031" t="str" cm="1">
        <f t="array" ref="AM51">IFERROR(INDEX($GB$4:$GB$171,AY51),"")</f>
        <v/>
      </c>
      <c r="AN51" s="2031" t="str" cm="1">
        <f t="array" ref="AN51">IFERROR(INDEX($GC$4:$GC$171,AY51),"")</f>
        <v/>
      </c>
      <c r="AO51" s="2031" t="str" cm="1">
        <f t="array" ref="AO51">IFERROR(INDEX($GU$4:$GU$171,AY51),"")</f>
        <v/>
      </c>
      <c r="AP51" s="2031" t="str" cm="1">
        <f t="array" ref="AP51">IFERROR(INDEX($GX$4:$GX$171,AY51),"")</f>
        <v/>
      </c>
      <c r="AQ51" s="1316"/>
      <c r="AR51" s="2031" t="str" cm="1">
        <f t="array" ref="AR51">IFERROR(INDEX($HD$4:$HD$171,AY51),"")</f>
        <v/>
      </c>
      <c r="AS51" s="2031" t="str" cm="1">
        <f t="array" ref="AS51">IFERROR(INDEX($HE$4:$HE$171,AY51),"")</f>
        <v/>
      </c>
      <c r="AT51" s="2031" t="str" cm="1">
        <f t="array" ref="AT51">IFERROR(INDEX($HF$4:$HF$171,AY51),"")</f>
        <v/>
      </c>
      <c r="AU51" s="2031" t="str" cm="1">
        <f t="array" ref="AU51">IFERROR(INDEX($GJ$4:$GJ$171,AY51),"")</f>
        <v/>
      </c>
      <c r="AV51" s="2031" t="str" cm="1">
        <f t="array" ref="AV51">IFERROR(INDEX($GK$4:$GK$171,AY51),"")</f>
        <v/>
      </c>
      <c r="AY51" s="2042" t="str" cm="1">
        <f t="array" ref="AY51">IFERROR(SMALL(IF($HI$4:$HI$171=1,ROW($HI$4:$HI$171)-3),ROW(W36)),IFERROR(SMALL(IF($HI$4:$HI$171=2,ROW($HI$4:$HI$171)-3),ROW(W36)-COUNTIF($HI$4:$HI$171,1)),IFERROR(SMALL(IF($HI$4:$HI$171=0,ROW($HI$4:$HI$171)-3),ROW(W36)-COUNTIF($HI$4:$HI$171,1)-COUNTIF($HI$4:$HI$171,2)),"")))</f>
        <v/>
      </c>
      <c r="AZ51" s="2042" t="str">
        <f t="shared" si="117"/>
        <v>a</v>
      </c>
      <c r="BA51" s="2053" t="e">
        <f t="shared" si="118"/>
        <v>#VALUE!</v>
      </c>
      <c r="BB51" s="2053" cm="1">
        <f t="array" ref="BB51">IFERROR(INDEX($HI$4:$HI$171,AY51),0)</f>
        <v>0</v>
      </c>
      <c r="BC51" s="2053">
        <f t="shared" si="119"/>
        <v>0</v>
      </c>
      <c r="BD51" s="2053"/>
      <c r="BE51" s="2307"/>
      <c r="BF51" s="2307"/>
      <c r="BG51" s="2307"/>
      <c r="BH51" s="2307"/>
      <c r="BI51" s="2307"/>
      <c r="BJ51" s="2307"/>
      <c r="BK51" s="2307"/>
      <c r="BL51" s="2307"/>
      <c r="BM51" s="2307"/>
      <c r="BN51" s="2307"/>
      <c r="BO51" s="2307"/>
      <c r="BP51" s="2043"/>
      <c r="BQ51" s="2042">
        <v>1</v>
      </c>
      <c r="BR51" cm="1">
        <f t="array" ref="BR51">INDEX(Pflanzen!$B$5:$B$117,'Lagerhaltung (freiwillig)'!BQ51)</f>
        <v>1</v>
      </c>
      <c r="BS51" s="2042"/>
      <c r="BT51" s="2042" t="b">
        <v>0</v>
      </c>
      <c r="BU51" s="2044"/>
      <c r="BV51" s="2044"/>
      <c r="BW51" s="2042">
        <f t="shared" si="136"/>
        <v>12</v>
      </c>
      <c r="BX51" s="2042">
        <f t="shared" si="137"/>
        <v>0</v>
      </c>
      <c r="BY51" s="2042">
        <f t="shared" si="138"/>
        <v>12</v>
      </c>
      <c r="BZ51" s="2042" cm="1">
        <f t="array" ref="BZ51">INDEX(Pflanzen!$AI$5:$AI$119,'Lagerhaltung (freiwillig)'!BR51)</f>
        <v>0</v>
      </c>
      <c r="CA51" s="2042" cm="1">
        <f t="array" ref="CA51">IF(BZ51=1,INDEX(Pflanzen!$AJ$5:$AJ$119,BR51),N51)</f>
        <v>0</v>
      </c>
      <c r="CB51" s="2042" cm="1">
        <f t="array" ref="CB51">IF(BZ51=1,INDEX(Pflanzen!$AK$5:$AK$119,BR51),O51)</f>
        <v>0</v>
      </c>
      <c r="CC51" s="2042">
        <f t="shared" si="139"/>
        <v>12</v>
      </c>
      <c r="CD51" s="2042">
        <f t="shared" si="140"/>
        <v>0</v>
      </c>
      <c r="CE51" s="2042">
        <f t="shared" si="141"/>
        <v>12</v>
      </c>
      <c r="CF51" s="2042" cm="1">
        <f t="array" ref="CF51">INDEX(Pflanzen!$F$5:$F$119,BR51)</f>
        <v>0</v>
      </c>
      <c r="CG51" s="2042" cm="1">
        <f t="array" ref="CG51">INDEX(Pflanzen!$H$5:$H$119,BR51)</f>
        <v>0</v>
      </c>
      <c r="CH51" s="2042">
        <f t="shared" si="142"/>
        <v>0</v>
      </c>
      <c r="CI51" s="2042">
        <f t="shared" si="143"/>
        <v>0</v>
      </c>
      <c r="CJ51" s="2042">
        <f t="shared" si="144"/>
        <v>0</v>
      </c>
      <c r="CK51" s="2042">
        <f t="shared" si="145"/>
        <v>0</v>
      </c>
      <c r="CL51" s="2042">
        <f t="shared" si="146"/>
        <v>0</v>
      </c>
      <c r="CM51" s="2042">
        <f t="shared" si="147"/>
        <v>0</v>
      </c>
      <c r="CN51" s="2042">
        <f t="shared" si="148"/>
        <v>0</v>
      </c>
      <c r="CO51" s="2042">
        <f t="shared" si="149"/>
        <v>0</v>
      </c>
      <c r="CP51" s="2042">
        <f t="shared" si="150"/>
        <v>0</v>
      </c>
      <c r="CQ51" s="2042">
        <f t="shared" si="151"/>
        <v>0</v>
      </c>
      <c r="CR51" s="2042">
        <f t="shared" si="152"/>
        <v>0</v>
      </c>
      <c r="CS51" s="2042">
        <f t="shared" si="153"/>
        <v>0</v>
      </c>
      <c r="CT51" s="2042">
        <f t="shared" si="154"/>
        <v>0</v>
      </c>
      <c r="CU51" s="2042">
        <f t="shared" si="155"/>
        <v>0</v>
      </c>
      <c r="CV51" s="2042"/>
      <c r="CW51" s="609" t="str">
        <f>Pflanzen!A47</f>
        <v xml:space="preserve"> +++Futterpflanzen+++</v>
      </c>
      <c r="CX51" s="2042">
        <f>IFERROR(MATCH($CW51,Pflanzen!$C$5:$C$119,0),1)</f>
        <v>43</v>
      </c>
      <c r="CY51" s="609" cm="1">
        <f t="array" ref="CY51">INDEX(Pflanzen!$I$5:$I$119,'Lagerhaltung (freiwillig)'!CX51)</f>
        <v>0</v>
      </c>
      <c r="CZ51" s="2042">
        <f t="shared" si="157"/>
        <v>0</v>
      </c>
      <c r="DA51" s="2042">
        <f t="shared" si="157"/>
        <v>0</v>
      </c>
      <c r="DB51" s="2042">
        <f t="shared" si="157"/>
        <v>0</v>
      </c>
      <c r="DC51" s="2042">
        <f t="shared" si="157"/>
        <v>0</v>
      </c>
      <c r="DD51" s="2042">
        <f t="shared" si="157"/>
        <v>0</v>
      </c>
      <c r="DE51" s="2042">
        <f t="shared" si="157"/>
        <v>0</v>
      </c>
      <c r="DF51" s="2042">
        <f t="shared" si="157"/>
        <v>0</v>
      </c>
      <c r="DG51" s="2042">
        <f t="shared" si="157"/>
        <v>0</v>
      </c>
      <c r="DH51" s="2042">
        <f t="shared" si="157"/>
        <v>0</v>
      </c>
      <c r="DI51" s="2042">
        <f t="shared" si="157"/>
        <v>0</v>
      </c>
      <c r="DJ51" s="2042">
        <f t="shared" si="157"/>
        <v>0</v>
      </c>
      <c r="DK51" s="2042">
        <f t="shared" si="157"/>
        <v>0</v>
      </c>
      <c r="DL51" s="2042"/>
      <c r="DM51" s="2042">
        <f t="shared" si="158"/>
        <v>0</v>
      </c>
      <c r="DN51" s="2042">
        <f t="shared" si="158"/>
        <v>0</v>
      </c>
      <c r="DO51" s="2042">
        <f t="shared" si="158"/>
        <v>0</v>
      </c>
      <c r="DP51" s="2042">
        <f t="shared" si="158"/>
        <v>0</v>
      </c>
      <c r="DQ51" s="2042">
        <f t="shared" si="158"/>
        <v>0</v>
      </c>
      <c r="DR51" s="2042">
        <f t="shared" si="158"/>
        <v>0</v>
      </c>
      <c r="DS51" s="2042">
        <f t="shared" si="158"/>
        <v>0</v>
      </c>
      <c r="DT51" s="2042">
        <f t="shared" si="158"/>
        <v>0</v>
      </c>
      <c r="DU51" s="2042">
        <f t="shared" si="158"/>
        <v>0</v>
      </c>
      <c r="DV51" s="2042">
        <f t="shared" si="158"/>
        <v>0</v>
      </c>
      <c r="DW51" s="2042">
        <f t="shared" si="158"/>
        <v>0</v>
      </c>
      <c r="DX51" s="2042">
        <f t="shared" si="158"/>
        <v>0</v>
      </c>
      <c r="DY51" s="2042"/>
      <c r="DZ51" s="2042">
        <f t="shared" si="159"/>
        <v>0</v>
      </c>
      <c r="EA51" s="2042">
        <f t="shared" si="159"/>
        <v>0</v>
      </c>
      <c r="EB51" s="2042">
        <f t="shared" si="159"/>
        <v>0</v>
      </c>
      <c r="EC51" s="2042">
        <f t="shared" si="159"/>
        <v>0</v>
      </c>
      <c r="ED51" s="2042">
        <f t="shared" si="159"/>
        <v>0</v>
      </c>
      <c r="EE51" s="2042">
        <f t="shared" si="159"/>
        <v>0</v>
      </c>
      <c r="EF51" s="2042">
        <f t="shared" si="159"/>
        <v>0</v>
      </c>
      <c r="EG51" s="2042">
        <f t="shared" si="159"/>
        <v>0</v>
      </c>
      <c r="EH51" s="2042">
        <f t="shared" si="159"/>
        <v>0</v>
      </c>
      <c r="EI51" s="2042">
        <f t="shared" si="159"/>
        <v>0</v>
      </c>
      <c r="EJ51" s="2042">
        <f t="shared" si="159"/>
        <v>0</v>
      </c>
      <c r="EK51" s="2042">
        <f t="shared" si="159"/>
        <v>0</v>
      </c>
      <c r="EL51" s="2042"/>
      <c r="EM51" s="2042">
        <f t="shared" si="160"/>
        <v>0</v>
      </c>
      <c r="EN51" s="2042">
        <f t="shared" si="160"/>
        <v>0</v>
      </c>
      <c r="EO51" s="2042">
        <f t="shared" si="160"/>
        <v>0</v>
      </c>
      <c r="EP51" s="2042">
        <f t="shared" si="160"/>
        <v>0</v>
      </c>
      <c r="EQ51" s="2042">
        <f t="shared" si="160"/>
        <v>0</v>
      </c>
      <c r="ER51" s="2042">
        <f t="shared" si="160"/>
        <v>0</v>
      </c>
      <c r="ES51" s="2042">
        <f t="shared" si="160"/>
        <v>0</v>
      </c>
      <c r="ET51" s="2042">
        <f t="shared" si="160"/>
        <v>0</v>
      </c>
      <c r="EU51" s="2042">
        <f t="shared" si="160"/>
        <v>0</v>
      </c>
      <c r="EV51" s="2042">
        <f t="shared" si="160"/>
        <v>0</v>
      </c>
      <c r="EW51" s="2042">
        <f t="shared" si="160"/>
        <v>0</v>
      </c>
      <c r="EX51" s="2042">
        <f t="shared" si="160"/>
        <v>0</v>
      </c>
      <c r="EY51" s="2042"/>
      <c r="EZ51" s="2045">
        <f t="shared" si="50"/>
        <v>0</v>
      </c>
      <c r="FA51" s="2042">
        <f>EZ51+CZ51+DZ51                 -         SUMIF('Berechnung Nährstoffe und Lager'!$AX$113:$AX$155,$CX51,'Berechnung Nährstoffe und Lager'!$U$113:$U$155)/12  -$GB51*$HC51/12</f>
        <v>0</v>
      </c>
      <c r="FB51" s="2042">
        <f>FA51+DA51+EA51                 -         SUMIF('Berechnung Nährstoffe und Lager'!$AX$113:$AX$155,$CX51,'Berechnung Nährstoffe und Lager'!$U$113:$U$155)/12  -$GB51*$HC51/12</f>
        <v>0</v>
      </c>
      <c r="FC51" s="2042">
        <f>FB51+DB51+EB51                 -         SUMIF('Berechnung Nährstoffe und Lager'!$AX$113:$AX$155,$CX51,'Berechnung Nährstoffe und Lager'!$U$113:$U$155)/12  -$GB51*$HC51/12</f>
        <v>0</v>
      </c>
      <c r="FD51" s="2042">
        <f>FC51+DC51+EC51                 -         SUMIF('Berechnung Nährstoffe und Lager'!$AX$113:$AX$155,$CX51,'Berechnung Nährstoffe und Lager'!$U$113:$U$155)/12  -$GB51*$HC51/12</f>
        <v>0</v>
      </c>
      <c r="FE51" s="2042">
        <f>FD51+DD51+ED51                 -         SUMIF('Berechnung Nährstoffe und Lager'!$AX$113:$AX$155,$CX51,'Berechnung Nährstoffe und Lager'!$U$113:$U$155)/12  -$GB51*$HC51/12</f>
        <v>0</v>
      </c>
      <c r="FF51" s="2042">
        <f>FE51+DE51+EE51                 -         SUMIF('Berechnung Nährstoffe und Lager'!$AX$113:$AX$155,$CX51,'Berechnung Nährstoffe und Lager'!$U$113:$U$155)/12  -$GB51*$HC51/12</f>
        <v>0</v>
      </c>
      <c r="FG51" s="2042">
        <f>FF51+DF51+EF51                 -         SUMIF('Berechnung Nährstoffe und Lager'!$AX$113:$AX$155,$CX51,'Berechnung Nährstoffe und Lager'!$U$113:$U$155)/12  -$GB51*$HC51/12</f>
        <v>0</v>
      </c>
      <c r="FH51" s="2042">
        <f>FG51+DG51+EG51                 -         SUMIF('Berechnung Nährstoffe und Lager'!$AX$113:$AX$155,$CX51,'Berechnung Nährstoffe und Lager'!$U$113:$U$155)/12  -$GB51*$HC51/12</f>
        <v>0</v>
      </c>
      <c r="FI51" s="2042">
        <f>FH51+DH51+EH51                 -         SUMIF('Berechnung Nährstoffe und Lager'!$AX$113:$AX$155,$CX51,'Berechnung Nährstoffe und Lager'!$U$113:$U$155)/12  -$GB51*$HC51/12</f>
        <v>0</v>
      </c>
      <c r="FJ51" s="2042">
        <f>FI51+DI51+EI51                 -         SUMIF('Berechnung Nährstoffe und Lager'!$AX$113:$AX$155,$CX51,'Berechnung Nährstoffe und Lager'!$U$113:$U$155)/12  -$GB51*$HC51/12</f>
        <v>0</v>
      </c>
      <c r="FK51" s="2042">
        <f>FJ51+DJ51+EJ51                 -         SUMIF('Berechnung Nährstoffe und Lager'!$AX$113:$AX$155,$CX51,'Berechnung Nährstoffe und Lager'!$U$113:$U$155)/12  -$GB51*$HC51/12</f>
        <v>0</v>
      </c>
      <c r="FL51" s="2042">
        <f>FK51+DK51+EK51                 -         SUMIF('Berechnung Nährstoffe und Lager'!$AX$113:$AX$155,$CX51,'Berechnung Nährstoffe und Lager'!$U$113:$U$155)/12  -$GB51*$HC51/12</f>
        <v>0</v>
      </c>
      <c r="FM51" s="2042"/>
      <c r="FN51" s="2045">
        <f t="shared" si="51"/>
        <v>0</v>
      </c>
      <c r="FO51" s="2042">
        <f>FN51+DM51+EM51                 -         SUMIF('Berechnung Nährstoffe und Lager'!$AX$113:$AX$155,$CX51,'Berechnung Nährstoffe und Lager'!$V$113:$V$155)/12  -$GC51*$HC51/12</f>
        <v>0</v>
      </c>
      <c r="FP51" s="2042">
        <f>FO51+DN51+EN51                 -         SUMIF('Berechnung Nährstoffe und Lager'!$AX$113:$AX$155,$CX51,'Berechnung Nährstoffe und Lager'!$V$113:$V$155)/12  -$GC51*$HC51/12</f>
        <v>0</v>
      </c>
      <c r="FQ51" s="2042">
        <f>FP51+DO51+EO51                 -         SUMIF('Berechnung Nährstoffe und Lager'!$AX$113:$AX$155,$CX51,'Berechnung Nährstoffe und Lager'!$V$113:$V$155)/12  -$GC51*$HC51/12</f>
        <v>0</v>
      </c>
      <c r="FR51" s="2042">
        <f>FQ51+DP51+EP51                 -         SUMIF('Berechnung Nährstoffe und Lager'!$AX$113:$AX$155,$CX51,'Berechnung Nährstoffe und Lager'!$V$113:$V$155)/12  -$GC51*$HC51/12</f>
        <v>0</v>
      </c>
      <c r="FS51" s="2042">
        <f>FR51+DQ51+EQ51                 -         SUMIF('Berechnung Nährstoffe und Lager'!$AX$113:$AX$155,$CX51,'Berechnung Nährstoffe und Lager'!$V$113:$V$155)/12  -$GC51*$HC51/12</f>
        <v>0</v>
      </c>
      <c r="FT51" s="2042">
        <f>FS51+DR51+ER51                 -         SUMIF('Berechnung Nährstoffe und Lager'!$AX$113:$AX$155,$CX51,'Berechnung Nährstoffe und Lager'!$V$113:$V$155)/12  -$GC51*$HC51/12</f>
        <v>0</v>
      </c>
      <c r="FU51" s="2042">
        <f>FT51+DS51+ES51                 -         SUMIF('Berechnung Nährstoffe und Lager'!$AX$113:$AX$155,$CX51,'Berechnung Nährstoffe und Lager'!$V$113:$V$155)/12  -$GC51*$HC51/12</f>
        <v>0</v>
      </c>
      <c r="FV51" s="2042">
        <f>FU51+DT51+ET51                 -         SUMIF('Berechnung Nährstoffe und Lager'!$AX$113:$AX$155,$CX51,'Berechnung Nährstoffe und Lager'!$V$113:$V$155)/12  -$GC51*$HC51/12</f>
        <v>0</v>
      </c>
      <c r="FW51" s="2042">
        <f>FV51+DU51+EU51                 -         SUMIF('Berechnung Nährstoffe und Lager'!$AX$113:$AX$155,$CX51,'Berechnung Nährstoffe und Lager'!$V$113:$V$155)/12  -$GC51*$HC51/12</f>
        <v>0</v>
      </c>
      <c r="FX51" s="2042">
        <f>FW51+DV51+EV51                 -         SUMIF('Berechnung Nährstoffe und Lager'!$AX$113:$AX$155,$CX51,'Berechnung Nährstoffe und Lager'!$V$113:$V$155)/12  -$GC51*$HC51/12</f>
        <v>0</v>
      </c>
      <c r="FY51" s="2042">
        <f>FX51+DW51+EW51                 -         SUMIF('Berechnung Nährstoffe und Lager'!$AX$113:$AX$155,$CX51,'Berechnung Nährstoffe und Lager'!$V$113:$V$155)/12  -$GC51*$HC51/12</f>
        <v>0</v>
      </c>
      <c r="FZ51" s="2042">
        <f>FY51+DX51+EX51                 -         SUMIF('Berechnung Nährstoffe und Lager'!$AX$113:$AX$155,$CX51,'Berechnung Nährstoffe und Lager'!$V$113:$V$155)/12  -$GC51*$HC51/12</f>
        <v>0</v>
      </c>
      <c r="GA51" s="2042"/>
      <c r="GB51" s="2042">
        <f>SUMIFS($CI$14:$CI$68,$BR$14:$BR$68,$CX51)+SUMIFS($CM$14:$CM$68,$BR$14:$BR$68,$CX51)+SUMIFS($CR$14:$CR$68,$BR$14:$BR$68,$CX51)  -         SUMIF('Berechnung Nährstoffe und Lager'!$AX$113:$AX$155,$CX51,'Berechnung Nährstoffe und Lager'!$U$113:$U$155)</f>
        <v>0</v>
      </c>
      <c r="GC51" s="2042">
        <f>SUMIFS($CJ$14:$CJ$68,$BR$14:$BR$68,$CX51)+SUMIFS($CO$14:$CO$68,$BR$14:$BR$68,$CX51)+SUMIFS($CT$14:$CT$68,$BR$14:$BR$68,$CX51)  -         SUMIF('Berechnung Nährstoffe und Lager'!$AX$113:$AX$155,$CX51,'Berechnung Nährstoffe und Lager'!$V$113:$V$155)</f>
        <v>0</v>
      </c>
      <c r="GD51" s="2042"/>
      <c r="GE51" s="2042"/>
      <c r="GF51" s="2042">
        <f>SUMIF('Berechnung Nährstoffe und Lager'!$AX$113:$AX$155,$CX51,'Berechnung Nährstoffe und Lager'!$U$113:$U$155)</f>
        <v>0</v>
      </c>
      <c r="GG51" s="2042">
        <f>SUMIF('Berechnung Nährstoffe und Lager'!$AX$113:$AX$155,$CX51,'Berechnung Nährstoffe und Lager'!$V$113:$V$155)</f>
        <v>0</v>
      </c>
      <c r="GH51" s="2042">
        <f t="shared" si="52"/>
        <v>0</v>
      </c>
      <c r="GI51" s="2042">
        <f t="shared" si="53"/>
        <v>0</v>
      </c>
      <c r="GJ51" s="2042">
        <f t="shared" si="121"/>
        <v>0</v>
      </c>
      <c r="GK51" s="2042">
        <f t="shared" si="122"/>
        <v>0</v>
      </c>
      <c r="GL51" s="2042">
        <f t="shared" si="123"/>
        <v>0</v>
      </c>
      <c r="GM51" s="2042" cm="1">
        <f t="array" ref="GM51">IF(GL51=0,0,(IFERROR(SUMPRODUCT($J$14:$J$68,$CH$14:$CH$68,($BR$14:$BR$68=CX51)*1)+SUMPRODUCT($L$14:$L$68,$M$14:$M$68,$CK$14:$CK$68,($BR$14:$BR$68=CX51)*1,($BT$14:$BT$68=FALSE)*1)/10+SUMPRODUCT($R$14:$R$68,$CP$14:$CP$68,($BR$14:$BR$68=CX51)*1),0))/GL51)</f>
        <v>0</v>
      </c>
      <c r="GN51" s="2042">
        <f t="shared" si="54"/>
        <v>0</v>
      </c>
      <c r="GO51" s="2042">
        <f>(SUMIF('Berechnung Nährstoffe und Lager'!$AX$113:$AX$130,'Lagerhaltung (freiwillig)'!CX51,'Berechnung Nährstoffe und Lager'!$D$113:$D$130)+SUMIF('Berechnung Nährstoffe und Lager'!$AX$137:$AX$155,'Lagerhaltung (freiwillig)'!CX51,'Berechnung Nährstoffe und Lager'!$E$137:$E$155))</f>
        <v>0</v>
      </c>
      <c r="GP51" s="2042" cm="1">
        <f t="array" ref="GP51">IF(GO51=0,0,(IFERROR(SUMPRODUCT('Berechnung Nährstoffe und Lager'!$D$113:$D$130,'Berechnung Nährstoffe und Lager'!$F$113:$F$130,('Berechnung Nährstoffe und Lager'!$AX$113:$AX$130='Lagerhaltung (freiwillig)'!CX51)*1)+SUMPRODUCT('Berechnung Nährstoffe und Lager'!$E$137:$E$155,'Berechnung Nährstoffe und Lager'!$F$137:$F$155,('Berechnung Nährstoffe und Lager'!$AX$137:$AX$155='Lagerhaltung (freiwillig)'!CX51)*1),0))/GO51)</f>
        <v>0</v>
      </c>
      <c r="GQ51" s="2042">
        <f t="shared" si="55"/>
        <v>0</v>
      </c>
      <c r="GR51" s="2042">
        <f t="shared" si="56"/>
        <v>0</v>
      </c>
      <c r="GS51" s="2042">
        <f t="shared" si="57"/>
        <v>0</v>
      </c>
      <c r="GT51" s="2042">
        <f t="shared" si="58"/>
        <v>0</v>
      </c>
      <c r="GU51" s="2045" t="str">
        <f t="shared" si="39"/>
        <v xml:space="preserve"> </v>
      </c>
      <c r="GV51" s="2045" t="str">
        <f t="shared" si="39"/>
        <v xml:space="preserve"> </v>
      </c>
      <c r="GW51" s="2054">
        <f t="shared" si="124"/>
        <v>0</v>
      </c>
      <c r="GX51" s="2042">
        <f t="shared" si="125"/>
        <v>0</v>
      </c>
      <c r="GY51" s="2042" t="str">
        <f t="shared" si="120"/>
        <v>a</v>
      </c>
      <c r="GZ51" s="2055">
        <f t="shared" si="126"/>
        <v>0</v>
      </c>
      <c r="HA51" s="2055">
        <f t="shared" si="127"/>
        <v>0</v>
      </c>
      <c r="HB51" s="2055"/>
      <c r="HC51" s="2046">
        <f t="shared" si="128"/>
        <v>0</v>
      </c>
      <c r="HD51" s="2055">
        <f t="shared" si="129"/>
        <v>0</v>
      </c>
      <c r="HE51" s="2055">
        <f t="shared" si="130"/>
        <v>0</v>
      </c>
      <c r="HF51" s="2055">
        <f t="shared" si="131"/>
        <v>0</v>
      </c>
      <c r="HG51" s="2282" cm="1">
        <f t="array" ref="HG51">IF(AND(HE51=0,GJ51=0),0,IF(HE51=0,1,IF(OR(GJ51*1000/HE51/HF51&gt;INDEX(Pflanzen!$AD$5:$AD$109,CX51)/INDEX(Pflanzen!$M$5:$M$109,CX51)*$HG$1,GJ51*1000/HE51/HF51&lt;INDEX(Pflanzen!$AD$5:$AD$109,CX51)/INDEX(Pflanzen!$M$5:$M$109,CX51)/$HG$1),1,0)))</f>
        <v>0</v>
      </c>
      <c r="HH51" s="2282" cm="1">
        <f t="array" ref="HH51">IF(AND(GK51=0,HE51=0),0,IF(HE51=0,1,IF(OR(GK51*1000/HE51/HF51&gt;INDEX(Pflanzen!$AE$5:$AE$109,CX51)/INDEX(Pflanzen!$M$5:$M$109,CX51)*$HG$1,GK51*1000/HE51/HF51&lt;INDEX(Pflanzen!$AE$5:$AE$109,CX51)/INDEX(Pflanzen!$M$5:$M$109,CX51)/$HG$1),1,0)))</f>
        <v>0</v>
      </c>
      <c r="HI51" s="2042">
        <f t="shared" si="132"/>
        <v>3</v>
      </c>
      <c r="HJ51" s="2042"/>
      <c r="HL51" s="2042"/>
      <c r="HM51" s="2052" t="str">
        <f>Tiere!B77</f>
        <v>Pferde bis ein Jahr, Ponys und Kleinpferde</v>
      </c>
      <c r="HN51" s="2042">
        <v>48</v>
      </c>
      <c r="HO51" s="2053">
        <f>SUMIF('Berechnung Nährstoffe und Lager'!$BM$68:$BM$81,'Lagerhaltung (freiwillig)'!HN51,'Berechnung Nährstoffe und Lager'!$Z$68:$Z$81)+SUMIF('Berechnung Nährstoffe und Lager'!$BM$68:$BM$81,'Lagerhaltung (freiwillig)'!HN51,'Berechnung Nährstoffe und Lager'!$AA$68:$AA$81)</f>
        <v>0</v>
      </c>
      <c r="HP51" s="2042" cm="1">
        <f t="array" ref="HP51">INDEX(Tiere!$C$30:$C$85,'Lagerhaltung (freiwillig)'!HN51)</f>
        <v>6</v>
      </c>
      <c r="HQ51" s="2042" cm="1">
        <f t="array" ref="HQ51">INDEX(Tiere!$H$30:$H$85,'Lagerhaltung (freiwillig)'!HN51)</f>
        <v>21.7</v>
      </c>
      <c r="HR51" s="2042">
        <f t="shared" si="112"/>
        <v>0</v>
      </c>
      <c r="HS51" s="2042" cm="1">
        <f t="array" ref="HS51">INDEX(Tiere!$I$30:$I$85,'Lagerhaltung (freiwillig)'!HN51)</f>
        <v>8.6999999999999993</v>
      </c>
      <c r="HT51" s="2042">
        <f t="shared" si="13"/>
        <v>0</v>
      </c>
      <c r="HU51" s="2042" cm="1">
        <f t="array" ref="HU51">INDEX(Tiere!$BC$30:$BC$85,'Lagerhaltung (freiwillig)'!HN51)</f>
        <v>1.5</v>
      </c>
      <c r="HV51" s="2042">
        <f t="shared" si="110"/>
        <v>0</v>
      </c>
      <c r="HW51" s="2042" cm="1">
        <f t="array" ref="HW51">INDEX(Tiere!$BD$30:$BD$85,'Lagerhaltung (freiwillig)'!HN51)</f>
        <v>0.87</v>
      </c>
      <c r="HX51" s="2042">
        <f t="shared" si="111"/>
        <v>0</v>
      </c>
      <c r="HY51" s="2042"/>
      <c r="HZ51" s="2042"/>
      <c r="IA51" s="2042"/>
      <c r="IB51" s="2042"/>
      <c r="IC51" s="2042"/>
      <c r="ID51" s="2042"/>
      <c r="IE51" s="2042"/>
      <c r="IF51" s="2042"/>
      <c r="IG51" s="2042"/>
      <c r="IH51" s="2042"/>
      <c r="II51" s="2042"/>
      <c r="IJ51" s="2042"/>
    </row>
    <row r="52" spans="6:244" ht="15.6" customHeight="1" x14ac:dyDescent="0.2">
      <c r="F52" s="1259"/>
      <c r="G52" s="2314"/>
      <c r="H52" s="2293"/>
      <c r="I52" s="2014" t="str">
        <f t="shared" si="133"/>
        <v/>
      </c>
      <c r="J52" s="1256"/>
      <c r="K52" s="2014" t="str">
        <f t="shared" si="134"/>
        <v/>
      </c>
      <c r="L52" s="1970"/>
      <c r="M52" s="1246"/>
      <c r="N52" s="1870"/>
      <c r="O52" s="1870"/>
      <c r="P52" s="2222"/>
      <c r="Q52" s="2014" t="str">
        <f t="shared" si="135"/>
        <v/>
      </c>
      <c r="R52" s="1970"/>
      <c r="S52" s="1246"/>
      <c r="T52" s="1256"/>
      <c r="V52" s="2316" t="str">
        <f t="shared" si="156"/>
        <v/>
      </c>
      <c r="Y52" s="2005" t="str" cm="1">
        <f t="array" ref="Y52">IFERROR(INDEX($CW$4:$CW$171,AY52),"")</f>
        <v/>
      </c>
      <c r="Z52" s="510"/>
      <c r="AA52" s="510"/>
      <c r="AB52" s="510"/>
      <c r="AC52" s="2031" t="str" cm="1">
        <f t="array" ref="AC52">IFERROR(INDEX($GL$4:$GL$171,AY52),"")</f>
        <v/>
      </c>
      <c r="AD52" s="2031" t="str" cm="1">
        <f t="array" ref="AD52">IFERROR(INDEX($GM$4:$GM$171,AY52),"")</f>
        <v/>
      </c>
      <c r="AE52" s="2031" t="str" cm="1">
        <f t="array" ref="AE52">IFERROR(INDEX($GH$4:$GH$171,AY52),"")</f>
        <v/>
      </c>
      <c r="AF52" s="2031" t="str" cm="1">
        <f t="array" ref="AF52">IFERROR(INDEX($GI$4:$GI$171,AY52),"")</f>
        <v/>
      </c>
      <c r="AG52" s="2031" t="str" cm="1">
        <f t="array" ref="AG52">IFERROR(INDEX($GO$4:$GO$171,AY52),"")</f>
        <v/>
      </c>
      <c r="AH52" s="2031" t="str" cm="1">
        <f t="array" ref="AH52">IFERROR(INDEX($GP$4:$GP$171,AY52),"")</f>
        <v/>
      </c>
      <c r="AI52" s="2031" t="str" cm="1">
        <f t="array" ref="AI52">IFERROR(INDEX($GF$4:$GF$171,AY52),"")</f>
        <v/>
      </c>
      <c r="AJ52" s="2031" t="str" cm="1">
        <f t="array" ref="AJ52">IFERROR(INDEX($GG$4:$GG$171,AY52),"")</f>
        <v/>
      </c>
      <c r="AK52" s="2031" t="str" cm="1">
        <f t="array" ref="AK52">IFERROR(INDEX($GS$4:$GS$171,AY52),"")</f>
        <v/>
      </c>
      <c r="AL52" s="2032" t="str" cm="1">
        <f t="array" ref="AL52">IFERROR(INDEX($GT$4:$GT$171,AY52),"")</f>
        <v/>
      </c>
      <c r="AM52" s="2031" t="str" cm="1">
        <f t="array" ref="AM52">IFERROR(INDEX($GB$4:$GB$171,AY52),"")</f>
        <v/>
      </c>
      <c r="AN52" s="2031" t="str" cm="1">
        <f t="array" ref="AN52">IFERROR(INDEX($GC$4:$GC$171,AY52),"")</f>
        <v/>
      </c>
      <c r="AO52" s="2031" t="str" cm="1">
        <f t="array" ref="AO52">IFERROR(INDEX($GU$4:$GU$171,AY52),"")</f>
        <v/>
      </c>
      <c r="AP52" s="2031" t="str" cm="1">
        <f t="array" ref="AP52">IFERROR(INDEX($GX$4:$GX$171,AY52),"")</f>
        <v/>
      </c>
      <c r="AQ52" s="1316"/>
      <c r="AR52" s="2031" t="str" cm="1">
        <f t="array" ref="AR52">IFERROR(INDEX($HD$4:$HD$171,AY52),"")</f>
        <v/>
      </c>
      <c r="AS52" s="2031" t="str" cm="1">
        <f t="array" ref="AS52">IFERROR(INDEX($HE$4:$HE$171,AY52),"")</f>
        <v/>
      </c>
      <c r="AT52" s="2031" t="str" cm="1">
        <f t="array" ref="AT52">IFERROR(INDEX($HF$4:$HF$171,AY52),"")</f>
        <v/>
      </c>
      <c r="AU52" s="2031" t="str" cm="1">
        <f t="array" ref="AU52">IFERROR(INDEX($GJ$4:$GJ$171,AY52),"")</f>
        <v/>
      </c>
      <c r="AV52" s="2031" t="str" cm="1">
        <f t="array" ref="AV52">IFERROR(INDEX($GK$4:$GK$171,AY52),"")</f>
        <v/>
      </c>
      <c r="AY52" s="2042" t="str" cm="1">
        <f t="array" ref="AY52">IFERROR(SMALL(IF($HI$4:$HI$171=1,ROW($HI$4:$HI$171)-3),ROW(W37)),IFERROR(SMALL(IF($HI$4:$HI$171=2,ROW($HI$4:$HI$171)-3),ROW(W37)-COUNTIF($HI$4:$HI$171,1)),IFERROR(SMALL(IF($HI$4:$HI$171=0,ROW($HI$4:$HI$171)-3),ROW(W37)-COUNTIF($HI$4:$HI$171,1)-COUNTIF($HI$4:$HI$171,2)),"")))</f>
        <v/>
      </c>
      <c r="AZ52" s="2042" t="str">
        <f t="shared" si="117"/>
        <v>a</v>
      </c>
      <c r="BA52" s="2053" t="e">
        <f t="shared" si="118"/>
        <v>#VALUE!</v>
      </c>
      <c r="BB52" s="2053" cm="1">
        <f t="array" ref="BB52">IFERROR(INDEX($HI$4:$HI$171,AY52),0)</f>
        <v>0</v>
      </c>
      <c r="BC52" s="2053">
        <f t="shared" si="119"/>
        <v>0</v>
      </c>
      <c r="BD52" s="2053"/>
      <c r="BE52" s="2307"/>
      <c r="BF52" s="2307"/>
      <c r="BG52" s="2307"/>
      <c r="BH52" s="2307"/>
      <c r="BI52" s="2307"/>
      <c r="BJ52" s="2307"/>
      <c r="BK52" s="2307"/>
      <c r="BL52" s="2307"/>
      <c r="BM52" s="2307"/>
      <c r="BN52" s="2307"/>
      <c r="BO52" s="2307"/>
      <c r="BP52" s="2043"/>
      <c r="BQ52" s="2042">
        <v>1</v>
      </c>
      <c r="BR52" cm="1">
        <f t="array" ref="BR52">INDEX(Pflanzen!$B$5:$B$117,'Lagerhaltung (freiwillig)'!BQ52)</f>
        <v>1</v>
      </c>
      <c r="BS52" s="2042"/>
      <c r="BT52" s="2042" t="b">
        <v>0</v>
      </c>
      <c r="BU52" s="2044"/>
      <c r="BV52" s="2044"/>
      <c r="BW52" s="2042">
        <f t="shared" si="136"/>
        <v>12</v>
      </c>
      <c r="BX52" s="2042">
        <f t="shared" si="137"/>
        <v>0</v>
      </c>
      <c r="BY52" s="2042">
        <f t="shared" si="138"/>
        <v>12</v>
      </c>
      <c r="BZ52" s="2042" cm="1">
        <f t="array" ref="BZ52">INDEX(Pflanzen!$AI$5:$AI$119,'Lagerhaltung (freiwillig)'!BR52)</f>
        <v>0</v>
      </c>
      <c r="CA52" s="2042" cm="1">
        <f t="array" ref="CA52">IF(BZ52=1,INDEX(Pflanzen!$AJ$5:$AJ$119,BR52),N52)</f>
        <v>0</v>
      </c>
      <c r="CB52" s="2042" cm="1">
        <f t="array" ref="CB52">IF(BZ52=1,INDEX(Pflanzen!$AK$5:$AK$119,BR52),O52)</f>
        <v>0</v>
      </c>
      <c r="CC52" s="2042">
        <f t="shared" si="139"/>
        <v>12</v>
      </c>
      <c r="CD52" s="2042">
        <f t="shared" si="140"/>
        <v>0</v>
      </c>
      <c r="CE52" s="2042">
        <f t="shared" si="141"/>
        <v>12</v>
      </c>
      <c r="CF52" s="2042" cm="1">
        <f t="array" ref="CF52">INDEX(Pflanzen!$F$5:$F$119,BR52)</f>
        <v>0</v>
      </c>
      <c r="CG52" s="2042" cm="1">
        <f t="array" ref="CG52">INDEX(Pflanzen!$H$5:$H$119,BR52)</f>
        <v>0</v>
      </c>
      <c r="CH52" s="2042">
        <f t="shared" si="142"/>
        <v>0</v>
      </c>
      <c r="CI52" s="2042">
        <f t="shared" si="143"/>
        <v>0</v>
      </c>
      <c r="CJ52" s="2042">
        <f t="shared" si="144"/>
        <v>0</v>
      </c>
      <c r="CK52" s="2042">
        <f t="shared" si="145"/>
        <v>0</v>
      </c>
      <c r="CL52" s="2042">
        <f t="shared" si="146"/>
        <v>0</v>
      </c>
      <c r="CM52" s="2042">
        <f t="shared" si="147"/>
        <v>0</v>
      </c>
      <c r="CN52" s="2042">
        <f t="shared" si="148"/>
        <v>0</v>
      </c>
      <c r="CO52" s="2042">
        <f t="shared" si="149"/>
        <v>0</v>
      </c>
      <c r="CP52" s="2042">
        <f t="shared" si="150"/>
        <v>0</v>
      </c>
      <c r="CQ52" s="2042">
        <f t="shared" si="151"/>
        <v>0</v>
      </c>
      <c r="CR52" s="2042">
        <f t="shared" si="152"/>
        <v>0</v>
      </c>
      <c r="CS52" s="2042">
        <f t="shared" si="153"/>
        <v>0</v>
      </c>
      <c r="CT52" s="2042">
        <f t="shared" si="154"/>
        <v>0</v>
      </c>
      <c r="CU52" s="2042">
        <f t="shared" si="155"/>
        <v>0</v>
      </c>
      <c r="CV52" s="2042"/>
      <c r="CW52" s="609" t="str">
        <f>Pflanzen!A48</f>
        <v>Silomais (32 % TM)</v>
      </c>
      <c r="CX52" s="2042">
        <f>IFERROR(MATCH($CW52,Pflanzen!$C$5:$C$119,0),1)</f>
        <v>44</v>
      </c>
      <c r="CY52" s="609" cm="1">
        <f t="array" ref="CY52">INDEX(Pflanzen!$I$5:$I$119,'Lagerhaltung (freiwillig)'!CX52)</f>
        <v>1</v>
      </c>
      <c r="CZ52" s="2042">
        <f t="shared" si="157"/>
        <v>0</v>
      </c>
      <c r="DA52" s="2042">
        <f t="shared" si="157"/>
        <v>0</v>
      </c>
      <c r="DB52" s="2042">
        <f t="shared" si="157"/>
        <v>0</v>
      </c>
      <c r="DC52" s="2042">
        <f t="shared" si="157"/>
        <v>0</v>
      </c>
      <c r="DD52" s="2042">
        <f t="shared" si="157"/>
        <v>0</v>
      </c>
      <c r="DE52" s="2042">
        <f t="shared" si="157"/>
        <v>0</v>
      </c>
      <c r="DF52" s="2042">
        <f t="shared" si="157"/>
        <v>0</v>
      </c>
      <c r="DG52" s="2042">
        <f t="shared" si="157"/>
        <v>0</v>
      </c>
      <c r="DH52" s="2042">
        <f t="shared" si="157"/>
        <v>0</v>
      </c>
      <c r="DI52" s="2042">
        <f t="shared" si="157"/>
        <v>0</v>
      </c>
      <c r="DJ52" s="2042">
        <f t="shared" si="157"/>
        <v>0</v>
      </c>
      <c r="DK52" s="2042">
        <f t="shared" si="157"/>
        <v>0</v>
      </c>
      <c r="DL52" s="2042"/>
      <c r="DM52" s="2042">
        <f t="shared" si="158"/>
        <v>0</v>
      </c>
      <c r="DN52" s="2042">
        <f t="shared" si="158"/>
        <v>0</v>
      </c>
      <c r="DO52" s="2042">
        <f t="shared" si="158"/>
        <v>0</v>
      </c>
      <c r="DP52" s="2042">
        <f t="shared" si="158"/>
        <v>0</v>
      </c>
      <c r="DQ52" s="2042">
        <f t="shared" si="158"/>
        <v>0</v>
      </c>
      <c r="DR52" s="2042">
        <f t="shared" si="158"/>
        <v>0</v>
      </c>
      <c r="DS52" s="2042">
        <f t="shared" si="158"/>
        <v>0</v>
      </c>
      <c r="DT52" s="2042">
        <f t="shared" si="158"/>
        <v>0</v>
      </c>
      <c r="DU52" s="2042">
        <f t="shared" si="158"/>
        <v>0</v>
      </c>
      <c r="DV52" s="2042">
        <f t="shared" si="158"/>
        <v>0</v>
      </c>
      <c r="DW52" s="2042">
        <f t="shared" si="158"/>
        <v>0</v>
      </c>
      <c r="DX52" s="2042">
        <f t="shared" si="158"/>
        <v>0</v>
      </c>
      <c r="DY52" s="2042"/>
      <c r="DZ52" s="2042">
        <f t="shared" si="159"/>
        <v>0</v>
      </c>
      <c r="EA52" s="2042">
        <f t="shared" si="159"/>
        <v>0</v>
      </c>
      <c r="EB52" s="2042">
        <f t="shared" si="159"/>
        <v>0</v>
      </c>
      <c r="EC52" s="2042">
        <f t="shared" si="159"/>
        <v>0</v>
      </c>
      <c r="ED52" s="2042">
        <f t="shared" si="159"/>
        <v>0</v>
      </c>
      <c r="EE52" s="2042">
        <f t="shared" si="159"/>
        <v>0</v>
      </c>
      <c r="EF52" s="2042">
        <f t="shared" si="159"/>
        <v>0</v>
      </c>
      <c r="EG52" s="2042">
        <f t="shared" si="159"/>
        <v>0</v>
      </c>
      <c r="EH52" s="2042">
        <f t="shared" si="159"/>
        <v>0</v>
      </c>
      <c r="EI52" s="2042">
        <f t="shared" si="159"/>
        <v>0</v>
      </c>
      <c r="EJ52" s="2042">
        <f t="shared" si="159"/>
        <v>0</v>
      </c>
      <c r="EK52" s="2042">
        <f t="shared" si="159"/>
        <v>0</v>
      </c>
      <c r="EL52" s="2042"/>
      <c r="EM52" s="2042">
        <f t="shared" si="160"/>
        <v>0</v>
      </c>
      <c r="EN52" s="2042">
        <f t="shared" si="160"/>
        <v>0</v>
      </c>
      <c r="EO52" s="2042">
        <f t="shared" si="160"/>
        <v>0</v>
      </c>
      <c r="EP52" s="2042">
        <f t="shared" si="160"/>
        <v>0</v>
      </c>
      <c r="EQ52" s="2042">
        <f t="shared" si="160"/>
        <v>0</v>
      </c>
      <c r="ER52" s="2042">
        <f t="shared" si="160"/>
        <v>0</v>
      </c>
      <c r="ES52" s="2042">
        <f t="shared" si="160"/>
        <v>0</v>
      </c>
      <c r="ET52" s="2042">
        <f t="shared" si="160"/>
        <v>0</v>
      </c>
      <c r="EU52" s="2042">
        <f t="shared" si="160"/>
        <v>0</v>
      </c>
      <c r="EV52" s="2042">
        <f t="shared" si="160"/>
        <v>0</v>
      </c>
      <c r="EW52" s="2042">
        <f t="shared" si="160"/>
        <v>0</v>
      </c>
      <c r="EX52" s="2042">
        <f t="shared" si="160"/>
        <v>0</v>
      </c>
      <c r="EY52" s="2042"/>
      <c r="EZ52" s="2045">
        <f t="shared" si="50"/>
        <v>0</v>
      </c>
      <c r="FA52" s="2042">
        <f>EZ52+CZ52+DZ52                 -         SUMIF('Berechnung Nährstoffe und Lager'!$AX$113:$AX$155,$CX52,'Berechnung Nährstoffe und Lager'!$U$113:$U$155)/12  -$GB52*$HC52/12</f>
        <v>0</v>
      </c>
      <c r="FB52" s="2042">
        <f>FA52+DA52+EA52                 -         SUMIF('Berechnung Nährstoffe und Lager'!$AX$113:$AX$155,$CX52,'Berechnung Nährstoffe und Lager'!$U$113:$U$155)/12  -$GB52*$HC52/12</f>
        <v>0</v>
      </c>
      <c r="FC52" s="2042">
        <f>FB52+DB52+EB52                 -         SUMIF('Berechnung Nährstoffe und Lager'!$AX$113:$AX$155,$CX52,'Berechnung Nährstoffe und Lager'!$U$113:$U$155)/12  -$GB52*$HC52/12</f>
        <v>0</v>
      </c>
      <c r="FD52" s="2042">
        <f>FC52+DC52+EC52                 -         SUMIF('Berechnung Nährstoffe und Lager'!$AX$113:$AX$155,$CX52,'Berechnung Nährstoffe und Lager'!$U$113:$U$155)/12  -$GB52*$HC52/12</f>
        <v>0</v>
      </c>
      <c r="FE52" s="2042">
        <f>FD52+DD52+ED52                 -         SUMIF('Berechnung Nährstoffe und Lager'!$AX$113:$AX$155,$CX52,'Berechnung Nährstoffe und Lager'!$U$113:$U$155)/12  -$GB52*$HC52/12</f>
        <v>0</v>
      </c>
      <c r="FF52" s="2042">
        <f>FE52+DE52+EE52                 -         SUMIF('Berechnung Nährstoffe und Lager'!$AX$113:$AX$155,$CX52,'Berechnung Nährstoffe und Lager'!$U$113:$U$155)/12  -$GB52*$HC52/12</f>
        <v>0</v>
      </c>
      <c r="FG52" s="2042">
        <f>FF52+DF52+EF52                 -         SUMIF('Berechnung Nährstoffe und Lager'!$AX$113:$AX$155,$CX52,'Berechnung Nährstoffe und Lager'!$U$113:$U$155)/12  -$GB52*$HC52/12</f>
        <v>0</v>
      </c>
      <c r="FH52" s="2042">
        <f>FG52+DG52+EG52                 -         SUMIF('Berechnung Nährstoffe und Lager'!$AX$113:$AX$155,$CX52,'Berechnung Nährstoffe und Lager'!$U$113:$U$155)/12  -$GB52*$HC52/12</f>
        <v>0</v>
      </c>
      <c r="FI52" s="2042">
        <f>FH52+DH52+EH52                 -         SUMIF('Berechnung Nährstoffe und Lager'!$AX$113:$AX$155,$CX52,'Berechnung Nährstoffe und Lager'!$U$113:$U$155)/12  -$GB52*$HC52/12</f>
        <v>0</v>
      </c>
      <c r="FJ52" s="2042">
        <f>FI52+DI52+EI52                 -         SUMIF('Berechnung Nährstoffe und Lager'!$AX$113:$AX$155,$CX52,'Berechnung Nährstoffe und Lager'!$U$113:$U$155)/12  -$GB52*$HC52/12</f>
        <v>0</v>
      </c>
      <c r="FK52" s="2042">
        <f>FJ52+DJ52+EJ52                 -         SUMIF('Berechnung Nährstoffe und Lager'!$AX$113:$AX$155,$CX52,'Berechnung Nährstoffe und Lager'!$U$113:$U$155)/12  -$GB52*$HC52/12</f>
        <v>0</v>
      </c>
      <c r="FL52" s="2042">
        <f>FK52+DK52+EK52                 -         SUMIF('Berechnung Nährstoffe und Lager'!$AX$113:$AX$155,$CX52,'Berechnung Nährstoffe und Lager'!$U$113:$U$155)/12  -$GB52*$HC52/12</f>
        <v>0</v>
      </c>
      <c r="FM52" s="2042"/>
      <c r="FN52" s="2045">
        <f t="shared" si="51"/>
        <v>0</v>
      </c>
      <c r="FO52" s="2042">
        <f>FN52+DM52+EM52                 -         SUMIF('Berechnung Nährstoffe und Lager'!$AX$113:$AX$155,$CX52,'Berechnung Nährstoffe und Lager'!$V$113:$V$155)/12  -$GC52*$HC52/12</f>
        <v>0</v>
      </c>
      <c r="FP52" s="2042">
        <f>FO52+DN52+EN52                 -         SUMIF('Berechnung Nährstoffe und Lager'!$AX$113:$AX$155,$CX52,'Berechnung Nährstoffe und Lager'!$V$113:$V$155)/12  -$GC52*$HC52/12</f>
        <v>0</v>
      </c>
      <c r="FQ52" s="2042">
        <f>FP52+DO52+EO52                 -         SUMIF('Berechnung Nährstoffe und Lager'!$AX$113:$AX$155,$CX52,'Berechnung Nährstoffe und Lager'!$V$113:$V$155)/12  -$GC52*$HC52/12</f>
        <v>0</v>
      </c>
      <c r="FR52" s="2042">
        <f>FQ52+DP52+EP52                 -         SUMIF('Berechnung Nährstoffe und Lager'!$AX$113:$AX$155,$CX52,'Berechnung Nährstoffe und Lager'!$V$113:$V$155)/12  -$GC52*$HC52/12</f>
        <v>0</v>
      </c>
      <c r="FS52" s="2042">
        <f>FR52+DQ52+EQ52                 -         SUMIF('Berechnung Nährstoffe und Lager'!$AX$113:$AX$155,$CX52,'Berechnung Nährstoffe und Lager'!$V$113:$V$155)/12  -$GC52*$HC52/12</f>
        <v>0</v>
      </c>
      <c r="FT52" s="2042">
        <f>FS52+DR52+ER52                 -         SUMIF('Berechnung Nährstoffe und Lager'!$AX$113:$AX$155,$CX52,'Berechnung Nährstoffe und Lager'!$V$113:$V$155)/12  -$GC52*$HC52/12</f>
        <v>0</v>
      </c>
      <c r="FU52" s="2042">
        <f>FT52+DS52+ES52                 -         SUMIF('Berechnung Nährstoffe und Lager'!$AX$113:$AX$155,$CX52,'Berechnung Nährstoffe und Lager'!$V$113:$V$155)/12  -$GC52*$HC52/12</f>
        <v>0</v>
      </c>
      <c r="FV52" s="2042">
        <f>FU52+DT52+ET52                 -         SUMIF('Berechnung Nährstoffe und Lager'!$AX$113:$AX$155,$CX52,'Berechnung Nährstoffe und Lager'!$V$113:$V$155)/12  -$GC52*$HC52/12</f>
        <v>0</v>
      </c>
      <c r="FW52" s="2042">
        <f>FV52+DU52+EU52                 -         SUMIF('Berechnung Nährstoffe und Lager'!$AX$113:$AX$155,$CX52,'Berechnung Nährstoffe und Lager'!$V$113:$V$155)/12  -$GC52*$HC52/12</f>
        <v>0</v>
      </c>
      <c r="FX52" s="2042">
        <f>FW52+DV52+EV52                 -         SUMIF('Berechnung Nährstoffe und Lager'!$AX$113:$AX$155,$CX52,'Berechnung Nährstoffe und Lager'!$V$113:$V$155)/12  -$GC52*$HC52/12</f>
        <v>0</v>
      </c>
      <c r="FY52" s="2042">
        <f>FX52+DW52+EW52                 -         SUMIF('Berechnung Nährstoffe und Lager'!$AX$113:$AX$155,$CX52,'Berechnung Nährstoffe und Lager'!$V$113:$V$155)/12  -$GC52*$HC52/12</f>
        <v>0</v>
      </c>
      <c r="FZ52" s="2042">
        <f>FY52+DX52+EX52                 -         SUMIF('Berechnung Nährstoffe und Lager'!$AX$113:$AX$155,$CX52,'Berechnung Nährstoffe und Lager'!$V$113:$V$155)/12  -$GC52*$HC52/12</f>
        <v>0</v>
      </c>
      <c r="GA52" s="2042"/>
      <c r="GB52" s="2042">
        <f>SUMIFS($CI$14:$CI$68,$BR$14:$BR$68,$CX52)+SUMIFS($CM$14:$CM$68,$BR$14:$BR$68,$CX52)+SUMIFS($CR$14:$CR$68,$BR$14:$BR$68,$CX52)  -         SUMIF('Berechnung Nährstoffe und Lager'!$AX$113:$AX$155,$CX52,'Berechnung Nährstoffe und Lager'!$U$113:$U$155)</f>
        <v>0</v>
      </c>
      <c r="GC52" s="2042">
        <f>SUMIFS($CJ$14:$CJ$68,$BR$14:$BR$68,$CX52)+SUMIFS($CO$14:$CO$68,$BR$14:$BR$68,$CX52)+SUMIFS($CT$14:$CT$68,$BR$14:$BR$68,$CX52)  -         SUMIF('Berechnung Nährstoffe und Lager'!$AX$113:$AX$155,$CX52,'Berechnung Nährstoffe und Lager'!$V$113:$V$155)</f>
        <v>0</v>
      </c>
      <c r="GD52" s="2042"/>
      <c r="GE52" s="2042"/>
      <c r="GF52" s="2042">
        <f>SUMIF('Berechnung Nährstoffe und Lager'!$AX$113:$AX$155,$CX52,'Berechnung Nährstoffe und Lager'!$U$113:$U$155)</f>
        <v>0</v>
      </c>
      <c r="GG52" s="2042">
        <f>SUMIF('Berechnung Nährstoffe und Lager'!$AX$113:$AX$155,$CX52,'Berechnung Nährstoffe und Lager'!$V$113:$V$155)</f>
        <v>0</v>
      </c>
      <c r="GH52" s="2042">
        <f t="shared" si="52"/>
        <v>0</v>
      </c>
      <c r="GI52" s="2042">
        <f t="shared" si="53"/>
        <v>0</v>
      </c>
      <c r="GJ52" s="2042">
        <f t="shared" si="121"/>
        <v>0</v>
      </c>
      <c r="GK52" s="2042">
        <f t="shared" si="122"/>
        <v>0</v>
      </c>
      <c r="GL52" s="2042">
        <f t="shared" si="123"/>
        <v>0</v>
      </c>
      <c r="GM52" s="2042" cm="1">
        <f t="array" ref="GM52">IF(GL52=0,0,(IFERROR(SUMPRODUCT($J$14:$J$68,$CH$14:$CH$68,($BR$14:$BR$68=CX52)*1)+SUMPRODUCT($L$14:$L$68,$M$14:$M$68,$CK$14:$CK$68,($BR$14:$BR$68=CX52)*1,($BT$14:$BT$68=FALSE)*1)/10+SUMPRODUCT($R$14:$R$68,$CP$14:$CP$68,($BR$14:$BR$68=CX52)*1),0))/GL52)</f>
        <v>0</v>
      </c>
      <c r="GN52" s="2042">
        <f t="shared" si="54"/>
        <v>0</v>
      </c>
      <c r="GO52" s="2042">
        <f>(SUMIF('Berechnung Nährstoffe und Lager'!$AX$113:$AX$130,'Lagerhaltung (freiwillig)'!CX52,'Berechnung Nährstoffe und Lager'!$D$113:$D$130)+SUMIF('Berechnung Nährstoffe und Lager'!$AX$137:$AX$155,'Lagerhaltung (freiwillig)'!CX52,'Berechnung Nährstoffe und Lager'!$E$137:$E$155))</f>
        <v>0</v>
      </c>
      <c r="GP52" s="2042" cm="1">
        <f t="array" ref="GP52">IF(GO52=0,0,(IFERROR(SUMPRODUCT('Berechnung Nährstoffe und Lager'!$D$113:$D$130,'Berechnung Nährstoffe und Lager'!$F$113:$F$130,('Berechnung Nährstoffe und Lager'!$AX$113:$AX$130='Lagerhaltung (freiwillig)'!CX52)*1)+SUMPRODUCT('Berechnung Nährstoffe und Lager'!$E$137:$E$155,'Berechnung Nährstoffe und Lager'!$F$137:$F$155,('Berechnung Nährstoffe und Lager'!$AX$137:$AX$155='Lagerhaltung (freiwillig)'!CX52)*1),0))/GO52)</f>
        <v>0</v>
      </c>
      <c r="GQ52" s="2042">
        <f t="shared" si="55"/>
        <v>0</v>
      </c>
      <c r="GR52" s="2042">
        <f t="shared" si="56"/>
        <v>0</v>
      </c>
      <c r="GS52" s="2042">
        <f t="shared" si="57"/>
        <v>0</v>
      </c>
      <c r="GT52" s="2042">
        <f t="shared" si="58"/>
        <v>0</v>
      </c>
      <c r="GU52" s="2045" t="str">
        <f t="shared" si="39"/>
        <v xml:space="preserve"> </v>
      </c>
      <c r="GV52" s="2045" t="str">
        <f t="shared" si="39"/>
        <v xml:space="preserve"> </v>
      </c>
      <c r="GW52" s="2054">
        <f t="shared" si="124"/>
        <v>0</v>
      </c>
      <c r="GX52" s="2042">
        <f t="shared" si="125"/>
        <v>0</v>
      </c>
      <c r="GY52" s="2042" t="str">
        <f t="shared" si="120"/>
        <v>a</v>
      </c>
      <c r="GZ52" s="2055">
        <f t="shared" si="126"/>
        <v>0</v>
      </c>
      <c r="HA52" s="2055">
        <f t="shared" si="127"/>
        <v>0</v>
      </c>
      <c r="HB52" s="2055"/>
      <c r="HC52" s="2046">
        <f t="shared" si="128"/>
        <v>0</v>
      </c>
      <c r="HD52" s="2055">
        <f t="shared" si="129"/>
        <v>0</v>
      </c>
      <c r="HE52" s="2055">
        <f t="shared" si="130"/>
        <v>0</v>
      </c>
      <c r="HF52" s="2055">
        <f t="shared" si="131"/>
        <v>0</v>
      </c>
      <c r="HG52" s="2282" cm="1">
        <f t="array" ref="HG52">IF(AND(HE52=0,GJ52=0),0,IF(HE52=0,1,IF(OR(GJ52*1000/HE52/HF52&gt;INDEX(Pflanzen!$AD$5:$AD$109,CX52)/INDEX(Pflanzen!$M$5:$M$109,CX52)*$HG$1,GJ52*1000/HE52/HF52&lt;INDEX(Pflanzen!$AD$5:$AD$109,CX52)/INDEX(Pflanzen!$M$5:$M$109,CX52)/$HG$1),1,0)))</f>
        <v>0</v>
      </c>
      <c r="HH52" s="2282" cm="1">
        <f t="array" ref="HH52">IF(AND(GK52=0,HE52=0),0,IF(HE52=0,1,IF(OR(GK52*1000/HE52/HF52&gt;INDEX(Pflanzen!$AE$5:$AE$109,CX52)/INDEX(Pflanzen!$M$5:$M$109,CX52)*$HG$1,GK52*1000/HE52/HF52&lt;INDEX(Pflanzen!$AE$5:$AE$109,CX52)/INDEX(Pflanzen!$M$5:$M$109,CX52)/$HG$1),1,0)))</f>
        <v>0</v>
      </c>
      <c r="HI52" s="2042">
        <f t="shared" si="132"/>
        <v>3</v>
      </c>
      <c r="HJ52" s="2042"/>
      <c r="HL52" s="2042"/>
      <c r="HM52" s="2052" t="str">
        <f>Tiere!B78</f>
        <v>Pferde über ein Jahr</v>
      </c>
      <c r="HN52" s="2042">
        <v>49</v>
      </c>
      <c r="HO52" s="2053">
        <f>SUMIF('Berechnung Nährstoffe und Lager'!$BM$68:$BM$81,'Lagerhaltung (freiwillig)'!HN52,'Berechnung Nährstoffe und Lager'!$Z$68:$Z$81)+SUMIF('Berechnung Nährstoffe und Lager'!$BM$68:$BM$81,'Lagerhaltung (freiwillig)'!HN52,'Berechnung Nährstoffe und Lager'!$AA$68:$AA$81)</f>
        <v>0</v>
      </c>
      <c r="HP52" s="2042" cm="1">
        <f t="array" ref="HP52">INDEX(Tiere!$C$30:$C$85,'Lagerhaltung (freiwillig)'!HN52)</f>
        <v>6</v>
      </c>
      <c r="HQ52" s="2042" cm="1">
        <f t="array" ref="HQ52">INDEX(Tiere!$H$30:$H$85,'Lagerhaltung (freiwillig)'!HN52)</f>
        <v>29.5</v>
      </c>
      <c r="HR52" s="2042">
        <f t="shared" si="112"/>
        <v>0</v>
      </c>
      <c r="HS52" s="2042" cm="1">
        <f t="array" ref="HS52">INDEX(Tiere!$I$30:$I$85,'Lagerhaltung (freiwillig)'!HN52)</f>
        <v>11.4</v>
      </c>
      <c r="HT52" s="2042">
        <f t="shared" si="13"/>
        <v>0</v>
      </c>
      <c r="HU52" s="2042" cm="1">
        <f t="array" ref="HU52">INDEX(Tiere!$BC$30:$BC$85,'Lagerhaltung (freiwillig)'!HN52)</f>
        <v>0.60000000000000009</v>
      </c>
      <c r="HV52" s="2042">
        <f t="shared" si="110"/>
        <v>0</v>
      </c>
      <c r="HW52" s="2042" cm="1">
        <f t="array" ref="HW52">INDEX(Tiere!$BD$30:$BD$85,'Lagerhaltung (freiwillig)'!HN52)</f>
        <v>0.34800000000000003</v>
      </c>
      <c r="HX52" s="2042">
        <f t="shared" si="111"/>
        <v>0</v>
      </c>
      <c r="HY52" s="2042"/>
      <c r="HZ52" s="2042"/>
      <c r="IA52" s="2042"/>
      <c r="IB52" s="2042"/>
      <c r="IC52" s="2042"/>
      <c r="ID52" s="2042"/>
      <c r="IE52" s="2042"/>
      <c r="IF52" s="2042"/>
      <c r="IG52" s="2042"/>
      <c r="IH52" s="2042"/>
      <c r="II52" s="2042"/>
      <c r="IJ52" s="2042"/>
    </row>
    <row r="53" spans="6:244" ht="15.6" customHeight="1" x14ac:dyDescent="0.2">
      <c r="F53" s="1259"/>
      <c r="G53" s="2314"/>
      <c r="H53" s="2293"/>
      <c r="I53" s="2014" t="str">
        <f t="shared" si="133"/>
        <v/>
      </c>
      <c r="J53" s="1256"/>
      <c r="K53" s="2014" t="str">
        <f t="shared" si="134"/>
        <v/>
      </c>
      <c r="L53" s="1970"/>
      <c r="M53" s="1246"/>
      <c r="N53" s="1870"/>
      <c r="O53" s="1870"/>
      <c r="P53" s="2222"/>
      <c r="Q53" s="2014" t="str">
        <f t="shared" si="135"/>
        <v/>
      </c>
      <c r="R53" s="1970"/>
      <c r="S53" s="1246"/>
      <c r="T53" s="1256"/>
      <c r="V53" s="2316" t="str">
        <f t="shared" si="156"/>
        <v/>
      </c>
      <c r="Y53" s="2005" t="str" cm="1">
        <f t="array" ref="Y53">IFERROR(INDEX($CW$4:$CW$171,AY53),"")</f>
        <v/>
      </c>
      <c r="Z53" s="510"/>
      <c r="AA53" s="510"/>
      <c r="AB53" s="510"/>
      <c r="AC53" s="2031" t="str" cm="1">
        <f t="array" ref="AC53">IFERROR(INDEX($GL$4:$GL$171,AY53),"")</f>
        <v/>
      </c>
      <c r="AD53" s="2031" t="str" cm="1">
        <f t="array" ref="AD53">IFERROR(INDEX($GM$4:$GM$171,AY53),"")</f>
        <v/>
      </c>
      <c r="AE53" s="2031" t="str" cm="1">
        <f t="array" ref="AE53">IFERROR(INDEX($GH$4:$GH$171,AY53),"")</f>
        <v/>
      </c>
      <c r="AF53" s="2031" t="str" cm="1">
        <f t="array" ref="AF53">IFERROR(INDEX($GI$4:$GI$171,AY53),"")</f>
        <v/>
      </c>
      <c r="AG53" s="2031" t="str" cm="1">
        <f t="array" ref="AG53">IFERROR(INDEX($GO$4:$GO$171,AY53),"")</f>
        <v/>
      </c>
      <c r="AH53" s="2031" t="str" cm="1">
        <f t="array" ref="AH53">IFERROR(INDEX($GP$4:$GP$171,AY53),"")</f>
        <v/>
      </c>
      <c r="AI53" s="2031" t="str" cm="1">
        <f t="array" ref="AI53">IFERROR(INDEX($GF$4:$GF$171,AY53),"")</f>
        <v/>
      </c>
      <c r="AJ53" s="2031" t="str" cm="1">
        <f t="array" ref="AJ53">IFERROR(INDEX($GG$4:$GG$171,AY53),"")</f>
        <v/>
      </c>
      <c r="AK53" s="2031" t="str" cm="1">
        <f t="array" ref="AK53">IFERROR(INDEX($GS$4:$GS$171,AY53),"")</f>
        <v/>
      </c>
      <c r="AL53" s="2032" t="str" cm="1">
        <f t="array" ref="AL53">IFERROR(INDEX($GT$4:$GT$171,AY53),"")</f>
        <v/>
      </c>
      <c r="AM53" s="2031" t="str" cm="1">
        <f t="array" ref="AM53">IFERROR(INDEX($GB$4:$GB$171,AY53),"")</f>
        <v/>
      </c>
      <c r="AN53" s="2031" t="str" cm="1">
        <f t="array" ref="AN53">IFERROR(INDEX($GC$4:$GC$171,AY53),"")</f>
        <v/>
      </c>
      <c r="AO53" s="2031" t="str" cm="1">
        <f t="array" ref="AO53">IFERROR(INDEX($GU$4:$GU$171,AY53),"")</f>
        <v/>
      </c>
      <c r="AP53" s="2031" t="str" cm="1">
        <f t="array" ref="AP53">IFERROR(INDEX($GX$4:$GX$171,AY53),"")</f>
        <v/>
      </c>
      <c r="AQ53" s="1316"/>
      <c r="AR53" s="2031" t="str" cm="1">
        <f t="array" ref="AR53">IFERROR(INDEX($HD$4:$HD$171,AY53),"")</f>
        <v/>
      </c>
      <c r="AS53" s="2031" t="str" cm="1">
        <f t="array" ref="AS53">IFERROR(INDEX($HE$4:$HE$171,AY53),"")</f>
        <v/>
      </c>
      <c r="AT53" s="2031" t="str" cm="1">
        <f t="array" ref="AT53">IFERROR(INDEX($HF$4:$HF$171,AY53),"")</f>
        <v/>
      </c>
      <c r="AU53" s="2031" t="str" cm="1">
        <f t="array" ref="AU53">IFERROR(INDEX($GJ$4:$GJ$171,AY53),"")</f>
        <v/>
      </c>
      <c r="AV53" s="2031" t="str" cm="1">
        <f t="array" ref="AV53">IFERROR(INDEX($GK$4:$GK$171,AY53),"")</f>
        <v/>
      </c>
      <c r="AY53" s="2042" t="str" cm="1">
        <f t="array" ref="AY53">IFERROR(SMALL(IF($HI$4:$HI$171=1,ROW($HI$4:$HI$171)-3),ROW(W38)),IFERROR(SMALL(IF($HI$4:$HI$171=2,ROW($HI$4:$HI$171)-3),ROW(W38)-COUNTIF($HI$4:$HI$171,1)),IFERROR(SMALL(IF($HI$4:$HI$171=0,ROW($HI$4:$HI$171)-3),ROW(W38)-COUNTIF($HI$4:$HI$171,1)-COUNTIF($HI$4:$HI$171,2)),"")))</f>
        <v/>
      </c>
      <c r="AZ53" s="2042" t="str">
        <f t="shared" si="117"/>
        <v>a</v>
      </c>
      <c r="BA53" s="2053" t="e">
        <f t="shared" si="118"/>
        <v>#VALUE!</v>
      </c>
      <c r="BB53" s="2053" cm="1">
        <f t="array" ref="BB53">IFERROR(INDEX($HI$4:$HI$171,AY53),0)</f>
        <v>0</v>
      </c>
      <c r="BC53" s="2053">
        <f t="shared" si="119"/>
        <v>0</v>
      </c>
      <c r="BD53" s="2053"/>
      <c r="BE53" s="2307"/>
      <c r="BF53" s="2307"/>
      <c r="BG53" s="2307"/>
      <c r="BH53" s="2307"/>
      <c r="BI53" s="2307"/>
      <c r="BJ53" s="2307"/>
      <c r="BK53" s="2307"/>
      <c r="BL53" s="2307"/>
      <c r="BM53" s="2307"/>
      <c r="BN53" s="2307"/>
      <c r="BO53" s="2307"/>
      <c r="BP53" s="2043"/>
      <c r="BQ53" s="2042">
        <v>1</v>
      </c>
      <c r="BR53" cm="1">
        <f t="array" ref="BR53">INDEX(Pflanzen!$B$5:$B$117,'Lagerhaltung (freiwillig)'!BQ53)</f>
        <v>1</v>
      </c>
      <c r="BS53" s="2042"/>
      <c r="BT53" s="2042" t="b">
        <v>0</v>
      </c>
      <c r="BU53" s="2044"/>
      <c r="BV53" s="2044"/>
      <c r="BW53" s="2042">
        <f t="shared" si="136"/>
        <v>12</v>
      </c>
      <c r="BX53" s="2042">
        <f t="shared" si="137"/>
        <v>0</v>
      </c>
      <c r="BY53" s="2042">
        <f t="shared" si="138"/>
        <v>12</v>
      </c>
      <c r="BZ53" s="2042" cm="1">
        <f t="array" ref="BZ53">INDEX(Pflanzen!$AI$5:$AI$119,'Lagerhaltung (freiwillig)'!BR53)</f>
        <v>0</v>
      </c>
      <c r="CA53" s="2042" cm="1">
        <f t="array" ref="CA53">IF(BZ53=1,INDEX(Pflanzen!$AJ$5:$AJ$119,BR53),N53)</f>
        <v>0</v>
      </c>
      <c r="CB53" s="2042" cm="1">
        <f t="array" ref="CB53">IF(BZ53=1,INDEX(Pflanzen!$AK$5:$AK$119,BR53),O53)</f>
        <v>0</v>
      </c>
      <c r="CC53" s="2042">
        <f t="shared" si="139"/>
        <v>12</v>
      </c>
      <c r="CD53" s="2042">
        <f t="shared" si="140"/>
        <v>0</v>
      </c>
      <c r="CE53" s="2042">
        <f t="shared" si="141"/>
        <v>12</v>
      </c>
      <c r="CF53" s="2042" cm="1">
        <f t="array" ref="CF53">INDEX(Pflanzen!$F$5:$F$119,BR53)</f>
        <v>0</v>
      </c>
      <c r="CG53" s="2042" cm="1">
        <f t="array" ref="CG53">INDEX(Pflanzen!$H$5:$H$119,BR53)</f>
        <v>0</v>
      </c>
      <c r="CH53" s="2042">
        <f t="shared" si="142"/>
        <v>0</v>
      </c>
      <c r="CI53" s="2042">
        <f t="shared" si="143"/>
        <v>0</v>
      </c>
      <c r="CJ53" s="2042">
        <f t="shared" si="144"/>
        <v>0</v>
      </c>
      <c r="CK53" s="2042">
        <f t="shared" si="145"/>
        <v>0</v>
      </c>
      <c r="CL53" s="2042">
        <f t="shared" si="146"/>
        <v>0</v>
      </c>
      <c r="CM53" s="2042">
        <f t="shared" si="147"/>
        <v>0</v>
      </c>
      <c r="CN53" s="2042">
        <f t="shared" si="148"/>
        <v>0</v>
      </c>
      <c r="CO53" s="2042">
        <f t="shared" si="149"/>
        <v>0</v>
      </c>
      <c r="CP53" s="2042">
        <f t="shared" si="150"/>
        <v>0</v>
      </c>
      <c r="CQ53" s="2042">
        <f t="shared" si="151"/>
        <v>0</v>
      </c>
      <c r="CR53" s="2042">
        <f t="shared" si="152"/>
        <v>0</v>
      </c>
      <c r="CS53" s="2042">
        <f t="shared" si="153"/>
        <v>0</v>
      </c>
      <c r="CT53" s="2042">
        <f t="shared" si="154"/>
        <v>0</v>
      </c>
      <c r="CU53" s="2042">
        <f t="shared" si="155"/>
        <v>0</v>
      </c>
      <c r="CV53" s="2042"/>
      <c r="CW53" s="609" t="str">
        <f>Pflanzen!A49</f>
        <v>Corn-Cop-Mix (CCM)</v>
      </c>
      <c r="CX53" s="2042">
        <f>IFERROR(MATCH($CW53,Pflanzen!$C$5:$C$119,0),1)</f>
        <v>45</v>
      </c>
      <c r="CY53" s="609" cm="1">
        <f t="array" ref="CY53">INDEX(Pflanzen!$I$5:$I$119,'Lagerhaltung (freiwillig)'!CX53)</f>
        <v>2</v>
      </c>
      <c r="CZ53" s="2042">
        <f t="shared" si="157"/>
        <v>0</v>
      </c>
      <c r="DA53" s="2042">
        <f t="shared" si="157"/>
        <v>0</v>
      </c>
      <c r="DB53" s="2042">
        <f t="shared" si="157"/>
        <v>0</v>
      </c>
      <c r="DC53" s="2042">
        <f t="shared" si="157"/>
        <v>0</v>
      </c>
      <c r="DD53" s="2042">
        <f t="shared" si="157"/>
        <v>0</v>
      </c>
      <c r="DE53" s="2042">
        <f t="shared" si="157"/>
        <v>0</v>
      </c>
      <c r="DF53" s="2042">
        <f t="shared" si="157"/>
        <v>0</v>
      </c>
      <c r="DG53" s="2042">
        <f t="shared" si="157"/>
        <v>0</v>
      </c>
      <c r="DH53" s="2042">
        <f t="shared" si="157"/>
        <v>0</v>
      </c>
      <c r="DI53" s="2042">
        <f t="shared" si="157"/>
        <v>0</v>
      </c>
      <c r="DJ53" s="2042">
        <f t="shared" si="157"/>
        <v>0</v>
      </c>
      <c r="DK53" s="2042">
        <f t="shared" si="157"/>
        <v>0</v>
      </c>
      <c r="DL53" s="2042"/>
      <c r="DM53" s="2042">
        <f t="shared" si="158"/>
        <v>0</v>
      </c>
      <c r="DN53" s="2042">
        <f t="shared" si="158"/>
        <v>0</v>
      </c>
      <c r="DO53" s="2042">
        <f t="shared" si="158"/>
        <v>0</v>
      </c>
      <c r="DP53" s="2042">
        <f t="shared" si="158"/>
        <v>0</v>
      </c>
      <c r="DQ53" s="2042">
        <f t="shared" si="158"/>
        <v>0</v>
      </c>
      <c r="DR53" s="2042">
        <f t="shared" si="158"/>
        <v>0</v>
      </c>
      <c r="DS53" s="2042">
        <f t="shared" si="158"/>
        <v>0</v>
      </c>
      <c r="DT53" s="2042">
        <f t="shared" si="158"/>
        <v>0</v>
      </c>
      <c r="DU53" s="2042">
        <f t="shared" si="158"/>
        <v>0</v>
      </c>
      <c r="DV53" s="2042">
        <f t="shared" si="158"/>
        <v>0</v>
      </c>
      <c r="DW53" s="2042">
        <f t="shared" si="158"/>
        <v>0</v>
      </c>
      <c r="DX53" s="2042">
        <f t="shared" si="158"/>
        <v>0</v>
      </c>
      <c r="DY53" s="2042"/>
      <c r="DZ53" s="2042">
        <f t="shared" si="159"/>
        <v>0</v>
      </c>
      <c r="EA53" s="2042">
        <f t="shared" si="159"/>
        <v>0</v>
      </c>
      <c r="EB53" s="2042">
        <f t="shared" si="159"/>
        <v>0</v>
      </c>
      <c r="EC53" s="2042">
        <f t="shared" si="159"/>
        <v>0</v>
      </c>
      <c r="ED53" s="2042">
        <f t="shared" si="159"/>
        <v>0</v>
      </c>
      <c r="EE53" s="2042">
        <f t="shared" si="159"/>
        <v>0</v>
      </c>
      <c r="EF53" s="2042">
        <f t="shared" si="159"/>
        <v>0</v>
      </c>
      <c r="EG53" s="2042">
        <f t="shared" si="159"/>
        <v>0</v>
      </c>
      <c r="EH53" s="2042">
        <f t="shared" si="159"/>
        <v>0</v>
      </c>
      <c r="EI53" s="2042">
        <f t="shared" si="159"/>
        <v>0</v>
      </c>
      <c r="EJ53" s="2042">
        <f t="shared" si="159"/>
        <v>0</v>
      </c>
      <c r="EK53" s="2042">
        <f t="shared" si="159"/>
        <v>0</v>
      </c>
      <c r="EL53" s="2042"/>
      <c r="EM53" s="2042">
        <f t="shared" si="160"/>
        <v>0</v>
      </c>
      <c r="EN53" s="2042">
        <f t="shared" si="160"/>
        <v>0</v>
      </c>
      <c r="EO53" s="2042">
        <f t="shared" si="160"/>
        <v>0</v>
      </c>
      <c r="EP53" s="2042">
        <f t="shared" si="160"/>
        <v>0</v>
      </c>
      <c r="EQ53" s="2042">
        <f t="shared" si="160"/>
        <v>0</v>
      </c>
      <c r="ER53" s="2042">
        <f t="shared" si="160"/>
        <v>0</v>
      </c>
      <c r="ES53" s="2042">
        <f t="shared" si="160"/>
        <v>0</v>
      </c>
      <c r="ET53" s="2042">
        <f t="shared" si="160"/>
        <v>0</v>
      </c>
      <c r="EU53" s="2042">
        <f t="shared" si="160"/>
        <v>0</v>
      </c>
      <c r="EV53" s="2042">
        <f t="shared" si="160"/>
        <v>0</v>
      </c>
      <c r="EW53" s="2042">
        <f t="shared" si="160"/>
        <v>0</v>
      </c>
      <c r="EX53" s="2042">
        <f t="shared" si="160"/>
        <v>0</v>
      </c>
      <c r="EY53" s="2042"/>
      <c r="EZ53" s="2045">
        <f t="shared" si="50"/>
        <v>0</v>
      </c>
      <c r="FA53" s="2042">
        <f>EZ53+CZ53+DZ53                 -         SUMIF('Berechnung Nährstoffe und Lager'!$AX$113:$AX$155,$CX53,'Berechnung Nährstoffe und Lager'!$U$113:$U$155)/12  -$GB53*$HC53/12</f>
        <v>0</v>
      </c>
      <c r="FB53" s="2042">
        <f>FA53+DA53+EA53                 -         SUMIF('Berechnung Nährstoffe und Lager'!$AX$113:$AX$155,$CX53,'Berechnung Nährstoffe und Lager'!$U$113:$U$155)/12  -$GB53*$HC53/12</f>
        <v>0</v>
      </c>
      <c r="FC53" s="2042">
        <f>FB53+DB53+EB53                 -         SUMIF('Berechnung Nährstoffe und Lager'!$AX$113:$AX$155,$CX53,'Berechnung Nährstoffe und Lager'!$U$113:$U$155)/12  -$GB53*$HC53/12</f>
        <v>0</v>
      </c>
      <c r="FD53" s="2042">
        <f>FC53+DC53+EC53                 -         SUMIF('Berechnung Nährstoffe und Lager'!$AX$113:$AX$155,$CX53,'Berechnung Nährstoffe und Lager'!$U$113:$U$155)/12  -$GB53*$HC53/12</f>
        <v>0</v>
      </c>
      <c r="FE53" s="2042">
        <f>FD53+DD53+ED53                 -         SUMIF('Berechnung Nährstoffe und Lager'!$AX$113:$AX$155,$CX53,'Berechnung Nährstoffe und Lager'!$U$113:$U$155)/12  -$GB53*$HC53/12</f>
        <v>0</v>
      </c>
      <c r="FF53" s="2042">
        <f>FE53+DE53+EE53                 -         SUMIF('Berechnung Nährstoffe und Lager'!$AX$113:$AX$155,$CX53,'Berechnung Nährstoffe und Lager'!$U$113:$U$155)/12  -$GB53*$HC53/12</f>
        <v>0</v>
      </c>
      <c r="FG53" s="2042">
        <f>FF53+DF53+EF53                 -         SUMIF('Berechnung Nährstoffe und Lager'!$AX$113:$AX$155,$CX53,'Berechnung Nährstoffe und Lager'!$U$113:$U$155)/12  -$GB53*$HC53/12</f>
        <v>0</v>
      </c>
      <c r="FH53" s="2042">
        <f>FG53+DG53+EG53                 -         SUMIF('Berechnung Nährstoffe und Lager'!$AX$113:$AX$155,$CX53,'Berechnung Nährstoffe und Lager'!$U$113:$U$155)/12  -$GB53*$HC53/12</f>
        <v>0</v>
      </c>
      <c r="FI53" s="2042">
        <f>FH53+DH53+EH53                 -         SUMIF('Berechnung Nährstoffe und Lager'!$AX$113:$AX$155,$CX53,'Berechnung Nährstoffe und Lager'!$U$113:$U$155)/12  -$GB53*$HC53/12</f>
        <v>0</v>
      </c>
      <c r="FJ53" s="2042">
        <f>FI53+DI53+EI53                 -         SUMIF('Berechnung Nährstoffe und Lager'!$AX$113:$AX$155,$CX53,'Berechnung Nährstoffe und Lager'!$U$113:$U$155)/12  -$GB53*$HC53/12</f>
        <v>0</v>
      </c>
      <c r="FK53" s="2042">
        <f>FJ53+DJ53+EJ53                 -         SUMIF('Berechnung Nährstoffe und Lager'!$AX$113:$AX$155,$CX53,'Berechnung Nährstoffe und Lager'!$U$113:$U$155)/12  -$GB53*$HC53/12</f>
        <v>0</v>
      </c>
      <c r="FL53" s="2042">
        <f>FK53+DK53+EK53                 -         SUMIF('Berechnung Nährstoffe und Lager'!$AX$113:$AX$155,$CX53,'Berechnung Nährstoffe und Lager'!$U$113:$U$155)/12  -$GB53*$HC53/12</f>
        <v>0</v>
      </c>
      <c r="FM53" s="2042"/>
      <c r="FN53" s="2045">
        <f t="shared" si="51"/>
        <v>0</v>
      </c>
      <c r="FO53" s="2042">
        <f>FN53+DM53+EM53                 -         SUMIF('Berechnung Nährstoffe und Lager'!$AX$113:$AX$155,$CX53,'Berechnung Nährstoffe und Lager'!$V$113:$V$155)/12  -$GC53*$HC53/12</f>
        <v>0</v>
      </c>
      <c r="FP53" s="2042">
        <f>FO53+DN53+EN53                 -         SUMIF('Berechnung Nährstoffe und Lager'!$AX$113:$AX$155,$CX53,'Berechnung Nährstoffe und Lager'!$V$113:$V$155)/12  -$GC53*$HC53/12</f>
        <v>0</v>
      </c>
      <c r="FQ53" s="2042">
        <f>FP53+DO53+EO53                 -         SUMIF('Berechnung Nährstoffe und Lager'!$AX$113:$AX$155,$CX53,'Berechnung Nährstoffe und Lager'!$V$113:$V$155)/12  -$GC53*$HC53/12</f>
        <v>0</v>
      </c>
      <c r="FR53" s="2042">
        <f>FQ53+DP53+EP53                 -         SUMIF('Berechnung Nährstoffe und Lager'!$AX$113:$AX$155,$CX53,'Berechnung Nährstoffe und Lager'!$V$113:$V$155)/12  -$GC53*$HC53/12</f>
        <v>0</v>
      </c>
      <c r="FS53" s="2042">
        <f>FR53+DQ53+EQ53                 -         SUMIF('Berechnung Nährstoffe und Lager'!$AX$113:$AX$155,$CX53,'Berechnung Nährstoffe und Lager'!$V$113:$V$155)/12  -$GC53*$HC53/12</f>
        <v>0</v>
      </c>
      <c r="FT53" s="2042">
        <f>FS53+DR53+ER53                 -         SUMIF('Berechnung Nährstoffe und Lager'!$AX$113:$AX$155,$CX53,'Berechnung Nährstoffe und Lager'!$V$113:$V$155)/12  -$GC53*$HC53/12</f>
        <v>0</v>
      </c>
      <c r="FU53" s="2042">
        <f>FT53+DS53+ES53                 -         SUMIF('Berechnung Nährstoffe und Lager'!$AX$113:$AX$155,$CX53,'Berechnung Nährstoffe und Lager'!$V$113:$V$155)/12  -$GC53*$HC53/12</f>
        <v>0</v>
      </c>
      <c r="FV53" s="2042">
        <f>FU53+DT53+ET53                 -         SUMIF('Berechnung Nährstoffe und Lager'!$AX$113:$AX$155,$CX53,'Berechnung Nährstoffe und Lager'!$V$113:$V$155)/12  -$GC53*$HC53/12</f>
        <v>0</v>
      </c>
      <c r="FW53" s="2042">
        <f>FV53+DU53+EU53                 -         SUMIF('Berechnung Nährstoffe und Lager'!$AX$113:$AX$155,$CX53,'Berechnung Nährstoffe und Lager'!$V$113:$V$155)/12  -$GC53*$HC53/12</f>
        <v>0</v>
      </c>
      <c r="FX53" s="2042">
        <f>FW53+DV53+EV53                 -         SUMIF('Berechnung Nährstoffe und Lager'!$AX$113:$AX$155,$CX53,'Berechnung Nährstoffe und Lager'!$V$113:$V$155)/12  -$GC53*$HC53/12</f>
        <v>0</v>
      </c>
      <c r="FY53" s="2042">
        <f>FX53+DW53+EW53                 -         SUMIF('Berechnung Nährstoffe und Lager'!$AX$113:$AX$155,$CX53,'Berechnung Nährstoffe und Lager'!$V$113:$V$155)/12  -$GC53*$HC53/12</f>
        <v>0</v>
      </c>
      <c r="FZ53" s="2042">
        <f>FY53+DX53+EX53                 -         SUMIF('Berechnung Nährstoffe und Lager'!$AX$113:$AX$155,$CX53,'Berechnung Nährstoffe und Lager'!$V$113:$V$155)/12  -$GC53*$HC53/12</f>
        <v>0</v>
      </c>
      <c r="GA53" s="2042"/>
      <c r="GB53" s="2042">
        <f>SUMIFS($CI$14:$CI$68,$BR$14:$BR$68,$CX53)+SUMIFS($CM$14:$CM$68,$BR$14:$BR$68,$CX53)+SUMIFS($CR$14:$CR$68,$BR$14:$BR$68,$CX53)  -         SUMIF('Berechnung Nährstoffe und Lager'!$AX$113:$AX$155,$CX53,'Berechnung Nährstoffe und Lager'!$U$113:$U$155)</f>
        <v>0</v>
      </c>
      <c r="GC53" s="2042">
        <f>SUMIFS($CJ$14:$CJ$68,$BR$14:$BR$68,$CX53)+SUMIFS($CO$14:$CO$68,$BR$14:$BR$68,$CX53)+SUMIFS($CT$14:$CT$68,$BR$14:$BR$68,$CX53)  -         SUMIF('Berechnung Nährstoffe und Lager'!$AX$113:$AX$155,$CX53,'Berechnung Nährstoffe und Lager'!$V$113:$V$155)</f>
        <v>0</v>
      </c>
      <c r="GD53" s="2042"/>
      <c r="GE53" s="2042"/>
      <c r="GF53" s="2042">
        <f>SUMIF('Berechnung Nährstoffe und Lager'!$AX$113:$AX$155,$CX53,'Berechnung Nährstoffe und Lager'!$U$113:$U$155)</f>
        <v>0</v>
      </c>
      <c r="GG53" s="2042">
        <f>SUMIF('Berechnung Nährstoffe und Lager'!$AX$113:$AX$155,$CX53,'Berechnung Nährstoffe und Lager'!$V$113:$V$155)</f>
        <v>0</v>
      </c>
      <c r="GH53" s="2042">
        <f t="shared" si="52"/>
        <v>0</v>
      </c>
      <c r="GI53" s="2042">
        <f t="shared" si="53"/>
        <v>0</v>
      </c>
      <c r="GJ53" s="2042">
        <f t="shared" si="121"/>
        <v>0</v>
      </c>
      <c r="GK53" s="2042">
        <f t="shared" si="122"/>
        <v>0</v>
      </c>
      <c r="GL53" s="2042">
        <f t="shared" si="123"/>
        <v>0</v>
      </c>
      <c r="GM53" s="2042" cm="1">
        <f t="array" ref="GM53">IF(GL53=0,0,(IFERROR(SUMPRODUCT($J$14:$J$68,$CH$14:$CH$68,($BR$14:$BR$68=CX53)*1)+SUMPRODUCT($L$14:$L$68,$M$14:$M$68,$CK$14:$CK$68,($BR$14:$BR$68=CX53)*1,($BT$14:$BT$68=FALSE)*1)/10+SUMPRODUCT($R$14:$R$68,$CP$14:$CP$68,($BR$14:$BR$68=CX53)*1),0))/GL53)</f>
        <v>0</v>
      </c>
      <c r="GN53" s="2042">
        <f t="shared" si="54"/>
        <v>0</v>
      </c>
      <c r="GO53" s="2042">
        <f>(SUMIF('Berechnung Nährstoffe und Lager'!$AX$113:$AX$130,'Lagerhaltung (freiwillig)'!CX53,'Berechnung Nährstoffe und Lager'!$D$113:$D$130)+SUMIF('Berechnung Nährstoffe und Lager'!$AX$137:$AX$155,'Lagerhaltung (freiwillig)'!CX53,'Berechnung Nährstoffe und Lager'!$E$137:$E$155))</f>
        <v>0</v>
      </c>
      <c r="GP53" s="2042" cm="1">
        <f t="array" ref="GP53">IF(GO53=0,0,(IFERROR(SUMPRODUCT('Berechnung Nährstoffe und Lager'!$D$113:$D$130,'Berechnung Nährstoffe und Lager'!$F$113:$F$130,('Berechnung Nährstoffe und Lager'!$AX$113:$AX$130='Lagerhaltung (freiwillig)'!CX53)*1)+SUMPRODUCT('Berechnung Nährstoffe und Lager'!$E$137:$E$155,'Berechnung Nährstoffe und Lager'!$F$137:$F$155,('Berechnung Nährstoffe und Lager'!$AX$137:$AX$155='Lagerhaltung (freiwillig)'!CX53)*1),0))/GO53)</f>
        <v>0</v>
      </c>
      <c r="GQ53" s="2042">
        <f t="shared" si="55"/>
        <v>0</v>
      </c>
      <c r="GR53" s="2042">
        <f t="shared" si="56"/>
        <v>0</v>
      </c>
      <c r="GS53" s="2042">
        <f t="shared" si="57"/>
        <v>0</v>
      </c>
      <c r="GT53" s="2042">
        <f t="shared" si="58"/>
        <v>0</v>
      </c>
      <c r="GU53" s="2045" t="str">
        <f t="shared" si="39"/>
        <v xml:space="preserve"> </v>
      </c>
      <c r="GV53" s="2045" t="str">
        <f t="shared" si="39"/>
        <v xml:space="preserve"> </v>
      </c>
      <c r="GW53" s="2054">
        <f t="shared" si="124"/>
        <v>0</v>
      </c>
      <c r="GX53" s="2042">
        <f t="shared" si="125"/>
        <v>0</v>
      </c>
      <c r="GY53" s="2042" t="str">
        <f t="shared" si="120"/>
        <v>a</v>
      </c>
      <c r="GZ53" s="2055">
        <f t="shared" si="126"/>
        <v>0</v>
      </c>
      <c r="HA53" s="2055">
        <f t="shared" si="127"/>
        <v>0</v>
      </c>
      <c r="HB53" s="2055"/>
      <c r="HC53" s="2046">
        <f t="shared" si="128"/>
        <v>0</v>
      </c>
      <c r="HD53" s="2055">
        <f t="shared" si="129"/>
        <v>0</v>
      </c>
      <c r="HE53" s="2055">
        <f t="shared" si="130"/>
        <v>0</v>
      </c>
      <c r="HF53" s="2055">
        <f t="shared" si="131"/>
        <v>0</v>
      </c>
      <c r="HG53" s="2282" cm="1">
        <f t="array" ref="HG53">IF(AND(HE53=0,GJ53=0),0,IF(HE53=0,1,IF(OR(GJ53*1000/HE53/HF53&gt;INDEX(Pflanzen!$AD$5:$AD$109,CX53)/INDEX(Pflanzen!$M$5:$M$109,CX53)*$HG$1,GJ53*1000/HE53/HF53&lt;INDEX(Pflanzen!$AD$5:$AD$109,CX53)/INDEX(Pflanzen!$M$5:$M$109,CX53)/$HG$1),1,0)))</f>
        <v>0</v>
      </c>
      <c r="HH53" s="2282" cm="1">
        <f t="array" ref="HH53">IF(AND(GK53=0,HE53=0),0,IF(HE53=0,1,IF(OR(GK53*1000/HE53/HF53&gt;INDEX(Pflanzen!$AE$5:$AE$109,CX53)/INDEX(Pflanzen!$M$5:$M$109,CX53)*$HG$1,GK53*1000/HE53/HF53&lt;INDEX(Pflanzen!$AE$5:$AE$109,CX53)/INDEX(Pflanzen!$M$5:$M$109,CX53)/$HG$1),1,0)))</f>
        <v>0</v>
      </c>
      <c r="HI53" s="2042">
        <f t="shared" si="132"/>
        <v>3</v>
      </c>
      <c r="HJ53" s="2042"/>
      <c r="HL53" s="2042"/>
      <c r="HM53" s="2052" t="str">
        <f>Tiere!B79</f>
        <v>Kaninchenaufz. bis 3 kg (Häsin + 52 Jungtiere je Jahr)</v>
      </c>
      <c r="HN53" s="2042">
        <v>50</v>
      </c>
      <c r="HO53" s="2053">
        <f>SUMIF('Berechnung Nährstoffe und Lager'!$BM$68:$BM$81,'Lagerhaltung (freiwillig)'!HN53,'Berechnung Nährstoffe und Lager'!$Z$68:$Z$81)+SUMIF('Berechnung Nährstoffe und Lager'!$BM$68:$BM$81,'Lagerhaltung (freiwillig)'!HN53,'Berechnung Nährstoffe und Lager'!$AA$68:$AA$81)</f>
        <v>0</v>
      </c>
      <c r="HP53" s="2042" cm="1">
        <f t="array" ref="HP53">INDEX(Tiere!$C$30:$C$85,'Lagerhaltung (freiwillig)'!HN53)</f>
        <v>7</v>
      </c>
      <c r="HQ53" s="2042" cm="1">
        <f t="array" ref="HQ53">INDEX(Tiere!$H$30:$H$85,'Lagerhaltung (freiwillig)'!HN53)</f>
        <v>0</v>
      </c>
      <c r="HR53" s="2042">
        <f t="shared" si="112"/>
        <v>0</v>
      </c>
      <c r="HS53" s="2042" cm="1">
        <f t="array" ref="HS53">INDEX(Tiere!$I$30:$I$85,'Lagerhaltung (freiwillig)'!HN53)</f>
        <v>0</v>
      </c>
      <c r="HT53" s="2042">
        <f t="shared" si="13"/>
        <v>0</v>
      </c>
      <c r="HU53" s="2042" cm="1">
        <f t="array" ref="HU53">INDEX(Tiere!$BC$30:$BC$85,'Lagerhaltung (freiwillig)'!HN53)</f>
        <v>4.68</v>
      </c>
      <c r="HV53" s="2042">
        <f t="shared" si="110"/>
        <v>0</v>
      </c>
      <c r="HW53" s="2042" cm="1">
        <f t="array" ref="HW53">INDEX(Tiere!$BD$30:$BD$85,'Lagerhaltung (freiwillig)'!HN53)</f>
        <v>2.3244000000000002</v>
      </c>
      <c r="HX53" s="2042">
        <f t="shared" si="111"/>
        <v>0</v>
      </c>
      <c r="HY53" s="2042"/>
      <c r="HZ53" s="2042"/>
      <c r="IA53" s="2042"/>
      <c r="IB53" s="2042"/>
      <c r="IC53" s="2042"/>
      <c r="ID53" s="2042"/>
      <c r="IE53" s="2042"/>
      <c r="IF53" s="2042"/>
      <c r="IG53" s="2042"/>
      <c r="IH53" s="2042"/>
      <c r="II53" s="2042"/>
      <c r="IJ53" s="2042"/>
    </row>
    <row r="54" spans="6:244" ht="15.6" customHeight="1" x14ac:dyDescent="0.2">
      <c r="F54" s="1259"/>
      <c r="G54" s="2314"/>
      <c r="H54" s="2293"/>
      <c r="I54" s="2014" t="str">
        <f t="shared" si="133"/>
        <v/>
      </c>
      <c r="J54" s="1256"/>
      <c r="K54" s="2014" t="str">
        <f t="shared" si="134"/>
        <v/>
      </c>
      <c r="L54" s="1970"/>
      <c r="M54" s="1246"/>
      <c r="N54" s="1870"/>
      <c r="O54" s="1870"/>
      <c r="P54" s="2222"/>
      <c r="Q54" s="2014" t="str">
        <f t="shared" si="135"/>
        <v/>
      </c>
      <c r="R54" s="1970"/>
      <c r="S54" s="1246"/>
      <c r="T54" s="1256"/>
      <c r="V54" s="2316" t="str">
        <f t="shared" si="156"/>
        <v/>
      </c>
      <c r="Y54" s="2005" t="str" cm="1">
        <f t="array" ref="Y54">IFERROR(INDEX($CW$4:$CW$171,AY54),"")</f>
        <v/>
      </c>
      <c r="Z54" s="510"/>
      <c r="AA54" s="510"/>
      <c r="AB54" s="510"/>
      <c r="AC54" s="2031" t="str" cm="1">
        <f t="array" ref="AC54">IFERROR(INDEX($GL$4:$GL$171,AY54),"")</f>
        <v/>
      </c>
      <c r="AD54" s="2031" t="str" cm="1">
        <f t="array" ref="AD54">IFERROR(INDEX($GM$4:$GM$171,AY54),"")</f>
        <v/>
      </c>
      <c r="AE54" s="2031" t="str" cm="1">
        <f t="array" ref="AE54">IFERROR(INDEX($GH$4:$GH$171,AY54),"")</f>
        <v/>
      </c>
      <c r="AF54" s="2031" t="str" cm="1">
        <f t="array" ref="AF54">IFERROR(INDEX($GI$4:$GI$171,AY54),"")</f>
        <v/>
      </c>
      <c r="AG54" s="2031" t="str" cm="1">
        <f t="array" ref="AG54">IFERROR(INDEX($GO$4:$GO$171,AY54),"")</f>
        <v/>
      </c>
      <c r="AH54" s="2031" t="str" cm="1">
        <f t="array" ref="AH54">IFERROR(INDEX($GP$4:$GP$171,AY54),"")</f>
        <v/>
      </c>
      <c r="AI54" s="2031" t="str" cm="1">
        <f t="array" ref="AI54">IFERROR(INDEX($GF$4:$GF$171,AY54),"")</f>
        <v/>
      </c>
      <c r="AJ54" s="2031" t="str" cm="1">
        <f t="array" ref="AJ54">IFERROR(INDEX($GG$4:$GG$171,AY54),"")</f>
        <v/>
      </c>
      <c r="AK54" s="2031" t="str" cm="1">
        <f t="array" ref="AK54">IFERROR(INDEX($GS$4:$GS$171,AY54),"")</f>
        <v/>
      </c>
      <c r="AL54" s="2032" t="str" cm="1">
        <f t="array" ref="AL54">IFERROR(INDEX($GT$4:$GT$171,AY54),"")</f>
        <v/>
      </c>
      <c r="AM54" s="2031" t="str" cm="1">
        <f t="array" ref="AM54">IFERROR(INDEX($GB$4:$GB$171,AY54),"")</f>
        <v/>
      </c>
      <c r="AN54" s="2031" t="str" cm="1">
        <f t="array" ref="AN54">IFERROR(INDEX($GC$4:$GC$171,AY54),"")</f>
        <v/>
      </c>
      <c r="AO54" s="2031" t="str" cm="1">
        <f t="array" ref="AO54">IFERROR(INDEX($GU$4:$GU$171,AY54),"")</f>
        <v/>
      </c>
      <c r="AP54" s="2031" t="str" cm="1">
        <f t="array" ref="AP54">IFERROR(INDEX($GX$4:$GX$171,AY54),"")</f>
        <v/>
      </c>
      <c r="AQ54" s="1316"/>
      <c r="AR54" s="2031" t="str" cm="1">
        <f t="array" ref="AR54">IFERROR(INDEX($HD$4:$HD$171,AY54),"")</f>
        <v/>
      </c>
      <c r="AS54" s="2031" t="str" cm="1">
        <f t="array" ref="AS54">IFERROR(INDEX($HE$4:$HE$171,AY54),"")</f>
        <v/>
      </c>
      <c r="AT54" s="2031" t="str" cm="1">
        <f t="array" ref="AT54">IFERROR(INDEX($HF$4:$HF$171,AY54),"")</f>
        <v/>
      </c>
      <c r="AU54" s="2031" t="str" cm="1">
        <f t="array" ref="AU54">IFERROR(INDEX($GJ$4:$GJ$171,AY54),"")</f>
        <v/>
      </c>
      <c r="AV54" s="2031" t="str" cm="1">
        <f t="array" ref="AV54">IFERROR(INDEX($GK$4:$GK$171,AY54),"")</f>
        <v/>
      </c>
      <c r="AY54" s="2042" t="str" cm="1">
        <f t="array" ref="AY54">IFERROR(SMALL(IF($HI$4:$HI$171=1,ROW($HI$4:$HI$171)-3),ROW(W39)),IFERROR(SMALL(IF($HI$4:$HI$171=2,ROW($HI$4:$HI$171)-3),ROW(W39)-COUNTIF($HI$4:$HI$171,1)),IFERROR(SMALL(IF($HI$4:$HI$171=0,ROW($HI$4:$HI$171)-3),ROW(W39)-COUNTIF($HI$4:$HI$171,1)-COUNTIF($HI$4:$HI$171,2)),"")))</f>
        <v/>
      </c>
      <c r="AZ54" s="2042" t="str">
        <f t="shared" si="117"/>
        <v>a</v>
      </c>
      <c r="BA54" s="2053" t="e">
        <f t="shared" si="118"/>
        <v>#VALUE!</v>
      </c>
      <c r="BB54" s="2053" cm="1">
        <f t="array" ref="BB54">IFERROR(INDEX($HI$4:$HI$171,AY54),0)</f>
        <v>0</v>
      </c>
      <c r="BC54" s="2053">
        <f t="shared" si="119"/>
        <v>0</v>
      </c>
      <c r="BD54" s="2053"/>
      <c r="BE54" s="2307"/>
      <c r="BF54" s="2307"/>
      <c r="BG54" s="2307"/>
      <c r="BH54" s="2307"/>
      <c r="BI54" s="2307"/>
      <c r="BJ54" s="2307"/>
      <c r="BK54" s="2307"/>
      <c r="BL54" s="2307"/>
      <c r="BM54" s="2307"/>
      <c r="BN54" s="2307"/>
      <c r="BO54" s="2307"/>
      <c r="BP54" s="2043"/>
      <c r="BQ54" s="2042">
        <v>1</v>
      </c>
      <c r="BR54" cm="1">
        <f t="array" ref="BR54">INDEX(Pflanzen!$B$5:$B$117,'Lagerhaltung (freiwillig)'!BQ54)</f>
        <v>1</v>
      </c>
      <c r="BS54" s="2042"/>
      <c r="BT54" s="2042" t="b">
        <v>0</v>
      </c>
      <c r="BU54" s="2044"/>
      <c r="BV54" s="2044"/>
      <c r="BW54" s="2042">
        <f t="shared" si="136"/>
        <v>12</v>
      </c>
      <c r="BX54" s="2042">
        <f t="shared" si="137"/>
        <v>0</v>
      </c>
      <c r="BY54" s="2042">
        <f t="shared" si="138"/>
        <v>12</v>
      </c>
      <c r="BZ54" s="2042" cm="1">
        <f t="array" ref="BZ54">INDEX(Pflanzen!$AI$5:$AI$119,'Lagerhaltung (freiwillig)'!BR54)</f>
        <v>0</v>
      </c>
      <c r="CA54" s="2042" cm="1">
        <f t="array" ref="CA54">IF(BZ54=1,INDEX(Pflanzen!$AJ$5:$AJ$119,BR54),N54)</f>
        <v>0</v>
      </c>
      <c r="CB54" s="2042" cm="1">
        <f t="array" ref="CB54">IF(BZ54=1,INDEX(Pflanzen!$AK$5:$AK$119,BR54),O54)</f>
        <v>0</v>
      </c>
      <c r="CC54" s="2042">
        <f t="shared" si="139"/>
        <v>12</v>
      </c>
      <c r="CD54" s="2042">
        <f t="shared" si="140"/>
        <v>0</v>
      </c>
      <c r="CE54" s="2042">
        <f t="shared" si="141"/>
        <v>12</v>
      </c>
      <c r="CF54" s="2042" cm="1">
        <f t="array" ref="CF54">INDEX(Pflanzen!$F$5:$F$119,BR54)</f>
        <v>0</v>
      </c>
      <c r="CG54" s="2042" cm="1">
        <f t="array" ref="CG54">INDEX(Pflanzen!$H$5:$H$119,BR54)</f>
        <v>0</v>
      </c>
      <c r="CH54" s="2042">
        <f t="shared" si="142"/>
        <v>0</v>
      </c>
      <c r="CI54" s="2042">
        <f t="shared" si="143"/>
        <v>0</v>
      </c>
      <c r="CJ54" s="2042">
        <f t="shared" si="144"/>
        <v>0</v>
      </c>
      <c r="CK54" s="2042">
        <f t="shared" si="145"/>
        <v>0</v>
      </c>
      <c r="CL54" s="2042">
        <f t="shared" si="146"/>
        <v>0</v>
      </c>
      <c r="CM54" s="2042">
        <f t="shared" si="147"/>
        <v>0</v>
      </c>
      <c r="CN54" s="2042">
        <f t="shared" si="148"/>
        <v>0</v>
      </c>
      <c r="CO54" s="2042">
        <f t="shared" si="149"/>
        <v>0</v>
      </c>
      <c r="CP54" s="2042">
        <f t="shared" si="150"/>
        <v>0</v>
      </c>
      <c r="CQ54" s="2042">
        <f t="shared" si="151"/>
        <v>0</v>
      </c>
      <c r="CR54" s="2042">
        <f t="shared" si="152"/>
        <v>0</v>
      </c>
      <c r="CS54" s="2042">
        <f t="shared" si="153"/>
        <v>0</v>
      </c>
      <c r="CT54" s="2042">
        <f t="shared" si="154"/>
        <v>0</v>
      </c>
      <c r="CU54" s="2042">
        <f t="shared" si="155"/>
        <v>0</v>
      </c>
      <c r="CV54" s="2042"/>
      <c r="CW54" s="609" t="str">
        <f>Pflanzen!A50</f>
        <v>Lieschkolbensilage</v>
      </c>
      <c r="CX54" s="2042">
        <f>IFERROR(MATCH($CW54,Pflanzen!$C$5:$C$119,0),1)</f>
        <v>46</v>
      </c>
      <c r="CY54" s="609" cm="1">
        <f t="array" ref="CY54">INDEX(Pflanzen!$I$5:$I$119,'Lagerhaltung (freiwillig)'!CX54)</f>
        <v>2</v>
      </c>
      <c r="CZ54" s="2042">
        <f t="shared" si="157"/>
        <v>0</v>
      </c>
      <c r="DA54" s="2042">
        <f t="shared" si="157"/>
        <v>0</v>
      </c>
      <c r="DB54" s="2042">
        <f t="shared" si="157"/>
        <v>0</v>
      </c>
      <c r="DC54" s="2042">
        <f t="shared" si="157"/>
        <v>0</v>
      </c>
      <c r="DD54" s="2042">
        <f t="shared" si="157"/>
        <v>0</v>
      </c>
      <c r="DE54" s="2042">
        <f t="shared" si="157"/>
        <v>0</v>
      </c>
      <c r="DF54" s="2042">
        <f t="shared" si="157"/>
        <v>0</v>
      </c>
      <c r="DG54" s="2042">
        <f t="shared" si="157"/>
        <v>0</v>
      </c>
      <c r="DH54" s="2042">
        <f t="shared" si="157"/>
        <v>0</v>
      </c>
      <c r="DI54" s="2042">
        <f t="shared" si="157"/>
        <v>0</v>
      </c>
      <c r="DJ54" s="2042">
        <f t="shared" si="157"/>
        <v>0</v>
      </c>
      <c r="DK54" s="2042">
        <f t="shared" si="157"/>
        <v>0</v>
      </c>
      <c r="DL54" s="2042"/>
      <c r="DM54" s="2042">
        <f t="shared" si="158"/>
        <v>0</v>
      </c>
      <c r="DN54" s="2042">
        <f t="shared" si="158"/>
        <v>0</v>
      </c>
      <c r="DO54" s="2042">
        <f t="shared" si="158"/>
        <v>0</v>
      </c>
      <c r="DP54" s="2042">
        <f t="shared" si="158"/>
        <v>0</v>
      </c>
      <c r="DQ54" s="2042">
        <f t="shared" si="158"/>
        <v>0</v>
      </c>
      <c r="DR54" s="2042">
        <f t="shared" si="158"/>
        <v>0</v>
      </c>
      <c r="DS54" s="2042">
        <f t="shared" si="158"/>
        <v>0</v>
      </c>
      <c r="DT54" s="2042">
        <f t="shared" si="158"/>
        <v>0</v>
      </c>
      <c r="DU54" s="2042">
        <f t="shared" si="158"/>
        <v>0</v>
      </c>
      <c r="DV54" s="2042">
        <f t="shared" si="158"/>
        <v>0</v>
      </c>
      <c r="DW54" s="2042">
        <f t="shared" si="158"/>
        <v>0</v>
      </c>
      <c r="DX54" s="2042">
        <f t="shared" si="158"/>
        <v>0</v>
      </c>
      <c r="DY54" s="2042"/>
      <c r="DZ54" s="2042">
        <f t="shared" si="159"/>
        <v>0</v>
      </c>
      <c r="EA54" s="2042">
        <f t="shared" si="159"/>
        <v>0</v>
      </c>
      <c r="EB54" s="2042">
        <f t="shared" si="159"/>
        <v>0</v>
      </c>
      <c r="EC54" s="2042">
        <f t="shared" si="159"/>
        <v>0</v>
      </c>
      <c r="ED54" s="2042">
        <f t="shared" si="159"/>
        <v>0</v>
      </c>
      <c r="EE54" s="2042">
        <f t="shared" si="159"/>
        <v>0</v>
      </c>
      <c r="EF54" s="2042">
        <f t="shared" si="159"/>
        <v>0</v>
      </c>
      <c r="EG54" s="2042">
        <f t="shared" si="159"/>
        <v>0</v>
      </c>
      <c r="EH54" s="2042">
        <f t="shared" si="159"/>
        <v>0</v>
      </c>
      <c r="EI54" s="2042">
        <f t="shared" si="159"/>
        <v>0</v>
      </c>
      <c r="EJ54" s="2042">
        <f t="shared" si="159"/>
        <v>0</v>
      </c>
      <c r="EK54" s="2042">
        <f t="shared" si="159"/>
        <v>0</v>
      </c>
      <c r="EL54" s="2042"/>
      <c r="EM54" s="2042">
        <f t="shared" si="160"/>
        <v>0</v>
      </c>
      <c r="EN54" s="2042">
        <f t="shared" si="160"/>
        <v>0</v>
      </c>
      <c r="EO54" s="2042">
        <f t="shared" si="160"/>
        <v>0</v>
      </c>
      <c r="EP54" s="2042">
        <f t="shared" si="160"/>
        <v>0</v>
      </c>
      <c r="EQ54" s="2042">
        <f t="shared" si="160"/>
        <v>0</v>
      </c>
      <c r="ER54" s="2042">
        <f t="shared" si="160"/>
        <v>0</v>
      </c>
      <c r="ES54" s="2042">
        <f t="shared" si="160"/>
        <v>0</v>
      </c>
      <c r="ET54" s="2042">
        <f t="shared" si="160"/>
        <v>0</v>
      </c>
      <c r="EU54" s="2042">
        <f t="shared" si="160"/>
        <v>0</v>
      </c>
      <c r="EV54" s="2042">
        <f t="shared" si="160"/>
        <v>0</v>
      </c>
      <c r="EW54" s="2042">
        <f t="shared" si="160"/>
        <v>0</v>
      </c>
      <c r="EX54" s="2042">
        <f t="shared" si="160"/>
        <v>0</v>
      </c>
      <c r="EY54" s="2042"/>
      <c r="EZ54" s="2045">
        <f t="shared" si="50"/>
        <v>0</v>
      </c>
      <c r="FA54" s="2042">
        <f>EZ54+CZ54+DZ54                 -         SUMIF('Berechnung Nährstoffe und Lager'!$AX$113:$AX$155,$CX54,'Berechnung Nährstoffe und Lager'!$U$113:$U$155)/12  -$GB54*$HC54/12</f>
        <v>0</v>
      </c>
      <c r="FB54" s="2042">
        <f>FA54+DA54+EA54                 -         SUMIF('Berechnung Nährstoffe und Lager'!$AX$113:$AX$155,$CX54,'Berechnung Nährstoffe und Lager'!$U$113:$U$155)/12  -$GB54*$HC54/12</f>
        <v>0</v>
      </c>
      <c r="FC54" s="2042">
        <f>FB54+DB54+EB54                 -         SUMIF('Berechnung Nährstoffe und Lager'!$AX$113:$AX$155,$CX54,'Berechnung Nährstoffe und Lager'!$U$113:$U$155)/12  -$GB54*$HC54/12</f>
        <v>0</v>
      </c>
      <c r="FD54" s="2042">
        <f>FC54+DC54+EC54                 -         SUMIF('Berechnung Nährstoffe und Lager'!$AX$113:$AX$155,$CX54,'Berechnung Nährstoffe und Lager'!$U$113:$U$155)/12  -$GB54*$HC54/12</f>
        <v>0</v>
      </c>
      <c r="FE54" s="2042">
        <f>FD54+DD54+ED54                 -         SUMIF('Berechnung Nährstoffe und Lager'!$AX$113:$AX$155,$CX54,'Berechnung Nährstoffe und Lager'!$U$113:$U$155)/12  -$GB54*$HC54/12</f>
        <v>0</v>
      </c>
      <c r="FF54" s="2042">
        <f>FE54+DE54+EE54                 -         SUMIF('Berechnung Nährstoffe und Lager'!$AX$113:$AX$155,$CX54,'Berechnung Nährstoffe und Lager'!$U$113:$U$155)/12  -$GB54*$HC54/12</f>
        <v>0</v>
      </c>
      <c r="FG54" s="2042">
        <f>FF54+DF54+EF54                 -         SUMIF('Berechnung Nährstoffe und Lager'!$AX$113:$AX$155,$CX54,'Berechnung Nährstoffe und Lager'!$U$113:$U$155)/12  -$GB54*$HC54/12</f>
        <v>0</v>
      </c>
      <c r="FH54" s="2042">
        <f>FG54+DG54+EG54                 -         SUMIF('Berechnung Nährstoffe und Lager'!$AX$113:$AX$155,$CX54,'Berechnung Nährstoffe und Lager'!$U$113:$U$155)/12  -$GB54*$HC54/12</f>
        <v>0</v>
      </c>
      <c r="FI54" s="2042">
        <f>FH54+DH54+EH54                 -         SUMIF('Berechnung Nährstoffe und Lager'!$AX$113:$AX$155,$CX54,'Berechnung Nährstoffe und Lager'!$U$113:$U$155)/12  -$GB54*$HC54/12</f>
        <v>0</v>
      </c>
      <c r="FJ54" s="2042">
        <f>FI54+DI54+EI54                 -         SUMIF('Berechnung Nährstoffe und Lager'!$AX$113:$AX$155,$CX54,'Berechnung Nährstoffe und Lager'!$U$113:$U$155)/12  -$GB54*$HC54/12</f>
        <v>0</v>
      </c>
      <c r="FK54" s="2042">
        <f>FJ54+DJ54+EJ54                 -         SUMIF('Berechnung Nährstoffe und Lager'!$AX$113:$AX$155,$CX54,'Berechnung Nährstoffe und Lager'!$U$113:$U$155)/12  -$GB54*$HC54/12</f>
        <v>0</v>
      </c>
      <c r="FL54" s="2042">
        <f>FK54+DK54+EK54                 -         SUMIF('Berechnung Nährstoffe und Lager'!$AX$113:$AX$155,$CX54,'Berechnung Nährstoffe und Lager'!$U$113:$U$155)/12  -$GB54*$HC54/12</f>
        <v>0</v>
      </c>
      <c r="FM54" s="2042"/>
      <c r="FN54" s="2045">
        <f t="shared" si="51"/>
        <v>0</v>
      </c>
      <c r="FO54" s="2042">
        <f>FN54+DM54+EM54                 -         SUMIF('Berechnung Nährstoffe und Lager'!$AX$113:$AX$155,$CX54,'Berechnung Nährstoffe und Lager'!$V$113:$V$155)/12  -$GC54*$HC54/12</f>
        <v>0</v>
      </c>
      <c r="FP54" s="2042">
        <f>FO54+DN54+EN54                 -         SUMIF('Berechnung Nährstoffe und Lager'!$AX$113:$AX$155,$CX54,'Berechnung Nährstoffe und Lager'!$V$113:$V$155)/12  -$GC54*$HC54/12</f>
        <v>0</v>
      </c>
      <c r="FQ54" s="2042">
        <f>FP54+DO54+EO54                 -         SUMIF('Berechnung Nährstoffe und Lager'!$AX$113:$AX$155,$CX54,'Berechnung Nährstoffe und Lager'!$V$113:$V$155)/12  -$GC54*$HC54/12</f>
        <v>0</v>
      </c>
      <c r="FR54" s="2042">
        <f>FQ54+DP54+EP54                 -         SUMIF('Berechnung Nährstoffe und Lager'!$AX$113:$AX$155,$CX54,'Berechnung Nährstoffe und Lager'!$V$113:$V$155)/12  -$GC54*$HC54/12</f>
        <v>0</v>
      </c>
      <c r="FS54" s="2042">
        <f>FR54+DQ54+EQ54                 -         SUMIF('Berechnung Nährstoffe und Lager'!$AX$113:$AX$155,$CX54,'Berechnung Nährstoffe und Lager'!$V$113:$V$155)/12  -$GC54*$HC54/12</f>
        <v>0</v>
      </c>
      <c r="FT54" s="2042">
        <f>FS54+DR54+ER54                 -         SUMIF('Berechnung Nährstoffe und Lager'!$AX$113:$AX$155,$CX54,'Berechnung Nährstoffe und Lager'!$V$113:$V$155)/12  -$GC54*$HC54/12</f>
        <v>0</v>
      </c>
      <c r="FU54" s="2042">
        <f>FT54+DS54+ES54                 -         SUMIF('Berechnung Nährstoffe und Lager'!$AX$113:$AX$155,$CX54,'Berechnung Nährstoffe und Lager'!$V$113:$V$155)/12  -$GC54*$HC54/12</f>
        <v>0</v>
      </c>
      <c r="FV54" s="2042">
        <f>FU54+DT54+ET54                 -         SUMIF('Berechnung Nährstoffe und Lager'!$AX$113:$AX$155,$CX54,'Berechnung Nährstoffe und Lager'!$V$113:$V$155)/12  -$GC54*$HC54/12</f>
        <v>0</v>
      </c>
      <c r="FW54" s="2042">
        <f>FV54+DU54+EU54                 -         SUMIF('Berechnung Nährstoffe und Lager'!$AX$113:$AX$155,$CX54,'Berechnung Nährstoffe und Lager'!$V$113:$V$155)/12  -$GC54*$HC54/12</f>
        <v>0</v>
      </c>
      <c r="FX54" s="2042">
        <f>FW54+DV54+EV54                 -         SUMIF('Berechnung Nährstoffe und Lager'!$AX$113:$AX$155,$CX54,'Berechnung Nährstoffe und Lager'!$V$113:$V$155)/12  -$GC54*$HC54/12</f>
        <v>0</v>
      </c>
      <c r="FY54" s="2042">
        <f>FX54+DW54+EW54                 -         SUMIF('Berechnung Nährstoffe und Lager'!$AX$113:$AX$155,$CX54,'Berechnung Nährstoffe und Lager'!$V$113:$V$155)/12  -$GC54*$HC54/12</f>
        <v>0</v>
      </c>
      <c r="FZ54" s="2042">
        <f>FY54+DX54+EX54                 -         SUMIF('Berechnung Nährstoffe und Lager'!$AX$113:$AX$155,$CX54,'Berechnung Nährstoffe und Lager'!$V$113:$V$155)/12  -$GC54*$HC54/12</f>
        <v>0</v>
      </c>
      <c r="GA54" s="2042"/>
      <c r="GB54" s="2042">
        <f>SUMIFS($CI$14:$CI$68,$BR$14:$BR$68,$CX54)+SUMIFS($CM$14:$CM$68,$BR$14:$BR$68,$CX54)+SUMIFS($CR$14:$CR$68,$BR$14:$BR$68,$CX54)  -         SUMIF('Berechnung Nährstoffe und Lager'!$AX$113:$AX$155,$CX54,'Berechnung Nährstoffe und Lager'!$U$113:$U$155)</f>
        <v>0</v>
      </c>
      <c r="GC54" s="2042">
        <f>SUMIFS($CJ$14:$CJ$68,$BR$14:$BR$68,$CX54)+SUMIFS($CO$14:$CO$68,$BR$14:$BR$68,$CX54)+SUMIFS($CT$14:$CT$68,$BR$14:$BR$68,$CX54)  -         SUMIF('Berechnung Nährstoffe und Lager'!$AX$113:$AX$155,$CX54,'Berechnung Nährstoffe und Lager'!$V$113:$V$155)</f>
        <v>0</v>
      </c>
      <c r="GD54" s="2042"/>
      <c r="GE54" s="2042"/>
      <c r="GF54" s="2042">
        <f>SUMIF('Berechnung Nährstoffe und Lager'!$AX$113:$AX$155,$CX54,'Berechnung Nährstoffe und Lager'!$U$113:$U$155)</f>
        <v>0</v>
      </c>
      <c r="GG54" s="2042">
        <f>SUMIF('Berechnung Nährstoffe und Lager'!$AX$113:$AX$155,$CX54,'Berechnung Nährstoffe und Lager'!$V$113:$V$155)</f>
        <v>0</v>
      </c>
      <c r="GH54" s="2042">
        <f t="shared" si="52"/>
        <v>0</v>
      </c>
      <c r="GI54" s="2042">
        <f t="shared" si="53"/>
        <v>0</v>
      </c>
      <c r="GJ54" s="2042">
        <f t="shared" si="121"/>
        <v>0</v>
      </c>
      <c r="GK54" s="2042">
        <f t="shared" si="122"/>
        <v>0</v>
      </c>
      <c r="GL54" s="2042">
        <f t="shared" si="123"/>
        <v>0</v>
      </c>
      <c r="GM54" s="2042" cm="1">
        <f t="array" ref="GM54">IF(GL54=0,0,(IFERROR(SUMPRODUCT($J$14:$J$68,$CH$14:$CH$68,($BR$14:$BR$68=CX54)*1)+SUMPRODUCT($L$14:$L$68,$M$14:$M$68,$CK$14:$CK$68,($BR$14:$BR$68=CX54)*1,($BT$14:$BT$68=FALSE)*1)/10+SUMPRODUCT($R$14:$R$68,$CP$14:$CP$68,($BR$14:$BR$68=CX54)*1),0))/GL54)</f>
        <v>0</v>
      </c>
      <c r="GN54" s="2042">
        <f t="shared" si="54"/>
        <v>0</v>
      </c>
      <c r="GO54" s="2042">
        <f>(SUMIF('Berechnung Nährstoffe und Lager'!$AX$113:$AX$130,'Lagerhaltung (freiwillig)'!CX54,'Berechnung Nährstoffe und Lager'!$D$113:$D$130)+SUMIF('Berechnung Nährstoffe und Lager'!$AX$137:$AX$155,'Lagerhaltung (freiwillig)'!CX54,'Berechnung Nährstoffe und Lager'!$E$137:$E$155))</f>
        <v>0</v>
      </c>
      <c r="GP54" s="2042" cm="1">
        <f t="array" ref="GP54">IF(GO54=0,0,(IFERROR(SUMPRODUCT('Berechnung Nährstoffe und Lager'!$D$113:$D$130,'Berechnung Nährstoffe und Lager'!$F$113:$F$130,('Berechnung Nährstoffe und Lager'!$AX$113:$AX$130='Lagerhaltung (freiwillig)'!CX54)*1)+SUMPRODUCT('Berechnung Nährstoffe und Lager'!$E$137:$E$155,'Berechnung Nährstoffe und Lager'!$F$137:$F$155,('Berechnung Nährstoffe und Lager'!$AX$137:$AX$155='Lagerhaltung (freiwillig)'!CX54)*1),0))/GO54)</f>
        <v>0</v>
      </c>
      <c r="GQ54" s="2042">
        <f t="shared" si="55"/>
        <v>0</v>
      </c>
      <c r="GR54" s="2042">
        <f t="shared" si="56"/>
        <v>0</v>
      </c>
      <c r="GS54" s="2042">
        <f t="shared" si="57"/>
        <v>0</v>
      </c>
      <c r="GT54" s="2042">
        <f t="shared" si="58"/>
        <v>0</v>
      </c>
      <c r="GU54" s="2045" t="str">
        <f t="shared" si="39"/>
        <v xml:space="preserve"> </v>
      </c>
      <c r="GV54" s="2045" t="str">
        <f t="shared" si="39"/>
        <v xml:space="preserve"> </v>
      </c>
      <c r="GW54" s="2054">
        <f t="shared" si="124"/>
        <v>0</v>
      </c>
      <c r="GX54" s="2042">
        <f t="shared" si="125"/>
        <v>0</v>
      </c>
      <c r="GY54" s="2042" t="str">
        <f t="shared" si="120"/>
        <v>a</v>
      </c>
      <c r="GZ54" s="2055">
        <f t="shared" si="126"/>
        <v>0</v>
      </c>
      <c r="HA54" s="2055">
        <f t="shared" si="127"/>
        <v>0</v>
      </c>
      <c r="HB54" s="2055"/>
      <c r="HC54" s="2046">
        <f t="shared" si="128"/>
        <v>0</v>
      </c>
      <c r="HD54" s="2055">
        <f t="shared" si="129"/>
        <v>0</v>
      </c>
      <c r="HE54" s="2055">
        <f t="shared" si="130"/>
        <v>0</v>
      </c>
      <c r="HF54" s="2055">
        <f t="shared" si="131"/>
        <v>0</v>
      </c>
      <c r="HG54" s="2282" cm="1">
        <f t="array" ref="HG54">IF(AND(HE54=0,GJ54=0),0,IF(HE54=0,1,IF(OR(GJ54*1000/HE54/HF54&gt;INDEX(Pflanzen!$AD$5:$AD$109,CX54)/INDEX(Pflanzen!$M$5:$M$109,CX54)*$HG$1,GJ54*1000/HE54/HF54&lt;INDEX(Pflanzen!$AD$5:$AD$109,CX54)/INDEX(Pflanzen!$M$5:$M$109,CX54)/$HG$1),1,0)))</f>
        <v>0</v>
      </c>
      <c r="HH54" s="2282" cm="1">
        <f t="array" ref="HH54">IF(AND(GK54=0,HE54=0),0,IF(HE54=0,1,IF(OR(GK54*1000/HE54/HF54&gt;INDEX(Pflanzen!$AE$5:$AE$109,CX54)/INDEX(Pflanzen!$M$5:$M$109,CX54)*$HG$1,GK54*1000/HE54/HF54&lt;INDEX(Pflanzen!$AE$5:$AE$109,CX54)/INDEX(Pflanzen!$M$5:$M$109,CX54)/$HG$1),1,0)))</f>
        <v>0</v>
      </c>
      <c r="HI54" s="2042">
        <f t="shared" si="132"/>
        <v>3</v>
      </c>
      <c r="HJ54" s="2042"/>
      <c r="HL54" s="2042"/>
      <c r="HM54" s="2052" t="str">
        <f>Tiere!B80</f>
        <v>Damwild mit Nachzucht</v>
      </c>
      <c r="HN54" s="2042">
        <v>51</v>
      </c>
      <c r="HO54" s="2053">
        <f>SUMIF('Berechnung Nährstoffe und Lager'!$BM$68:$BM$81,'Lagerhaltung (freiwillig)'!HN54,'Berechnung Nährstoffe und Lager'!$Z$68:$Z$81)+SUMIF('Berechnung Nährstoffe und Lager'!$BM$68:$BM$81,'Lagerhaltung (freiwillig)'!HN54,'Berechnung Nährstoffe und Lager'!$AA$68:$AA$81)</f>
        <v>0</v>
      </c>
      <c r="HP54" s="2042" cm="1">
        <f t="array" ref="HP54">INDEX(Tiere!$C$30:$C$85,'Lagerhaltung (freiwillig)'!HN54)</f>
        <v>8</v>
      </c>
      <c r="HQ54" s="2042" cm="1">
        <f t="array" ref="HQ54">INDEX(Tiere!$H$30:$H$85,'Lagerhaltung (freiwillig)'!HN54)</f>
        <v>21.3</v>
      </c>
      <c r="HR54" s="2042">
        <f t="shared" si="112"/>
        <v>0</v>
      </c>
      <c r="HS54" s="2042" cm="1">
        <f t="array" ref="HS54">INDEX(Tiere!$I$30:$I$85,'Lagerhaltung (freiwillig)'!HN54)</f>
        <v>6.1</v>
      </c>
      <c r="HT54" s="2042">
        <f t="shared" si="13"/>
        <v>0</v>
      </c>
      <c r="HU54" s="2042" cm="1">
        <f t="array" ref="HU54">INDEX(Tiere!$BC$30:$BC$85,'Lagerhaltung (freiwillig)'!HN54)</f>
        <v>1.1700000000000002</v>
      </c>
      <c r="HV54" s="2042">
        <f t="shared" si="110"/>
        <v>0</v>
      </c>
      <c r="HW54" s="2042" cm="1">
        <f t="array" ref="HW54">INDEX(Tiere!$BD$30:$BD$85,'Lagerhaltung (freiwillig)'!HN54)</f>
        <v>0.61650000000000005</v>
      </c>
      <c r="HX54" s="2042">
        <f t="shared" si="111"/>
        <v>0</v>
      </c>
      <c r="HY54" s="2042"/>
      <c r="HZ54" s="2042"/>
      <c r="IA54" s="2042"/>
      <c r="IB54" s="2042"/>
      <c r="IC54" s="2042"/>
      <c r="ID54" s="2042"/>
      <c r="IE54" s="2042"/>
      <c r="IF54" s="2042"/>
      <c r="IG54" s="2042"/>
      <c r="IH54" s="2042"/>
      <c r="II54" s="2042"/>
      <c r="IJ54" s="2042"/>
    </row>
    <row r="55" spans="6:244" ht="15.6" customHeight="1" x14ac:dyDescent="0.2">
      <c r="F55" s="1259"/>
      <c r="G55" s="2314"/>
      <c r="H55" s="2293"/>
      <c r="I55" s="2014" t="str">
        <f t="shared" si="133"/>
        <v/>
      </c>
      <c r="J55" s="1256"/>
      <c r="K55" s="2014" t="str">
        <f t="shared" si="134"/>
        <v/>
      </c>
      <c r="L55" s="1970"/>
      <c r="M55" s="1246"/>
      <c r="N55" s="1870"/>
      <c r="O55" s="1870"/>
      <c r="P55" s="2222"/>
      <c r="Q55" s="2014" t="str">
        <f t="shared" si="135"/>
        <v/>
      </c>
      <c r="R55" s="1970"/>
      <c r="S55" s="1246"/>
      <c r="T55" s="1256"/>
      <c r="V55" s="2316" t="str">
        <f t="shared" si="156"/>
        <v/>
      </c>
      <c r="Y55" s="2005" t="str" cm="1">
        <f t="array" ref="Y55">IFERROR(INDEX($CW$4:$CW$171,AY55),"")</f>
        <v/>
      </c>
      <c r="Z55" s="510"/>
      <c r="AA55" s="510"/>
      <c r="AB55" s="510"/>
      <c r="AC55" s="2031" t="str" cm="1">
        <f t="array" ref="AC55">IFERROR(INDEX($GL$4:$GL$171,AY55),"")</f>
        <v/>
      </c>
      <c r="AD55" s="2031" t="str" cm="1">
        <f t="array" ref="AD55">IFERROR(INDEX($GM$4:$GM$171,AY55),"")</f>
        <v/>
      </c>
      <c r="AE55" s="2031" t="str" cm="1">
        <f t="array" ref="AE55">IFERROR(INDEX($GH$4:$GH$171,AY55),"")</f>
        <v/>
      </c>
      <c r="AF55" s="2031" t="str" cm="1">
        <f t="array" ref="AF55">IFERROR(INDEX($GI$4:$GI$171,AY55),"")</f>
        <v/>
      </c>
      <c r="AG55" s="2031" t="str" cm="1">
        <f t="array" ref="AG55">IFERROR(INDEX($GO$4:$GO$171,AY55),"")</f>
        <v/>
      </c>
      <c r="AH55" s="2031" t="str" cm="1">
        <f t="array" ref="AH55">IFERROR(INDEX($GP$4:$GP$171,AY55),"")</f>
        <v/>
      </c>
      <c r="AI55" s="2031" t="str" cm="1">
        <f t="array" ref="AI55">IFERROR(INDEX($GF$4:$GF$171,AY55),"")</f>
        <v/>
      </c>
      <c r="AJ55" s="2031" t="str" cm="1">
        <f t="array" ref="AJ55">IFERROR(INDEX($GG$4:$GG$171,AY55),"")</f>
        <v/>
      </c>
      <c r="AK55" s="2031" t="str" cm="1">
        <f t="array" ref="AK55">IFERROR(INDEX($GS$4:$GS$171,AY55),"")</f>
        <v/>
      </c>
      <c r="AL55" s="2032" t="str" cm="1">
        <f t="array" ref="AL55">IFERROR(INDEX($GT$4:$GT$171,AY55),"")</f>
        <v/>
      </c>
      <c r="AM55" s="2031" t="str" cm="1">
        <f t="array" ref="AM55">IFERROR(INDEX($GB$4:$GB$171,AY55),"")</f>
        <v/>
      </c>
      <c r="AN55" s="2031" t="str" cm="1">
        <f t="array" ref="AN55">IFERROR(INDEX($GC$4:$GC$171,AY55),"")</f>
        <v/>
      </c>
      <c r="AO55" s="2031" t="str" cm="1">
        <f t="array" ref="AO55">IFERROR(INDEX($GU$4:$GU$171,AY55),"")</f>
        <v/>
      </c>
      <c r="AP55" s="2031" t="str" cm="1">
        <f t="array" ref="AP55">IFERROR(INDEX($GX$4:$GX$171,AY55),"")</f>
        <v/>
      </c>
      <c r="AQ55" s="1316"/>
      <c r="AR55" s="2031" t="str" cm="1">
        <f t="array" ref="AR55">IFERROR(INDEX($HD$4:$HD$171,AY55),"")</f>
        <v/>
      </c>
      <c r="AS55" s="2031" t="str" cm="1">
        <f t="array" ref="AS55">IFERROR(INDEX($HE$4:$HE$171,AY55),"")</f>
        <v/>
      </c>
      <c r="AT55" s="2031" t="str" cm="1">
        <f t="array" ref="AT55">IFERROR(INDEX($HF$4:$HF$171,AY55),"")</f>
        <v/>
      </c>
      <c r="AU55" s="2031" t="str" cm="1">
        <f t="array" ref="AU55">IFERROR(INDEX($GJ$4:$GJ$171,AY55),"")</f>
        <v/>
      </c>
      <c r="AV55" s="2031" t="str" cm="1">
        <f t="array" ref="AV55">IFERROR(INDEX($GK$4:$GK$171,AY55),"")</f>
        <v/>
      </c>
      <c r="AY55" s="2042" t="str" cm="1">
        <f t="array" ref="AY55">IFERROR(SMALL(IF($HI$4:$HI$171=1,ROW($HI$4:$HI$171)-3),ROW(W40)),IFERROR(SMALL(IF($HI$4:$HI$171=2,ROW($HI$4:$HI$171)-3),ROW(W40)-COUNTIF($HI$4:$HI$171,1)),IFERROR(SMALL(IF($HI$4:$HI$171=0,ROW($HI$4:$HI$171)-3),ROW(W40)-COUNTIF($HI$4:$HI$171,1)-COUNTIF($HI$4:$HI$171,2)),"")))</f>
        <v/>
      </c>
      <c r="AZ55" s="2042" t="str">
        <f t="shared" si="117"/>
        <v>a</v>
      </c>
      <c r="BA55" s="2053" t="e">
        <f t="shared" si="118"/>
        <v>#VALUE!</v>
      </c>
      <c r="BB55" s="2053" cm="1">
        <f t="array" ref="BB55">IFERROR(INDEX($HI$4:$HI$171,AY55),0)</f>
        <v>0</v>
      </c>
      <c r="BC55" s="2053">
        <f t="shared" si="119"/>
        <v>0</v>
      </c>
      <c r="BD55" s="2053"/>
      <c r="BE55" s="2307"/>
      <c r="BF55" s="2307"/>
      <c r="BG55" s="2307"/>
      <c r="BH55" s="2307"/>
      <c r="BI55" s="2307"/>
      <c r="BJ55" s="2307"/>
      <c r="BK55" s="2307"/>
      <c r="BL55" s="2307"/>
      <c r="BM55" s="2307"/>
      <c r="BN55" s="2307"/>
      <c r="BO55" s="2307"/>
      <c r="BP55" s="2043"/>
      <c r="BQ55" s="2042">
        <v>1</v>
      </c>
      <c r="BR55" cm="1">
        <f t="array" ref="BR55">INDEX(Pflanzen!$B$5:$B$117,'Lagerhaltung (freiwillig)'!BQ55)</f>
        <v>1</v>
      </c>
      <c r="BS55" s="2042"/>
      <c r="BT55" s="2042" t="b">
        <v>0</v>
      </c>
      <c r="BU55" s="2044"/>
      <c r="BV55" s="2044"/>
      <c r="BW55" s="2042">
        <f t="shared" si="136"/>
        <v>12</v>
      </c>
      <c r="BX55" s="2042">
        <f t="shared" si="137"/>
        <v>0</v>
      </c>
      <c r="BY55" s="2042">
        <f t="shared" si="138"/>
        <v>12</v>
      </c>
      <c r="BZ55" s="2042" cm="1">
        <f t="array" ref="BZ55">INDEX(Pflanzen!$AI$5:$AI$119,'Lagerhaltung (freiwillig)'!BR55)</f>
        <v>0</v>
      </c>
      <c r="CA55" s="2042" cm="1">
        <f t="array" ref="CA55">IF(BZ55=1,INDEX(Pflanzen!$AJ$5:$AJ$119,BR55),N55)</f>
        <v>0</v>
      </c>
      <c r="CB55" s="2042" cm="1">
        <f t="array" ref="CB55">IF(BZ55=1,INDEX(Pflanzen!$AK$5:$AK$119,BR55),O55)</f>
        <v>0</v>
      </c>
      <c r="CC55" s="2042">
        <f t="shared" si="139"/>
        <v>12</v>
      </c>
      <c r="CD55" s="2042">
        <f t="shared" si="140"/>
        <v>0</v>
      </c>
      <c r="CE55" s="2042">
        <f t="shared" si="141"/>
        <v>12</v>
      </c>
      <c r="CF55" s="2042" cm="1">
        <f t="array" ref="CF55">INDEX(Pflanzen!$F$5:$F$119,BR55)</f>
        <v>0</v>
      </c>
      <c r="CG55" s="2042" cm="1">
        <f t="array" ref="CG55">INDEX(Pflanzen!$H$5:$H$119,BR55)</f>
        <v>0</v>
      </c>
      <c r="CH55" s="2042">
        <f t="shared" si="142"/>
        <v>0</v>
      </c>
      <c r="CI55" s="2042">
        <f t="shared" si="143"/>
        <v>0</v>
      </c>
      <c r="CJ55" s="2042">
        <f t="shared" si="144"/>
        <v>0</v>
      </c>
      <c r="CK55" s="2042">
        <f t="shared" si="145"/>
        <v>0</v>
      </c>
      <c r="CL55" s="2042">
        <f t="shared" si="146"/>
        <v>0</v>
      </c>
      <c r="CM55" s="2042">
        <f t="shared" si="147"/>
        <v>0</v>
      </c>
      <c r="CN55" s="2042">
        <f t="shared" si="148"/>
        <v>0</v>
      </c>
      <c r="CO55" s="2042">
        <f t="shared" si="149"/>
        <v>0</v>
      </c>
      <c r="CP55" s="2042">
        <f t="shared" si="150"/>
        <v>0</v>
      </c>
      <c r="CQ55" s="2042">
        <f t="shared" si="151"/>
        <v>0</v>
      </c>
      <c r="CR55" s="2042">
        <f t="shared" si="152"/>
        <v>0</v>
      </c>
      <c r="CS55" s="2042">
        <f t="shared" si="153"/>
        <v>0</v>
      </c>
      <c r="CT55" s="2042">
        <f t="shared" si="154"/>
        <v>0</v>
      </c>
      <c r="CU55" s="2042">
        <f t="shared" si="155"/>
        <v>0</v>
      </c>
      <c r="CV55" s="2042"/>
      <c r="CW55" s="609" t="str">
        <f>Pflanzen!A51</f>
        <v>GPS Weizen</v>
      </c>
      <c r="CX55" s="2042">
        <f>IFERROR(MATCH($CW55,Pflanzen!$C$5:$C$119,0),1)</f>
        <v>47</v>
      </c>
      <c r="CY55" s="609" cm="1">
        <f t="array" ref="CY55">INDEX(Pflanzen!$I$5:$I$119,'Lagerhaltung (freiwillig)'!CX55)</f>
        <v>1</v>
      </c>
      <c r="CZ55" s="2042">
        <f t="shared" si="157"/>
        <v>0</v>
      </c>
      <c r="DA55" s="2042">
        <f t="shared" si="157"/>
        <v>0</v>
      </c>
      <c r="DB55" s="2042">
        <f t="shared" si="157"/>
        <v>0</v>
      </c>
      <c r="DC55" s="2042">
        <f t="shared" si="157"/>
        <v>0</v>
      </c>
      <c r="DD55" s="2042">
        <f t="shared" si="157"/>
        <v>0</v>
      </c>
      <c r="DE55" s="2042">
        <f t="shared" si="157"/>
        <v>0</v>
      </c>
      <c r="DF55" s="2042">
        <f t="shared" si="157"/>
        <v>0</v>
      </c>
      <c r="DG55" s="2042">
        <f t="shared" si="157"/>
        <v>0</v>
      </c>
      <c r="DH55" s="2042">
        <f t="shared" si="157"/>
        <v>0</v>
      </c>
      <c r="DI55" s="2042">
        <f t="shared" si="157"/>
        <v>0</v>
      </c>
      <c r="DJ55" s="2042">
        <f t="shared" si="157"/>
        <v>0</v>
      </c>
      <c r="DK55" s="2042">
        <f t="shared" si="157"/>
        <v>0</v>
      </c>
      <c r="DL55" s="2042"/>
      <c r="DM55" s="2042">
        <f t="shared" si="158"/>
        <v>0</v>
      </c>
      <c r="DN55" s="2042">
        <f t="shared" si="158"/>
        <v>0</v>
      </c>
      <c r="DO55" s="2042">
        <f t="shared" si="158"/>
        <v>0</v>
      </c>
      <c r="DP55" s="2042">
        <f t="shared" si="158"/>
        <v>0</v>
      </c>
      <c r="DQ55" s="2042">
        <f t="shared" si="158"/>
        <v>0</v>
      </c>
      <c r="DR55" s="2042">
        <f t="shared" si="158"/>
        <v>0</v>
      </c>
      <c r="DS55" s="2042">
        <f t="shared" si="158"/>
        <v>0</v>
      </c>
      <c r="DT55" s="2042">
        <f t="shared" si="158"/>
        <v>0</v>
      </c>
      <c r="DU55" s="2042">
        <f t="shared" si="158"/>
        <v>0</v>
      </c>
      <c r="DV55" s="2042">
        <f t="shared" si="158"/>
        <v>0</v>
      </c>
      <c r="DW55" s="2042">
        <f t="shared" si="158"/>
        <v>0</v>
      </c>
      <c r="DX55" s="2042">
        <f t="shared" si="158"/>
        <v>0</v>
      </c>
      <c r="DY55" s="2042"/>
      <c r="DZ55" s="2042">
        <f t="shared" si="159"/>
        <v>0</v>
      </c>
      <c r="EA55" s="2042">
        <f t="shared" si="159"/>
        <v>0</v>
      </c>
      <c r="EB55" s="2042">
        <f t="shared" si="159"/>
        <v>0</v>
      </c>
      <c r="EC55" s="2042">
        <f t="shared" si="159"/>
        <v>0</v>
      </c>
      <c r="ED55" s="2042">
        <f t="shared" si="159"/>
        <v>0</v>
      </c>
      <c r="EE55" s="2042">
        <f t="shared" si="159"/>
        <v>0</v>
      </c>
      <c r="EF55" s="2042">
        <f t="shared" si="159"/>
        <v>0</v>
      </c>
      <c r="EG55" s="2042">
        <f t="shared" si="159"/>
        <v>0</v>
      </c>
      <c r="EH55" s="2042">
        <f t="shared" si="159"/>
        <v>0</v>
      </c>
      <c r="EI55" s="2042">
        <f t="shared" si="159"/>
        <v>0</v>
      </c>
      <c r="EJ55" s="2042">
        <f t="shared" si="159"/>
        <v>0</v>
      </c>
      <c r="EK55" s="2042">
        <f t="shared" si="159"/>
        <v>0</v>
      </c>
      <c r="EL55" s="2042"/>
      <c r="EM55" s="2042">
        <f t="shared" si="160"/>
        <v>0</v>
      </c>
      <c r="EN55" s="2042">
        <f t="shared" si="160"/>
        <v>0</v>
      </c>
      <c r="EO55" s="2042">
        <f t="shared" si="160"/>
        <v>0</v>
      </c>
      <c r="EP55" s="2042">
        <f t="shared" si="160"/>
        <v>0</v>
      </c>
      <c r="EQ55" s="2042">
        <f t="shared" si="160"/>
        <v>0</v>
      </c>
      <c r="ER55" s="2042">
        <f t="shared" si="160"/>
        <v>0</v>
      </c>
      <c r="ES55" s="2042">
        <f t="shared" si="160"/>
        <v>0</v>
      </c>
      <c r="ET55" s="2042">
        <f t="shared" si="160"/>
        <v>0</v>
      </c>
      <c r="EU55" s="2042">
        <f t="shared" si="160"/>
        <v>0</v>
      </c>
      <c r="EV55" s="2042">
        <f t="shared" si="160"/>
        <v>0</v>
      </c>
      <c r="EW55" s="2042">
        <f t="shared" si="160"/>
        <v>0</v>
      </c>
      <c r="EX55" s="2042">
        <f t="shared" si="160"/>
        <v>0</v>
      </c>
      <c r="EY55" s="2042"/>
      <c r="EZ55" s="2045">
        <f t="shared" si="50"/>
        <v>0</v>
      </c>
      <c r="FA55" s="2042">
        <f>EZ55+CZ55+DZ55                 -         SUMIF('Berechnung Nährstoffe und Lager'!$AX$113:$AX$155,$CX55,'Berechnung Nährstoffe und Lager'!$U$113:$U$155)/12  -$GB55*$HC55/12</f>
        <v>0</v>
      </c>
      <c r="FB55" s="2042">
        <f>FA55+DA55+EA55                 -         SUMIF('Berechnung Nährstoffe und Lager'!$AX$113:$AX$155,$CX55,'Berechnung Nährstoffe und Lager'!$U$113:$U$155)/12  -$GB55*$HC55/12</f>
        <v>0</v>
      </c>
      <c r="FC55" s="2042">
        <f>FB55+DB55+EB55                 -         SUMIF('Berechnung Nährstoffe und Lager'!$AX$113:$AX$155,$CX55,'Berechnung Nährstoffe und Lager'!$U$113:$U$155)/12  -$GB55*$HC55/12</f>
        <v>0</v>
      </c>
      <c r="FD55" s="2042">
        <f>FC55+DC55+EC55                 -         SUMIF('Berechnung Nährstoffe und Lager'!$AX$113:$AX$155,$CX55,'Berechnung Nährstoffe und Lager'!$U$113:$U$155)/12  -$GB55*$HC55/12</f>
        <v>0</v>
      </c>
      <c r="FE55" s="2042">
        <f>FD55+DD55+ED55                 -         SUMIF('Berechnung Nährstoffe und Lager'!$AX$113:$AX$155,$CX55,'Berechnung Nährstoffe und Lager'!$U$113:$U$155)/12  -$GB55*$HC55/12</f>
        <v>0</v>
      </c>
      <c r="FF55" s="2042">
        <f>FE55+DE55+EE55                 -         SUMIF('Berechnung Nährstoffe und Lager'!$AX$113:$AX$155,$CX55,'Berechnung Nährstoffe und Lager'!$U$113:$U$155)/12  -$GB55*$HC55/12</f>
        <v>0</v>
      </c>
      <c r="FG55" s="2042">
        <f>FF55+DF55+EF55                 -         SUMIF('Berechnung Nährstoffe und Lager'!$AX$113:$AX$155,$CX55,'Berechnung Nährstoffe und Lager'!$U$113:$U$155)/12  -$GB55*$HC55/12</f>
        <v>0</v>
      </c>
      <c r="FH55" s="2042">
        <f>FG55+DG55+EG55                 -         SUMIF('Berechnung Nährstoffe und Lager'!$AX$113:$AX$155,$CX55,'Berechnung Nährstoffe und Lager'!$U$113:$U$155)/12  -$GB55*$HC55/12</f>
        <v>0</v>
      </c>
      <c r="FI55" s="2042">
        <f>FH55+DH55+EH55                 -         SUMIF('Berechnung Nährstoffe und Lager'!$AX$113:$AX$155,$CX55,'Berechnung Nährstoffe und Lager'!$U$113:$U$155)/12  -$GB55*$HC55/12</f>
        <v>0</v>
      </c>
      <c r="FJ55" s="2042">
        <f>FI55+DI55+EI55                 -         SUMIF('Berechnung Nährstoffe und Lager'!$AX$113:$AX$155,$CX55,'Berechnung Nährstoffe und Lager'!$U$113:$U$155)/12  -$GB55*$HC55/12</f>
        <v>0</v>
      </c>
      <c r="FK55" s="2042">
        <f>FJ55+DJ55+EJ55                 -         SUMIF('Berechnung Nährstoffe und Lager'!$AX$113:$AX$155,$CX55,'Berechnung Nährstoffe und Lager'!$U$113:$U$155)/12  -$GB55*$HC55/12</f>
        <v>0</v>
      </c>
      <c r="FL55" s="2042">
        <f>FK55+DK55+EK55                 -         SUMIF('Berechnung Nährstoffe und Lager'!$AX$113:$AX$155,$CX55,'Berechnung Nährstoffe und Lager'!$U$113:$U$155)/12  -$GB55*$HC55/12</f>
        <v>0</v>
      </c>
      <c r="FM55" s="2042"/>
      <c r="FN55" s="2045">
        <f t="shared" si="51"/>
        <v>0</v>
      </c>
      <c r="FO55" s="2042">
        <f>FN55+DM55+EM55                 -         SUMIF('Berechnung Nährstoffe und Lager'!$AX$113:$AX$155,$CX55,'Berechnung Nährstoffe und Lager'!$V$113:$V$155)/12  -$GC55*$HC55/12</f>
        <v>0</v>
      </c>
      <c r="FP55" s="2042">
        <f>FO55+DN55+EN55                 -         SUMIF('Berechnung Nährstoffe und Lager'!$AX$113:$AX$155,$CX55,'Berechnung Nährstoffe und Lager'!$V$113:$V$155)/12  -$GC55*$HC55/12</f>
        <v>0</v>
      </c>
      <c r="FQ55" s="2042">
        <f>FP55+DO55+EO55                 -         SUMIF('Berechnung Nährstoffe und Lager'!$AX$113:$AX$155,$CX55,'Berechnung Nährstoffe und Lager'!$V$113:$V$155)/12  -$GC55*$HC55/12</f>
        <v>0</v>
      </c>
      <c r="FR55" s="2042">
        <f>FQ55+DP55+EP55                 -         SUMIF('Berechnung Nährstoffe und Lager'!$AX$113:$AX$155,$CX55,'Berechnung Nährstoffe und Lager'!$V$113:$V$155)/12  -$GC55*$HC55/12</f>
        <v>0</v>
      </c>
      <c r="FS55" s="2042">
        <f>FR55+DQ55+EQ55                 -         SUMIF('Berechnung Nährstoffe und Lager'!$AX$113:$AX$155,$CX55,'Berechnung Nährstoffe und Lager'!$V$113:$V$155)/12  -$GC55*$HC55/12</f>
        <v>0</v>
      </c>
      <c r="FT55" s="2042">
        <f>FS55+DR55+ER55                 -         SUMIF('Berechnung Nährstoffe und Lager'!$AX$113:$AX$155,$CX55,'Berechnung Nährstoffe und Lager'!$V$113:$V$155)/12  -$GC55*$HC55/12</f>
        <v>0</v>
      </c>
      <c r="FU55" s="2042">
        <f>FT55+DS55+ES55                 -         SUMIF('Berechnung Nährstoffe und Lager'!$AX$113:$AX$155,$CX55,'Berechnung Nährstoffe und Lager'!$V$113:$V$155)/12  -$GC55*$HC55/12</f>
        <v>0</v>
      </c>
      <c r="FV55" s="2042">
        <f>FU55+DT55+ET55                 -         SUMIF('Berechnung Nährstoffe und Lager'!$AX$113:$AX$155,$CX55,'Berechnung Nährstoffe und Lager'!$V$113:$V$155)/12  -$GC55*$HC55/12</f>
        <v>0</v>
      </c>
      <c r="FW55" s="2042">
        <f>FV55+DU55+EU55                 -         SUMIF('Berechnung Nährstoffe und Lager'!$AX$113:$AX$155,$CX55,'Berechnung Nährstoffe und Lager'!$V$113:$V$155)/12  -$GC55*$HC55/12</f>
        <v>0</v>
      </c>
      <c r="FX55" s="2042">
        <f>FW55+DV55+EV55                 -         SUMIF('Berechnung Nährstoffe und Lager'!$AX$113:$AX$155,$CX55,'Berechnung Nährstoffe und Lager'!$V$113:$V$155)/12  -$GC55*$HC55/12</f>
        <v>0</v>
      </c>
      <c r="FY55" s="2042">
        <f>FX55+DW55+EW55                 -         SUMIF('Berechnung Nährstoffe und Lager'!$AX$113:$AX$155,$CX55,'Berechnung Nährstoffe und Lager'!$V$113:$V$155)/12  -$GC55*$HC55/12</f>
        <v>0</v>
      </c>
      <c r="FZ55" s="2042">
        <f>FY55+DX55+EX55                 -         SUMIF('Berechnung Nährstoffe und Lager'!$AX$113:$AX$155,$CX55,'Berechnung Nährstoffe und Lager'!$V$113:$V$155)/12  -$GC55*$HC55/12</f>
        <v>0</v>
      </c>
      <c r="GA55" s="2042"/>
      <c r="GB55" s="2042">
        <f>SUMIFS($CI$14:$CI$68,$BR$14:$BR$68,$CX55)+SUMIFS($CM$14:$CM$68,$BR$14:$BR$68,$CX55)+SUMIFS($CR$14:$CR$68,$BR$14:$BR$68,$CX55)  -         SUMIF('Berechnung Nährstoffe und Lager'!$AX$113:$AX$155,$CX55,'Berechnung Nährstoffe und Lager'!$U$113:$U$155)</f>
        <v>0</v>
      </c>
      <c r="GC55" s="2042">
        <f>SUMIFS($CJ$14:$CJ$68,$BR$14:$BR$68,$CX55)+SUMIFS($CO$14:$CO$68,$BR$14:$BR$68,$CX55)+SUMIFS($CT$14:$CT$68,$BR$14:$BR$68,$CX55)  -         SUMIF('Berechnung Nährstoffe und Lager'!$AX$113:$AX$155,$CX55,'Berechnung Nährstoffe und Lager'!$V$113:$V$155)</f>
        <v>0</v>
      </c>
      <c r="GD55" s="2042"/>
      <c r="GE55" s="2042"/>
      <c r="GF55" s="2042">
        <f>SUMIF('Berechnung Nährstoffe und Lager'!$AX$113:$AX$155,$CX55,'Berechnung Nährstoffe und Lager'!$U$113:$U$155)</f>
        <v>0</v>
      </c>
      <c r="GG55" s="2042">
        <f>SUMIF('Berechnung Nährstoffe und Lager'!$AX$113:$AX$155,$CX55,'Berechnung Nährstoffe und Lager'!$V$113:$V$155)</f>
        <v>0</v>
      </c>
      <c r="GH55" s="2042">
        <f t="shared" si="52"/>
        <v>0</v>
      </c>
      <c r="GI55" s="2042">
        <f t="shared" si="53"/>
        <v>0</v>
      </c>
      <c r="GJ55" s="2042">
        <f t="shared" si="121"/>
        <v>0</v>
      </c>
      <c r="GK55" s="2042">
        <f t="shared" si="122"/>
        <v>0</v>
      </c>
      <c r="GL55" s="2042">
        <f t="shared" si="123"/>
        <v>0</v>
      </c>
      <c r="GM55" s="2042" cm="1">
        <f t="array" ref="GM55">IF(GL55=0,0,(IFERROR(SUMPRODUCT($J$14:$J$68,$CH$14:$CH$68,($BR$14:$BR$68=CX55)*1)+SUMPRODUCT($L$14:$L$68,$M$14:$M$68,$CK$14:$CK$68,($BR$14:$BR$68=CX55)*1,($BT$14:$BT$68=FALSE)*1)/10+SUMPRODUCT($R$14:$R$68,$CP$14:$CP$68,($BR$14:$BR$68=CX55)*1),0))/GL55)</f>
        <v>0</v>
      </c>
      <c r="GN55" s="2042">
        <f t="shared" si="54"/>
        <v>0</v>
      </c>
      <c r="GO55" s="2042">
        <f>(SUMIF('Berechnung Nährstoffe und Lager'!$AX$113:$AX$130,'Lagerhaltung (freiwillig)'!CX55,'Berechnung Nährstoffe und Lager'!$D$113:$D$130)+SUMIF('Berechnung Nährstoffe und Lager'!$AX$137:$AX$155,'Lagerhaltung (freiwillig)'!CX55,'Berechnung Nährstoffe und Lager'!$E$137:$E$155))</f>
        <v>0</v>
      </c>
      <c r="GP55" s="2042" cm="1">
        <f t="array" ref="GP55">IF(GO55=0,0,(IFERROR(SUMPRODUCT('Berechnung Nährstoffe und Lager'!$D$113:$D$130,'Berechnung Nährstoffe und Lager'!$F$113:$F$130,('Berechnung Nährstoffe und Lager'!$AX$113:$AX$130='Lagerhaltung (freiwillig)'!CX55)*1)+SUMPRODUCT('Berechnung Nährstoffe und Lager'!$E$137:$E$155,'Berechnung Nährstoffe und Lager'!$F$137:$F$155,('Berechnung Nährstoffe und Lager'!$AX$137:$AX$155='Lagerhaltung (freiwillig)'!CX55)*1),0))/GO55)</f>
        <v>0</v>
      </c>
      <c r="GQ55" s="2042">
        <f t="shared" si="55"/>
        <v>0</v>
      </c>
      <c r="GR55" s="2042">
        <f t="shared" si="56"/>
        <v>0</v>
      </c>
      <c r="GS55" s="2042">
        <f t="shared" si="57"/>
        <v>0</v>
      </c>
      <c r="GT55" s="2042">
        <f t="shared" si="58"/>
        <v>0</v>
      </c>
      <c r="GU55" s="2045" t="str">
        <f t="shared" si="39"/>
        <v xml:space="preserve"> </v>
      </c>
      <c r="GV55" s="2045" t="str">
        <f t="shared" si="39"/>
        <v xml:space="preserve"> </v>
      </c>
      <c r="GW55" s="2054">
        <f t="shared" si="124"/>
        <v>0</v>
      </c>
      <c r="GX55" s="2042">
        <f t="shared" si="125"/>
        <v>0</v>
      </c>
      <c r="GY55" s="2042" t="str">
        <f t="shared" si="120"/>
        <v>a</v>
      </c>
      <c r="GZ55" s="2055">
        <f t="shared" si="126"/>
        <v>0</v>
      </c>
      <c r="HA55" s="2055">
        <f t="shared" si="127"/>
        <v>0</v>
      </c>
      <c r="HB55" s="2055"/>
      <c r="HC55" s="2046">
        <f t="shared" si="128"/>
        <v>0</v>
      </c>
      <c r="HD55" s="2055">
        <f t="shared" si="129"/>
        <v>0</v>
      </c>
      <c r="HE55" s="2055">
        <f t="shared" si="130"/>
        <v>0</v>
      </c>
      <c r="HF55" s="2055">
        <f t="shared" si="131"/>
        <v>0</v>
      </c>
      <c r="HG55" s="2282" cm="1">
        <f t="array" ref="HG55">IF(AND(HE55=0,GJ55=0),0,IF(HE55=0,1,IF(OR(GJ55*1000/HE55/HF55&gt;INDEX(Pflanzen!$AD$5:$AD$109,CX55)/INDEX(Pflanzen!$M$5:$M$109,CX55)*$HG$1,GJ55*1000/HE55/HF55&lt;INDEX(Pflanzen!$AD$5:$AD$109,CX55)/INDEX(Pflanzen!$M$5:$M$109,CX55)/$HG$1),1,0)))</f>
        <v>0</v>
      </c>
      <c r="HH55" s="2282" cm="1">
        <f t="array" ref="HH55">IF(AND(GK55=0,HE55=0),0,IF(HE55=0,1,IF(OR(GK55*1000/HE55/HF55&gt;INDEX(Pflanzen!$AE$5:$AE$109,CX55)/INDEX(Pflanzen!$M$5:$M$109,CX55)*$HG$1,GK55*1000/HE55/HF55&lt;INDEX(Pflanzen!$AE$5:$AE$109,CX55)/INDEX(Pflanzen!$M$5:$M$109,CX55)/$HG$1),1,0)))</f>
        <v>0</v>
      </c>
      <c r="HI55" s="2042">
        <f t="shared" si="132"/>
        <v>3</v>
      </c>
      <c r="HJ55" s="2042"/>
      <c r="HL55" s="2042"/>
      <c r="HM55" s="2052" t="str">
        <f>Tiere!B81</f>
        <v>Damwild Alttier</v>
      </c>
      <c r="HN55" s="2042">
        <v>52</v>
      </c>
      <c r="HO55" s="2053">
        <f>SUMIF('Berechnung Nährstoffe und Lager'!$BM$68:$BM$81,'Lagerhaltung (freiwillig)'!HN55,'Berechnung Nährstoffe und Lager'!$Z$68:$Z$81)+SUMIF('Berechnung Nährstoffe und Lager'!$BM$68:$BM$81,'Lagerhaltung (freiwillig)'!HN55,'Berechnung Nährstoffe und Lager'!$AA$68:$AA$81)</f>
        <v>0</v>
      </c>
      <c r="HP55" s="2042" cm="1">
        <f t="array" ref="HP55">INDEX(Tiere!$C$30:$C$85,'Lagerhaltung (freiwillig)'!HN55)</f>
        <v>8</v>
      </c>
      <c r="HQ55" s="2042" cm="1">
        <f t="array" ref="HQ55">INDEX(Tiere!$H$30:$H$85,'Lagerhaltung (freiwillig)'!HN55)</f>
        <v>15.1</v>
      </c>
      <c r="HR55" s="2042">
        <f t="shared" si="112"/>
        <v>0</v>
      </c>
      <c r="HS55" s="2042" cm="1">
        <f t="array" ref="HS55">INDEX(Tiere!$I$30:$I$85,'Lagerhaltung (freiwillig)'!HN55)</f>
        <v>4.8</v>
      </c>
      <c r="HT55" s="2042">
        <f t="shared" si="13"/>
        <v>0</v>
      </c>
      <c r="HU55" s="2042" cm="1">
        <f t="array" ref="HU55">INDEX(Tiere!$BC$30:$BC$85,'Lagerhaltung (freiwillig)'!HN55)</f>
        <v>0</v>
      </c>
      <c r="HV55" s="2042">
        <f t="shared" si="110"/>
        <v>0</v>
      </c>
      <c r="HW55" s="2042" cm="1">
        <f t="array" ref="HW55">INDEX(Tiere!$BD$30:$BD$85,'Lagerhaltung (freiwillig)'!HN55)</f>
        <v>0</v>
      </c>
      <c r="HX55" s="2042">
        <f t="shared" si="111"/>
        <v>0</v>
      </c>
      <c r="HY55" s="2042"/>
      <c r="HZ55" s="2042"/>
      <c r="IA55" s="2042"/>
      <c r="IB55" s="2042"/>
      <c r="IC55" s="2042"/>
      <c r="ID55" s="2042"/>
      <c r="IE55" s="2042"/>
      <c r="IF55" s="2042"/>
      <c r="IG55" s="2042"/>
      <c r="IH55" s="2042"/>
      <c r="II55" s="2042"/>
      <c r="IJ55" s="2042"/>
    </row>
    <row r="56" spans="6:244" ht="15.6" customHeight="1" x14ac:dyDescent="0.2">
      <c r="F56" s="1259"/>
      <c r="G56" s="2314"/>
      <c r="H56" s="2293"/>
      <c r="I56" s="2014" t="str">
        <f t="shared" si="133"/>
        <v/>
      </c>
      <c r="J56" s="1256"/>
      <c r="K56" s="2014" t="str">
        <f t="shared" si="134"/>
        <v/>
      </c>
      <c r="L56" s="1970"/>
      <c r="M56" s="1246"/>
      <c r="N56" s="1870"/>
      <c r="O56" s="1870"/>
      <c r="P56" s="2222"/>
      <c r="Q56" s="2014" t="str">
        <f t="shared" si="135"/>
        <v/>
      </c>
      <c r="R56" s="1970"/>
      <c r="S56" s="1246"/>
      <c r="T56" s="1256"/>
      <c r="V56" s="2316" t="str">
        <f t="shared" si="156"/>
        <v/>
      </c>
      <c r="Y56" s="2005" t="str" cm="1">
        <f t="array" ref="Y56">IFERROR(INDEX($CW$4:$CW$171,AY56),"")</f>
        <v/>
      </c>
      <c r="Z56" s="510"/>
      <c r="AA56" s="510"/>
      <c r="AB56" s="510"/>
      <c r="AC56" s="2031" t="str" cm="1">
        <f t="array" ref="AC56">IFERROR(INDEX($GL$4:$GL$171,AY56),"")</f>
        <v/>
      </c>
      <c r="AD56" s="2031" t="str" cm="1">
        <f t="array" ref="AD56">IFERROR(INDEX($GM$4:$GM$171,AY56),"")</f>
        <v/>
      </c>
      <c r="AE56" s="2031" t="str" cm="1">
        <f t="array" ref="AE56">IFERROR(INDEX($GH$4:$GH$171,AY56),"")</f>
        <v/>
      </c>
      <c r="AF56" s="2031" t="str" cm="1">
        <f t="array" ref="AF56">IFERROR(INDEX($GI$4:$GI$171,AY56),"")</f>
        <v/>
      </c>
      <c r="AG56" s="2031" t="str" cm="1">
        <f t="array" ref="AG56">IFERROR(INDEX($GO$4:$GO$171,AY56),"")</f>
        <v/>
      </c>
      <c r="AH56" s="2031" t="str" cm="1">
        <f t="array" ref="AH56">IFERROR(INDEX($GP$4:$GP$171,AY56),"")</f>
        <v/>
      </c>
      <c r="AI56" s="2031" t="str" cm="1">
        <f t="array" ref="AI56">IFERROR(INDEX($GF$4:$GF$171,AY56),"")</f>
        <v/>
      </c>
      <c r="AJ56" s="2031" t="str" cm="1">
        <f t="array" ref="AJ56">IFERROR(INDEX($GG$4:$GG$171,AY56),"")</f>
        <v/>
      </c>
      <c r="AK56" s="2031" t="str" cm="1">
        <f t="array" ref="AK56">IFERROR(INDEX($GS$4:$GS$171,AY56),"")</f>
        <v/>
      </c>
      <c r="AL56" s="2032" t="str" cm="1">
        <f t="array" ref="AL56">IFERROR(INDEX($GT$4:$GT$171,AY56),"")</f>
        <v/>
      </c>
      <c r="AM56" s="2031" t="str" cm="1">
        <f t="array" ref="AM56">IFERROR(INDEX($GB$4:$GB$171,AY56),"")</f>
        <v/>
      </c>
      <c r="AN56" s="2031" t="str" cm="1">
        <f t="array" ref="AN56">IFERROR(INDEX($GC$4:$GC$171,AY56),"")</f>
        <v/>
      </c>
      <c r="AO56" s="2031" t="str" cm="1">
        <f t="array" ref="AO56">IFERROR(INDEX($GU$4:$GU$171,AY56),"")</f>
        <v/>
      </c>
      <c r="AP56" s="2031" t="str" cm="1">
        <f t="array" ref="AP56">IFERROR(INDEX($GX$4:$GX$171,AY56),"")</f>
        <v/>
      </c>
      <c r="AQ56" s="1316"/>
      <c r="AR56" s="2031" t="str" cm="1">
        <f t="array" ref="AR56">IFERROR(INDEX($HD$4:$HD$171,AY56),"")</f>
        <v/>
      </c>
      <c r="AS56" s="2031" t="str" cm="1">
        <f t="array" ref="AS56">IFERROR(INDEX($HE$4:$HE$171,AY56),"")</f>
        <v/>
      </c>
      <c r="AT56" s="2031" t="str" cm="1">
        <f t="array" ref="AT56">IFERROR(INDEX($HF$4:$HF$171,AY56),"")</f>
        <v/>
      </c>
      <c r="AU56" s="2031" t="str" cm="1">
        <f t="array" ref="AU56">IFERROR(INDEX($GJ$4:$GJ$171,AY56),"")</f>
        <v/>
      </c>
      <c r="AV56" s="2031" t="str" cm="1">
        <f t="array" ref="AV56">IFERROR(INDEX($GK$4:$GK$171,AY56),"")</f>
        <v/>
      </c>
      <c r="AY56" s="2042" t="str" cm="1">
        <f t="array" ref="AY56">IFERROR(SMALL(IF($HI$4:$HI$171=1,ROW($HI$4:$HI$171)-3),ROW(W41)),IFERROR(SMALL(IF($HI$4:$HI$171=2,ROW($HI$4:$HI$171)-3),ROW(W41)-COUNTIF($HI$4:$HI$171,1)),IFERROR(SMALL(IF($HI$4:$HI$171=0,ROW($HI$4:$HI$171)-3),ROW(W41)-COUNTIF($HI$4:$HI$171,1)-COUNTIF($HI$4:$HI$171,2)),"")))</f>
        <v/>
      </c>
      <c r="AZ56" s="2042" t="str">
        <f t="shared" si="117"/>
        <v>a</v>
      </c>
      <c r="BA56" s="2053" t="e">
        <f t="shared" si="118"/>
        <v>#VALUE!</v>
      </c>
      <c r="BB56" s="2053" cm="1">
        <f t="array" ref="BB56">IFERROR(INDEX($HI$4:$HI$171,AY56),0)</f>
        <v>0</v>
      </c>
      <c r="BC56" s="2053">
        <f t="shared" si="119"/>
        <v>0</v>
      </c>
      <c r="BD56" s="2053"/>
      <c r="BE56" s="2307"/>
      <c r="BF56" s="2307"/>
      <c r="BG56" s="2307"/>
      <c r="BH56" s="2307"/>
      <c r="BI56" s="2307"/>
      <c r="BJ56" s="2307"/>
      <c r="BK56" s="2307"/>
      <c r="BL56" s="2307"/>
      <c r="BM56" s="2307"/>
      <c r="BN56" s="2307"/>
      <c r="BO56" s="2307"/>
      <c r="BP56" s="2043"/>
      <c r="BQ56" s="2042">
        <v>1</v>
      </c>
      <c r="BR56" cm="1">
        <f t="array" ref="BR56">INDEX(Pflanzen!$B$5:$B$117,'Lagerhaltung (freiwillig)'!BQ56)</f>
        <v>1</v>
      </c>
      <c r="BS56" s="2042"/>
      <c r="BT56" s="2042" t="b">
        <v>0</v>
      </c>
      <c r="BU56" s="2044"/>
      <c r="BV56" s="2044"/>
      <c r="BW56" s="2042">
        <f t="shared" si="136"/>
        <v>12</v>
      </c>
      <c r="BX56" s="2042">
        <f t="shared" si="137"/>
        <v>0</v>
      </c>
      <c r="BY56" s="2042">
        <f t="shared" si="138"/>
        <v>12</v>
      </c>
      <c r="BZ56" s="2042" cm="1">
        <f t="array" ref="BZ56">INDEX(Pflanzen!$AI$5:$AI$119,'Lagerhaltung (freiwillig)'!BR56)</f>
        <v>0</v>
      </c>
      <c r="CA56" s="2042" cm="1">
        <f t="array" ref="CA56">IF(BZ56=1,INDEX(Pflanzen!$AJ$5:$AJ$119,BR56),N56)</f>
        <v>0</v>
      </c>
      <c r="CB56" s="2042" cm="1">
        <f t="array" ref="CB56">IF(BZ56=1,INDEX(Pflanzen!$AK$5:$AK$119,BR56),O56)</f>
        <v>0</v>
      </c>
      <c r="CC56" s="2042">
        <f t="shared" si="139"/>
        <v>12</v>
      </c>
      <c r="CD56" s="2042">
        <f t="shared" si="140"/>
        <v>0</v>
      </c>
      <c r="CE56" s="2042">
        <f t="shared" si="141"/>
        <v>12</v>
      </c>
      <c r="CF56" s="2042" cm="1">
        <f t="array" ref="CF56">INDEX(Pflanzen!$F$5:$F$119,BR56)</f>
        <v>0</v>
      </c>
      <c r="CG56" s="2042" cm="1">
        <f t="array" ref="CG56">INDEX(Pflanzen!$H$5:$H$119,BR56)</f>
        <v>0</v>
      </c>
      <c r="CH56" s="2042">
        <f t="shared" si="142"/>
        <v>0</v>
      </c>
      <c r="CI56" s="2042">
        <f t="shared" si="143"/>
        <v>0</v>
      </c>
      <c r="CJ56" s="2042">
        <f t="shared" si="144"/>
        <v>0</v>
      </c>
      <c r="CK56" s="2042">
        <f t="shared" si="145"/>
        <v>0</v>
      </c>
      <c r="CL56" s="2042">
        <f t="shared" si="146"/>
        <v>0</v>
      </c>
      <c r="CM56" s="2042">
        <f t="shared" si="147"/>
        <v>0</v>
      </c>
      <c r="CN56" s="2042">
        <f t="shared" si="148"/>
        <v>0</v>
      </c>
      <c r="CO56" s="2042">
        <f t="shared" si="149"/>
        <v>0</v>
      </c>
      <c r="CP56" s="2042">
        <f t="shared" si="150"/>
        <v>0</v>
      </c>
      <c r="CQ56" s="2042">
        <f t="shared" si="151"/>
        <v>0</v>
      </c>
      <c r="CR56" s="2042">
        <f t="shared" si="152"/>
        <v>0</v>
      </c>
      <c r="CS56" s="2042">
        <f t="shared" si="153"/>
        <v>0</v>
      </c>
      <c r="CT56" s="2042">
        <f t="shared" si="154"/>
        <v>0</v>
      </c>
      <c r="CU56" s="2042">
        <f t="shared" si="155"/>
        <v>0</v>
      </c>
      <c r="CV56" s="2042"/>
      <c r="CW56" s="609" t="str">
        <f>Pflanzen!A52</f>
        <v>GPS Wintergerste</v>
      </c>
      <c r="CX56" s="2042">
        <f>IFERROR(MATCH($CW56,Pflanzen!$C$5:$C$119,0),1)</f>
        <v>48</v>
      </c>
      <c r="CY56" s="609" cm="1">
        <f t="array" ref="CY56">INDEX(Pflanzen!$I$5:$I$119,'Lagerhaltung (freiwillig)'!CX56)</f>
        <v>1</v>
      </c>
      <c r="CZ56" s="2042">
        <f t="shared" si="157"/>
        <v>0</v>
      </c>
      <c r="DA56" s="2042">
        <f t="shared" si="157"/>
        <v>0</v>
      </c>
      <c r="DB56" s="2042">
        <f t="shared" si="157"/>
        <v>0</v>
      </c>
      <c r="DC56" s="2042">
        <f t="shared" si="157"/>
        <v>0</v>
      </c>
      <c r="DD56" s="2042">
        <f t="shared" si="157"/>
        <v>0</v>
      </c>
      <c r="DE56" s="2042">
        <f t="shared" si="157"/>
        <v>0</v>
      </c>
      <c r="DF56" s="2042">
        <f t="shared" si="157"/>
        <v>0</v>
      </c>
      <c r="DG56" s="2042">
        <f t="shared" si="157"/>
        <v>0</v>
      </c>
      <c r="DH56" s="2042">
        <f t="shared" si="157"/>
        <v>0</v>
      </c>
      <c r="DI56" s="2042">
        <f t="shared" si="157"/>
        <v>0</v>
      </c>
      <c r="DJ56" s="2042">
        <f t="shared" si="157"/>
        <v>0</v>
      </c>
      <c r="DK56" s="2042">
        <f t="shared" si="157"/>
        <v>0</v>
      </c>
      <c r="DL56" s="2042"/>
      <c r="DM56" s="2042">
        <f t="shared" si="158"/>
        <v>0</v>
      </c>
      <c r="DN56" s="2042">
        <f t="shared" si="158"/>
        <v>0</v>
      </c>
      <c r="DO56" s="2042">
        <f t="shared" si="158"/>
        <v>0</v>
      </c>
      <c r="DP56" s="2042">
        <f t="shared" si="158"/>
        <v>0</v>
      </c>
      <c r="DQ56" s="2042">
        <f t="shared" si="158"/>
        <v>0</v>
      </c>
      <c r="DR56" s="2042">
        <f t="shared" si="158"/>
        <v>0</v>
      </c>
      <c r="DS56" s="2042">
        <f t="shared" si="158"/>
        <v>0</v>
      </c>
      <c r="DT56" s="2042">
        <f t="shared" si="158"/>
        <v>0</v>
      </c>
      <c r="DU56" s="2042">
        <f t="shared" si="158"/>
        <v>0</v>
      </c>
      <c r="DV56" s="2042">
        <f t="shared" si="158"/>
        <v>0</v>
      </c>
      <c r="DW56" s="2042">
        <f t="shared" si="158"/>
        <v>0</v>
      </c>
      <c r="DX56" s="2042">
        <f t="shared" si="158"/>
        <v>0</v>
      </c>
      <c r="DY56" s="2042"/>
      <c r="DZ56" s="2042">
        <f t="shared" si="159"/>
        <v>0</v>
      </c>
      <c r="EA56" s="2042">
        <f t="shared" si="159"/>
        <v>0</v>
      </c>
      <c r="EB56" s="2042">
        <f t="shared" si="159"/>
        <v>0</v>
      </c>
      <c r="EC56" s="2042">
        <f t="shared" si="159"/>
        <v>0</v>
      </c>
      <c r="ED56" s="2042">
        <f t="shared" si="159"/>
        <v>0</v>
      </c>
      <c r="EE56" s="2042">
        <f t="shared" si="159"/>
        <v>0</v>
      </c>
      <c r="EF56" s="2042">
        <f t="shared" si="159"/>
        <v>0</v>
      </c>
      <c r="EG56" s="2042">
        <f t="shared" si="159"/>
        <v>0</v>
      </c>
      <c r="EH56" s="2042">
        <f t="shared" si="159"/>
        <v>0</v>
      </c>
      <c r="EI56" s="2042">
        <f t="shared" si="159"/>
        <v>0</v>
      </c>
      <c r="EJ56" s="2042">
        <f t="shared" si="159"/>
        <v>0</v>
      </c>
      <c r="EK56" s="2042">
        <f t="shared" si="159"/>
        <v>0</v>
      </c>
      <c r="EL56" s="2042"/>
      <c r="EM56" s="2042">
        <f t="shared" si="160"/>
        <v>0</v>
      </c>
      <c r="EN56" s="2042">
        <f t="shared" si="160"/>
        <v>0</v>
      </c>
      <c r="EO56" s="2042">
        <f t="shared" si="160"/>
        <v>0</v>
      </c>
      <c r="EP56" s="2042">
        <f t="shared" si="160"/>
        <v>0</v>
      </c>
      <c r="EQ56" s="2042">
        <f t="shared" si="160"/>
        <v>0</v>
      </c>
      <c r="ER56" s="2042">
        <f t="shared" si="160"/>
        <v>0</v>
      </c>
      <c r="ES56" s="2042">
        <f t="shared" si="160"/>
        <v>0</v>
      </c>
      <c r="ET56" s="2042">
        <f t="shared" si="160"/>
        <v>0</v>
      </c>
      <c r="EU56" s="2042">
        <f t="shared" si="160"/>
        <v>0</v>
      </c>
      <c r="EV56" s="2042">
        <f t="shared" si="160"/>
        <v>0</v>
      </c>
      <c r="EW56" s="2042">
        <f t="shared" si="160"/>
        <v>0</v>
      </c>
      <c r="EX56" s="2042">
        <f t="shared" si="160"/>
        <v>0</v>
      </c>
      <c r="EY56" s="2042"/>
      <c r="EZ56" s="2045">
        <f t="shared" si="50"/>
        <v>0</v>
      </c>
      <c r="FA56" s="2042">
        <f>EZ56+CZ56+DZ56                 -         SUMIF('Berechnung Nährstoffe und Lager'!$AX$113:$AX$155,$CX56,'Berechnung Nährstoffe und Lager'!$U$113:$U$155)/12  -$GB56*$HC56/12</f>
        <v>0</v>
      </c>
      <c r="FB56" s="2042">
        <f>FA56+DA56+EA56                 -         SUMIF('Berechnung Nährstoffe und Lager'!$AX$113:$AX$155,$CX56,'Berechnung Nährstoffe und Lager'!$U$113:$U$155)/12  -$GB56*$HC56/12</f>
        <v>0</v>
      </c>
      <c r="FC56" s="2042">
        <f>FB56+DB56+EB56                 -         SUMIF('Berechnung Nährstoffe und Lager'!$AX$113:$AX$155,$CX56,'Berechnung Nährstoffe und Lager'!$U$113:$U$155)/12  -$GB56*$HC56/12</f>
        <v>0</v>
      </c>
      <c r="FD56" s="2042">
        <f>FC56+DC56+EC56                 -         SUMIF('Berechnung Nährstoffe und Lager'!$AX$113:$AX$155,$CX56,'Berechnung Nährstoffe und Lager'!$U$113:$U$155)/12  -$GB56*$HC56/12</f>
        <v>0</v>
      </c>
      <c r="FE56" s="2042">
        <f>FD56+DD56+ED56                 -         SUMIF('Berechnung Nährstoffe und Lager'!$AX$113:$AX$155,$CX56,'Berechnung Nährstoffe und Lager'!$U$113:$U$155)/12  -$GB56*$HC56/12</f>
        <v>0</v>
      </c>
      <c r="FF56" s="2042">
        <f>FE56+DE56+EE56                 -         SUMIF('Berechnung Nährstoffe und Lager'!$AX$113:$AX$155,$CX56,'Berechnung Nährstoffe und Lager'!$U$113:$U$155)/12  -$GB56*$HC56/12</f>
        <v>0</v>
      </c>
      <c r="FG56" s="2042">
        <f>FF56+DF56+EF56                 -         SUMIF('Berechnung Nährstoffe und Lager'!$AX$113:$AX$155,$CX56,'Berechnung Nährstoffe und Lager'!$U$113:$U$155)/12  -$GB56*$HC56/12</f>
        <v>0</v>
      </c>
      <c r="FH56" s="2042">
        <f>FG56+DG56+EG56                 -         SUMIF('Berechnung Nährstoffe und Lager'!$AX$113:$AX$155,$CX56,'Berechnung Nährstoffe und Lager'!$U$113:$U$155)/12  -$GB56*$HC56/12</f>
        <v>0</v>
      </c>
      <c r="FI56" s="2042">
        <f>FH56+DH56+EH56                 -         SUMIF('Berechnung Nährstoffe und Lager'!$AX$113:$AX$155,$CX56,'Berechnung Nährstoffe und Lager'!$U$113:$U$155)/12  -$GB56*$HC56/12</f>
        <v>0</v>
      </c>
      <c r="FJ56" s="2042">
        <f>FI56+DI56+EI56                 -         SUMIF('Berechnung Nährstoffe und Lager'!$AX$113:$AX$155,$CX56,'Berechnung Nährstoffe und Lager'!$U$113:$U$155)/12  -$GB56*$HC56/12</f>
        <v>0</v>
      </c>
      <c r="FK56" s="2042">
        <f>FJ56+DJ56+EJ56                 -         SUMIF('Berechnung Nährstoffe und Lager'!$AX$113:$AX$155,$CX56,'Berechnung Nährstoffe und Lager'!$U$113:$U$155)/12  -$GB56*$HC56/12</f>
        <v>0</v>
      </c>
      <c r="FL56" s="2042">
        <f>FK56+DK56+EK56                 -         SUMIF('Berechnung Nährstoffe und Lager'!$AX$113:$AX$155,$CX56,'Berechnung Nährstoffe und Lager'!$U$113:$U$155)/12  -$GB56*$HC56/12</f>
        <v>0</v>
      </c>
      <c r="FM56" s="2042"/>
      <c r="FN56" s="2045">
        <f t="shared" si="51"/>
        <v>0</v>
      </c>
      <c r="FO56" s="2042">
        <f>FN56+DM56+EM56                 -         SUMIF('Berechnung Nährstoffe und Lager'!$AX$113:$AX$155,$CX56,'Berechnung Nährstoffe und Lager'!$V$113:$V$155)/12  -$GC56*$HC56/12</f>
        <v>0</v>
      </c>
      <c r="FP56" s="2042">
        <f>FO56+DN56+EN56                 -         SUMIF('Berechnung Nährstoffe und Lager'!$AX$113:$AX$155,$CX56,'Berechnung Nährstoffe und Lager'!$V$113:$V$155)/12  -$GC56*$HC56/12</f>
        <v>0</v>
      </c>
      <c r="FQ56" s="2042">
        <f>FP56+DO56+EO56                 -         SUMIF('Berechnung Nährstoffe und Lager'!$AX$113:$AX$155,$CX56,'Berechnung Nährstoffe und Lager'!$V$113:$V$155)/12  -$GC56*$HC56/12</f>
        <v>0</v>
      </c>
      <c r="FR56" s="2042">
        <f>FQ56+DP56+EP56                 -         SUMIF('Berechnung Nährstoffe und Lager'!$AX$113:$AX$155,$CX56,'Berechnung Nährstoffe und Lager'!$V$113:$V$155)/12  -$GC56*$HC56/12</f>
        <v>0</v>
      </c>
      <c r="FS56" s="2042">
        <f>FR56+DQ56+EQ56                 -         SUMIF('Berechnung Nährstoffe und Lager'!$AX$113:$AX$155,$CX56,'Berechnung Nährstoffe und Lager'!$V$113:$V$155)/12  -$GC56*$HC56/12</f>
        <v>0</v>
      </c>
      <c r="FT56" s="2042">
        <f>FS56+DR56+ER56                 -         SUMIF('Berechnung Nährstoffe und Lager'!$AX$113:$AX$155,$CX56,'Berechnung Nährstoffe und Lager'!$V$113:$V$155)/12  -$GC56*$HC56/12</f>
        <v>0</v>
      </c>
      <c r="FU56" s="2042">
        <f>FT56+DS56+ES56                 -         SUMIF('Berechnung Nährstoffe und Lager'!$AX$113:$AX$155,$CX56,'Berechnung Nährstoffe und Lager'!$V$113:$V$155)/12  -$GC56*$HC56/12</f>
        <v>0</v>
      </c>
      <c r="FV56" s="2042">
        <f>FU56+DT56+ET56                 -         SUMIF('Berechnung Nährstoffe und Lager'!$AX$113:$AX$155,$CX56,'Berechnung Nährstoffe und Lager'!$V$113:$V$155)/12  -$GC56*$HC56/12</f>
        <v>0</v>
      </c>
      <c r="FW56" s="2042">
        <f>FV56+DU56+EU56                 -         SUMIF('Berechnung Nährstoffe und Lager'!$AX$113:$AX$155,$CX56,'Berechnung Nährstoffe und Lager'!$V$113:$V$155)/12  -$GC56*$HC56/12</f>
        <v>0</v>
      </c>
      <c r="FX56" s="2042">
        <f>FW56+DV56+EV56                 -         SUMIF('Berechnung Nährstoffe und Lager'!$AX$113:$AX$155,$CX56,'Berechnung Nährstoffe und Lager'!$V$113:$V$155)/12  -$GC56*$HC56/12</f>
        <v>0</v>
      </c>
      <c r="FY56" s="2042">
        <f>FX56+DW56+EW56                 -         SUMIF('Berechnung Nährstoffe und Lager'!$AX$113:$AX$155,$CX56,'Berechnung Nährstoffe und Lager'!$V$113:$V$155)/12  -$GC56*$HC56/12</f>
        <v>0</v>
      </c>
      <c r="FZ56" s="2042">
        <f>FY56+DX56+EX56                 -         SUMIF('Berechnung Nährstoffe und Lager'!$AX$113:$AX$155,$CX56,'Berechnung Nährstoffe und Lager'!$V$113:$V$155)/12  -$GC56*$HC56/12</f>
        <v>0</v>
      </c>
      <c r="GA56" s="2042"/>
      <c r="GB56" s="2042">
        <f>SUMIFS($CI$14:$CI$68,$BR$14:$BR$68,$CX56)+SUMIFS($CM$14:$CM$68,$BR$14:$BR$68,$CX56)+SUMIFS($CR$14:$CR$68,$BR$14:$BR$68,$CX56)  -         SUMIF('Berechnung Nährstoffe und Lager'!$AX$113:$AX$155,$CX56,'Berechnung Nährstoffe und Lager'!$U$113:$U$155)</f>
        <v>0</v>
      </c>
      <c r="GC56" s="2042">
        <f>SUMIFS($CJ$14:$CJ$68,$BR$14:$BR$68,$CX56)+SUMIFS($CO$14:$CO$68,$BR$14:$BR$68,$CX56)+SUMIFS($CT$14:$CT$68,$BR$14:$BR$68,$CX56)  -         SUMIF('Berechnung Nährstoffe und Lager'!$AX$113:$AX$155,$CX56,'Berechnung Nährstoffe und Lager'!$V$113:$V$155)</f>
        <v>0</v>
      </c>
      <c r="GD56" s="2042"/>
      <c r="GE56" s="2042"/>
      <c r="GF56" s="2042">
        <f>SUMIF('Berechnung Nährstoffe und Lager'!$AX$113:$AX$155,$CX56,'Berechnung Nährstoffe und Lager'!$U$113:$U$155)</f>
        <v>0</v>
      </c>
      <c r="GG56" s="2042">
        <f>SUMIF('Berechnung Nährstoffe und Lager'!$AX$113:$AX$155,$CX56,'Berechnung Nährstoffe und Lager'!$V$113:$V$155)</f>
        <v>0</v>
      </c>
      <c r="GH56" s="2042">
        <f t="shared" si="52"/>
        <v>0</v>
      </c>
      <c r="GI56" s="2042">
        <f t="shared" si="53"/>
        <v>0</v>
      </c>
      <c r="GJ56" s="2042">
        <f t="shared" si="121"/>
        <v>0</v>
      </c>
      <c r="GK56" s="2042">
        <f t="shared" si="122"/>
        <v>0</v>
      </c>
      <c r="GL56" s="2042">
        <f t="shared" si="123"/>
        <v>0</v>
      </c>
      <c r="GM56" s="2042" cm="1">
        <f t="array" ref="GM56">IF(GL56=0,0,(IFERROR(SUMPRODUCT($J$14:$J$68,$CH$14:$CH$68,($BR$14:$BR$68=CX56)*1)+SUMPRODUCT($L$14:$L$68,$M$14:$M$68,$CK$14:$CK$68,($BR$14:$BR$68=CX56)*1,($BT$14:$BT$68=FALSE)*1)/10+SUMPRODUCT($R$14:$R$68,$CP$14:$CP$68,($BR$14:$BR$68=CX56)*1),0))/GL56)</f>
        <v>0</v>
      </c>
      <c r="GN56" s="2042">
        <f t="shared" si="54"/>
        <v>0</v>
      </c>
      <c r="GO56" s="2042">
        <f>(SUMIF('Berechnung Nährstoffe und Lager'!$AX$113:$AX$130,'Lagerhaltung (freiwillig)'!CX56,'Berechnung Nährstoffe und Lager'!$D$113:$D$130)+SUMIF('Berechnung Nährstoffe und Lager'!$AX$137:$AX$155,'Lagerhaltung (freiwillig)'!CX56,'Berechnung Nährstoffe und Lager'!$E$137:$E$155))</f>
        <v>0</v>
      </c>
      <c r="GP56" s="2042" cm="1">
        <f t="array" ref="GP56">IF(GO56=0,0,(IFERROR(SUMPRODUCT('Berechnung Nährstoffe und Lager'!$D$113:$D$130,'Berechnung Nährstoffe und Lager'!$F$113:$F$130,('Berechnung Nährstoffe und Lager'!$AX$113:$AX$130='Lagerhaltung (freiwillig)'!CX56)*1)+SUMPRODUCT('Berechnung Nährstoffe und Lager'!$E$137:$E$155,'Berechnung Nährstoffe und Lager'!$F$137:$F$155,('Berechnung Nährstoffe und Lager'!$AX$137:$AX$155='Lagerhaltung (freiwillig)'!CX56)*1),0))/GO56)</f>
        <v>0</v>
      </c>
      <c r="GQ56" s="2042">
        <f t="shared" si="55"/>
        <v>0</v>
      </c>
      <c r="GR56" s="2042">
        <f t="shared" si="56"/>
        <v>0</v>
      </c>
      <c r="GS56" s="2042">
        <f t="shared" si="57"/>
        <v>0</v>
      </c>
      <c r="GT56" s="2042">
        <f t="shared" si="58"/>
        <v>0</v>
      </c>
      <c r="GU56" s="2045" t="str">
        <f t="shared" si="39"/>
        <v xml:space="preserve"> </v>
      </c>
      <c r="GV56" s="2045" t="str">
        <f t="shared" si="39"/>
        <v xml:space="preserve"> </v>
      </c>
      <c r="GW56" s="2054">
        <f t="shared" si="124"/>
        <v>0</v>
      </c>
      <c r="GX56" s="2042">
        <f t="shared" si="125"/>
        <v>0</v>
      </c>
      <c r="GY56" s="2042" t="str">
        <f t="shared" si="120"/>
        <v>a</v>
      </c>
      <c r="GZ56" s="2055">
        <f t="shared" si="126"/>
        <v>0</v>
      </c>
      <c r="HA56" s="2055">
        <f t="shared" si="127"/>
        <v>0</v>
      </c>
      <c r="HB56" s="2055"/>
      <c r="HC56" s="2046">
        <f t="shared" si="128"/>
        <v>0</v>
      </c>
      <c r="HD56" s="2055">
        <f t="shared" si="129"/>
        <v>0</v>
      </c>
      <c r="HE56" s="2055">
        <f t="shared" si="130"/>
        <v>0</v>
      </c>
      <c r="HF56" s="2055">
        <f t="shared" si="131"/>
        <v>0</v>
      </c>
      <c r="HG56" s="2282" cm="1">
        <f t="array" ref="HG56">IF(AND(HE56=0,GJ56=0),0,IF(HE56=0,1,IF(OR(GJ56*1000/HE56/HF56&gt;INDEX(Pflanzen!$AD$5:$AD$109,CX56)/INDEX(Pflanzen!$M$5:$M$109,CX56)*$HG$1,GJ56*1000/HE56/HF56&lt;INDEX(Pflanzen!$AD$5:$AD$109,CX56)/INDEX(Pflanzen!$M$5:$M$109,CX56)/$HG$1),1,0)))</f>
        <v>0</v>
      </c>
      <c r="HH56" s="2282" cm="1">
        <f t="array" ref="HH56">IF(AND(GK56=0,HE56=0),0,IF(HE56=0,1,IF(OR(GK56*1000/HE56/HF56&gt;INDEX(Pflanzen!$AE$5:$AE$109,CX56)/INDEX(Pflanzen!$M$5:$M$109,CX56)*$HG$1,GK56*1000/HE56/HF56&lt;INDEX(Pflanzen!$AE$5:$AE$109,CX56)/INDEX(Pflanzen!$M$5:$M$109,CX56)/$HG$1),1,0)))</f>
        <v>0</v>
      </c>
      <c r="HI56" s="2042">
        <f t="shared" si="132"/>
        <v>3</v>
      </c>
      <c r="HJ56" s="2042"/>
      <c r="HL56" s="2042"/>
      <c r="HM56" s="2052" t="str">
        <f>Tiere!B82</f>
        <v>Rotwild mit Nachzucht</v>
      </c>
      <c r="HN56" s="2042">
        <v>53</v>
      </c>
      <c r="HO56" s="2053">
        <f>SUMIF('Berechnung Nährstoffe und Lager'!$BM$68:$BM$81,'Lagerhaltung (freiwillig)'!HN56,'Berechnung Nährstoffe und Lager'!$Z$68:$Z$81)+SUMIF('Berechnung Nährstoffe und Lager'!$BM$68:$BM$81,'Lagerhaltung (freiwillig)'!HN56,'Berechnung Nährstoffe und Lager'!$AA$68:$AA$81)</f>
        <v>0</v>
      </c>
      <c r="HP56" s="2042" cm="1">
        <f t="array" ref="HP56">INDEX(Tiere!$C$30:$C$85,'Lagerhaltung (freiwillig)'!HN56)</f>
        <v>8</v>
      </c>
      <c r="HQ56" s="2042" cm="1">
        <f t="array" ref="HQ56">INDEX(Tiere!$H$30:$H$85,'Lagerhaltung (freiwillig)'!HN56)</f>
        <v>31</v>
      </c>
      <c r="HR56" s="2042">
        <f t="shared" si="112"/>
        <v>0</v>
      </c>
      <c r="HS56" s="2042" cm="1">
        <f t="array" ref="HS56">INDEX(Tiere!$I$30:$I$85,'Lagerhaltung (freiwillig)'!HN56)</f>
        <v>9.9</v>
      </c>
      <c r="HT56" s="2042">
        <f t="shared" si="13"/>
        <v>0</v>
      </c>
      <c r="HU56" s="2042" cm="1">
        <f t="array" ref="HU56">INDEX(Tiere!$BC$30:$BC$85,'Lagerhaltung (freiwillig)'!HN56)</f>
        <v>1.04</v>
      </c>
      <c r="HV56" s="2042">
        <f t="shared" si="110"/>
        <v>0</v>
      </c>
      <c r="HW56" s="2042" cm="1">
        <f t="array" ref="HW56">INDEX(Tiere!$BD$30:$BD$85,'Lagerhaltung (freiwillig)'!HN56)</f>
        <v>0.54800000000000004</v>
      </c>
      <c r="HX56" s="2042">
        <f t="shared" si="111"/>
        <v>0</v>
      </c>
      <c r="HY56" s="2042"/>
      <c r="HZ56" s="2042"/>
      <c r="IA56" s="2042"/>
      <c r="IB56" s="2042"/>
      <c r="IC56" s="2042"/>
      <c r="ID56" s="2042"/>
      <c r="IE56" s="2042"/>
      <c r="IF56" s="2042"/>
      <c r="IG56" s="2042"/>
      <c r="IH56" s="2042"/>
      <c r="II56" s="2042"/>
      <c r="IJ56" s="2042"/>
    </row>
    <row r="57" spans="6:244" ht="15.6" customHeight="1" x14ac:dyDescent="0.2">
      <c r="F57" s="1259"/>
      <c r="G57" s="2314"/>
      <c r="H57" s="2293"/>
      <c r="I57" s="2014" t="str">
        <f t="shared" si="133"/>
        <v/>
      </c>
      <c r="J57" s="1256"/>
      <c r="K57" s="2014" t="str">
        <f t="shared" si="134"/>
        <v/>
      </c>
      <c r="L57" s="1970"/>
      <c r="M57" s="1246"/>
      <c r="N57" s="1870"/>
      <c r="O57" s="1870"/>
      <c r="P57" s="2222"/>
      <c r="Q57" s="2014" t="str">
        <f t="shared" si="135"/>
        <v/>
      </c>
      <c r="R57" s="1970"/>
      <c r="S57" s="1246"/>
      <c r="T57" s="1256"/>
      <c r="V57" s="2316" t="str">
        <f t="shared" si="156"/>
        <v/>
      </c>
      <c r="Y57" s="2005" t="str" cm="1">
        <f t="array" ref="Y57">IFERROR(INDEX($CW$4:$CW$171,AY57),"")</f>
        <v/>
      </c>
      <c r="Z57" s="510"/>
      <c r="AA57" s="510"/>
      <c r="AB57" s="510"/>
      <c r="AC57" s="2031" t="str" cm="1">
        <f t="array" ref="AC57">IFERROR(INDEX($GL$4:$GL$171,AY57),"")</f>
        <v/>
      </c>
      <c r="AD57" s="2031" t="str" cm="1">
        <f t="array" ref="AD57">IFERROR(INDEX($GM$4:$GM$171,AY57),"")</f>
        <v/>
      </c>
      <c r="AE57" s="2031" t="str" cm="1">
        <f t="array" ref="AE57">IFERROR(INDEX($GH$4:$GH$171,AY57),"")</f>
        <v/>
      </c>
      <c r="AF57" s="2031" t="str" cm="1">
        <f t="array" ref="AF57">IFERROR(INDEX($GI$4:$GI$171,AY57),"")</f>
        <v/>
      </c>
      <c r="AG57" s="2031" t="str" cm="1">
        <f t="array" ref="AG57">IFERROR(INDEX($GO$4:$GO$171,AY57),"")</f>
        <v/>
      </c>
      <c r="AH57" s="2031" t="str" cm="1">
        <f t="array" ref="AH57">IFERROR(INDEX($GP$4:$GP$171,AY57),"")</f>
        <v/>
      </c>
      <c r="AI57" s="2031" t="str" cm="1">
        <f t="array" ref="AI57">IFERROR(INDEX($GF$4:$GF$171,AY57),"")</f>
        <v/>
      </c>
      <c r="AJ57" s="2031" t="str" cm="1">
        <f t="array" ref="AJ57">IFERROR(INDEX($GG$4:$GG$171,AY57),"")</f>
        <v/>
      </c>
      <c r="AK57" s="2031" t="str" cm="1">
        <f t="array" ref="AK57">IFERROR(INDEX($GS$4:$GS$171,AY57),"")</f>
        <v/>
      </c>
      <c r="AL57" s="2032" t="str" cm="1">
        <f t="array" ref="AL57">IFERROR(INDEX($GT$4:$GT$171,AY57),"")</f>
        <v/>
      </c>
      <c r="AM57" s="2031" t="str" cm="1">
        <f t="array" ref="AM57">IFERROR(INDEX($GB$4:$GB$171,AY57),"")</f>
        <v/>
      </c>
      <c r="AN57" s="2031" t="str" cm="1">
        <f t="array" ref="AN57">IFERROR(INDEX($GC$4:$GC$171,AY57),"")</f>
        <v/>
      </c>
      <c r="AO57" s="2031" t="str" cm="1">
        <f t="array" ref="AO57">IFERROR(INDEX($GU$4:$GU$171,AY57),"")</f>
        <v/>
      </c>
      <c r="AP57" s="2031" t="str" cm="1">
        <f t="array" ref="AP57">IFERROR(INDEX($GX$4:$GX$171,AY57),"")</f>
        <v/>
      </c>
      <c r="AQ57" s="1316"/>
      <c r="AR57" s="2031" t="str" cm="1">
        <f t="array" ref="AR57">IFERROR(INDEX($HD$4:$HD$171,AY57),"")</f>
        <v/>
      </c>
      <c r="AS57" s="2031" t="str" cm="1">
        <f t="array" ref="AS57">IFERROR(INDEX($HE$4:$HE$171,AY57),"")</f>
        <v/>
      </c>
      <c r="AT57" s="2031" t="str" cm="1">
        <f t="array" ref="AT57">IFERROR(INDEX($HF$4:$HF$171,AY57),"")</f>
        <v/>
      </c>
      <c r="AU57" s="2031" t="str" cm="1">
        <f t="array" ref="AU57">IFERROR(INDEX($GJ$4:$GJ$171,AY57),"")</f>
        <v/>
      </c>
      <c r="AV57" s="2031" t="str" cm="1">
        <f t="array" ref="AV57">IFERROR(INDEX($GK$4:$GK$171,AY57),"")</f>
        <v/>
      </c>
      <c r="AY57" s="2042" t="str" cm="1">
        <f t="array" ref="AY57">IFERROR(SMALL(IF($HI$4:$HI$171=1,ROW($HI$4:$HI$171)-3),ROW(W42)),IFERROR(SMALL(IF($HI$4:$HI$171=2,ROW($HI$4:$HI$171)-3),ROW(W42)-COUNTIF($HI$4:$HI$171,1)),IFERROR(SMALL(IF($HI$4:$HI$171=0,ROW($HI$4:$HI$171)-3),ROW(W42)-COUNTIF($HI$4:$HI$171,1)-COUNTIF($HI$4:$HI$171,2)),"")))</f>
        <v/>
      </c>
      <c r="AZ57" s="2042" t="str">
        <f t="shared" si="117"/>
        <v>a</v>
      </c>
      <c r="BA57" s="2053" t="e">
        <f t="shared" si="118"/>
        <v>#VALUE!</v>
      </c>
      <c r="BB57" s="2053" cm="1">
        <f t="array" ref="BB57">IFERROR(INDEX($HI$4:$HI$171,AY57),0)</f>
        <v>0</v>
      </c>
      <c r="BC57" s="2053">
        <f t="shared" si="119"/>
        <v>0</v>
      </c>
      <c r="BD57" s="2053"/>
      <c r="BE57" s="2307"/>
      <c r="BF57" s="2307"/>
      <c r="BG57" s="2307"/>
      <c r="BH57" s="2307"/>
      <c r="BI57" s="2307"/>
      <c r="BJ57" s="2307"/>
      <c r="BK57" s="2307"/>
      <c r="BL57" s="2307"/>
      <c r="BM57" s="2307"/>
      <c r="BN57" s="2307"/>
      <c r="BO57" s="2307"/>
      <c r="BP57" s="2043"/>
      <c r="BQ57" s="2042">
        <v>1</v>
      </c>
      <c r="BR57" cm="1">
        <f t="array" ref="BR57">INDEX(Pflanzen!$B$5:$B$117,'Lagerhaltung (freiwillig)'!BQ57)</f>
        <v>1</v>
      </c>
      <c r="BS57" s="2042"/>
      <c r="BT57" s="2042" t="b">
        <v>0</v>
      </c>
      <c r="BU57" s="2044"/>
      <c r="BV57" s="2044"/>
      <c r="BW57" s="2042">
        <f t="shared" si="136"/>
        <v>12</v>
      </c>
      <c r="BX57" s="2042">
        <f t="shared" si="137"/>
        <v>0</v>
      </c>
      <c r="BY57" s="2042">
        <f t="shared" si="138"/>
        <v>12</v>
      </c>
      <c r="BZ57" s="2042" cm="1">
        <f t="array" ref="BZ57">INDEX(Pflanzen!$AI$5:$AI$119,'Lagerhaltung (freiwillig)'!BR57)</f>
        <v>0</v>
      </c>
      <c r="CA57" s="2042" cm="1">
        <f t="array" ref="CA57">IF(BZ57=1,INDEX(Pflanzen!$AJ$5:$AJ$119,BR57),N57)</f>
        <v>0</v>
      </c>
      <c r="CB57" s="2042" cm="1">
        <f t="array" ref="CB57">IF(BZ57=1,INDEX(Pflanzen!$AK$5:$AK$119,BR57),O57)</f>
        <v>0</v>
      </c>
      <c r="CC57" s="2042">
        <f t="shared" si="139"/>
        <v>12</v>
      </c>
      <c r="CD57" s="2042">
        <f t="shared" si="140"/>
        <v>0</v>
      </c>
      <c r="CE57" s="2042">
        <f t="shared" si="141"/>
        <v>12</v>
      </c>
      <c r="CF57" s="2042" cm="1">
        <f t="array" ref="CF57">INDEX(Pflanzen!$F$5:$F$119,BR57)</f>
        <v>0</v>
      </c>
      <c r="CG57" s="2042" cm="1">
        <f t="array" ref="CG57">INDEX(Pflanzen!$H$5:$H$119,BR57)</f>
        <v>0</v>
      </c>
      <c r="CH57" s="2042">
        <f t="shared" si="142"/>
        <v>0</v>
      </c>
      <c r="CI57" s="2042">
        <f t="shared" si="143"/>
        <v>0</v>
      </c>
      <c r="CJ57" s="2042">
        <f t="shared" si="144"/>
        <v>0</v>
      </c>
      <c r="CK57" s="2042">
        <f t="shared" si="145"/>
        <v>0</v>
      </c>
      <c r="CL57" s="2042">
        <f t="shared" si="146"/>
        <v>0</v>
      </c>
      <c r="CM57" s="2042">
        <f t="shared" si="147"/>
        <v>0</v>
      </c>
      <c r="CN57" s="2042">
        <f t="shared" si="148"/>
        <v>0</v>
      </c>
      <c r="CO57" s="2042">
        <f t="shared" si="149"/>
        <v>0</v>
      </c>
      <c r="CP57" s="2042">
        <f t="shared" si="150"/>
        <v>0</v>
      </c>
      <c r="CQ57" s="2042">
        <f t="shared" si="151"/>
        <v>0</v>
      </c>
      <c r="CR57" s="2042">
        <f t="shared" si="152"/>
        <v>0</v>
      </c>
      <c r="CS57" s="2042">
        <f t="shared" si="153"/>
        <v>0</v>
      </c>
      <c r="CT57" s="2042">
        <f t="shared" si="154"/>
        <v>0</v>
      </c>
      <c r="CU57" s="2042">
        <f t="shared" si="155"/>
        <v>0</v>
      </c>
      <c r="CV57" s="2042"/>
      <c r="CW57" s="609" t="str">
        <f>Pflanzen!A53</f>
        <v>GPS Sommergerste</v>
      </c>
      <c r="CX57" s="2042">
        <f>IFERROR(MATCH($CW57,Pflanzen!$C$5:$C$119,0),1)</f>
        <v>49</v>
      </c>
      <c r="CY57" s="609" cm="1">
        <f t="array" ref="CY57">INDEX(Pflanzen!$I$5:$I$119,'Lagerhaltung (freiwillig)'!CX57)</f>
        <v>1</v>
      </c>
      <c r="CZ57" s="2042">
        <f t="shared" si="157"/>
        <v>0</v>
      </c>
      <c r="DA57" s="2042">
        <f t="shared" si="157"/>
        <v>0</v>
      </c>
      <c r="DB57" s="2042">
        <f t="shared" si="157"/>
        <v>0</v>
      </c>
      <c r="DC57" s="2042">
        <f t="shared" si="157"/>
        <v>0</v>
      </c>
      <c r="DD57" s="2042">
        <f t="shared" si="157"/>
        <v>0</v>
      </c>
      <c r="DE57" s="2042">
        <f t="shared" si="157"/>
        <v>0</v>
      </c>
      <c r="DF57" s="2042">
        <f t="shared" si="157"/>
        <v>0</v>
      </c>
      <c r="DG57" s="2042">
        <f t="shared" si="157"/>
        <v>0</v>
      </c>
      <c r="DH57" s="2042">
        <f t="shared" si="157"/>
        <v>0</v>
      </c>
      <c r="DI57" s="2042">
        <f t="shared" si="157"/>
        <v>0</v>
      </c>
      <c r="DJ57" s="2042">
        <f t="shared" si="157"/>
        <v>0</v>
      </c>
      <c r="DK57" s="2042">
        <f t="shared" si="157"/>
        <v>0</v>
      </c>
      <c r="DL57" s="2042"/>
      <c r="DM57" s="2042">
        <f t="shared" si="158"/>
        <v>0</v>
      </c>
      <c r="DN57" s="2042">
        <f t="shared" si="158"/>
        <v>0</v>
      </c>
      <c r="DO57" s="2042">
        <f t="shared" si="158"/>
        <v>0</v>
      </c>
      <c r="DP57" s="2042">
        <f t="shared" si="158"/>
        <v>0</v>
      </c>
      <c r="DQ57" s="2042">
        <f t="shared" si="158"/>
        <v>0</v>
      </c>
      <c r="DR57" s="2042">
        <f t="shared" si="158"/>
        <v>0</v>
      </c>
      <c r="DS57" s="2042">
        <f t="shared" si="158"/>
        <v>0</v>
      </c>
      <c r="DT57" s="2042">
        <f t="shared" si="158"/>
        <v>0</v>
      </c>
      <c r="DU57" s="2042">
        <f t="shared" si="158"/>
        <v>0</v>
      </c>
      <c r="DV57" s="2042">
        <f t="shared" si="158"/>
        <v>0</v>
      </c>
      <c r="DW57" s="2042">
        <f t="shared" si="158"/>
        <v>0</v>
      </c>
      <c r="DX57" s="2042">
        <f t="shared" si="158"/>
        <v>0</v>
      </c>
      <c r="DY57" s="2042"/>
      <c r="DZ57" s="2042">
        <f t="shared" si="159"/>
        <v>0</v>
      </c>
      <c r="EA57" s="2042">
        <f t="shared" si="159"/>
        <v>0</v>
      </c>
      <c r="EB57" s="2042">
        <f t="shared" si="159"/>
        <v>0</v>
      </c>
      <c r="EC57" s="2042">
        <f t="shared" si="159"/>
        <v>0</v>
      </c>
      <c r="ED57" s="2042">
        <f t="shared" si="159"/>
        <v>0</v>
      </c>
      <c r="EE57" s="2042">
        <f t="shared" si="159"/>
        <v>0</v>
      </c>
      <c r="EF57" s="2042">
        <f t="shared" si="159"/>
        <v>0</v>
      </c>
      <c r="EG57" s="2042">
        <f t="shared" si="159"/>
        <v>0</v>
      </c>
      <c r="EH57" s="2042">
        <f t="shared" si="159"/>
        <v>0</v>
      </c>
      <c r="EI57" s="2042">
        <f t="shared" si="159"/>
        <v>0</v>
      </c>
      <c r="EJ57" s="2042">
        <f t="shared" si="159"/>
        <v>0</v>
      </c>
      <c r="EK57" s="2042">
        <f t="shared" si="159"/>
        <v>0</v>
      </c>
      <c r="EL57" s="2042"/>
      <c r="EM57" s="2042">
        <f t="shared" si="160"/>
        <v>0</v>
      </c>
      <c r="EN57" s="2042">
        <f t="shared" si="160"/>
        <v>0</v>
      </c>
      <c r="EO57" s="2042">
        <f t="shared" si="160"/>
        <v>0</v>
      </c>
      <c r="EP57" s="2042">
        <f t="shared" si="160"/>
        <v>0</v>
      </c>
      <c r="EQ57" s="2042">
        <f t="shared" si="160"/>
        <v>0</v>
      </c>
      <c r="ER57" s="2042">
        <f t="shared" si="160"/>
        <v>0</v>
      </c>
      <c r="ES57" s="2042">
        <f t="shared" si="160"/>
        <v>0</v>
      </c>
      <c r="ET57" s="2042">
        <f t="shared" si="160"/>
        <v>0</v>
      </c>
      <c r="EU57" s="2042">
        <f t="shared" si="160"/>
        <v>0</v>
      </c>
      <c r="EV57" s="2042">
        <f t="shared" si="160"/>
        <v>0</v>
      </c>
      <c r="EW57" s="2042">
        <f t="shared" si="160"/>
        <v>0</v>
      </c>
      <c r="EX57" s="2042">
        <f t="shared" si="160"/>
        <v>0</v>
      </c>
      <c r="EY57" s="2042"/>
      <c r="EZ57" s="2045">
        <f t="shared" si="50"/>
        <v>0</v>
      </c>
      <c r="FA57" s="2042">
        <f>EZ57+CZ57+DZ57                 -         SUMIF('Berechnung Nährstoffe und Lager'!$AX$113:$AX$155,$CX57,'Berechnung Nährstoffe und Lager'!$U$113:$U$155)/12  -$GB57*$HC57/12</f>
        <v>0</v>
      </c>
      <c r="FB57" s="2042">
        <f>FA57+DA57+EA57                 -         SUMIF('Berechnung Nährstoffe und Lager'!$AX$113:$AX$155,$CX57,'Berechnung Nährstoffe und Lager'!$U$113:$U$155)/12  -$GB57*$HC57/12</f>
        <v>0</v>
      </c>
      <c r="FC57" s="2042">
        <f>FB57+DB57+EB57                 -         SUMIF('Berechnung Nährstoffe und Lager'!$AX$113:$AX$155,$CX57,'Berechnung Nährstoffe und Lager'!$U$113:$U$155)/12  -$GB57*$HC57/12</f>
        <v>0</v>
      </c>
      <c r="FD57" s="2042">
        <f>FC57+DC57+EC57                 -         SUMIF('Berechnung Nährstoffe und Lager'!$AX$113:$AX$155,$CX57,'Berechnung Nährstoffe und Lager'!$U$113:$U$155)/12  -$GB57*$HC57/12</f>
        <v>0</v>
      </c>
      <c r="FE57" s="2042">
        <f>FD57+DD57+ED57                 -         SUMIF('Berechnung Nährstoffe und Lager'!$AX$113:$AX$155,$CX57,'Berechnung Nährstoffe und Lager'!$U$113:$U$155)/12  -$GB57*$HC57/12</f>
        <v>0</v>
      </c>
      <c r="FF57" s="2042">
        <f>FE57+DE57+EE57                 -         SUMIF('Berechnung Nährstoffe und Lager'!$AX$113:$AX$155,$CX57,'Berechnung Nährstoffe und Lager'!$U$113:$U$155)/12  -$GB57*$HC57/12</f>
        <v>0</v>
      </c>
      <c r="FG57" s="2042">
        <f>FF57+DF57+EF57                 -         SUMIF('Berechnung Nährstoffe und Lager'!$AX$113:$AX$155,$CX57,'Berechnung Nährstoffe und Lager'!$U$113:$U$155)/12  -$GB57*$HC57/12</f>
        <v>0</v>
      </c>
      <c r="FH57" s="2042">
        <f>FG57+DG57+EG57                 -         SUMIF('Berechnung Nährstoffe und Lager'!$AX$113:$AX$155,$CX57,'Berechnung Nährstoffe und Lager'!$U$113:$U$155)/12  -$GB57*$HC57/12</f>
        <v>0</v>
      </c>
      <c r="FI57" s="2042">
        <f>FH57+DH57+EH57                 -         SUMIF('Berechnung Nährstoffe und Lager'!$AX$113:$AX$155,$CX57,'Berechnung Nährstoffe und Lager'!$U$113:$U$155)/12  -$GB57*$HC57/12</f>
        <v>0</v>
      </c>
      <c r="FJ57" s="2042">
        <f>FI57+DI57+EI57                 -         SUMIF('Berechnung Nährstoffe und Lager'!$AX$113:$AX$155,$CX57,'Berechnung Nährstoffe und Lager'!$U$113:$U$155)/12  -$GB57*$HC57/12</f>
        <v>0</v>
      </c>
      <c r="FK57" s="2042">
        <f>FJ57+DJ57+EJ57                 -         SUMIF('Berechnung Nährstoffe und Lager'!$AX$113:$AX$155,$CX57,'Berechnung Nährstoffe und Lager'!$U$113:$U$155)/12  -$GB57*$HC57/12</f>
        <v>0</v>
      </c>
      <c r="FL57" s="2042">
        <f>FK57+DK57+EK57                 -         SUMIF('Berechnung Nährstoffe und Lager'!$AX$113:$AX$155,$CX57,'Berechnung Nährstoffe und Lager'!$U$113:$U$155)/12  -$GB57*$HC57/12</f>
        <v>0</v>
      </c>
      <c r="FM57" s="2042"/>
      <c r="FN57" s="2045">
        <f t="shared" si="51"/>
        <v>0</v>
      </c>
      <c r="FO57" s="2042">
        <f>FN57+DM57+EM57                 -         SUMIF('Berechnung Nährstoffe und Lager'!$AX$113:$AX$155,$CX57,'Berechnung Nährstoffe und Lager'!$V$113:$V$155)/12  -$GC57*$HC57/12</f>
        <v>0</v>
      </c>
      <c r="FP57" s="2042">
        <f>FO57+DN57+EN57                 -         SUMIF('Berechnung Nährstoffe und Lager'!$AX$113:$AX$155,$CX57,'Berechnung Nährstoffe und Lager'!$V$113:$V$155)/12  -$GC57*$HC57/12</f>
        <v>0</v>
      </c>
      <c r="FQ57" s="2042">
        <f>FP57+DO57+EO57                 -         SUMIF('Berechnung Nährstoffe und Lager'!$AX$113:$AX$155,$CX57,'Berechnung Nährstoffe und Lager'!$V$113:$V$155)/12  -$GC57*$HC57/12</f>
        <v>0</v>
      </c>
      <c r="FR57" s="2042">
        <f>FQ57+DP57+EP57                 -         SUMIF('Berechnung Nährstoffe und Lager'!$AX$113:$AX$155,$CX57,'Berechnung Nährstoffe und Lager'!$V$113:$V$155)/12  -$GC57*$HC57/12</f>
        <v>0</v>
      </c>
      <c r="FS57" s="2042">
        <f>FR57+DQ57+EQ57                 -         SUMIF('Berechnung Nährstoffe und Lager'!$AX$113:$AX$155,$CX57,'Berechnung Nährstoffe und Lager'!$V$113:$V$155)/12  -$GC57*$HC57/12</f>
        <v>0</v>
      </c>
      <c r="FT57" s="2042">
        <f>FS57+DR57+ER57                 -         SUMIF('Berechnung Nährstoffe und Lager'!$AX$113:$AX$155,$CX57,'Berechnung Nährstoffe und Lager'!$V$113:$V$155)/12  -$GC57*$HC57/12</f>
        <v>0</v>
      </c>
      <c r="FU57" s="2042">
        <f>FT57+DS57+ES57                 -         SUMIF('Berechnung Nährstoffe und Lager'!$AX$113:$AX$155,$CX57,'Berechnung Nährstoffe und Lager'!$V$113:$V$155)/12  -$GC57*$HC57/12</f>
        <v>0</v>
      </c>
      <c r="FV57" s="2042">
        <f>FU57+DT57+ET57                 -         SUMIF('Berechnung Nährstoffe und Lager'!$AX$113:$AX$155,$CX57,'Berechnung Nährstoffe und Lager'!$V$113:$V$155)/12  -$GC57*$HC57/12</f>
        <v>0</v>
      </c>
      <c r="FW57" s="2042">
        <f>FV57+DU57+EU57                 -         SUMIF('Berechnung Nährstoffe und Lager'!$AX$113:$AX$155,$CX57,'Berechnung Nährstoffe und Lager'!$V$113:$V$155)/12  -$GC57*$HC57/12</f>
        <v>0</v>
      </c>
      <c r="FX57" s="2042">
        <f>FW57+DV57+EV57                 -         SUMIF('Berechnung Nährstoffe und Lager'!$AX$113:$AX$155,$CX57,'Berechnung Nährstoffe und Lager'!$V$113:$V$155)/12  -$GC57*$HC57/12</f>
        <v>0</v>
      </c>
      <c r="FY57" s="2042">
        <f>FX57+DW57+EW57                 -         SUMIF('Berechnung Nährstoffe und Lager'!$AX$113:$AX$155,$CX57,'Berechnung Nährstoffe und Lager'!$V$113:$V$155)/12  -$GC57*$HC57/12</f>
        <v>0</v>
      </c>
      <c r="FZ57" s="2042">
        <f>FY57+DX57+EX57                 -         SUMIF('Berechnung Nährstoffe und Lager'!$AX$113:$AX$155,$CX57,'Berechnung Nährstoffe und Lager'!$V$113:$V$155)/12  -$GC57*$HC57/12</f>
        <v>0</v>
      </c>
      <c r="GA57" s="2042"/>
      <c r="GB57" s="2042">
        <f>SUMIFS($CI$14:$CI$68,$BR$14:$BR$68,$CX57)+SUMIFS($CM$14:$CM$68,$BR$14:$BR$68,$CX57)+SUMIFS($CR$14:$CR$68,$BR$14:$BR$68,$CX57)  -         SUMIF('Berechnung Nährstoffe und Lager'!$AX$113:$AX$155,$CX57,'Berechnung Nährstoffe und Lager'!$U$113:$U$155)</f>
        <v>0</v>
      </c>
      <c r="GC57" s="2042">
        <f>SUMIFS($CJ$14:$CJ$68,$BR$14:$BR$68,$CX57)+SUMIFS($CO$14:$CO$68,$BR$14:$BR$68,$CX57)+SUMIFS($CT$14:$CT$68,$BR$14:$BR$68,$CX57)  -         SUMIF('Berechnung Nährstoffe und Lager'!$AX$113:$AX$155,$CX57,'Berechnung Nährstoffe und Lager'!$V$113:$V$155)</f>
        <v>0</v>
      </c>
      <c r="GD57" s="2042"/>
      <c r="GE57" s="2042"/>
      <c r="GF57" s="2042">
        <f>SUMIF('Berechnung Nährstoffe und Lager'!$AX$113:$AX$155,$CX57,'Berechnung Nährstoffe und Lager'!$U$113:$U$155)</f>
        <v>0</v>
      </c>
      <c r="GG57" s="2042">
        <f>SUMIF('Berechnung Nährstoffe und Lager'!$AX$113:$AX$155,$CX57,'Berechnung Nährstoffe und Lager'!$V$113:$V$155)</f>
        <v>0</v>
      </c>
      <c r="GH57" s="2042">
        <f t="shared" si="52"/>
        <v>0</v>
      </c>
      <c r="GI57" s="2042">
        <f t="shared" si="53"/>
        <v>0</v>
      </c>
      <c r="GJ57" s="2042">
        <f t="shared" si="121"/>
        <v>0</v>
      </c>
      <c r="GK57" s="2042">
        <f t="shared" si="122"/>
        <v>0</v>
      </c>
      <c r="GL57" s="2042">
        <f t="shared" si="123"/>
        <v>0</v>
      </c>
      <c r="GM57" s="2042" cm="1">
        <f t="array" ref="GM57">IF(GL57=0,0,(IFERROR(SUMPRODUCT($J$14:$J$68,$CH$14:$CH$68,($BR$14:$BR$68=CX57)*1)+SUMPRODUCT($L$14:$L$68,$M$14:$M$68,$CK$14:$CK$68,($BR$14:$BR$68=CX57)*1,($BT$14:$BT$68=FALSE)*1)/10+SUMPRODUCT($R$14:$R$68,$CP$14:$CP$68,($BR$14:$BR$68=CX57)*1),0))/GL57)</f>
        <v>0</v>
      </c>
      <c r="GN57" s="2042">
        <f t="shared" si="54"/>
        <v>0</v>
      </c>
      <c r="GO57" s="2042">
        <f>(SUMIF('Berechnung Nährstoffe und Lager'!$AX$113:$AX$130,'Lagerhaltung (freiwillig)'!CX57,'Berechnung Nährstoffe und Lager'!$D$113:$D$130)+SUMIF('Berechnung Nährstoffe und Lager'!$AX$137:$AX$155,'Lagerhaltung (freiwillig)'!CX57,'Berechnung Nährstoffe und Lager'!$E$137:$E$155))</f>
        <v>0</v>
      </c>
      <c r="GP57" s="2042" cm="1">
        <f t="array" ref="GP57">IF(GO57=0,0,(IFERROR(SUMPRODUCT('Berechnung Nährstoffe und Lager'!$D$113:$D$130,'Berechnung Nährstoffe und Lager'!$F$113:$F$130,('Berechnung Nährstoffe und Lager'!$AX$113:$AX$130='Lagerhaltung (freiwillig)'!CX57)*1)+SUMPRODUCT('Berechnung Nährstoffe und Lager'!$E$137:$E$155,'Berechnung Nährstoffe und Lager'!$F$137:$F$155,('Berechnung Nährstoffe und Lager'!$AX$137:$AX$155='Lagerhaltung (freiwillig)'!CX57)*1),0))/GO57)</f>
        <v>0</v>
      </c>
      <c r="GQ57" s="2042">
        <f t="shared" si="55"/>
        <v>0</v>
      </c>
      <c r="GR57" s="2042">
        <f t="shared" si="56"/>
        <v>0</v>
      </c>
      <c r="GS57" s="2042">
        <f t="shared" si="57"/>
        <v>0</v>
      </c>
      <c r="GT57" s="2042">
        <f t="shared" si="58"/>
        <v>0</v>
      </c>
      <c r="GU57" s="2045" t="str">
        <f t="shared" si="39"/>
        <v xml:space="preserve"> </v>
      </c>
      <c r="GV57" s="2045" t="str">
        <f t="shared" si="39"/>
        <v xml:space="preserve"> </v>
      </c>
      <c r="GW57" s="2054">
        <f t="shared" si="124"/>
        <v>0</v>
      </c>
      <c r="GX57" s="2042">
        <f t="shared" si="125"/>
        <v>0</v>
      </c>
      <c r="GY57" s="2042" t="str">
        <f t="shared" si="120"/>
        <v>a</v>
      </c>
      <c r="GZ57" s="2055">
        <f t="shared" si="126"/>
        <v>0</v>
      </c>
      <c r="HA57" s="2055">
        <f t="shared" si="127"/>
        <v>0</v>
      </c>
      <c r="HB57" s="2055"/>
      <c r="HC57" s="2046">
        <f t="shared" si="128"/>
        <v>0</v>
      </c>
      <c r="HD57" s="2055">
        <f t="shared" si="129"/>
        <v>0</v>
      </c>
      <c r="HE57" s="2055">
        <f t="shared" si="130"/>
        <v>0</v>
      </c>
      <c r="HF57" s="2055">
        <f t="shared" si="131"/>
        <v>0</v>
      </c>
      <c r="HG57" s="2282" cm="1">
        <f t="array" ref="HG57">IF(AND(HE57=0,GJ57=0),0,IF(HE57=0,1,IF(OR(GJ57*1000/HE57/HF57&gt;INDEX(Pflanzen!$AD$5:$AD$109,CX57)/INDEX(Pflanzen!$M$5:$M$109,CX57)*$HG$1,GJ57*1000/HE57/HF57&lt;INDEX(Pflanzen!$AD$5:$AD$109,CX57)/INDEX(Pflanzen!$M$5:$M$109,CX57)/$HG$1),1,0)))</f>
        <v>0</v>
      </c>
      <c r="HH57" s="2282" cm="1">
        <f t="array" ref="HH57">IF(AND(GK57=0,HE57=0),0,IF(HE57=0,1,IF(OR(GK57*1000/HE57/HF57&gt;INDEX(Pflanzen!$AE$5:$AE$109,CX57)/INDEX(Pflanzen!$M$5:$M$109,CX57)*$HG$1,GK57*1000/HE57/HF57&lt;INDEX(Pflanzen!$AE$5:$AE$109,CX57)/INDEX(Pflanzen!$M$5:$M$109,CX57)/$HG$1),1,0)))</f>
        <v>0</v>
      </c>
      <c r="HI57" s="2042">
        <f t="shared" si="132"/>
        <v>3</v>
      </c>
      <c r="HJ57" s="2042"/>
      <c r="HL57" s="2042"/>
      <c r="HM57" s="2052" t="str">
        <f>Tiere!B83</f>
        <v>Rotwild Alttier</v>
      </c>
      <c r="HN57" s="2042">
        <v>54</v>
      </c>
      <c r="HO57" s="2053">
        <f>SUMIF('Berechnung Nährstoffe und Lager'!$BM$68:$BM$81,'Lagerhaltung (freiwillig)'!HN57,'Berechnung Nährstoffe und Lager'!$Z$68:$Z$81)+SUMIF('Berechnung Nährstoffe und Lager'!$BM$68:$BM$81,'Lagerhaltung (freiwillig)'!HN57,'Berechnung Nährstoffe und Lager'!$AA$68:$AA$81)</f>
        <v>0</v>
      </c>
      <c r="HP57" s="2042" cm="1">
        <f t="array" ref="HP57">INDEX(Tiere!$C$30:$C$85,'Lagerhaltung (freiwillig)'!HN57)</f>
        <v>8</v>
      </c>
      <c r="HQ57" s="2042" cm="1">
        <f t="array" ref="HQ57">INDEX(Tiere!$H$30:$H$85,'Lagerhaltung (freiwillig)'!HN57)</f>
        <v>22.7</v>
      </c>
      <c r="HR57" s="2042">
        <f t="shared" si="112"/>
        <v>0</v>
      </c>
      <c r="HS57" s="2042" cm="1">
        <f t="array" ref="HS57">INDEX(Tiere!$I$30:$I$85,'Lagerhaltung (freiwillig)'!HN57)</f>
        <v>7.2</v>
      </c>
      <c r="HT57" s="2042">
        <f t="shared" si="13"/>
        <v>0</v>
      </c>
      <c r="HU57" s="2042" cm="1">
        <f t="array" ref="HU57">INDEX(Tiere!$BC$30:$BC$85,'Lagerhaltung (freiwillig)'!HN57)</f>
        <v>0</v>
      </c>
      <c r="HV57" s="2042">
        <f t="shared" si="110"/>
        <v>0</v>
      </c>
      <c r="HW57" s="2042" cm="1">
        <f t="array" ref="HW57">INDEX(Tiere!$BD$30:$BD$85,'Lagerhaltung (freiwillig)'!HN57)</f>
        <v>0</v>
      </c>
      <c r="HX57" s="2042">
        <f t="shared" si="111"/>
        <v>0</v>
      </c>
      <c r="HY57" s="2042"/>
      <c r="HZ57" s="2042"/>
      <c r="IA57" s="2042"/>
      <c r="IB57" s="2042"/>
      <c r="IC57" s="2042"/>
      <c r="ID57" s="2042"/>
      <c r="IE57" s="2042"/>
      <c r="IF57" s="2042"/>
      <c r="IG57" s="2042"/>
      <c r="IH57" s="2042"/>
      <c r="II57" s="2042"/>
      <c r="IJ57" s="2042"/>
    </row>
    <row r="58" spans="6:244" ht="15.6" customHeight="1" x14ac:dyDescent="0.2">
      <c r="F58" s="1259"/>
      <c r="G58" s="2314"/>
      <c r="H58" s="2293"/>
      <c r="I58" s="2014" t="str">
        <f t="shared" si="133"/>
        <v/>
      </c>
      <c r="J58" s="1256"/>
      <c r="K58" s="2014" t="str">
        <f t="shared" si="134"/>
        <v/>
      </c>
      <c r="L58" s="1970"/>
      <c r="M58" s="1246"/>
      <c r="N58" s="1870"/>
      <c r="O58" s="1870"/>
      <c r="P58" s="2222"/>
      <c r="Q58" s="2014" t="str">
        <f t="shared" si="135"/>
        <v/>
      </c>
      <c r="R58" s="1970"/>
      <c r="S58" s="1246"/>
      <c r="T58" s="1256"/>
      <c r="V58" s="2316" t="str">
        <f t="shared" si="156"/>
        <v/>
      </c>
      <c r="Y58" s="2005" t="str" cm="1">
        <f t="array" ref="Y58">IFERROR(INDEX($CW$4:$CW$171,AY58),"")</f>
        <v/>
      </c>
      <c r="Z58" s="510"/>
      <c r="AA58" s="510"/>
      <c r="AB58" s="510"/>
      <c r="AC58" s="2031" t="str" cm="1">
        <f t="array" ref="AC58">IFERROR(INDEX($GL$4:$GL$171,AY58),"")</f>
        <v/>
      </c>
      <c r="AD58" s="2031" t="str" cm="1">
        <f t="array" ref="AD58">IFERROR(INDEX($GM$4:$GM$171,AY58),"")</f>
        <v/>
      </c>
      <c r="AE58" s="2031" t="str" cm="1">
        <f t="array" ref="AE58">IFERROR(INDEX($GH$4:$GH$171,AY58),"")</f>
        <v/>
      </c>
      <c r="AF58" s="2031" t="str" cm="1">
        <f t="array" ref="AF58">IFERROR(INDEX($GI$4:$GI$171,AY58),"")</f>
        <v/>
      </c>
      <c r="AG58" s="2031" t="str" cm="1">
        <f t="array" ref="AG58">IFERROR(INDEX($GO$4:$GO$171,AY58),"")</f>
        <v/>
      </c>
      <c r="AH58" s="2031" t="str" cm="1">
        <f t="array" ref="AH58">IFERROR(INDEX($GP$4:$GP$171,AY58),"")</f>
        <v/>
      </c>
      <c r="AI58" s="2031" t="str" cm="1">
        <f t="array" ref="AI58">IFERROR(INDEX($GF$4:$GF$171,AY58),"")</f>
        <v/>
      </c>
      <c r="AJ58" s="2031" t="str" cm="1">
        <f t="array" ref="AJ58">IFERROR(INDEX($GG$4:$GG$171,AY58),"")</f>
        <v/>
      </c>
      <c r="AK58" s="2031" t="str" cm="1">
        <f t="array" ref="AK58">IFERROR(INDEX($GS$4:$GS$171,AY58),"")</f>
        <v/>
      </c>
      <c r="AL58" s="2032" t="str" cm="1">
        <f t="array" ref="AL58">IFERROR(INDEX($GT$4:$GT$171,AY58),"")</f>
        <v/>
      </c>
      <c r="AM58" s="2031" t="str" cm="1">
        <f t="array" ref="AM58">IFERROR(INDEX($GB$4:$GB$171,AY58),"")</f>
        <v/>
      </c>
      <c r="AN58" s="2031" t="str" cm="1">
        <f t="array" ref="AN58">IFERROR(INDEX($GC$4:$GC$171,AY58),"")</f>
        <v/>
      </c>
      <c r="AO58" s="2031" t="str" cm="1">
        <f t="array" ref="AO58">IFERROR(INDEX($GU$4:$GU$171,AY58),"")</f>
        <v/>
      </c>
      <c r="AP58" s="2031" t="str" cm="1">
        <f t="array" ref="AP58">IFERROR(INDEX($GX$4:$GX$171,AY58),"")</f>
        <v/>
      </c>
      <c r="AQ58" s="1316"/>
      <c r="AR58" s="2031" t="str" cm="1">
        <f t="array" ref="AR58">IFERROR(INDEX($HD$4:$HD$171,AY58),"")</f>
        <v/>
      </c>
      <c r="AS58" s="2031" t="str" cm="1">
        <f t="array" ref="AS58">IFERROR(INDEX($HE$4:$HE$171,AY58),"")</f>
        <v/>
      </c>
      <c r="AT58" s="2031" t="str" cm="1">
        <f t="array" ref="AT58">IFERROR(INDEX($HF$4:$HF$171,AY58),"")</f>
        <v/>
      </c>
      <c r="AU58" s="2031" t="str" cm="1">
        <f t="array" ref="AU58">IFERROR(INDEX($GJ$4:$GJ$171,AY58),"")</f>
        <v/>
      </c>
      <c r="AV58" s="2031" t="str" cm="1">
        <f t="array" ref="AV58">IFERROR(INDEX($GK$4:$GK$171,AY58),"")</f>
        <v/>
      </c>
      <c r="AY58" s="2042" t="str" cm="1">
        <f t="array" ref="AY58">IFERROR(SMALL(IF($HI$4:$HI$171=1,ROW($HI$4:$HI$171)-3),ROW(W43)),IFERROR(SMALL(IF($HI$4:$HI$171=2,ROW($HI$4:$HI$171)-3),ROW(W43)-COUNTIF($HI$4:$HI$171,1)),IFERROR(SMALL(IF($HI$4:$HI$171=0,ROW($HI$4:$HI$171)-3),ROW(W43)-COUNTIF($HI$4:$HI$171,1)-COUNTIF($HI$4:$HI$171,2)),"")))</f>
        <v/>
      </c>
      <c r="AZ58" s="2042" t="str">
        <f t="shared" si="117"/>
        <v>a</v>
      </c>
      <c r="BA58" s="2053" t="e">
        <f t="shared" si="118"/>
        <v>#VALUE!</v>
      </c>
      <c r="BB58" s="2053" cm="1">
        <f t="array" ref="BB58">IFERROR(INDEX($HI$4:$HI$171,AY58),0)</f>
        <v>0</v>
      </c>
      <c r="BC58" s="2053">
        <f t="shared" si="119"/>
        <v>0</v>
      </c>
      <c r="BD58" s="2053"/>
      <c r="BE58" s="2307"/>
      <c r="BF58" s="2307"/>
      <c r="BG58" s="2307"/>
      <c r="BH58" s="2307"/>
      <c r="BI58" s="2307"/>
      <c r="BJ58" s="2307"/>
      <c r="BK58" s="2307"/>
      <c r="BL58" s="2307"/>
      <c r="BM58" s="2307"/>
      <c r="BN58" s="2307"/>
      <c r="BO58" s="2307"/>
      <c r="BP58" s="2043"/>
      <c r="BQ58" s="2042">
        <v>1</v>
      </c>
      <c r="BR58" cm="1">
        <f t="array" ref="BR58">INDEX(Pflanzen!$B$5:$B$117,'Lagerhaltung (freiwillig)'!BQ58)</f>
        <v>1</v>
      </c>
      <c r="BS58" s="2042"/>
      <c r="BT58" s="2042" t="b">
        <v>0</v>
      </c>
      <c r="BU58" s="2044"/>
      <c r="BV58" s="2044"/>
      <c r="BW58" s="2042">
        <f t="shared" si="136"/>
        <v>12</v>
      </c>
      <c r="BX58" s="2042">
        <f t="shared" si="137"/>
        <v>0</v>
      </c>
      <c r="BY58" s="2042">
        <f t="shared" si="138"/>
        <v>12</v>
      </c>
      <c r="BZ58" s="2042" cm="1">
        <f t="array" ref="BZ58">INDEX(Pflanzen!$AI$5:$AI$119,'Lagerhaltung (freiwillig)'!BR58)</f>
        <v>0</v>
      </c>
      <c r="CA58" s="2042" cm="1">
        <f t="array" ref="CA58">IF(BZ58=1,INDEX(Pflanzen!$AJ$5:$AJ$119,BR58),N58)</f>
        <v>0</v>
      </c>
      <c r="CB58" s="2042" cm="1">
        <f t="array" ref="CB58">IF(BZ58=1,INDEX(Pflanzen!$AK$5:$AK$119,BR58),O58)</f>
        <v>0</v>
      </c>
      <c r="CC58" s="2042">
        <f t="shared" si="139"/>
        <v>12</v>
      </c>
      <c r="CD58" s="2042">
        <f t="shared" si="140"/>
        <v>0</v>
      </c>
      <c r="CE58" s="2042">
        <f t="shared" si="141"/>
        <v>12</v>
      </c>
      <c r="CF58" s="2042" cm="1">
        <f t="array" ref="CF58">INDEX(Pflanzen!$F$5:$F$119,BR58)</f>
        <v>0</v>
      </c>
      <c r="CG58" s="2042" cm="1">
        <f t="array" ref="CG58">INDEX(Pflanzen!$H$5:$H$119,BR58)</f>
        <v>0</v>
      </c>
      <c r="CH58" s="2042">
        <f t="shared" si="142"/>
        <v>0</v>
      </c>
      <c r="CI58" s="2042">
        <f t="shared" si="143"/>
        <v>0</v>
      </c>
      <c r="CJ58" s="2042">
        <f t="shared" si="144"/>
        <v>0</v>
      </c>
      <c r="CK58" s="2042">
        <f t="shared" si="145"/>
        <v>0</v>
      </c>
      <c r="CL58" s="2042">
        <f t="shared" si="146"/>
        <v>0</v>
      </c>
      <c r="CM58" s="2042">
        <f t="shared" si="147"/>
        <v>0</v>
      </c>
      <c r="CN58" s="2042">
        <f t="shared" si="148"/>
        <v>0</v>
      </c>
      <c r="CO58" s="2042">
        <f t="shared" si="149"/>
        <v>0</v>
      </c>
      <c r="CP58" s="2042">
        <f t="shared" si="150"/>
        <v>0</v>
      </c>
      <c r="CQ58" s="2042">
        <f t="shared" si="151"/>
        <v>0</v>
      </c>
      <c r="CR58" s="2042">
        <f t="shared" si="152"/>
        <v>0</v>
      </c>
      <c r="CS58" s="2042">
        <f t="shared" si="153"/>
        <v>0</v>
      </c>
      <c r="CT58" s="2042">
        <f t="shared" si="154"/>
        <v>0</v>
      </c>
      <c r="CU58" s="2042">
        <f t="shared" si="155"/>
        <v>0</v>
      </c>
      <c r="CV58" s="2042"/>
      <c r="CW58" s="609" t="str">
        <f>Pflanzen!A54</f>
        <v>GPS Triticale</v>
      </c>
      <c r="CX58" s="2042">
        <f>IFERROR(MATCH($CW58,Pflanzen!$C$5:$C$119,0),1)</f>
        <v>50</v>
      </c>
      <c r="CY58" s="609" cm="1">
        <f t="array" ref="CY58">INDEX(Pflanzen!$I$5:$I$119,'Lagerhaltung (freiwillig)'!CX58)</f>
        <v>1</v>
      </c>
      <c r="CZ58" s="2042">
        <f t="shared" si="157"/>
        <v>0</v>
      </c>
      <c r="DA58" s="2042">
        <f t="shared" si="157"/>
        <v>0</v>
      </c>
      <c r="DB58" s="2042">
        <f t="shared" si="157"/>
        <v>0</v>
      </c>
      <c r="DC58" s="2042">
        <f t="shared" si="157"/>
        <v>0</v>
      </c>
      <c r="DD58" s="2042">
        <f t="shared" si="157"/>
        <v>0</v>
      </c>
      <c r="DE58" s="2042">
        <f t="shared" si="157"/>
        <v>0</v>
      </c>
      <c r="DF58" s="2042">
        <f t="shared" si="157"/>
        <v>0</v>
      </c>
      <c r="DG58" s="2042">
        <f t="shared" si="157"/>
        <v>0</v>
      </c>
      <c r="DH58" s="2042">
        <f t="shared" si="157"/>
        <v>0</v>
      </c>
      <c r="DI58" s="2042">
        <f t="shared" si="157"/>
        <v>0</v>
      </c>
      <c r="DJ58" s="2042">
        <f t="shared" si="157"/>
        <v>0</v>
      </c>
      <c r="DK58" s="2042">
        <f t="shared" si="157"/>
        <v>0</v>
      </c>
      <c r="DL58" s="2042"/>
      <c r="DM58" s="2042">
        <f t="shared" si="158"/>
        <v>0</v>
      </c>
      <c r="DN58" s="2042">
        <f t="shared" si="158"/>
        <v>0</v>
      </c>
      <c r="DO58" s="2042">
        <f t="shared" si="158"/>
        <v>0</v>
      </c>
      <c r="DP58" s="2042">
        <f t="shared" si="158"/>
        <v>0</v>
      </c>
      <c r="DQ58" s="2042">
        <f t="shared" si="158"/>
        <v>0</v>
      </c>
      <c r="DR58" s="2042">
        <f t="shared" si="158"/>
        <v>0</v>
      </c>
      <c r="DS58" s="2042">
        <f t="shared" si="158"/>
        <v>0</v>
      </c>
      <c r="DT58" s="2042">
        <f t="shared" si="158"/>
        <v>0</v>
      </c>
      <c r="DU58" s="2042">
        <f t="shared" si="158"/>
        <v>0</v>
      </c>
      <c r="DV58" s="2042">
        <f t="shared" si="158"/>
        <v>0</v>
      </c>
      <c r="DW58" s="2042">
        <f t="shared" si="158"/>
        <v>0</v>
      </c>
      <c r="DX58" s="2042">
        <f t="shared" si="158"/>
        <v>0</v>
      </c>
      <c r="DY58" s="2042"/>
      <c r="DZ58" s="2042">
        <f t="shared" si="159"/>
        <v>0</v>
      </c>
      <c r="EA58" s="2042">
        <f t="shared" si="159"/>
        <v>0</v>
      </c>
      <c r="EB58" s="2042">
        <f t="shared" si="159"/>
        <v>0</v>
      </c>
      <c r="EC58" s="2042">
        <f t="shared" si="159"/>
        <v>0</v>
      </c>
      <c r="ED58" s="2042">
        <f t="shared" si="159"/>
        <v>0</v>
      </c>
      <c r="EE58" s="2042">
        <f t="shared" si="159"/>
        <v>0</v>
      </c>
      <c r="EF58" s="2042">
        <f t="shared" si="159"/>
        <v>0</v>
      </c>
      <c r="EG58" s="2042">
        <f t="shared" si="159"/>
        <v>0</v>
      </c>
      <c r="EH58" s="2042">
        <f t="shared" si="159"/>
        <v>0</v>
      </c>
      <c r="EI58" s="2042">
        <f t="shared" si="159"/>
        <v>0</v>
      </c>
      <c r="EJ58" s="2042">
        <f t="shared" si="159"/>
        <v>0</v>
      </c>
      <c r="EK58" s="2042">
        <f t="shared" si="159"/>
        <v>0</v>
      </c>
      <c r="EL58" s="2042"/>
      <c r="EM58" s="2042">
        <f t="shared" si="160"/>
        <v>0</v>
      </c>
      <c r="EN58" s="2042">
        <f t="shared" si="160"/>
        <v>0</v>
      </c>
      <c r="EO58" s="2042">
        <f t="shared" si="160"/>
        <v>0</v>
      </c>
      <c r="EP58" s="2042">
        <f t="shared" si="160"/>
        <v>0</v>
      </c>
      <c r="EQ58" s="2042">
        <f t="shared" si="160"/>
        <v>0</v>
      </c>
      <c r="ER58" s="2042">
        <f t="shared" si="160"/>
        <v>0</v>
      </c>
      <c r="ES58" s="2042">
        <f t="shared" si="160"/>
        <v>0</v>
      </c>
      <c r="ET58" s="2042">
        <f t="shared" si="160"/>
        <v>0</v>
      </c>
      <c r="EU58" s="2042">
        <f t="shared" si="160"/>
        <v>0</v>
      </c>
      <c r="EV58" s="2042">
        <f t="shared" si="160"/>
        <v>0</v>
      </c>
      <c r="EW58" s="2042">
        <f t="shared" si="160"/>
        <v>0</v>
      </c>
      <c r="EX58" s="2042">
        <f t="shared" si="160"/>
        <v>0</v>
      </c>
      <c r="EY58" s="2042"/>
      <c r="EZ58" s="2045">
        <f t="shared" si="50"/>
        <v>0</v>
      </c>
      <c r="FA58" s="2042">
        <f>EZ58+CZ58+DZ58                 -         SUMIF('Berechnung Nährstoffe und Lager'!$AX$113:$AX$155,$CX58,'Berechnung Nährstoffe und Lager'!$U$113:$U$155)/12  -$GB58*$HC58/12</f>
        <v>0</v>
      </c>
      <c r="FB58" s="2042">
        <f>FA58+DA58+EA58                 -         SUMIF('Berechnung Nährstoffe und Lager'!$AX$113:$AX$155,$CX58,'Berechnung Nährstoffe und Lager'!$U$113:$U$155)/12  -$GB58*$HC58/12</f>
        <v>0</v>
      </c>
      <c r="FC58" s="2042">
        <f>FB58+DB58+EB58                 -         SUMIF('Berechnung Nährstoffe und Lager'!$AX$113:$AX$155,$CX58,'Berechnung Nährstoffe und Lager'!$U$113:$U$155)/12  -$GB58*$HC58/12</f>
        <v>0</v>
      </c>
      <c r="FD58" s="2042">
        <f>FC58+DC58+EC58                 -         SUMIF('Berechnung Nährstoffe und Lager'!$AX$113:$AX$155,$CX58,'Berechnung Nährstoffe und Lager'!$U$113:$U$155)/12  -$GB58*$HC58/12</f>
        <v>0</v>
      </c>
      <c r="FE58" s="2042">
        <f>FD58+DD58+ED58                 -         SUMIF('Berechnung Nährstoffe und Lager'!$AX$113:$AX$155,$CX58,'Berechnung Nährstoffe und Lager'!$U$113:$U$155)/12  -$GB58*$HC58/12</f>
        <v>0</v>
      </c>
      <c r="FF58" s="2042">
        <f>FE58+DE58+EE58                 -         SUMIF('Berechnung Nährstoffe und Lager'!$AX$113:$AX$155,$CX58,'Berechnung Nährstoffe und Lager'!$U$113:$U$155)/12  -$GB58*$HC58/12</f>
        <v>0</v>
      </c>
      <c r="FG58" s="2042">
        <f>FF58+DF58+EF58                 -         SUMIF('Berechnung Nährstoffe und Lager'!$AX$113:$AX$155,$CX58,'Berechnung Nährstoffe und Lager'!$U$113:$U$155)/12  -$GB58*$HC58/12</f>
        <v>0</v>
      </c>
      <c r="FH58" s="2042">
        <f>FG58+DG58+EG58                 -         SUMIF('Berechnung Nährstoffe und Lager'!$AX$113:$AX$155,$CX58,'Berechnung Nährstoffe und Lager'!$U$113:$U$155)/12  -$GB58*$HC58/12</f>
        <v>0</v>
      </c>
      <c r="FI58" s="2042">
        <f>FH58+DH58+EH58                 -         SUMIF('Berechnung Nährstoffe und Lager'!$AX$113:$AX$155,$CX58,'Berechnung Nährstoffe und Lager'!$U$113:$U$155)/12  -$GB58*$HC58/12</f>
        <v>0</v>
      </c>
      <c r="FJ58" s="2042">
        <f>FI58+DI58+EI58                 -         SUMIF('Berechnung Nährstoffe und Lager'!$AX$113:$AX$155,$CX58,'Berechnung Nährstoffe und Lager'!$U$113:$U$155)/12  -$GB58*$HC58/12</f>
        <v>0</v>
      </c>
      <c r="FK58" s="2042">
        <f>FJ58+DJ58+EJ58                 -         SUMIF('Berechnung Nährstoffe und Lager'!$AX$113:$AX$155,$CX58,'Berechnung Nährstoffe und Lager'!$U$113:$U$155)/12  -$GB58*$HC58/12</f>
        <v>0</v>
      </c>
      <c r="FL58" s="2042">
        <f>FK58+DK58+EK58                 -         SUMIF('Berechnung Nährstoffe und Lager'!$AX$113:$AX$155,$CX58,'Berechnung Nährstoffe und Lager'!$U$113:$U$155)/12  -$GB58*$HC58/12</f>
        <v>0</v>
      </c>
      <c r="FM58" s="2042"/>
      <c r="FN58" s="2045">
        <f t="shared" si="51"/>
        <v>0</v>
      </c>
      <c r="FO58" s="2042">
        <f>FN58+DM58+EM58                 -         SUMIF('Berechnung Nährstoffe und Lager'!$AX$113:$AX$155,$CX58,'Berechnung Nährstoffe und Lager'!$V$113:$V$155)/12  -$GC58*$HC58/12</f>
        <v>0</v>
      </c>
      <c r="FP58" s="2042">
        <f>FO58+DN58+EN58                 -         SUMIF('Berechnung Nährstoffe und Lager'!$AX$113:$AX$155,$CX58,'Berechnung Nährstoffe und Lager'!$V$113:$V$155)/12  -$GC58*$HC58/12</f>
        <v>0</v>
      </c>
      <c r="FQ58" s="2042">
        <f>FP58+DO58+EO58                 -         SUMIF('Berechnung Nährstoffe und Lager'!$AX$113:$AX$155,$CX58,'Berechnung Nährstoffe und Lager'!$V$113:$V$155)/12  -$GC58*$HC58/12</f>
        <v>0</v>
      </c>
      <c r="FR58" s="2042">
        <f>FQ58+DP58+EP58                 -         SUMIF('Berechnung Nährstoffe und Lager'!$AX$113:$AX$155,$CX58,'Berechnung Nährstoffe und Lager'!$V$113:$V$155)/12  -$GC58*$HC58/12</f>
        <v>0</v>
      </c>
      <c r="FS58" s="2042">
        <f>FR58+DQ58+EQ58                 -         SUMIF('Berechnung Nährstoffe und Lager'!$AX$113:$AX$155,$CX58,'Berechnung Nährstoffe und Lager'!$V$113:$V$155)/12  -$GC58*$HC58/12</f>
        <v>0</v>
      </c>
      <c r="FT58" s="2042">
        <f>FS58+DR58+ER58                 -         SUMIF('Berechnung Nährstoffe und Lager'!$AX$113:$AX$155,$CX58,'Berechnung Nährstoffe und Lager'!$V$113:$V$155)/12  -$GC58*$HC58/12</f>
        <v>0</v>
      </c>
      <c r="FU58" s="2042">
        <f>FT58+DS58+ES58                 -         SUMIF('Berechnung Nährstoffe und Lager'!$AX$113:$AX$155,$CX58,'Berechnung Nährstoffe und Lager'!$V$113:$V$155)/12  -$GC58*$HC58/12</f>
        <v>0</v>
      </c>
      <c r="FV58" s="2042">
        <f>FU58+DT58+ET58                 -         SUMIF('Berechnung Nährstoffe und Lager'!$AX$113:$AX$155,$CX58,'Berechnung Nährstoffe und Lager'!$V$113:$V$155)/12  -$GC58*$HC58/12</f>
        <v>0</v>
      </c>
      <c r="FW58" s="2042">
        <f>FV58+DU58+EU58                 -         SUMIF('Berechnung Nährstoffe und Lager'!$AX$113:$AX$155,$CX58,'Berechnung Nährstoffe und Lager'!$V$113:$V$155)/12  -$GC58*$HC58/12</f>
        <v>0</v>
      </c>
      <c r="FX58" s="2042">
        <f>FW58+DV58+EV58                 -         SUMIF('Berechnung Nährstoffe und Lager'!$AX$113:$AX$155,$CX58,'Berechnung Nährstoffe und Lager'!$V$113:$V$155)/12  -$GC58*$HC58/12</f>
        <v>0</v>
      </c>
      <c r="FY58" s="2042">
        <f>FX58+DW58+EW58                 -         SUMIF('Berechnung Nährstoffe und Lager'!$AX$113:$AX$155,$CX58,'Berechnung Nährstoffe und Lager'!$V$113:$V$155)/12  -$GC58*$HC58/12</f>
        <v>0</v>
      </c>
      <c r="FZ58" s="2042">
        <f>FY58+DX58+EX58                 -         SUMIF('Berechnung Nährstoffe und Lager'!$AX$113:$AX$155,$CX58,'Berechnung Nährstoffe und Lager'!$V$113:$V$155)/12  -$GC58*$HC58/12</f>
        <v>0</v>
      </c>
      <c r="GA58" s="2042"/>
      <c r="GB58" s="2042">
        <f>SUMIFS($CI$14:$CI$68,$BR$14:$BR$68,$CX58)+SUMIFS($CM$14:$CM$68,$BR$14:$BR$68,$CX58)+SUMIFS($CR$14:$CR$68,$BR$14:$BR$68,$CX58)  -         SUMIF('Berechnung Nährstoffe und Lager'!$AX$113:$AX$155,$CX58,'Berechnung Nährstoffe und Lager'!$U$113:$U$155)</f>
        <v>0</v>
      </c>
      <c r="GC58" s="2042">
        <f>SUMIFS($CJ$14:$CJ$68,$BR$14:$BR$68,$CX58)+SUMIFS($CO$14:$CO$68,$BR$14:$BR$68,$CX58)+SUMIFS($CT$14:$CT$68,$BR$14:$BR$68,$CX58)  -         SUMIF('Berechnung Nährstoffe und Lager'!$AX$113:$AX$155,$CX58,'Berechnung Nährstoffe und Lager'!$V$113:$V$155)</f>
        <v>0</v>
      </c>
      <c r="GD58" s="2042"/>
      <c r="GE58" s="2042"/>
      <c r="GF58" s="2042">
        <f>SUMIF('Berechnung Nährstoffe und Lager'!$AX$113:$AX$155,$CX58,'Berechnung Nährstoffe und Lager'!$U$113:$U$155)</f>
        <v>0</v>
      </c>
      <c r="GG58" s="2042">
        <f>SUMIF('Berechnung Nährstoffe und Lager'!$AX$113:$AX$155,$CX58,'Berechnung Nährstoffe und Lager'!$V$113:$V$155)</f>
        <v>0</v>
      </c>
      <c r="GH58" s="2042">
        <f t="shared" si="52"/>
        <v>0</v>
      </c>
      <c r="GI58" s="2042">
        <f t="shared" si="53"/>
        <v>0</v>
      </c>
      <c r="GJ58" s="2042">
        <f t="shared" si="121"/>
        <v>0</v>
      </c>
      <c r="GK58" s="2042">
        <f t="shared" si="122"/>
        <v>0</v>
      </c>
      <c r="GL58" s="2042">
        <f t="shared" si="123"/>
        <v>0</v>
      </c>
      <c r="GM58" s="2042" cm="1">
        <f t="array" ref="GM58">IF(GL58=0,0,(IFERROR(SUMPRODUCT($J$14:$J$68,$CH$14:$CH$68,($BR$14:$BR$68=CX58)*1)+SUMPRODUCT($L$14:$L$68,$M$14:$M$68,$CK$14:$CK$68,($BR$14:$BR$68=CX58)*1,($BT$14:$BT$68=FALSE)*1)/10+SUMPRODUCT($R$14:$R$68,$CP$14:$CP$68,($BR$14:$BR$68=CX58)*1),0))/GL58)</f>
        <v>0</v>
      </c>
      <c r="GN58" s="2042">
        <f t="shared" si="54"/>
        <v>0</v>
      </c>
      <c r="GO58" s="2042">
        <f>(SUMIF('Berechnung Nährstoffe und Lager'!$AX$113:$AX$130,'Lagerhaltung (freiwillig)'!CX58,'Berechnung Nährstoffe und Lager'!$D$113:$D$130)+SUMIF('Berechnung Nährstoffe und Lager'!$AX$137:$AX$155,'Lagerhaltung (freiwillig)'!CX58,'Berechnung Nährstoffe und Lager'!$E$137:$E$155))</f>
        <v>0</v>
      </c>
      <c r="GP58" s="2042" cm="1">
        <f t="array" ref="GP58">IF(GO58=0,0,(IFERROR(SUMPRODUCT('Berechnung Nährstoffe und Lager'!$D$113:$D$130,'Berechnung Nährstoffe und Lager'!$F$113:$F$130,('Berechnung Nährstoffe und Lager'!$AX$113:$AX$130='Lagerhaltung (freiwillig)'!CX58)*1)+SUMPRODUCT('Berechnung Nährstoffe und Lager'!$E$137:$E$155,'Berechnung Nährstoffe und Lager'!$F$137:$F$155,('Berechnung Nährstoffe und Lager'!$AX$137:$AX$155='Lagerhaltung (freiwillig)'!CX58)*1),0))/GO58)</f>
        <v>0</v>
      </c>
      <c r="GQ58" s="2042">
        <f t="shared" si="55"/>
        <v>0</v>
      </c>
      <c r="GR58" s="2042">
        <f t="shared" si="56"/>
        <v>0</v>
      </c>
      <c r="GS58" s="2042">
        <f t="shared" si="57"/>
        <v>0</v>
      </c>
      <c r="GT58" s="2042">
        <f t="shared" si="58"/>
        <v>0</v>
      </c>
      <c r="GU58" s="2045" t="str">
        <f t="shared" si="39"/>
        <v xml:space="preserve"> </v>
      </c>
      <c r="GV58" s="2045" t="str">
        <f t="shared" si="39"/>
        <v xml:space="preserve"> </v>
      </c>
      <c r="GW58" s="2054">
        <f t="shared" si="124"/>
        <v>0</v>
      </c>
      <c r="GX58" s="2042">
        <f t="shared" si="125"/>
        <v>0</v>
      </c>
      <c r="GY58" s="2042" t="str">
        <f t="shared" si="120"/>
        <v>a</v>
      </c>
      <c r="GZ58" s="2055">
        <f t="shared" si="126"/>
        <v>0</v>
      </c>
      <c r="HA58" s="2055">
        <f t="shared" si="127"/>
        <v>0</v>
      </c>
      <c r="HB58" s="2055"/>
      <c r="HC58" s="2046">
        <f t="shared" si="128"/>
        <v>0</v>
      </c>
      <c r="HD58" s="2055">
        <f t="shared" si="129"/>
        <v>0</v>
      </c>
      <c r="HE58" s="2055">
        <f t="shared" si="130"/>
        <v>0</v>
      </c>
      <c r="HF58" s="2055">
        <f t="shared" si="131"/>
        <v>0</v>
      </c>
      <c r="HG58" s="2282" cm="1">
        <f t="array" ref="HG58">IF(AND(HE58=0,GJ58=0),0,IF(HE58=0,1,IF(OR(GJ58*1000/HE58/HF58&gt;INDEX(Pflanzen!$AD$5:$AD$109,CX58)/INDEX(Pflanzen!$M$5:$M$109,CX58)*$HG$1,GJ58*1000/HE58/HF58&lt;INDEX(Pflanzen!$AD$5:$AD$109,CX58)/INDEX(Pflanzen!$M$5:$M$109,CX58)/$HG$1),1,0)))</f>
        <v>0</v>
      </c>
      <c r="HH58" s="2282" cm="1">
        <f t="array" ref="HH58">IF(AND(GK58=0,HE58=0),0,IF(HE58=0,1,IF(OR(GK58*1000/HE58/HF58&gt;INDEX(Pflanzen!$AE$5:$AE$109,CX58)/INDEX(Pflanzen!$M$5:$M$109,CX58)*$HG$1,GK58*1000/HE58/HF58&lt;INDEX(Pflanzen!$AE$5:$AE$109,CX58)/INDEX(Pflanzen!$M$5:$M$109,CX58)/$HG$1),1,0)))</f>
        <v>0</v>
      </c>
      <c r="HI58" s="2042">
        <f t="shared" si="132"/>
        <v>3</v>
      </c>
      <c r="HJ58" s="2042"/>
      <c r="HL58" s="2042"/>
      <c r="HM58" s="2052" t="str">
        <f>Tiere!B84</f>
        <v xml:space="preserve">Lama </v>
      </c>
      <c r="HN58" s="2042">
        <v>55</v>
      </c>
      <c r="HO58" s="2053">
        <f>SUMIF('Berechnung Nährstoffe und Lager'!$BM$68:$BM$81,'Lagerhaltung (freiwillig)'!HN58,'Berechnung Nährstoffe und Lager'!$Z$68:$Z$81)+SUMIF('Berechnung Nährstoffe und Lager'!$BM$68:$BM$81,'Lagerhaltung (freiwillig)'!HN58,'Berechnung Nährstoffe und Lager'!$AA$68:$AA$81)</f>
        <v>0</v>
      </c>
      <c r="HP58" s="2042" cm="1">
        <f t="array" ref="HP58">INDEX(Tiere!$C$30:$C$85,'Lagerhaltung (freiwillig)'!HN58)</f>
        <v>9</v>
      </c>
      <c r="HQ58" s="2042" cm="1">
        <f t="array" ref="HQ58">INDEX(Tiere!$H$30:$H$85,'Lagerhaltung (freiwillig)'!HN58)</f>
        <v>22.7</v>
      </c>
      <c r="HR58" s="2042">
        <f t="shared" si="112"/>
        <v>0</v>
      </c>
      <c r="HS58" s="2042" cm="1">
        <f t="array" ref="HS58">INDEX(Tiere!$I$30:$I$85,'Lagerhaltung (freiwillig)'!HN58)</f>
        <v>7.2</v>
      </c>
      <c r="HT58" s="2042">
        <f t="shared" si="13"/>
        <v>0</v>
      </c>
      <c r="HU58" s="2042" cm="1">
        <f t="array" ref="HU58">INDEX(Tiere!$BC$30:$BC$85,'Lagerhaltung (freiwillig)'!HN58)</f>
        <v>1.5</v>
      </c>
      <c r="HV58" s="2042">
        <f t="shared" si="110"/>
        <v>0</v>
      </c>
      <c r="HW58" s="2042" cm="1">
        <f t="array" ref="HW58">INDEX(Tiere!$BD$30:$BD$85,'Lagerhaltung (freiwillig)'!HN58)</f>
        <v>0.87</v>
      </c>
      <c r="HX58" s="2042">
        <f t="shared" si="111"/>
        <v>0</v>
      </c>
      <c r="HY58" s="2042"/>
      <c r="HZ58" s="2042"/>
      <c r="IA58" s="2042"/>
      <c r="IB58" s="2042"/>
      <c r="IC58" s="2042"/>
      <c r="ID58" s="2042"/>
      <c r="IE58" s="2042"/>
      <c r="IF58" s="2042"/>
      <c r="IG58" s="2042"/>
      <c r="IH58" s="2042"/>
      <c r="II58" s="2042"/>
      <c r="IJ58" s="2042"/>
    </row>
    <row r="59" spans="6:244" ht="15.6" customHeight="1" x14ac:dyDescent="0.2">
      <c r="F59" s="1259"/>
      <c r="G59" s="2314"/>
      <c r="H59" s="2293"/>
      <c r="I59" s="2014" t="str">
        <f t="shared" si="133"/>
        <v/>
      </c>
      <c r="J59" s="1256"/>
      <c r="K59" s="2014" t="str">
        <f t="shared" si="134"/>
        <v/>
      </c>
      <c r="L59" s="1970"/>
      <c r="M59" s="1246"/>
      <c r="N59" s="1870"/>
      <c r="O59" s="1870"/>
      <c r="P59" s="2222"/>
      <c r="Q59" s="2014" t="str">
        <f t="shared" si="135"/>
        <v/>
      </c>
      <c r="R59" s="1970"/>
      <c r="S59" s="1246"/>
      <c r="T59" s="1256"/>
      <c r="V59" s="2316" t="str">
        <f t="shared" si="156"/>
        <v/>
      </c>
      <c r="Y59" s="2005" t="str" cm="1">
        <f t="array" ref="Y59">IFERROR(INDEX($CW$4:$CW$171,AY59),"")</f>
        <v/>
      </c>
      <c r="Z59" s="510"/>
      <c r="AA59" s="510"/>
      <c r="AB59" s="510"/>
      <c r="AC59" s="2031" t="str" cm="1">
        <f t="array" ref="AC59">IFERROR(INDEX($GL$4:$GL$171,AY59),"")</f>
        <v/>
      </c>
      <c r="AD59" s="2031" t="str" cm="1">
        <f t="array" ref="AD59">IFERROR(INDEX($GM$4:$GM$171,AY59),"")</f>
        <v/>
      </c>
      <c r="AE59" s="2031" t="str" cm="1">
        <f t="array" ref="AE59">IFERROR(INDEX($GH$4:$GH$171,AY59),"")</f>
        <v/>
      </c>
      <c r="AF59" s="2031" t="str" cm="1">
        <f t="array" ref="AF59">IFERROR(INDEX($GI$4:$GI$171,AY59),"")</f>
        <v/>
      </c>
      <c r="AG59" s="2031" t="str" cm="1">
        <f t="array" ref="AG59">IFERROR(INDEX($GO$4:$GO$171,AY59),"")</f>
        <v/>
      </c>
      <c r="AH59" s="2031" t="str" cm="1">
        <f t="array" ref="AH59">IFERROR(INDEX($GP$4:$GP$171,AY59),"")</f>
        <v/>
      </c>
      <c r="AI59" s="2031" t="str" cm="1">
        <f t="array" ref="AI59">IFERROR(INDEX($GF$4:$GF$171,AY59),"")</f>
        <v/>
      </c>
      <c r="AJ59" s="2031" t="str" cm="1">
        <f t="array" ref="AJ59">IFERROR(INDEX($GG$4:$GG$171,AY59),"")</f>
        <v/>
      </c>
      <c r="AK59" s="2031" t="str" cm="1">
        <f t="array" ref="AK59">IFERROR(INDEX($GS$4:$GS$171,AY59),"")</f>
        <v/>
      </c>
      <c r="AL59" s="2032" t="str" cm="1">
        <f t="array" ref="AL59">IFERROR(INDEX($GT$4:$GT$171,AY59),"")</f>
        <v/>
      </c>
      <c r="AM59" s="2031" t="str" cm="1">
        <f t="array" ref="AM59">IFERROR(INDEX($GB$4:$GB$171,AY59),"")</f>
        <v/>
      </c>
      <c r="AN59" s="2031" t="str" cm="1">
        <f t="array" ref="AN59">IFERROR(INDEX($GC$4:$GC$171,AY59),"")</f>
        <v/>
      </c>
      <c r="AO59" s="2031" t="str" cm="1">
        <f t="array" ref="AO59">IFERROR(INDEX($GU$4:$GU$171,AY59),"")</f>
        <v/>
      </c>
      <c r="AP59" s="2031" t="str" cm="1">
        <f t="array" ref="AP59">IFERROR(INDEX($GX$4:$GX$171,AY59),"")</f>
        <v/>
      </c>
      <c r="AQ59" s="1316"/>
      <c r="AR59" s="2031" t="str" cm="1">
        <f t="array" ref="AR59">IFERROR(INDEX($HD$4:$HD$171,AY59),"")</f>
        <v/>
      </c>
      <c r="AS59" s="2031" t="str" cm="1">
        <f t="array" ref="AS59">IFERROR(INDEX($HE$4:$HE$171,AY59),"")</f>
        <v/>
      </c>
      <c r="AT59" s="2031" t="str" cm="1">
        <f t="array" ref="AT59">IFERROR(INDEX($HF$4:$HF$171,AY59),"")</f>
        <v/>
      </c>
      <c r="AU59" s="2031" t="str" cm="1">
        <f t="array" ref="AU59">IFERROR(INDEX($GJ$4:$GJ$171,AY59),"")</f>
        <v/>
      </c>
      <c r="AV59" s="2031" t="str" cm="1">
        <f t="array" ref="AV59">IFERROR(INDEX($GK$4:$GK$171,AY59),"")</f>
        <v/>
      </c>
      <c r="AY59" s="2042" t="str" cm="1">
        <f t="array" ref="AY59">IFERROR(SMALL(IF($HI$4:$HI$171=1,ROW($HI$4:$HI$171)-3),ROW(W44)),IFERROR(SMALL(IF($HI$4:$HI$171=2,ROW($HI$4:$HI$171)-3),ROW(W44)-COUNTIF($HI$4:$HI$171,1)),IFERROR(SMALL(IF($HI$4:$HI$171=0,ROW($HI$4:$HI$171)-3),ROW(W44)-COUNTIF($HI$4:$HI$171,1)-COUNTIF($HI$4:$HI$171,2)),"")))</f>
        <v/>
      </c>
      <c r="AZ59" s="2042" t="str">
        <f t="shared" si="117"/>
        <v>a</v>
      </c>
      <c r="BA59" s="2053" t="e">
        <f t="shared" si="118"/>
        <v>#VALUE!</v>
      </c>
      <c r="BB59" s="2053" cm="1">
        <f t="array" ref="BB59">IFERROR(INDEX($HI$4:$HI$171,AY59),0)</f>
        <v>0</v>
      </c>
      <c r="BC59" s="2053">
        <f t="shared" si="119"/>
        <v>0</v>
      </c>
      <c r="BD59" s="2053"/>
      <c r="BE59" s="2307"/>
      <c r="BF59" s="2307"/>
      <c r="BG59" s="2307"/>
      <c r="BH59" s="2307"/>
      <c r="BI59" s="2307"/>
      <c r="BJ59" s="2307"/>
      <c r="BK59" s="2307"/>
      <c r="BL59" s="2307"/>
      <c r="BM59" s="2307"/>
      <c r="BN59" s="2307"/>
      <c r="BO59" s="2307"/>
      <c r="BP59" s="2043"/>
      <c r="BQ59" s="2042">
        <v>1</v>
      </c>
      <c r="BR59" cm="1">
        <f t="array" ref="BR59">INDEX(Pflanzen!$B$5:$B$117,'Lagerhaltung (freiwillig)'!BQ59)</f>
        <v>1</v>
      </c>
      <c r="BS59" s="2042"/>
      <c r="BT59" s="2042" t="b">
        <v>0</v>
      </c>
      <c r="BU59" s="2044"/>
      <c r="BV59" s="2044"/>
      <c r="BW59" s="2042">
        <f t="shared" si="136"/>
        <v>12</v>
      </c>
      <c r="BX59" s="2042">
        <f t="shared" si="137"/>
        <v>0</v>
      </c>
      <c r="BY59" s="2042">
        <f t="shared" si="138"/>
        <v>12</v>
      </c>
      <c r="BZ59" s="2042" cm="1">
        <f t="array" ref="BZ59">INDEX(Pflanzen!$AI$5:$AI$119,'Lagerhaltung (freiwillig)'!BR59)</f>
        <v>0</v>
      </c>
      <c r="CA59" s="2042" cm="1">
        <f t="array" ref="CA59">IF(BZ59=1,INDEX(Pflanzen!$AJ$5:$AJ$119,BR59),N59)</f>
        <v>0</v>
      </c>
      <c r="CB59" s="2042" cm="1">
        <f t="array" ref="CB59">IF(BZ59=1,INDEX(Pflanzen!$AK$5:$AK$119,BR59),O59)</f>
        <v>0</v>
      </c>
      <c r="CC59" s="2042">
        <f t="shared" si="139"/>
        <v>12</v>
      </c>
      <c r="CD59" s="2042">
        <f t="shared" si="140"/>
        <v>0</v>
      </c>
      <c r="CE59" s="2042">
        <f t="shared" si="141"/>
        <v>12</v>
      </c>
      <c r="CF59" s="2042" cm="1">
        <f t="array" ref="CF59">INDEX(Pflanzen!$F$5:$F$119,BR59)</f>
        <v>0</v>
      </c>
      <c r="CG59" s="2042" cm="1">
        <f t="array" ref="CG59">INDEX(Pflanzen!$H$5:$H$119,BR59)</f>
        <v>0</v>
      </c>
      <c r="CH59" s="2042">
        <f t="shared" si="142"/>
        <v>0</v>
      </c>
      <c r="CI59" s="2042">
        <f t="shared" si="143"/>
        <v>0</v>
      </c>
      <c r="CJ59" s="2042">
        <f t="shared" si="144"/>
        <v>0</v>
      </c>
      <c r="CK59" s="2042">
        <f t="shared" si="145"/>
        <v>0</v>
      </c>
      <c r="CL59" s="2042">
        <f t="shared" si="146"/>
        <v>0</v>
      </c>
      <c r="CM59" s="2042">
        <f t="shared" si="147"/>
        <v>0</v>
      </c>
      <c r="CN59" s="2042">
        <f t="shared" si="148"/>
        <v>0</v>
      </c>
      <c r="CO59" s="2042">
        <f t="shared" si="149"/>
        <v>0</v>
      </c>
      <c r="CP59" s="2042">
        <f t="shared" si="150"/>
        <v>0</v>
      </c>
      <c r="CQ59" s="2042">
        <f t="shared" si="151"/>
        <v>0</v>
      </c>
      <c r="CR59" s="2042">
        <f t="shared" si="152"/>
        <v>0</v>
      </c>
      <c r="CS59" s="2042">
        <f t="shared" si="153"/>
        <v>0</v>
      </c>
      <c r="CT59" s="2042">
        <f t="shared" si="154"/>
        <v>0</v>
      </c>
      <c r="CU59" s="2042">
        <f t="shared" si="155"/>
        <v>0</v>
      </c>
      <c r="CV59" s="2042"/>
      <c r="CW59" s="609" t="str">
        <f>Pflanzen!A55</f>
        <v>GPS Roggen</v>
      </c>
      <c r="CX59" s="2042">
        <f>IFERROR(MATCH($CW59,Pflanzen!$C$5:$C$119,0),1)</f>
        <v>51</v>
      </c>
      <c r="CY59" s="609" cm="1">
        <f t="array" ref="CY59">INDEX(Pflanzen!$I$5:$I$119,'Lagerhaltung (freiwillig)'!CX59)</f>
        <v>1</v>
      </c>
      <c r="CZ59" s="2042">
        <f t="shared" ref="CZ59:DK68" si="161">SUMIFS($CQ$14:$CQ$68,$BW$14:$BW$68,1,$BX$14:$BX$68,CZ$2,$BR$14:$BR$68,$CX59)+    SUMIFS($CQ$14:$CQ$68,$BW$14:$BW$68,"&gt;1",$BX$14:$BX$68,"&lt;="&amp;CZ$2,$BY$14:$BY$68,"&gt;="&amp;CZ$2,$BR$14:$BR$68,$CX59)</f>
        <v>0</v>
      </c>
      <c r="DA59" s="2042">
        <f t="shared" si="161"/>
        <v>0</v>
      </c>
      <c r="DB59" s="2042">
        <f t="shared" si="161"/>
        <v>0</v>
      </c>
      <c r="DC59" s="2042">
        <f t="shared" si="161"/>
        <v>0</v>
      </c>
      <c r="DD59" s="2042">
        <f t="shared" si="161"/>
        <v>0</v>
      </c>
      <c r="DE59" s="2042">
        <f t="shared" si="161"/>
        <v>0</v>
      </c>
      <c r="DF59" s="2042">
        <f t="shared" si="161"/>
        <v>0</v>
      </c>
      <c r="DG59" s="2042">
        <f t="shared" si="161"/>
        <v>0</v>
      </c>
      <c r="DH59" s="2042">
        <f t="shared" si="161"/>
        <v>0</v>
      </c>
      <c r="DI59" s="2042">
        <f t="shared" si="161"/>
        <v>0</v>
      </c>
      <c r="DJ59" s="2042">
        <f t="shared" si="161"/>
        <v>0</v>
      </c>
      <c r="DK59" s="2042">
        <f t="shared" si="161"/>
        <v>0</v>
      </c>
      <c r="DL59" s="2042"/>
      <c r="DM59" s="2042">
        <f t="shared" ref="DM59:DX65" si="162">SUMIFS($CS$14:$CS$68,$BW$14:$BW$68,1,$BX$14:$BX$68,DM$2,$BR$14:$BR$68,$CX59)+    SUMIFS($CS$14:$CS$68,$BW$14:$BW$68,"&gt;1",$BX$14:$BX$68,"&lt;="&amp;DM$2,$BY$14:$BY$68,"&gt;="&amp;DM$2,$BR$14:$BR$68,$CX59)</f>
        <v>0</v>
      </c>
      <c r="DN59" s="2042">
        <f t="shared" si="162"/>
        <v>0</v>
      </c>
      <c r="DO59" s="2042">
        <f t="shared" si="162"/>
        <v>0</v>
      </c>
      <c r="DP59" s="2042">
        <f t="shared" si="162"/>
        <v>0</v>
      </c>
      <c r="DQ59" s="2042">
        <f t="shared" si="162"/>
        <v>0</v>
      </c>
      <c r="DR59" s="2042">
        <f t="shared" si="162"/>
        <v>0</v>
      </c>
      <c r="DS59" s="2042">
        <f t="shared" si="162"/>
        <v>0</v>
      </c>
      <c r="DT59" s="2042">
        <f t="shared" si="162"/>
        <v>0</v>
      </c>
      <c r="DU59" s="2042">
        <f t="shared" si="162"/>
        <v>0</v>
      </c>
      <c r="DV59" s="2042">
        <f t="shared" si="162"/>
        <v>0</v>
      </c>
      <c r="DW59" s="2042">
        <f t="shared" si="162"/>
        <v>0</v>
      </c>
      <c r="DX59" s="2042">
        <f t="shared" si="162"/>
        <v>0</v>
      </c>
      <c r="DY59" s="2042"/>
      <c r="DZ59" s="2042">
        <f t="shared" ref="DZ59:EK68" si="163">SUMIFS($CL$14:$CL$68,$CC$14:$CC$68,1,$CD$14:$CD$68,DZ$2,$BR$14:$BR$68,$CX59)+         SUMIFS($CL$14:$CL$68,$CC$14:$CC$68,"&gt;1",$CD$14:$CD$68,"&lt;="&amp;DZ$2,$CE$14:$CE$68,"&gt;="&amp;DZ$2,$BR$14:$BR$68,$CX59)</f>
        <v>0</v>
      </c>
      <c r="EA59" s="2042">
        <f t="shared" si="163"/>
        <v>0</v>
      </c>
      <c r="EB59" s="2042">
        <f t="shared" si="163"/>
        <v>0</v>
      </c>
      <c r="EC59" s="2042">
        <f t="shared" si="163"/>
        <v>0</v>
      </c>
      <c r="ED59" s="2042">
        <f t="shared" si="163"/>
        <v>0</v>
      </c>
      <c r="EE59" s="2042">
        <f t="shared" si="163"/>
        <v>0</v>
      </c>
      <c r="EF59" s="2042">
        <f t="shared" si="163"/>
        <v>0</v>
      </c>
      <c r="EG59" s="2042">
        <f t="shared" si="163"/>
        <v>0</v>
      </c>
      <c r="EH59" s="2042">
        <f t="shared" si="163"/>
        <v>0</v>
      </c>
      <c r="EI59" s="2042">
        <f t="shared" si="163"/>
        <v>0</v>
      </c>
      <c r="EJ59" s="2042">
        <f t="shared" si="163"/>
        <v>0</v>
      </c>
      <c r="EK59" s="2042">
        <f t="shared" si="163"/>
        <v>0</v>
      </c>
      <c r="EL59" s="2042"/>
      <c r="EM59" s="2042">
        <f t="shared" ref="EM59:EX65" si="164">SUMIFS($CN$14:$CN$68,$CC$14:$CC$68,1,$CD$14:$CD$68,EM$2,$BR$14:$BR$68,$CX59)+         SUMIFS($CN$14:$CN$68,$CC$14:$CC$68,"&gt;1",$CD$14:$CD$68,"&lt;="&amp;EM$2,$CE$14:$CE$68,"&gt;="&amp;EM$2,$BR$14:$BR$68,$CX59)</f>
        <v>0</v>
      </c>
      <c r="EN59" s="2042">
        <f t="shared" si="164"/>
        <v>0</v>
      </c>
      <c r="EO59" s="2042">
        <f t="shared" si="164"/>
        <v>0</v>
      </c>
      <c r="EP59" s="2042">
        <f t="shared" si="164"/>
        <v>0</v>
      </c>
      <c r="EQ59" s="2042">
        <f t="shared" si="164"/>
        <v>0</v>
      </c>
      <c r="ER59" s="2042">
        <f t="shared" si="164"/>
        <v>0</v>
      </c>
      <c r="ES59" s="2042">
        <f t="shared" si="164"/>
        <v>0</v>
      </c>
      <c r="ET59" s="2042">
        <f t="shared" si="164"/>
        <v>0</v>
      </c>
      <c r="EU59" s="2042">
        <f t="shared" si="164"/>
        <v>0</v>
      </c>
      <c r="EV59" s="2042">
        <f t="shared" si="164"/>
        <v>0</v>
      </c>
      <c r="EW59" s="2042">
        <f t="shared" si="164"/>
        <v>0</v>
      </c>
      <c r="EX59" s="2042">
        <f t="shared" si="164"/>
        <v>0</v>
      </c>
      <c r="EY59" s="2042"/>
      <c r="EZ59" s="2045">
        <f t="shared" si="50"/>
        <v>0</v>
      </c>
      <c r="FA59" s="2042">
        <f>EZ59+CZ59+DZ59                 -         SUMIF('Berechnung Nährstoffe und Lager'!$AX$113:$AX$155,$CX59,'Berechnung Nährstoffe und Lager'!$U$113:$U$155)/12  -$GB59*$HC59/12</f>
        <v>0</v>
      </c>
      <c r="FB59" s="2042">
        <f>FA59+DA59+EA59                 -         SUMIF('Berechnung Nährstoffe und Lager'!$AX$113:$AX$155,$CX59,'Berechnung Nährstoffe und Lager'!$U$113:$U$155)/12  -$GB59*$HC59/12</f>
        <v>0</v>
      </c>
      <c r="FC59" s="2042">
        <f>FB59+DB59+EB59                 -         SUMIF('Berechnung Nährstoffe und Lager'!$AX$113:$AX$155,$CX59,'Berechnung Nährstoffe und Lager'!$U$113:$U$155)/12  -$GB59*$HC59/12</f>
        <v>0</v>
      </c>
      <c r="FD59" s="2042">
        <f>FC59+DC59+EC59                 -         SUMIF('Berechnung Nährstoffe und Lager'!$AX$113:$AX$155,$CX59,'Berechnung Nährstoffe und Lager'!$U$113:$U$155)/12  -$GB59*$HC59/12</f>
        <v>0</v>
      </c>
      <c r="FE59" s="2042">
        <f>FD59+DD59+ED59                 -         SUMIF('Berechnung Nährstoffe und Lager'!$AX$113:$AX$155,$CX59,'Berechnung Nährstoffe und Lager'!$U$113:$U$155)/12  -$GB59*$HC59/12</f>
        <v>0</v>
      </c>
      <c r="FF59" s="2042">
        <f>FE59+DE59+EE59                 -         SUMIF('Berechnung Nährstoffe und Lager'!$AX$113:$AX$155,$CX59,'Berechnung Nährstoffe und Lager'!$U$113:$U$155)/12  -$GB59*$HC59/12</f>
        <v>0</v>
      </c>
      <c r="FG59" s="2042">
        <f>FF59+DF59+EF59                 -         SUMIF('Berechnung Nährstoffe und Lager'!$AX$113:$AX$155,$CX59,'Berechnung Nährstoffe und Lager'!$U$113:$U$155)/12  -$GB59*$HC59/12</f>
        <v>0</v>
      </c>
      <c r="FH59" s="2042">
        <f>FG59+DG59+EG59                 -         SUMIF('Berechnung Nährstoffe und Lager'!$AX$113:$AX$155,$CX59,'Berechnung Nährstoffe und Lager'!$U$113:$U$155)/12  -$GB59*$HC59/12</f>
        <v>0</v>
      </c>
      <c r="FI59" s="2042">
        <f>FH59+DH59+EH59                 -         SUMIF('Berechnung Nährstoffe und Lager'!$AX$113:$AX$155,$CX59,'Berechnung Nährstoffe und Lager'!$U$113:$U$155)/12  -$GB59*$HC59/12</f>
        <v>0</v>
      </c>
      <c r="FJ59" s="2042">
        <f>FI59+DI59+EI59                 -         SUMIF('Berechnung Nährstoffe und Lager'!$AX$113:$AX$155,$CX59,'Berechnung Nährstoffe und Lager'!$U$113:$U$155)/12  -$GB59*$HC59/12</f>
        <v>0</v>
      </c>
      <c r="FK59" s="2042">
        <f>FJ59+DJ59+EJ59                 -         SUMIF('Berechnung Nährstoffe und Lager'!$AX$113:$AX$155,$CX59,'Berechnung Nährstoffe und Lager'!$U$113:$U$155)/12  -$GB59*$HC59/12</f>
        <v>0</v>
      </c>
      <c r="FL59" s="2042">
        <f>FK59+DK59+EK59                 -         SUMIF('Berechnung Nährstoffe und Lager'!$AX$113:$AX$155,$CX59,'Berechnung Nährstoffe und Lager'!$U$113:$U$155)/12  -$GB59*$HC59/12</f>
        <v>0</v>
      </c>
      <c r="FM59" s="2042"/>
      <c r="FN59" s="2045">
        <f t="shared" si="51"/>
        <v>0</v>
      </c>
      <c r="FO59" s="2042">
        <f>FN59+DM59+EM59                 -         SUMIF('Berechnung Nährstoffe und Lager'!$AX$113:$AX$155,$CX59,'Berechnung Nährstoffe und Lager'!$V$113:$V$155)/12  -$GC59*$HC59/12</f>
        <v>0</v>
      </c>
      <c r="FP59" s="2042">
        <f>FO59+DN59+EN59                 -         SUMIF('Berechnung Nährstoffe und Lager'!$AX$113:$AX$155,$CX59,'Berechnung Nährstoffe und Lager'!$V$113:$V$155)/12  -$GC59*$HC59/12</f>
        <v>0</v>
      </c>
      <c r="FQ59" s="2042">
        <f>FP59+DO59+EO59                 -         SUMIF('Berechnung Nährstoffe und Lager'!$AX$113:$AX$155,$CX59,'Berechnung Nährstoffe und Lager'!$V$113:$V$155)/12  -$GC59*$HC59/12</f>
        <v>0</v>
      </c>
      <c r="FR59" s="2042">
        <f>FQ59+DP59+EP59                 -         SUMIF('Berechnung Nährstoffe und Lager'!$AX$113:$AX$155,$CX59,'Berechnung Nährstoffe und Lager'!$V$113:$V$155)/12  -$GC59*$HC59/12</f>
        <v>0</v>
      </c>
      <c r="FS59" s="2042">
        <f>FR59+DQ59+EQ59                 -         SUMIF('Berechnung Nährstoffe und Lager'!$AX$113:$AX$155,$CX59,'Berechnung Nährstoffe und Lager'!$V$113:$V$155)/12  -$GC59*$HC59/12</f>
        <v>0</v>
      </c>
      <c r="FT59" s="2042">
        <f>FS59+DR59+ER59                 -         SUMIF('Berechnung Nährstoffe und Lager'!$AX$113:$AX$155,$CX59,'Berechnung Nährstoffe und Lager'!$V$113:$V$155)/12  -$GC59*$HC59/12</f>
        <v>0</v>
      </c>
      <c r="FU59" s="2042">
        <f>FT59+DS59+ES59                 -         SUMIF('Berechnung Nährstoffe und Lager'!$AX$113:$AX$155,$CX59,'Berechnung Nährstoffe und Lager'!$V$113:$V$155)/12  -$GC59*$HC59/12</f>
        <v>0</v>
      </c>
      <c r="FV59" s="2042">
        <f>FU59+DT59+ET59                 -         SUMIF('Berechnung Nährstoffe und Lager'!$AX$113:$AX$155,$CX59,'Berechnung Nährstoffe und Lager'!$V$113:$V$155)/12  -$GC59*$HC59/12</f>
        <v>0</v>
      </c>
      <c r="FW59" s="2042">
        <f>FV59+DU59+EU59                 -         SUMIF('Berechnung Nährstoffe und Lager'!$AX$113:$AX$155,$CX59,'Berechnung Nährstoffe und Lager'!$V$113:$V$155)/12  -$GC59*$HC59/12</f>
        <v>0</v>
      </c>
      <c r="FX59" s="2042">
        <f>FW59+DV59+EV59                 -         SUMIF('Berechnung Nährstoffe und Lager'!$AX$113:$AX$155,$CX59,'Berechnung Nährstoffe und Lager'!$V$113:$V$155)/12  -$GC59*$HC59/12</f>
        <v>0</v>
      </c>
      <c r="FY59" s="2042">
        <f>FX59+DW59+EW59                 -         SUMIF('Berechnung Nährstoffe und Lager'!$AX$113:$AX$155,$CX59,'Berechnung Nährstoffe und Lager'!$V$113:$V$155)/12  -$GC59*$HC59/12</f>
        <v>0</v>
      </c>
      <c r="FZ59" s="2042">
        <f>FY59+DX59+EX59                 -         SUMIF('Berechnung Nährstoffe und Lager'!$AX$113:$AX$155,$CX59,'Berechnung Nährstoffe und Lager'!$V$113:$V$155)/12  -$GC59*$HC59/12</f>
        <v>0</v>
      </c>
      <c r="GA59" s="2042"/>
      <c r="GB59" s="2042">
        <f>SUMIFS($CI$14:$CI$68,$BR$14:$BR$68,$CX59)+SUMIFS($CM$14:$CM$68,$BR$14:$BR$68,$CX59)+SUMIFS($CR$14:$CR$68,$BR$14:$BR$68,$CX59)  -         SUMIF('Berechnung Nährstoffe und Lager'!$AX$113:$AX$155,$CX59,'Berechnung Nährstoffe und Lager'!$U$113:$U$155)</f>
        <v>0</v>
      </c>
      <c r="GC59" s="2042">
        <f>SUMIFS($CJ$14:$CJ$68,$BR$14:$BR$68,$CX59)+SUMIFS($CO$14:$CO$68,$BR$14:$BR$68,$CX59)+SUMIFS($CT$14:$CT$68,$BR$14:$BR$68,$CX59)  -         SUMIF('Berechnung Nährstoffe und Lager'!$AX$113:$AX$155,$CX59,'Berechnung Nährstoffe und Lager'!$V$113:$V$155)</f>
        <v>0</v>
      </c>
      <c r="GD59" s="2042"/>
      <c r="GE59" s="2042"/>
      <c r="GF59" s="2042">
        <f>SUMIF('Berechnung Nährstoffe und Lager'!$AX$113:$AX$155,$CX59,'Berechnung Nährstoffe und Lager'!$U$113:$U$155)</f>
        <v>0</v>
      </c>
      <c r="GG59" s="2042">
        <f>SUMIF('Berechnung Nährstoffe und Lager'!$AX$113:$AX$155,$CX59,'Berechnung Nährstoffe und Lager'!$V$113:$V$155)</f>
        <v>0</v>
      </c>
      <c r="GH59" s="2042">
        <f t="shared" si="52"/>
        <v>0</v>
      </c>
      <c r="GI59" s="2042">
        <f t="shared" si="53"/>
        <v>0</v>
      </c>
      <c r="GJ59" s="2042">
        <f t="shared" si="121"/>
        <v>0</v>
      </c>
      <c r="GK59" s="2042">
        <f t="shared" si="122"/>
        <v>0</v>
      </c>
      <c r="GL59" s="2042">
        <f t="shared" si="123"/>
        <v>0</v>
      </c>
      <c r="GM59" s="2042" cm="1">
        <f t="array" ref="GM59">IF(GL59=0,0,(IFERROR(SUMPRODUCT($J$14:$J$68,$CH$14:$CH$68,($BR$14:$BR$68=CX59)*1)+SUMPRODUCT($L$14:$L$68,$M$14:$M$68,$CK$14:$CK$68,($BR$14:$BR$68=CX59)*1,($BT$14:$BT$68=FALSE)*1)/10+SUMPRODUCT($R$14:$R$68,$CP$14:$CP$68,($BR$14:$BR$68=CX59)*1),0))/GL59)</f>
        <v>0</v>
      </c>
      <c r="GN59" s="2042">
        <f t="shared" si="54"/>
        <v>0</v>
      </c>
      <c r="GO59" s="2042">
        <f>(SUMIF('Berechnung Nährstoffe und Lager'!$AX$113:$AX$130,'Lagerhaltung (freiwillig)'!CX59,'Berechnung Nährstoffe und Lager'!$D$113:$D$130)+SUMIF('Berechnung Nährstoffe und Lager'!$AX$137:$AX$155,'Lagerhaltung (freiwillig)'!CX59,'Berechnung Nährstoffe und Lager'!$E$137:$E$155))</f>
        <v>0</v>
      </c>
      <c r="GP59" s="2042" cm="1">
        <f t="array" ref="GP59">IF(GO59=0,0,(IFERROR(SUMPRODUCT('Berechnung Nährstoffe und Lager'!$D$113:$D$130,'Berechnung Nährstoffe und Lager'!$F$113:$F$130,('Berechnung Nährstoffe und Lager'!$AX$113:$AX$130='Lagerhaltung (freiwillig)'!CX59)*1)+SUMPRODUCT('Berechnung Nährstoffe und Lager'!$E$137:$E$155,'Berechnung Nährstoffe und Lager'!$F$137:$F$155,('Berechnung Nährstoffe und Lager'!$AX$137:$AX$155='Lagerhaltung (freiwillig)'!CX59)*1),0))/GO59)</f>
        <v>0</v>
      </c>
      <c r="GQ59" s="2042">
        <f t="shared" si="55"/>
        <v>0</v>
      </c>
      <c r="GR59" s="2042">
        <f t="shared" si="56"/>
        <v>0</v>
      </c>
      <c r="GS59" s="2042">
        <f t="shared" si="57"/>
        <v>0</v>
      </c>
      <c r="GT59" s="2042">
        <f t="shared" si="58"/>
        <v>0</v>
      </c>
      <c r="GU59" s="2045" t="str">
        <f t="shared" si="39"/>
        <v xml:space="preserve"> </v>
      </c>
      <c r="GV59" s="2045" t="str">
        <f t="shared" si="39"/>
        <v xml:space="preserve"> </v>
      </c>
      <c r="GW59" s="2054">
        <f t="shared" si="124"/>
        <v>0</v>
      </c>
      <c r="GX59" s="2042">
        <f t="shared" si="125"/>
        <v>0</v>
      </c>
      <c r="GY59" s="2042" t="str">
        <f t="shared" si="120"/>
        <v>a</v>
      </c>
      <c r="GZ59" s="2055">
        <f t="shared" si="126"/>
        <v>0</v>
      </c>
      <c r="HA59" s="2055">
        <f t="shared" si="127"/>
        <v>0</v>
      </c>
      <c r="HB59" s="2055"/>
      <c r="HC59" s="2046">
        <f t="shared" si="128"/>
        <v>0</v>
      </c>
      <c r="HD59" s="2055">
        <f t="shared" si="129"/>
        <v>0</v>
      </c>
      <c r="HE59" s="2055">
        <f t="shared" si="130"/>
        <v>0</v>
      </c>
      <c r="HF59" s="2055">
        <f t="shared" si="131"/>
        <v>0</v>
      </c>
      <c r="HG59" s="2282" cm="1">
        <f t="array" ref="HG59">IF(AND(HE59=0,GJ59=0),0,IF(HE59=0,1,IF(OR(GJ59*1000/HE59/HF59&gt;INDEX(Pflanzen!$AD$5:$AD$109,CX59)/INDEX(Pflanzen!$M$5:$M$109,CX59)*$HG$1,GJ59*1000/HE59/HF59&lt;INDEX(Pflanzen!$AD$5:$AD$109,CX59)/INDEX(Pflanzen!$M$5:$M$109,CX59)/$HG$1),1,0)))</f>
        <v>0</v>
      </c>
      <c r="HH59" s="2282" cm="1">
        <f t="array" ref="HH59">IF(AND(GK59=0,HE59=0),0,IF(HE59=0,1,IF(OR(GK59*1000/HE59/HF59&gt;INDEX(Pflanzen!$AE$5:$AE$109,CX59)/INDEX(Pflanzen!$M$5:$M$109,CX59)*$HG$1,GK59*1000/HE59/HF59&lt;INDEX(Pflanzen!$AE$5:$AE$109,CX59)/INDEX(Pflanzen!$M$5:$M$109,CX59)/$HG$1),1,0)))</f>
        <v>0</v>
      </c>
      <c r="HI59" s="2042">
        <f t="shared" si="132"/>
        <v>3</v>
      </c>
      <c r="HJ59" s="2042"/>
      <c r="HL59" s="2042"/>
      <c r="HM59" s="2052" t="str">
        <f>Tiere!B85</f>
        <v>Alpaka</v>
      </c>
      <c r="HN59" s="2042">
        <v>56</v>
      </c>
      <c r="HO59" s="2053">
        <f>SUMIF('Berechnung Nährstoffe und Lager'!$BM$68:$BM$81,'Lagerhaltung (freiwillig)'!HN59,'Berechnung Nährstoffe und Lager'!$Z$68:$Z$81)+SUMIF('Berechnung Nährstoffe und Lager'!$BM$68:$BM$81,'Lagerhaltung (freiwillig)'!HN59,'Berechnung Nährstoffe und Lager'!$AA$68:$AA$81)</f>
        <v>0</v>
      </c>
      <c r="HP59" s="2042" cm="1">
        <f t="array" ref="HP59">INDEX(Tiere!$C$30:$C$85,'Lagerhaltung (freiwillig)'!HN59)</f>
        <v>9</v>
      </c>
      <c r="HQ59" s="2042" cm="1">
        <f t="array" ref="HQ59">INDEX(Tiere!$H$30:$H$85,'Lagerhaltung (freiwillig)'!HN59)</f>
        <v>11.35</v>
      </c>
      <c r="HR59" s="2042">
        <f t="shared" si="112"/>
        <v>0</v>
      </c>
      <c r="HS59" s="2042" cm="1">
        <f t="array" ref="HS59">INDEX(Tiere!$I$30:$I$85,'Lagerhaltung (freiwillig)'!HN59)</f>
        <v>3.6</v>
      </c>
      <c r="HT59" s="2042">
        <f t="shared" si="13"/>
        <v>0</v>
      </c>
      <c r="HU59" s="2042" cm="1">
        <f t="array" ref="HU59">INDEX(Tiere!$BC$30:$BC$85,'Lagerhaltung (freiwillig)'!HN59)</f>
        <v>0.89999999999999991</v>
      </c>
      <c r="HV59" s="2042">
        <f t="shared" si="110"/>
        <v>0</v>
      </c>
      <c r="HW59" s="2042" cm="1">
        <f t="array" ref="HW59">INDEX(Tiere!$BD$30:$BD$85,'Lagerhaltung (freiwillig)'!HN59)</f>
        <v>0.52200000000000002</v>
      </c>
      <c r="HX59" s="2042">
        <f t="shared" si="111"/>
        <v>0</v>
      </c>
      <c r="HY59" s="2042"/>
      <c r="HZ59" s="2042"/>
      <c r="IA59" s="2042"/>
      <c r="IB59" s="2042"/>
      <c r="IC59" s="2042"/>
      <c r="ID59" s="2042"/>
      <c r="IE59" s="2042"/>
      <c r="IF59" s="2042"/>
      <c r="IG59" s="2042"/>
      <c r="IH59" s="2042"/>
      <c r="II59" s="2042"/>
      <c r="IJ59" s="2042"/>
    </row>
    <row r="60" spans="6:244" ht="15.6" customHeight="1" x14ac:dyDescent="0.2">
      <c r="F60" s="1259"/>
      <c r="G60" s="2314"/>
      <c r="H60" s="2293"/>
      <c r="I60" s="2014" t="str">
        <f t="shared" si="133"/>
        <v/>
      </c>
      <c r="J60" s="1256"/>
      <c r="K60" s="2014" t="str">
        <f t="shared" si="134"/>
        <v/>
      </c>
      <c r="L60" s="1970"/>
      <c r="M60" s="1246"/>
      <c r="N60" s="1870"/>
      <c r="O60" s="1870"/>
      <c r="P60" s="2222"/>
      <c r="Q60" s="2014" t="str">
        <f t="shared" si="135"/>
        <v/>
      </c>
      <c r="R60" s="1970"/>
      <c r="S60" s="1246"/>
      <c r="T60" s="1256"/>
      <c r="V60" s="2316" t="str">
        <f t="shared" si="156"/>
        <v/>
      </c>
      <c r="Y60" s="2005" t="str" cm="1">
        <f t="array" ref="Y60">IFERROR(INDEX($CW$4:$CW$171,AY60),"")</f>
        <v/>
      </c>
      <c r="Z60" s="510"/>
      <c r="AA60" s="510"/>
      <c r="AB60" s="510"/>
      <c r="AC60" s="2031" t="str" cm="1">
        <f t="array" ref="AC60">IFERROR(INDEX($GL$4:$GL$171,AY60),"")</f>
        <v/>
      </c>
      <c r="AD60" s="2031" t="str" cm="1">
        <f t="array" ref="AD60">IFERROR(INDEX($GM$4:$GM$171,AY60),"")</f>
        <v/>
      </c>
      <c r="AE60" s="2031" t="str" cm="1">
        <f t="array" ref="AE60">IFERROR(INDEX($GH$4:$GH$171,AY60),"")</f>
        <v/>
      </c>
      <c r="AF60" s="2031" t="str" cm="1">
        <f t="array" ref="AF60">IFERROR(INDEX($GI$4:$GI$171,AY60),"")</f>
        <v/>
      </c>
      <c r="AG60" s="2031" t="str" cm="1">
        <f t="array" ref="AG60">IFERROR(INDEX($GO$4:$GO$171,AY60),"")</f>
        <v/>
      </c>
      <c r="AH60" s="2031" t="str" cm="1">
        <f t="array" ref="AH60">IFERROR(INDEX($GP$4:$GP$171,AY60),"")</f>
        <v/>
      </c>
      <c r="AI60" s="2031" t="str" cm="1">
        <f t="array" ref="AI60">IFERROR(INDEX($GF$4:$GF$171,AY60),"")</f>
        <v/>
      </c>
      <c r="AJ60" s="2031" t="str" cm="1">
        <f t="array" ref="AJ60">IFERROR(INDEX($GG$4:$GG$171,AY60),"")</f>
        <v/>
      </c>
      <c r="AK60" s="2031" t="str" cm="1">
        <f t="array" ref="AK60">IFERROR(INDEX($GS$4:$GS$171,AY60),"")</f>
        <v/>
      </c>
      <c r="AL60" s="2032" t="str" cm="1">
        <f t="array" ref="AL60">IFERROR(INDEX($GT$4:$GT$171,AY60),"")</f>
        <v/>
      </c>
      <c r="AM60" s="2031" t="str" cm="1">
        <f t="array" ref="AM60">IFERROR(INDEX($GB$4:$GB$171,AY60),"")</f>
        <v/>
      </c>
      <c r="AN60" s="2031" t="str" cm="1">
        <f t="array" ref="AN60">IFERROR(INDEX($GC$4:$GC$171,AY60),"")</f>
        <v/>
      </c>
      <c r="AO60" s="2031" t="str" cm="1">
        <f t="array" ref="AO60">IFERROR(INDEX($GU$4:$GU$171,AY60),"")</f>
        <v/>
      </c>
      <c r="AP60" s="2031" t="str" cm="1">
        <f t="array" ref="AP60">IFERROR(INDEX($GX$4:$GX$171,AY60),"")</f>
        <v/>
      </c>
      <c r="AQ60" s="1316"/>
      <c r="AR60" s="2031" t="str" cm="1">
        <f t="array" ref="AR60">IFERROR(INDEX($HD$4:$HD$171,AY60),"")</f>
        <v/>
      </c>
      <c r="AS60" s="2031" t="str" cm="1">
        <f t="array" ref="AS60">IFERROR(INDEX($HE$4:$HE$171,AY60),"")</f>
        <v/>
      </c>
      <c r="AT60" s="2031" t="str" cm="1">
        <f t="array" ref="AT60">IFERROR(INDEX($HF$4:$HF$171,AY60),"")</f>
        <v/>
      </c>
      <c r="AU60" s="2031" t="str" cm="1">
        <f t="array" ref="AU60">IFERROR(INDEX($GJ$4:$GJ$171,AY60),"")</f>
        <v/>
      </c>
      <c r="AV60" s="2031" t="str" cm="1">
        <f t="array" ref="AV60">IFERROR(INDEX($GK$4:$GK$171,AY60),"")</f>
        <v/>
      </c>
      <c r="AY60" s="2042" t="str" cm="1">
        <f t="array" ref="AY60">IFERROR(SMALL(IF($HI$4:$HI$171=1,ROW($HI$4:$HI$171)-3),ROW(W45)),IFERROR(SMALL(IF($HI$4:$HI$171=2,ROW($HI$4:$HI$171)-3),ROW(W45)-COUNTIF($HI$4:$HI$171,1)),IFERROR(SMALL(IF($HI$4:$HI$171=0,ROW($HI$4:$HI$171)-3),ROW(W45)-COUNTIF($HI$4:$HI$171,1)-COUNTIF($HI$4:$HI$171,2)),"")))</f>
        <v/>
      </c>
      <c r="AZ60" s="2042" t="str">
        <f t="shared" si="117"/>
        <v>a</v>
      </c>
      <c r="BA60" s="2053" t="e">
        <f t="shared" si="118"/>
        <v>#VALUE!</v>
      </c>
      <c r="BB60" s="2053" cm="1">
        <f t="array" ref="BB60">IFERROR(INDEX($HI$4:$HI$171,AY60),0)</f>
        <v>0</v>
      </c>
      <c r="BC60" s="2053">
        <f t="shared" si="119"/>
        <v>0</v>
      </c>
      <c r="BD60" s="2053"/>
      <c r="BE60" s="2307"/>
      <c r="BF60" s="2307"/>
      <c r="BG60" s="2307"/>
      <c r="BH60" s="2307"/>
      <c r="BI60" s="2307"/>
      <c r="BJ60" s="2307"/>
      <c r="BK60" s="2307"/>
      <c r="BL60" s="2307"/>
      <c r="BM60" s="2307"/>
      <c r="BN60" s="2307"/>
      <c r="BO60" s="2307"/>
      <c r="BP60" s="2043"/>
      <c r="BQ60" s="2042">
        <v>1</v>
      </c>
      <c r="BR60" cm="1">
        <f t="array" ref="BR60">INDEX(Pflanzen!$B$5:$B$117,'Lagerhaltung (freiwillig)'!BQ60)</f>
        <v>1</v>
      </c>
      <c r="BS60" s="2042"/>
      <c r="BT60" s="2042" t="b">
        <v>0</v>
      </c>
      <c r="BU60" s="2044"/>
      <c r="BV60" s="2044"/>
      <c r="BW60" s="2042">
        <f t="shared" si="136"/>
        <v>12</v>
      </c>
      <c r="BX60" s="2042">
        <f t="shared" si="137"/>
        <v>0</v>
      </c>
      <c r="BY60" s="2042">
        <f t="shared" si="138"/>
        <v>12</v>
      </c>
      <c r="BZ60" s="2042" cm="1">
        <f t="array" ref="BZ60">INDEX(Pflanzen!$AI$5:$AI$119,'Lagerhaltung (freiwillig)'!BR60)</f>
        <v>0</v>
      </c>
      <c r="CA60" s="2042" cm="1">
        <f t="array" ref="CA60">IF(BZ60=1,INDEX(Pflanzen!$AJ$5:$AJ$119,BR60),N60)</f>
        <v>0</v>
      </c>
      <c r="CB60" s="2042" cm="1">
        <f t="array" ref="CB60">IF(BZ60=1,INDEX(Pflanzen!$AK$5:$AK$119,BR60),O60)</f>
        <v>0</v>
      </c>
      <c r="CC60" s="2042">
        <f t="shared" si="139"/>
        <v>12</v>
      </c>
      <c r="CD60" s="2042">
        <f t="shared" si="140"/>
        <v>0</v>
      </c>
      <c r="CE60" s="2042">
        <f t="shared" si="141"/>
        <v>12</v>
      </c>
      <c r="CF60" s="2042" cm="1">
        <f t="array" ref="CF60">INDEX(Pflanzen!$F$5:$F$119,BR60)</f>
        <v>0</v>
      </c>
      <c r="CG60" s="2042" cm="1">
        <f t="array" ref="CG60">INDEX(Pflanzen!$H$5:$H$119,BR60)</f>
        <v>0</v>
      </c>
      <c r="CH60" s="2042">
        <f t="shared" si="142"/>
        <v>0</v>
      </c>
      <c r="CI60" s="2042">
        <f t="shared" si="143"/>
        <v>0</v>
      </c>
      <c r="CJ60" s="2042">
        <f t="shared" si="144"/>
        <v>0</v>
      </c>
      <c r="CK60" s="2042">
        <f t="shared" si="145"/>
        <v>0</v>
      </c>
      <c r="CL60" s="2042">
        <f t="shared" si="146"/>
        <v>0</v>
      </c>
      <c r="CM60" s="2042">
        <f t="shared" si="147"/>
        <v>0</v>
      </c>
      <c r="CN60" s="2042">
        <f t="shared" si="148"/>
        <v>0</v>
      </c>
      <c r="CO60" s="2042">
        <f t="shared" si="149"/>
        <v>0</v>
      </c>
      <c r="CP60" s="2042">
        <f t="shared" si="150"/>
        <v>0</v>
      </c>
      <c r="CQ60" s="2042">
        <f t="shared" si="151"/>
        <v>0</v>
      </c>
      <c r="CR60" s="2042">
        <f t="shared" si="152"/>
        <v>0</v>
      </c>
      <c r="CS60" s="2042">
        <f t="shared" si="153"/>
        <v>0</v>
      </c>
      <c r="CT60" s="2042">
        <f t="shared" si="154"/>
        <v>0</v>
      </c>
      <c r="CU60" s="2042">
        <f t="shared" si="155"/>
        <v>0</v>
      </c>
      <c r="CV60" s="2042"/>
      <c r="CW60" s="609" t="str">
        <f>Pflanzen!A56</f>
        <v>GPS Hafer</v>
      </c>
      <c r="CX60" s="2042">
        <f>IFERROR(MATCH($CW60,Pflanzen!$C$5:$C$119,0),1)</f>
        <v>52</v>
      </c>
      <c r="CY60" s="609" cm="1">
        <f t="array" ref="CY60">INDEX(Pflanzen!$I$5:$I$119,'Lagerhaltung (freiwillig)'!CX60)</f>
        <v>1</v>
      </c>
      <c r="CZ60" s="2042">
        <f t="shared" si="161"/>
        <v>0</v>
      </c>
      <c r="DA60" s="2042">
        <f t="shared" si="161"/>
        <v>0</v>
      </c>
      <c r="DB60" s="2042">
        <f t="shared" si="161"/>
        <v>0</v>
      </c>
      <c r="DC60" s="2042">
        <f t="shared" si="161"/>
        <v>0</v>
      </c>
      <c r="DD60" s="2042">
        <f t="shared" si="161"/>
        <v>0</v>
      </c>
      <c r="DE60" s="2042">
        <f t="shared" si="161"/>
        <v>0</v>
      </c>
      <c r="DF60" s="2042">
        <f t="shared" si="161"/>
        <v>0</v>
      </c>
      <c r="DG60" s="2042">
        <f t="shared" si="161"/>
        <v>0</v>
      </c>
      <c r="DH60" s="2042">
        <f t="shared" si="161"/>
        <v>0</v>
      </c>
      <c r="DI60" s="2042">
        <f t="shared" si="161"/>
        <v>0</v>
      </c>
      <c r="DJ60" s="2042">
        <f t="shared" si="161"/>
        <v>0</v>
      </c>
      <c r="DK60" s="2042">
        <f t="shared" si="161"/>
        <v>0</v>
      </c>
      <c r="DL60" s="2042"/>
      <c r="DM60" s="2042">
        <f t="shared" si="162"/>
        <v>0</v>
      </c>
      <c r="DN60" s="2042">
        <f t="shared" si="162"/>
        <v>0</v>
      </c>
      <c r="DO60" s="2042">
        <f t="shared" si="162"/>
        <v>0</v>
      </c>
      <c r="DP60" s="2042">
        <f t="shared" si="162"/>
        <v>0</v>
      </c>
      <c r="DQ60" s="2042">
        <f t="shared" si="162"/>
        <v>0</v>
      </c>
      <c r="DR60" s="2042">
        <f t="shared" si="162"/>
        <v>0</v>
      </c>
      <c r="DS60" s="2042">
        <f t="shared" si="162"/>
        <v>0</v>
      </c>
      <c r="DT60" s="2042">
        <f t="shared" si="162"/>
        <v>0</v>
      </c>
      <c r="DU60" s="2042">
        <f t="shared" si="162"/>
        <v>0</v>
      </c>
      <c r="DV60" s="2042">
        <f t="shared" si="162"/>
        <v>0</v>
      </c>
      <c r="DW60" s="2042">
        <f t="shared" si="162"/>
        <v>0</v>
      </c>
      <c r="DX60" s="2042">
        <f t="shared" si="162"/>
        <v>0</v>
      </c>
      <c r="DY60" s="2042"/>
      <c r="DZ60" s="2042">
        <f t="shared" si="163"/>
        <v>0</v>
      </c>
      <c r="EA60" s="2042">
        <f t="shared" si="163"/>
        <v>0</v>
      </c>
      <c r="EB60" s="2042">
        <f t="shared" si="163"/>
        <v>0</v>
      </c>
      <c r="EC60" s="2042">
        <f t="shared" si="163"/>
        <v>0</v>
      </c>
      <c r="ED60" s="2042">
        <f t="shared" si="163"/>
        <v>0</v>
      </c>
      <c r="EE60" s="2042">
        <f t="shared" si="163"/>
        <v>0</v>
      </c>
      <c r="EF60" s="2042">
        <f t="shared" si="163"/>
        <v>0</v>
      </c>
      <c r="EG60" s="2042">
        <f t="shared" si="163"/>
        <v>0</v>
      </c>
      <c r="EH60" s="2042">
        <f t="shared" si="163"/>
        <v>0</v>
      </c>
      <c r="EI60" s="2042">
        <f t="shared" si="163"/>
        <v>0</v>
      </c>
      <c r="EJ60" s="2042">
        <f t="shared" si="163"/>
        <v>0</v>
      </c>
      <c r="EK60" s="2042">
        <f t="shared" si="163"/>
        <v>0</v>
      </c>
      <c r="EL60" s="2042"/>
      <c r="EM60" s="2042">
        <f t="shared" si="164"/>
        <v>0</v>
      </c>
      <c r="EN60" s="2042">
        <f t="shared" si="164"/>
        <v>0</v>
      </c>
      <c r="EO60" s="2042">
        <f t="shared" si="164"/>
        <v>0</v>
      </c>
      <c r="EP60" s="2042">
        <f t="shared" si="164"/>
        <v>0</v>
      </c>
      <c r="EQ60" s="2042">
        <f t="shared" si="164"/>
        <v>0</v>
      </c>
      <c r="ER60" s="2042">
        <f t="shared" si="164"/>
        <v>0</v>
      </c>
      <c r="ES60" s="2042">
        <f t="shared" si="164"/>
        <v>0</v>
      </c>
      <c r="ET60" s="2042">
        <f t="shared" si="164"/>
        <v>0</v>
      </c>
      <c r="EU60" s="2042">
        <f t="shared" si="164"/>
        <v>0</v>
      </c>
      <c r="EV60" s="2042">
        <f t="shared" si="164"/>
        <v>0</v>
      </c>
      <c r="EW60" s="2042">
        <f t="shared" si="164"/>
        <v>0</v>
      </c>
      <c r="EX60" s="2042">
        <f t="shared" si="164"/>
        <v>0</v>
      </c>
      <c r="EY60" s="2042"/>
      <c r="EZ60" s="2045">
        <f t="shared" si="50"/>
        <v>0</v>
      </c>
      <c r="FA60" s="2042">
        <f>EZ60+CZ60+DZ60                 -         SUMIF('Berechnung Nährstoffe und Lager'!$AX$113:$AX$155,$CX60,'Berechnung Nährstoffe und Lager'!$U$113:$U$155)/12  -$GB60*$HC60/12</f>
        <v>0</v>
      </c>
      <c r="FB60" s="2042">
        <f>FA60+DA60+EA60                 -         SUMIF('Berechnung Nährstoffe und Lager'!$AX$113:$AX$155,$CX60,'Berechnung Nährstoffe und Lager'!$U$113:$U$155)/12  -$GB60*$HC60/12</f>
        <v>0</v>
      </c>
      <c r="FC60" s="2042">
        <f>FB60+DB60+EB60                 -         SUMIF('Berechnung Nährstoffe und Lager'!$AX$113:$AX$155,$CX60,'Berechnung Nährstoffe und Lager'!$U$113:$U$155)/12  -$GB60*$HC60/12</f>
        <v>0</v>
      </c>
      <c r="FD60" s="2042">
        <f>FC60+DC60+EC60                 -         SUMIF('Berechnung Nährstoffe und Lager'!$AX$113:$AX$155,$CX60,'Berechnung Nährstoffe und Lager'!$U$113:$U$155)/12  -$GB60*$HC60/12</f>
        <v>0</v>
      </c>
      <c r="FE60" s="2042">
        <f>FD60+DD60+ED60                 -         SUMIF('Berechnung Nährstoffe und Lager'!$AX$113:$AX$155,$CX60,'Berechnung Nährstoffe und Lager'!$U$113:$U$155)/12  -$GB60*$HC60/12</f>
        <v>0</v>
      </c>
      <c r="FF60" s="2042">
        <f>FE60+DE60+EE60                 -         SUMIF('Berechnung Nährstoffe und Lager'!$AX$113:$AX$155,$CX60,'Berechnung Nährstoffe und Lager'!$U$113:$U$155)/12  -$GB60*$HC60/12</f>
        <v>0</v>
      </c>
      <c r="FG60" s="2042">
        <f>FF60+DF60+EF60                 -         SUMIF('Berechnung Nährstoffe und Lager'!$AX$113:$AX$155,$CX60,'Berechnung Nährstoffe und Lager'!$U$113:$U$155)/12  -$GB60*$HC60/12</f>
        <v>0</v>
      </c>
      <c r="FH60" s="2042">
        <f>FG60+DG60+EG60                 -         SUMIF('Berechnung Nährstoffe und Lager'!$AX$113:$AX$155,$CX60,'Berechnung Nährstoffe und Lager'!$U$113:$U$155)/12  -$GB60*$HC60/12</f>
        <v>0</v>
      </c>
      <c r="FI60" s="2042">
        <f>FH60+DH60+EH60                 -         SUMIF('Berechnung Nährstoffe und Lager'!$AX$113:$AX$155,$CX60,'Berechnung Nährstoffe und Lager'!$U$113:$U$155)/12  -$GB60*$HC60/12</f>
        <v>0</v>
      </c>
      <c r="FJ60" s="2042">
        <f>FI60+DI60+EI60                 -         SUMIF('Berechnung Nährstoffe und Lager'!$AX$113:$AX$155,$CX60,'Berechnung Nährstoffe und Lager'!$U$113:$U$155)/12  -$GB60*$HC60/12</f>
        <v>0</v>
      </c>
      <c r="FK60" s="2042">
        <f>FJ60+DJ60+EJ60                 -         SUMIF('Berechnung Nährstoffe und Lager'!$AX$113:$AX$155,$CX60,'Berechnung Nährstoffe und Lager'!$U$113:$U$155)/12  -$GB60*$HC60/12</f>
        <v>0</v>
      </c>
      <c r="FL60" s="2042">
        <f>FK60+DK60+EK60                 -         SUMIF('Berechnung Nährstoffe und Lager'!$AX$113:$AX$155,$CX60,'Berechnung Nährstoffe und Lager'!$U$113:$U$155)/12  -$GB60*$HC60/12</f>
        <v>0</v>
      </c>
      <c r="FM60" s="2042"/>
      <c r="FN60" s="2045">
        <f t="shared" si="51"/>
        <v>0</v>
      </c>
      <c r="FO60" s="2042">
        <f>FN60+DM60+EM60                 -         SUMIF('Berechnung Nährstoffe und Lager'!$AX$113:$AX$155,$CX60,'Berechnung Nährstoffe und Lager'!$V$113:$V$155)/12  -$GC60*$HC60/12</f>
        <v>0</v>
      </c>
      <c r="FP60" s="2042">
        <f>FO60+DN60+EN60                 -         SUMIF('Berechnung Nährstoffe und Lager'!$AX$113:$AX$155,$CX60,'Berechnung Nährstoffe und Lager'!$V$113:$V$155)/12  -$GC60*$HC60/12</f>
        <v>0</v>
      </c>
      <c r="FQ60" s="2042">
        <f>FP60+DO60+EO60                 -         SUMIF('Berechnung Nährstoffe und Lager'!$AX$113:$AX$155,$CX60,'Berechnung Nährstoffe und Lager'!$V$113:$V$155)/12  -$GC60*$HC60/12</f>
        <v>0</v>
      </c>
      <c r="FR60" s="2042">
        <f>FQ60+DP60+EP60                 -         SUMIF('Berechnung Nährstoffe und Lager'!$AX$113:$AX$155,$CX60,'Berechnung Nährstoffe und Lager'!$V$113:$V$155)/12  -$GC60*$HC60/12</f>
        <v>0</v>
      </c>
      <c r="FS60" s="2042">
        <f>FR60+DQ60+EQ60                 -         SUMIF('Berechnung Nährstoffe und Lager'!$AX$113:$AX$155,$CX60,'Berechnung Nährstoffe und Lager'!$V$113:$V$155)/12  -$GC60*$HC60/12</f>
        <v>0</v>
      </c>
      <c r="FT60" s="2042">
        <f>FS60+DR60+ER60                 -         SUMIF('Berechnung Nährstoffe und Lager'!$AX$113:$AX$155,$CX60,'Berechnung Nährstoffe und Lager'!$V$113:$V$155)/12  -$GC60*$HC60/12</f>
        <v>0</v>
      </c>
      <c r="FU60" s="2042">
        <f>FT60+DS60+ES60                 -         SUMIF('Berechnung Nährstoffe und Lager'!$AX$113:$AX$155,$CX60,'Berechnung Nährstoffe und Lager'!$V$113:$V$155)/12  -$GC60*$HC60/12</f>
        <v>0</v>
      </c>
      <c r="FV60" s="2042">
        <f>FU60+DT60+ET60                 -         SUMIF('Berechnung Nährstoffe und Lager'!$AX$113:$AX$155,$CX60,'Berechnung Nährstoffe und Lager'!$V$113:$V$155)/12  -$GC60*$HC60/12</f>
        <v>0</v>
      </c>
      <c r="FW60" s="2042">
        <f>FV60+DU60+EU60                 -         SUMIF('Berechnung Nährstoffe und Lager'!$AX$113:$AX$155,$CX60,'Berechnung Nährstoffe und Lager'!$V$113:$V$155)/12  -$GC60*$HC60/12</f>
        <v>0</v>
      </c>
      <c r="FX60" s="2042">
        <f>FW60+DV60+EV60                 -         SUMIF('Berechnung Nährstoffe und Lager'!$AX$113:$AX$155,$CX60,'Berechnung Nährstoffe und Lager'!$V$113:$V$155)/12  -$GC60*$HC60/12</f>
        <v>0</v>
      </c>
      <c r="FY60" s="2042">
        <f>FX60+DW60+EW60                 -         SUMIF('Berechnung Nährstoffe und Lager'!$AX$113:$AX$155,$CX60,'Berechnung Nährstoffe und Lager'!$V$113:$V$155)/12  -$GC60*$HC60/12</f>
        <v>0</v>
      </c>
      <c r="FZ60" s="2042">
        <f>FY60+DX60+EX60                 -         SUMIF('Berechnung Nährstoffe und Lager'!$AX$113:$AX$155,$CX60,'Berechnung Nährstoffe und Lager'!$V$113:$V$155)/12  -$GC60*$HC60/12</f>
        <v>0</v>
      </c>
      <c r="GA60" s="2042"/>
      <c r="GB60" s="2042">
        <f>SUMIFS($CI$14:$CI$68,$BR$14:$BR$68,$CX60)+SUMIFS($CM$14:$CM$68,$BR$14:$BR$68,$CX60)+SUMIFS($CR$14:$CR$68,$BR$14:$BR$68,$CX60)  -         SUMIF('Berechnung Nährstoffe und Lager'!$AX$113:$AX$155,$CX60,'Berechnung Nährstoffe und Lager'!$U$113:$U$155)</f>
        <v>0</v>
      </c>
      <c r="GC60" s="2042">
        <f>SUMIFS($CJ$14:$CJ$68,$BR$14:$BR$68,$CX60)+SUMIFS($CO$14:$CO$68,$BR$14:$BR$68,$CX60)+SUMIFS($CT$14:$CT$68,$BR$14:$BR$68,$CX60)  -         SUMIF('Berechnung Nährstoffe und Lager'!$AX$113:$AX$155,$CX60,'Berechnung Nährstoffe und Lager'!$V$113:$V$155)</f>
        <v>0</v>
      </c>
      <c r="GD60" s="2042"/>
      <c r="GE60" s="2042"/>
      <c r="GF60" s="2042">
        <f>SUMIF('Berechnung Nährstoffe und Lager'!$AX$113:$AX$155,$CX60,'Berechnung Nährstoffe und Lager'!$U$113:$U$155)</f>
        <v>0</v>
      </c>
      <c r="GG60" s="2042">
        <f>SUMIF('Berechnung Nährstoffe und Lager'!$AX$113:$AX$155,$CX60,'Berechnung Nährstoffe und Lager'!$V$113:$V$155)</f>
        <v>0</v>
      </c>
      <c r="GH60" s="2042">
        <f t="shared" si="52"/>
        <v>0</v>
      </c>
      <c r="GI60" s="2042">
        <f t="shared" si="53"/>
        <v>0</v>
      </c>
      <c r="GJ60" s="2042">
        <f t="shared" si="121"/>
        <v>0</v>
      </c>
      <c r="GK60" s="2042">
        <f t="shared" si="122"/>
        <v>0</v>
      </c>
      <c r="GL60" s="2042">
        <f t="shared" si="123"/>
        <v>0</v>
      </c>
      <c r="GM60" s="2042" cm="1">
        <f t="array" ref="GM60">IF(GL60=0,0,(IFERROR(SUMPRODUCT($J$14:$J$68,$CH$14:$CH$68,($BR$14:$BR$68=CX60)*1)+SUMPRODUCT($L$14:$L$68,$M$14:$M$68,$CK$14:$CK$68,($BR$14:$BR$68=CX60)*1,($BT$14:$BT$68=FALSE)*1)/10+SUMPRODUCT($R$14:$R$68,$CP$14:$CP$68,($BR$14:$BR$68=CX60)*1),0))/GL60)</f>
        <v>0</v>
      </c>
      <c r="GN60" s="2042">
        <f t="shared" si="54"/>
        <v>0</v>
      </c>
      <c r="GO60" s="2042">
        <f>(SUMIF('Berechnung Nährstoffe und Lager'!$AX$113:$AX$130,'Lagerhaltung (freiwillig)'!CX60,'Berechnung Nährstoffe und Lager'!$D$113:$D$130)+SUMIF('Berechnung Nährstoffe und Lager'!$AX$137:$AX$155,'Lagerhaltung (freiwillig)'!CX60,'Berechnung Nährstoffe und Lager'!$E$137:$E$155))</f>
        <v>0</v>
      </c>
      <c r="GP60" s="2042" cm="1">
        <f t="array" ref="GP60">IF(GO60=0,0,(IFERROR(SUMPRODUCT('Berechnung Nährstoffe und Lager'!$D$113:$D$130,'Berechnung Nährstoffe und Lager'!$F$113:$F$130,('Berechnung Nährstoffe und Lager'!$AX$113:$AX$130='Lagerhaltung (freiwillig)'!CX60)*1)+SUMPRODUCT('Berechnung Nährstoffe und Lager'!$E$137:$E$155,'Berechnung Nährstoffe und Lager'!$F$137:$F$155,('Berechnung Nährstoffe und Lager'!$AX$137:$AX$155='Lagerhaltung (freiwillig)'!CX60)*1),0))/GO60)</f>
        <v>0</v>
      </c>
      <c r="GQ60" s="2042">
        <f t="shared" si="55"/>
        <v>0</v>
      </c>
      <c r="GR60" s="2042">
        <f t="shared" si="56"/>
        <v>0</v>
      </c>
      <c r="GS60" s="2042">
        <f t="shared" si="57"/>
        <v>0</v>
      </c>
      <c r="GT60" s="2042">
        <f t="shared" si="58"/>
        <v>0</v>
      </c>
      <c r="GU60" s="2045" t="str">
        <f t="shared" si="39"/>
        <v xml:space="preserve"> </v>
      </c>
      <c r="GV60" s="2045" t="str">
        <f t="shared" si="39"/>
        <v xml:space="preserve"> </v>
      </c>
      <c r="GW60" s="2054">
        <f t="shared" si="124"/>
        <v>0</v>
      </c>
      <c r="GX60" s="2042">
        <f t="shared" si="125"/>
        <v>0</v>
      </c>
      <c r="GY60" s="2042" t="str">
        <f t="shared" si="120"/>
        <v>a</v>
      </c>
      <c r="GZ60" s="2055">
        <f t="shared" si="126"/>
        <v>0</v>
      </c>
      <c r="HA60" s="2055">
        <f t="shared" si="127"/>
        <v>0</v>
      </c>
      <c r="HB60" s="2055"/>
      <c r="HC60" s="2046">
        <f t="shared" si="128"/>
        <v>0</v>
      </c>
      <c r="HD60" s="2055">
        <f t="shared" si="129"/>
        <v>0</v>
      </c>
      <c r="HE60" s="2055">
        <f t="shared" si="130"/>
        <v>0</v>
      </c>
      <c r="HF60" s="2055">
        <f t="shared" si="131"/>
        <v>0</v>
      </c>
      <c r="HG60" s="2282" cm="1">
        <f t="array" ref="HG60">IF(AND(HE60=0,GJ60=0),0,IF(HE60=0,1,IF(OR(GJ60*1000/HE60/HF60&gt;INDEX(Pflanzen!$AD$5:$AD$109,CX60)/INDEX(Pflanzen!$M$5:$M$109,CX60)*$HG$1,GJ60*1000/HE60/HF60&lt;INDEX(Pflanzen!$AD$5:$AD$109,CX60)/INDEX(Pflanzen!$M$5:$M$109,CX60)/$HG$1),1,0)))</f>
        <v>0</v>
      </c>
      <c r="HH60" s="2282" cm="1">
        <f t="array" ref="HH60">IF(AND(GK60=0,HE60=0),0,IF(HE60=0,1,IF(OR(GK60*1000/HE60/HF60&gt;INDEX(Pflanzen!$AE$5:$AE$109,CX60)/INDEX(Pflanzen!$M$5:$M$109,CX60)*$HG$1,GK60*1000/HE60/HF60&lt;INDEX(Pflanzen!$AE$5:$AE$109,CX60)/INDEX(Pflanzen!$M$5:$M$109,CX60)/$HG$1),1,0)))</f>
        <v>0</v>
      </c>
      <c r="HI60" s="2042">
        <f t="shared" si="132"/>
        <v>3</v>
      </c>
      <c r="HJ60" s="2042"/>
      <c r="HL60" s="2042"/>
      <c r="HM60" s="2052"/>
      <c r="HN60" s="2042"/>
      <c r="HO60" s="2042"/>
      <c r="HP60" s="2042"/>
      <c r="HQ60" s="2042"/>
      <c r="HR60" s="2042"/>
      <c r="HS60" s="2042"/>
      <c r="HT60" s="2042"/>
      <c r="HU60" s="2042"/>
      <c r="HV60" s="2042"/>
      <c r="HW60" s="2042"/>
      <c r="HX60" s="2042"/>
      <c r="HY60" s="2042"/>
      <c r="HZ60" s="2042"/>
      <c r="IA60" s="2042"/>
      <c r="IB60" s="2042"/>
      <c r="IC60" s="2042"/>
      <c r="ID60" s="2042"/>
      <c r="IE60" s="2042"/>
      <c r="IF60" s="2042"/>
      <c r="IG60" s="2042"/>
      <c r="IH60" s="2042"/>
      <c r="II60" s="2042"/>
      <c r="IJ60" s="2042"/>
    </row>
    <row r="61" spans="6:244" ht="15.6" customHeight="1" x14ac:dyDescent="0.2">
      <c r="F61" s="1311"/>
      <c r="G61" s="2314"/>
      <c r="H61" s="2295"/>
      <c r="I61" s="2020" t="str">
        <f t="shared" si="133"/>
        <v/>
      </c>
      <c r="J61" s="1256"/>
      <c r="K61" s="2020" t="str">
        <f t="shared" si="134"/>
        <v/>
      </c>
      <c r="L61" s="1970"/>
      <c r="M61" s="1246"/>
      <c r="N61" s="1870"/>
      <c r="O61" s="1870"/>
      <c r="P61" s="2222"/>
      <c r="Q61" s="2014" t="str">
        <f t="shared" si="135"/>
        <v/>
      </c>
      <c r="R61" s="1970"/>
      <c r="S61" s="1246"/>
      <c r="T61" s="1256"/>
      <c r="V61" s="2316" t="str">
        <f t="shared" si="156"/>
        <v/>
      </c>
      <c r="Y61" s="2005" t="str" cm="1">
        <f t="array" ref="Y61">IFERROR(INDEX($CW$4:$CW$171,AY61),"")</f>
        <v/>
      </c>
      <c r="Z61" s="510"/>
      <c r="AA61" s="510"/>
      <c r="AB61" s="510"/>
      <c r="AC61" s="2031" t="str" cm="1">
        <f t="array" ref="AC61">IFERROR(INDEX($GL$4:$GL$171,AY61),"")</f>
        <v/>
      </c>
      <c r="AD61" s="2031" t="str" cm="1">
        <f t="array" ref="AD61">IFERROR(INDEX($GM$4:$GM$171,AY61),"")</f>
        <v/>
      </c>
      <c r="AE61" s="2031" t="str" cm="1">
        <f t="array" ref="AE61">IFERROR(INDEX($GH$4:$GH$171,AY61),"")</f>
        <v/>
      </c>
      <c r="AF61" s="2031" t="str" cm="1">
        <f t="array" ref="AF61">IFERROR(INDEX($GI$4:$GI$171,AY61),"")</f>
        <v/>
      </c>
      <c r="AG61" s="2031" t="str" cm="1">
        <f t="array" ref="AG61">IFERROR(INDEX($GO$4:$GO$171,AY61),"")</f>
        <v/>
      </c>
      <c r="AH61" s="2031" t="str" cm="1">
        <f t="array" ref="AH61">IFERROR(INDEX($GP$4:$GP$171,AY61),"")</f>
        <v/>
      </c>
      <c r="AI61" s="2031" t="str" cm="1">
        <f t="array" ref="AI61">IFERROR(INDEX($GF$4:$GF$171,AY61),"")</f>
        <v/>
      </c>
      <c r="AJ61" s="2031" t="str" cm="1">
        <f t="array" ref="AJ61">IFERROR(INDEX($GG$4:$GG$171,AY61),"")</f>
        <v/>
      </c>
      <c r="AK61" s="2031" t="str" cm="1">
        <f t="array" ref="AK61">IFERROR(INDEX($GS$4:$GS$171,AY61),"")</f>
        <v/>
      </c>
      <c r="AL61" s="2032" t="str" cm="1">
        <f t="array" ref="AL61">IFERROR(INDEX($GT$4:$GT$171,AY61),"")</f>
        <v/>
      </c>
      <c r="AM61" s="2031" t="str" cm="1">
        <f t="array" ref="AM61">IFERROR(INDEX($GB$4:$GB$171,AY61),"")</f>
        <v/>
      </c>
      <c r="AN61" s="2031" t="str" cm="1">
        <f t="array" ref="AN61">IFERROR(INDEX($GC$4:$GC$171,AY61),"")</f>
        <v/>
      </c>
      <c r="AO61" s="2031" t="str" cm="1">
        <f t="array" ref="AO61">IFERROR(INDEX($GU$4:$GU$171,AY61),"")</f>
        <v/>
      </c>
      <c r="AP61" s="2031" t="str" cm="1">
        <f t="array" ref="AP61">IFERROR(INDEX($GX$4:$GX$171,AY61),"")</f>
        <v/>
      </c>
      <c r="AQ61" s="1316"/>
      <c r="AR61" s="2031" t="str" cm="1">
        <f t="array" ref="AR61">IFERROR(INDEX($HD$4:$HD$171,AY61),"")</f>
        <v/>
      </c>
      <c r="AS61" s="2031" t="str" cm="1">
        <f t="array" ref="AS61">IFERROR(INDEX($HE$4:$HE$171,AY61),"")</f>
        <v/>
      </c>
      <c r="AT61" s="2031" t="str" cm="1">
        <f t="array" ref="AT61">IFERROR(INDEX($HF$4:$HF$171,AY61),"")</f>
        <v/>
      </c>
      <c r="AU61" s="2031" t="str" cm="1">
        <f t="array" ref="AU61">IFERROR(INDEX($GJ$4:$GJ$171,AY61),"")</f>
        <v/>
      </c>
      <c r="AV61" s="2031" t="str" cm="1">
        <f t="array" ref="AV61">IFERROR(INDEX($GK$4:$GK$171,AY61),"")</f>
        <v/>
      </c>
      <c r="AY61" s="2042" t="str" cm="1">
        <f t="array" ref="AY61">IFERROR(SMALL(IF($HI$4:$HI$171=1,ROW($HI$4:$HI$171)-3),ROW(W46)),IFERROR(SMALL(IF($HI$4:$HI$171=2,ROW($HI$4:$HI$171)-3),ROW(W46)-COUNTIF($HI$4:$HI$171,1)),IFERROR(SMALL(IF($HI$4:$HI$171=0,ROW($HI$4:$HI$171)-3),ROW(W46)-COUNTIF($HI$4:$HI$171,1)-COUNTIF($HI$4:$HI$171,2)),"")))</f>
        <v/>
      </c>
      <c r="AZ61" s="2042" t="str">
        <f t="shared" si="117"/>
        <v>a</v>
      </c>
      <c r="BA61" s="2053" t="e">
        <f t="shared" si="118"/>
        <v>#VALUE!</v>
      </c>
      <c r="BB61" s="2053" cm="1">
        <f t="array" ref="BB61">IFERROR(INDEX($HI$4:$HI$171,AY61),0)</f>
        <v>0</v>
      </c>
      <c r="BC61" s="2053">
        <f t="shared" si="119"/>
        <v>0</v>
      </c>
      <c r="BD61" s="2053"/>
      <c r="BE61" s="2307"/>
      <c r="BF61" s="2307"/>
      <c r="BG61" s="2307"/>
      <c r="BH61" s="2307"/>
      <c r="BI61" s="2307"/>
      <c r="BJ61" s="2307"/>
      <c r="BK61" s="2307"/>
      <c r="BL61" s="2307"/>
      <c r="BM61" s="2307"/>
      <c r="BN61" s="2307"/>
      <c r="BO61" s="2307"/>
      <c r="BP61" s="2043"/>
      <c r="BQ61" s="2042">
        <v>1</v>
      </c>
      <c r="BR61" cm="1">
        <f t="array" ref="BR61">INDEX(Pflanzen!$B$5:$B$117,'Lagerhaltung (freiwillig)'!BQ61)</f>
        <v>1</v>
      </c>
      <c r="BS61" s="2042"/>
      <c r="BT61" s="2042" t="b">
        <v>0</v>
      </c>
      <c r="BU61" s="2044"/>
      <c r="BV61" s="2044"/>
      <c r="BW61" s="2042">
        <f t="shared" si="136"/>
        <v>12</v>
      </c>
      <c r="BX61" s="2042">
        <f t="shared" si="137"/>
        <v>0</v>
      </c>
      <c r="BY61" s="2042">
        <f t="shared" si="138"/>
        <v>12</v>
      </c>
      <c r="BZ61" s="2042" cm="1">
        <f t="array" ref="BZ61">INDEX(Pflanzen!$AI$5:$AI$119,'Lagerhaltung (freiwillig)'!BR61)</f>
        <v>0</v>
      </c>
      <c r="CA61" s="2042" cm="1">
        <f t="array" ref="CA61">IF(BZ61=1,INDEX(Pflanzen!$AJ$5:$AJ$119,BR61),N61)</f>
        <v>0</v>
      </c>
      <c r="CB61" s="2042" cm="1">
        <f t="array" ref="CB61">IF(BZ61=1,INDEX(Pflanzen!$AK$5:$AK$119,BR61),O61)</f>
        <v>0</v>
      </c>
      <c r="CC61" s="2042">
        <f t="shared" si="139"/>
        <v>12</v>
      </c>
      <c r="CD61" s="2042">
        <f t="shared" si="140"/>
        <v>0</v>
      </c>
      <c r="CE61" s="2042">
        <f t="shared" si="141"/>
        <v>12</v>
      </c>
      <c r="CF61" s="2042" cm="1">
        <f t="array" ref="CF61">INDEX(Pflanzen!$F$5:$F$119,BR61)</f>
        <v>0</v>
      </c>
      <c r="CG61" s="2042" cm="1">
        <f t="array" ref="CG61">INDEX(Pflanzen!$H$5:$H$119,BR61)</f>
        <v>0</v>
      </c>
      <c r="CH61" s="2042">
        <f t="shared" si="142"/>
        <v>0</v>
      </c>
      <c r="CI61" s="2042">
        <f t="shared" si="143"/>
        <v>0</v>
      </c>
      <c r="CJ61" s="2042">
        <f t="shared" si="144"/>
        <v>0</v>
      </c>
      <c r="CK61" s="2042">
        <f t="shared" si="145"/>
        <v>0</v>
      </c>
      <c r="CL61" s="2042">
        <f t="shared" si="146"/>
        <v>0</v>
      </c>
      <c r="CM61" s="2042">
        <f t="shared" si="147"/>
        <v>0</v>
      </c>
      <c r="CN61" s="2042">
        <f t="shared" si="148"/>
        <v>0</v>
      </c>
      <c r="CO61" s="2042">
        <f t="shared" si="149"/>
        <v>0</v>
      </c>
      <c r="CP61" s="2042">
        <f t="shared" si="150"/>
        <v>0</v>
      </c>
      <c r="CQ61" s="2042">
        <f t="shared" si="151"/>
        <v>0</v>
      </c>
      <c r="CR61" s="2042">
        <f t="shared" si="152"/>
        <v>0</v>
      </c>
      <c r="CS61" s="2042">
        <f t="shared" si="153"/>
        <v>0</v>
      </c>
      <c r="CT61" s="2042">
        <f t="shared" si="154"/>
        <v>0</v>
      </c>
      <c r="CU61" s="2042">
        <f t="shared" si="155"/>
        <v>0</v>
      </c>
      <c r="CV61" s="2042"/>
      <c r="CW61" s="609" t="str">
        <f>Pflanzen!A57</f>
        <v xml:space="preserve"> +++Energiepflanzen+++</v>
      </c>
      <c r="CX61" s="2042">
        <f>IFERROR(MATCH($CW61,Pflanzen!$C$5:$C$119,0),1)</f>
        <v>53</v>
      </c>
      <c r="CY61" s="609" cm="1">
        <f t="array" ref="CY61">INDEX(Pflanzen!$I$5:$I$119,'Lagerhaltung (freiwillig)'!CX61)</f>
        <v>0</v>
      </c>
      <c r="CZ61" s="2042">
        <f t="shared" si="161"/>
        <v>0</v>
      </c>
      <c r="DA61" s="2042">
        <f t="shared" si="161"/>
        <v>0</v>
      </c>
      <c r="DB61" s="2042">
        <f t="shared" si="161"/>
        <v>0</v>
      </c>
      <c r="DC61" s="2042">
        <f t="shared" si="161"/>
        <v>0</v>
      </c>
      <c r="DD61" s="2042">
        <f t="shared" si="161"/>
        <v>0</v>
      </c>
      <c r="DE61" s="2042">
        <f t="shared" si="161"/>
        <v>0</v>
      </c>
      <c r="DF61" s="2042">
        <f t="shared" si="161"/>
        <v>0</v>
      </c>
      <c r="DG61" s="2042">
        <f t="shared" si="161"/>
        <v>0</v>
      </c>
      <c r="DH61" s="2042">
        <f t="shared" si="161"/>
        <v>0</v>
      </c>
      <c r="DI61" s="2042">
        <f t="shared" si="161"/>
        <v>0</v>
      </c>
      <c r="DJ61" s="2042">
        <f t="shared" si="161"/>
        <v>0</v>
      </c>
      <c r="DK61" s="2042">
        <f t="shared" si="161"/>
        <v>0</v>
      </c>
      <c r="DL61" s="2042"/>
      <c r="DM61" s="2042">
        <f t="shared" si="162"/>
        <v>0</v>
      </c>
      <c r="DN61" s="2042">
        <f t="shared" si="162"/>
        <v>0</v>
      </c>
      <c r="DO61" s="2042">
        <f t="shared" si="162"/>
        <v>0</v>
      </c>
      <c r="DP61" s="2042">
        <f t="shared" si="162"/>
        <v>0</v>
      </c>
      <c r="DQ61" s="2042">
        <f t="shared" si="162"/>
        <v>0</v>
      </c>
      <c r="DR61" s="2042">
        <f t="shared" si="162"/>
        <v>0</v>
      </c>
      <c r="DS61" s="2042">
        <f t="shared" si="162"/>
        <v>0</v>
      </c>
      <c r="DT61" s="2042">
        <f t="shared" si="162"/>
        <v>0</v>
      </c>
      <c r="DU61" s="2042">
        <f t="shared" si="162"/>
        <v>0</v>
      </c>
      <c r="DV61" s="2042">
        <f t="shared" si="162"/>
        <v>0</v>
      </c>
      <c r="DW61" s="2042">
        <f t="shared" si="162"/>
        <v>0</v>
      </c>
      <c r="DX61" s="2042">
        <f t="shared" si="162"/>
        <v>0</v>
      </c>
      <c r="DY61" s="2042"/>
      <c r="DZ61" s="2042">
        <f t="shared" si="163"/>
        <v>0</v>
      </c>
      <c r="EA61" s="2042">
        <f t="shared" si="163"/>
        <v>0</v>
      </c>
      <c r="EB61" s="2042">
        <f t="shared" si="163"/>
        <v>0</v>
      </c>
      <c r="EC61" s="2042">
        <f t="shared" si="163"/>
        <v>0</v>
      </c>
      <c r="ED61" s="2042">
        <f t="shared" si="163"/>
        <v>0</v>
      </c>
      <c r="EE61" s="2042">
        <f t="shared" si="163"/>
        <v>0</v>
      </c>
      <c r="EF61" s="2042">
        <f t="shared" si="163"/>
        <v>0</v>
      </c>
      <c r="EG61" s="2042">
        <f t="shared" si="163"/>
        <v>0</v>
      </c>
      <c r="EH61" s="2042">
        <f t="shared" si="163"/>
        <v>0</v>
      </c>
      <c r="EI61" s="2042">
        <f t="shared" si="163"/>
        <v>0</v>
      </c>
      <c r="EJ61" s="2042">
        <f t="shared" si="163"/>
        <v>0</v>
      </c>
      <c r="EK61" s="2042">
        <f t="shared" si="163"/>
        <v>0</v>
      </c>
      <c r="EL61" s="2042"/>
      <c r="EM61" s="2042">
        <f t="shared" si="164"/>
        <v>0</v>
      </c>
      <c r="EN61" s="2042">
        <f t="shared" si="164"/>
        <v>0</v>
      </c>
      <c r="EO61" s="2042">
        <f t="shared" si="164"/>
        <v>0</v>
      </c>
      <c r="EP61" s="2042">
        <f t="shared" si="164"/>
        <v>0</v>
      </c>
      <c r="EQ61" s="2042">
        <f t="shared" si="164"/>
        <v>0</v>
      </c>
      <c r="ER61" s="2042">
        <f t="shared" si="164"/>
        <v>0</v>
      </c>
      <c r="ES61" s="2042">
        <f t="shared" si="164"/>
        <v>0</v>
      </c>
      <c r="ET61" s="2042">
        <f t="shared" si="164"/>
        <v>0</v>
      </c>
      <c r="EU61" s="2042">
        <f t="shared" si="164"/>
        <v>0</v>
      </c>
      <c r="EV61" s="2042">
        <f t="shared" si="164"/>
        <v>0</v>
      </c>
      <c r="EW61" s="2042">
        <f t="shared" si="164"/>
        <v>0</v>
      </c>
      <c r="EX61" s="2042">
        <f t="shared" si="164"/>
        <v>0</v>
      </c>
      <c r="EY61" s="2042"/>
      <c r="EZ61" s="2045">
        <f t="shared" si="50"/>
        <v>0</v>
      </c>
      <c r="FA61" s="2042">
        <f>EZ61+CZ61+DZ61                 -         SUMIF('Berechnung Nährstoffe und Lager'!$AX$113:$AX$155,$CX61,'Berechnung Nährstoffe und Lager'!$U$113:$U$155)/12  -$GB61*$HC61/12</f>
        <v>0</v>
      </c>
      <c r="FB61" s="2042">
        <f>FA61+DA61+EA61                 -         SUMIF('Berechnung Nährstoffe und Lager'!$AX$113:$AX$155,$CX61,'Berechnung Nährstoffe und Lager'!$U$113:$U$155)/12  -$GB61*$HC61/12</f>
        <v>0</v>
      </c>
      <c r="FC61" s="2042">
        <f>FB61+DB61+EB61                 -         SUMIF('Berechnung Nährstoffe und Lager'!$AX$113:$AX$155,$CX61,'Berechnung Nährstoffe und Lager'!$U$113:$U$155)/12  -$GB61*$HC61/12</f>
        <v>0</v>
      </c>
      <c r="FD61" s="2042">
        <f>FC61+DC61+EC61                 -         SUMIF('Berechnung Nährstoffe und Lager'!$AX$113:$AX$155,$CX61,'Berechnung Nährstoffe und Lager'!$U$113:$U$155)/12  -$GB61*$HC61/12</f>
        <v>0</v>
      </c>
      <c r="FE61" s="2042">
        <f>FD61+DD61+ED61                 -         SUMIF('Berechnung Nährstoffe und Lager'!$AX$113:$AX$155,$CX61,'Berechnung Nährstoffe und Lager'!$U$113:$U$155)/12  -$GB61*$HC61/12</f>
        <v>0</v>
      </c>
      <c r="FF61" s="2042">
        <f>FE61+DE61+EE61                 -         SUMIF('Berechnung Nährstoffe und Lager'!$AX$113:$AX$155,$CX61,'Berechnung Nährstoffe und Lager'!$U$113:$U$155)/12  -$GB61*$HC61/12</f>
        <v>0</v>
      </c>
      <c r="FG61" s="2042">
        <f>FF61+DF61+EF61                 -         SUMIF('Berechnung Nährstoffe und Lager'!$AX$113:$AX$155,$CX61,'Berechnung Nährstoffe und Lager'!$U$113:$U$155)/12  -$GB61*$HC61/12</f>
        <v>0</v>
      </c>
      <c r="FH61" s="2042">
        <f>FG61+DG61+EG61                 -         SUMIF('Berechnung Nährstoffe und Lager'!$AX$113:$AX$155,$CX61,'Berechnung Nährstoffe und Lager'!$U$113:$U$155)/12  -$GB61*$HC61/12</f>
        <v>0</v>
      </c>
      <c r="FI61" s="2042">
        <f>FH61+DH61+EH61                 -         SUMIF('Berechnung Nährstoffe und Lager'!$AX$113:$AX$155,$CX61,'Berechnung Nährstoffe und Lager'!$U$113:$U$155)/12  -$GB61*$HC61/12</f>
        <v>0</v>
      </c>
      <c r="FJ61" s="2042">
        <f>FI61+DI61+EI61                 -         SUMIF('Berechnung Nährstoffe und Lager'!$AX$113:$AX$155,$CX61,'Berechnung Nährstoffe und Lager'!$U$113:$U$155)/12  -$GB61*$HC61/12</f>
        <v>0</v>
      </c>
      <c r="FK61" s="2042">
        <f>FJ61+DJ61+EJ61                 -         SUMIF('Berechnung Nährstoffe und Lager'!$AX$113:$AX$155,$CX61,'Berechnung Nährstoffe und Lager'!$U$113:$U$155)/12  -$GB61*$HC61/12</f>
        <v>0</v>
      </c>
      <c r="FL61" s="2042">
        <f>FK61+DK61+EK61                 -         SUMIF('Berechnung Nährstoffe und Lager'!$AX$113:$AX$155,$CX61,'Berechnung Nährstoffe und Lager'!$U$113:$U$155)/12  -$GB61*$HC61/12</f>
        <v>0</v>
      </c>
      <c r="FM61" s="2042"/>
      <c r="FN61" s="2045">
        <f t="shared" si="51"/>
        <v>0</v>
      </c>
      <c r="FO61" s="2042">
        <f>FN61+DM61+EM61                 -         SUMIF('Berechnung Nährstoffe und Lager'!$AX$113:$AX$155,$CX61,'Berechnung Nährstoffe und Lager'!$V$113:$V$155)/12  -$GC61*$HC61/12</f>
        <v>0</v>
      </c>
      <c r="FP61" s="2042">
        <f>FO61+DN61+EN61                 -         SUMIF('Berechnung Nährstoffe und Lager'!$AX$113:$AX$155,$CX61,'Berechnung Nährstoffe und Lager'!$V$113:$V$155)/12  -$GC61*$HC61/12</f>
        <v>0</v>
      </c>
      <c r="FQ61" s="2042">
        <f>FP61+DO61+EO61                 -         SUMIF('Berechnung Nährstoffe und Lager'!$AX$113:$AX$155,$CX61,'Berechnung Nährstoffe und Lager'!$V$113:$V$155)/12  -$GC61*$HC61/12</f>
        <v>0</v>
      </c>
      <c r="FR61" s="2042">
        <f>FQ61+DP61+EP61                 -         SUMIF('Berechnung Nährstoffe und Lager'!$AX$113:$AX$155,$CX61,'Berechnung Nährstoffe und Lager'!$V$113:$V$155)/12  -$GC61*$HC61/12</f>
        <v>0</v>
      </c>
      <c r="FS61" s="2042">
        <f>FR61+DQ61+EQ61                 -         SUMIF('Berechnung Nährstoffe und Lager'!$AX$113:$AX$155,$CX61,'Berechnung Nährstoffe und Lager'!$V$113:$V$155)/12  -$GC61*$HC61/12</f>
        <v>0</v>
      </c>
      <c r="FT61" s="2042">
        <f>FS61+DR61+ER61                 -         SUMIF('Berechnung Nährstoffe und Lager'!$AX$113:$AX$155,$CX61,'Berechnung Nährstoffe und Lager'!$V$113:$V$155)/12  -$GC61*$HC61/12</f>
        <v>0</v>
      </c>
      <c r="FU61" s="2042">
        <f>FT61+DS61+ES61                 -         SUMIF('Berechnung Nährstoffe und Lager'!$AX$113:$AX$155,$CX61,'Berechnung Nährstoffe und Lager'!$V$113:$V$155)/12  -$GC61*$HC61/12</f>
        <v>0</v>
      </c>
      <c r="FV61" s="2042">
        <f>FU61+DT61+ET61                 -         SUMIF('Berechnung Nährstoffe und Lager'!$AX$113:$AX$155,$CX61,'Berechnung Nährstoffe und Lager'!$V$113:$V$155)/12  -$GC61*$HC61/12</f>
        <v>0</v>
      </c>
      <c r="FW61" s="2042">
        <f>FV61+DU61+EU61                 -         SUMIF('Berechnung Nährstoffe und Lager'!$AX$113:$AX$155,$CX61,'Berechnung Nährstoffe und Lager'!$V$113:$V$155)/12  -$GC61*$HC61/12</f>
        <v>0</v>
      </c>
      <c r="FX61" s="2042">
        <f>FW61+DV61+EV61                 -         SUMIF('Berechnung Nährstoffe und Lager'!$AX$113:$AX$155,$CX61,'Berechnung Nährstoffe und Lager'!$V$113:$V$155)/12  -$GC61*$HC61/12</f>
        <v>0</v>
      </c>
      <c r="FY61" s="2042">
        <f>FX61+DW61+EW61                 -         SUMIF('Berechnung Nährstoffe und Lager'!$AX$113:$AX$155,$CX61,'Berechnung Nährstoffe und Lager'!$V$113:$V$155)/12  -$GC61*$HC61/12</f>
        <v>0</v>
      </c>
      <c r="FZ61" s="2042">
        <f>FY61+DX61+EX61                 -         SUMIF('Berechnung Nährstoffe und Lager'!$AX$113:$AX$155,$CX61,'Berechnung Nährstoffe und Lager'!$V$113:$V$155)/12  -$GC61*$HC61/12</f>
        <v>0</v>
      </c>
      <c r="GA61" s="2042"/>
      <c r="GB61" s="2042">
        <f>SUMIFS($CI$14:$CI$68,$BR$14:$BR$68,$CX61)+SUMIFS($CM$14:$CM$68,$BR$14:$BR$68,$CX61)+SUMIFS($CR$14:$CR$68,$BR$14:$BR$68,$CX61)  -         SUMIF('Berechnung Nährstoffe und Lager'!$AX$113:$AX$155,$CX61,'Berechnung Nährstoffe und Lager'!$U$113:$U$155)</f>
        <v>0</v>
      </c>
      <c r="GC61" s="2042">
        <f>SUMIFS($CJ$14:$CJ$68,$BR$14:$BR$68,$CX61)+SUMIFS($CO$14:$CO$68,$BR$14:$BR$68,$CX61)+SUMIFS($CT$14:$CT$68,$BR$14:$BR$68,$CX61)  -         SUMIF('Berechnung Nährstoffe und Lager'!$AX$113:$AX$155,$CX61,'Berechnung Nährstoffe und Lager'!$V$113:$V$155)</f>
        <v>0</v>
      </c>
      <c r="GD61" s="2042"/>
      <c r="GE61" s="2042"/>
      <c r="GF61" s="2042">
        <f>SUMIF('Berechnung Nährstoffe und Lager'!$AX$113:$AX$155,$CX61,'Berechnung Nährstoffe und Lager'!$U$113:$U$155)</f>
        <v>0</v>
      </c>
      <c r="GG61" s="2042">
        <f>SUMIF('Berechnung Nährstoffe und Lager'!$AX$113:$AX$155,$CX61,'Berechnung Nährstoffe und Lager'!$V$113:$V$155)</f>
        <v>0</v>
      </c>
      <c r="GH61" s="2042">
        <f t="shared" si="52"/>
        <v>0</v>
      </c>
      <c r="GI61" s="2042">
        <f t="shared" si="53"/>
        <v>0</v>
      </c>
      <c r="GJ61" s="2042">
        <f t="shared" si="121"/>
        <v>0</v>
      </c>
      <c r="GK61" s="2042">
        <f t="shared" si="122"/>
        <v>0</v>
      </c>
      <c r="GL61" s="2042">
        <f t="shared" si="123"/>
        <v>0</v>
      </c>
      <c r="GM61" s="2042" cm="1">
        <f t="array" ref="GM61">IF(GL61=0,0,(IFERROR(SUMPRODUCT($J$14:$J$68,$CH$14:$CH$68,($BR$14:$BR$68=CX61)*1)+SUMPRODUCT($L$14:$L$68,$M$14:$M$68,$CK$14:$CK$68,($BR$14:$BR$68=CX61)*1,($BT$14:$BT$68=FALSE)*1)/10+SUMPRODUCT($R$14:$R$68,$CP$14:$CP$68,($BR$14:$BR$68=CX61)*1),0))/GL61)</f>
        <v>0</v>
      </c>
      <c r="GN61" s="2042">
        <f t="shared" si="54"/>
        <v>0</v>
      </c>
      <c r="GO61" s="2042">
        <f>(SUMIF('Berechnung Nährstoffe und Lager'!$AX$113:$AX$130,'Lagerhaltung (freiwillig)'!CX61,'Berechnung Nährstoffe und Lager'!$D$113:$D$130)+SUMIF('Berechnung Nährstoffe und Lager'!$AX$137:$AX$155,'Lagerhaltung (freiwillig)'!CX61,'Berechnung Nährstoffe und Lager'!$E$137:$E$155))</f>
        <v>0</v>
      </c>
      <c r="GP61" s="2042" cm="1">
        <f t="array" ref="GP61">IF(GO61=0,0,(IFERROR(SUMPRODUCT('Berechnung Nährstoffe und Lager'!$D$113:$D$130,'Berechnung Nährstoffe und Lager'!$F$113:$F$130,('Berechnung Nährstoffe und Lager'!$AX$113:$AX$130='Lagerhaltung (freiwillig)'!CX61)*1)+SUMPRODUCT('Berechnung Nährstoffe und Lager'!$E$137:$E$155,'Berechnung Nährstoffe und Lager'!$F$137:$F$155,('Berechnung Nährstoffe und Lager'!$AX$137:$AX$155='Lagerhaltung (freiwillig)'!CX61)*1),0))/GO61)</f>
        <v>0</v>
      </c>
      <c r="GQ61" s="2042">
        <f t="shared" si="55"/>
        <v>0</v>
      </c>
      <c r="GR61" s="2042">
        <f t="shared" si="56"/>
        <v>0</v>
      </c>
      <c r="GS61" s="2042">
        <f t="shared" si="57"/>
        <v>0</v>
      </c>
      <c r="GT61" s="2042">
        <f t="shared" si="58"/>
        <v>0</v>
      </c>
      <c r="GU61" s="2045" t="str">
        <f t="shared" si="39"/>
        <v xml:space="preserve"> </v>
      </c>
      <c r="GV61" s="2045" t="str">
        <f t="shared" si="39"/>
        <v xml:space="preserve"> </v>
      </c>
      <c r="GW61" s="2054">
        <f t="shared" si="124"/>
        <v>0</v>
      </c>
      <c r="GX61" s="2042">
        <f t="shared" si="125"/>
        <v>0</v>
      </c>
      <c r="GY61" s="2042" t="str">
        <f t="shared" si="120"/>
        <v>a</v>
      </c>
      <c r="GZ61" s="2055">
        <f t="shared" si="126"/>
        <v>0</v>
      </c>
      <c r="HA61" s="2055">
        <f t="shared" si="127"/>
        <v>0</v>
      </c>
      <c r="HB61" s="2055"/>
      <c r="HC61" s="2046">
        <f t="shared" si="128"/>
        <v>0</v>
      </c>
      <c r="HD61" s="2055">
        <f t="shared" si="129"/>
        <v>0</v>
      </c>
      <c r="HE61" s="2055">
        <f t="shared" si="130"/>
        <v>0</v>
      </c>
      <c r="HF61" s="2055">
        <f t="shared" si="131"/>
        <v>0</v>
      </c>
      <c r="HG61" s="2282" cm="1">
        <f t="array" ref="HG61">IF(AND(HE61=0,GJ61=0),0,IF(HE61=0,1,IF(OR(GJ61*1000/HE61/HF61&gt;INDEX(Pflanzen!$AD$5:$AD$109,CX61)/INDEX(Pflanzen!$M$5:$M$109,CX61)*$HG$1,GJ61*1000/HE61/HF61&lt;INDEX(Pflanzen!$AD$5:$AD$109,CX61)/INDEX(Pflanzen!$M$5:$M$109,CX61)/$HG$1),1,0)))</f>
        <v>0</v>
      </c>
      <c r="HH61" s="2282" cm="1">
        <f t="array" ref="HH61">IF(AND(GK61=0,HE61=0),0,IF(HE61=0,1,IF(OR(GK61*1000/HE61/HF61&gt;INDEX(Pflanzen!$AE$5:$AE$109,CX61)/INDEX(Pflanzen!$M$5:$M$109,CX61)*$HG$1,GK61*1000/HE61/HF61&lt;INDEX(Pflanzen!$AE$5:$AE$109,CX61)/INDEX(Pflanzen!$M$5:$M$109,CX61)/$HG$1),1,0)))</f>
        <v>0</v>
      </c>
      <c r="HI61" s="2042">
        <f t="shared" si="132"/>
        <v>3</v>
      </c>
      <c r="HJ61" s="2042"/>
      <c r="HL61" s="2042"/>
      <c r="HM61" s="2042" t="str">
        <f>'Berechnung Nährstoffe und Lager'!A83</f>
        <v xml:space="preserve"> -- - </v>
      </c>
      <c r="HN61" s="2042"/>
      <c r="HO61" s="2042">
        <f>'Berechnung Nährstoffe und Lager'!Z83+'Berechnung Nährstoffe und Lager'!AA83</f>
        <v>0</v>
      </c>
      <c r="HP61" s="2042">
        <f>'Berechnung Nährstoffe und Lager'!BK83</f>
        <v>1</v>
      </c>
      <c r="HQ61" s="2070">
        <f>IF(OR(HP61=$IB$6,HP61=$IB$7,HP61=1),0,0.75*'Abweichende Werte'!D7)</f>
        <v>0</v>
      </c>
      <c r="HR61" s="2059">
        <f>HO61*HQ61/1000</f>
        <v>0</v>
      </c>
      <c r="HS61" s="2070">
        <f>IF(OR(HP61=$IB$6,HP61=$IB$7,HP61=1),0,0.75*'Abweichende Werte'!E7)</f>
        <v>0</v>
      </c>
      <c r="HT61" s="2042">
        <f t="shared" si="13"/>
        <v>0</v>
      </c>
      <c r="HU61" s="2042"/>
      <c r="HV61" s="2042"/>
      <c r="HW61" s="2042"/>
      <c r="HX61" s="2042"/>
      <c r="HY61" s="2042"/>
      <c r="HZ61" s="2042"/>
      <c r="IA61" s="2042"/>
      <c r="IB61" s="2042"/>
      <c r="IC61" s="2042"/>
      <c r="ID61" s="2042"/>
      <c r="IE61" s="2042"/>
      <c r="IF61" s="2042"/>
      <c r="IG61" s="2042"/>
      <c r="IH61" s="2042"/>
      <c r="II61" s="2042"/>
      <c r="IJ61" s="2042"/>
    </row>
    <row r="62" spans="6:244" ht="15.6" customHeight="1" x14ac:dyDescent="0.2">
      <c r="F62" s="1311"/>
      <c r="G62" s="2314"/>
      <c r="H62" s="2293"/>
      <c r="I62" s="2020" t="str">
        <f t="shared" si="133"/>
        <v/>
      </c>
      <c r="J62" s="1256"/>
      <c r="K62" s="2020" t="str">
        <f t="shared" si="134"/>
        <v/>
      </c>
      <c r="L62" s="1970"/>
      <c r="M62" s="1246"/>
      <c r="N62" s="1870"/>
      <c r="O62" s="1870"/>
      <c r="P62" s="2222"/>
      <c r="Q62" s="2014" t="str">
        <f t="shared" si="135"/>
        <v/>
      </c>
      <c r="R62" s="1970"/>
      <c r="S62" s="1246"/>
      <c r="T62" s="1256"/>
      <c r="V62" s="2316" t="str">
        <f t="shared" si="156"/>
        <v/>
      </c>
      <c r="Y62" s="2005" t="str" cm="1">
        <f t="array" ref="Y62">IFERROR(INDEX($CW$4:$CW$171,AY62),"")</f>
        <v/>
      </c>
      <c r="Z62" s="510"/>
      <c r="AA62" s="510"/>
      <c r="AB62" s="510"/>
      <c r="AC62" s="2031" t="str" cm="1">
        <f t="array" ref="AC62">IFERROR(INDEX($GL$4:$GL$171,AY62),"")</f>
        <v/>
      </c>
      <c r="AD62" s="2031" t="str" cm="1">
        <f t="array" ref="AD62">IFERROR(INDEX($GM$4:$GM$171,AY62),"")</f>
        <v/>
      </c>
      <c r="AE62" s="2031" t="str" cm="1">
        <f t="array" ref="AE62">IFERROR(INDEX($GH$4:$GH$171,AY62),"")</f>
        <v/>
      </c>
      <c r="AF62" s="2031" t="str" cm="1">
        <f t="array" ref="AF62">IFERROR(INDEX($GI$4:$GI$171,AY62),"")</f>
        <v/>
      </c>
      <c r="AG62" s="2031" t="str" cm="1">
        <f t="array" ref="AG62">IFERROR(INDEX($GO$4:$GO$171,AY62),"")</f>
        <v/>
      </c>
      <c r="AH62" s="2031" t="str" cm="1">
        <f t="array" ref="AH62">IFERROR(INDEX($GP$4:$GP$171,AY62),"")</f>
        <v/>
      </c>
      <c r="AI62" s="2031" t="str" cm="1">
        <f t="array" ref="AI62">IFERROR(INDEX($GF$4:$GF$171,AY62),"")</f>
        <v/>
      </c>
      <c r="AJ62" s="2031" t="str" cm="1">
        <f t="array" ref="AJ62">IFERROR(INDEX($GG$4:$GG$171,AY62),"")</f>
        <v/>
      </c>
      <c r="AK62" s="2031" t="str" cm="1">
        <f t="array" ref="AK62">IFERROR(INDEX($GS$4:$GS$171,AY62),"")</f>
        <v/>
      </c>
      <c r="AL62" s="2032" t="str" cm="1">
        <f t="array" ref="AL62">IFERROR(INDEX($GT$4:$GT$171,AY62),"")</f>
        <v/>
      </c>
      <c r="AM62" s="2031" t="str" cm="1">
        <f t="array" ref="AM62">IFERROR(INDEX($GB$4:$GB$171,AY62),"")</f>
        <v/>
      </c>
      <c r="AN62" s="2031" t="str" cm="1">
        <f t="array" ref="AN62">IFERROR(INDEX($GC$4:$GC$171,AY62),"")</f>
        <v/>
      </c>
      <c r="AO62" s="2031" t="str" cm="1">
        <f t="array" ref="AO62">IFERROR(INDEX($GU$4:$GU$171,AY62),"")</f>
        <v/>
      </c>
      <c r="AP62" s="2031" t="str" cm="1">
        <f t="array" ref="AP62">IFERROR(INDEX($GX$4:$GX$171,AY62),"")</f>
        <v/>
      </c>
      <c r="AQ62" s="1316"/>
      <c r="AR62" s="2031" t="str" cm="1">
        <f t="array" ref="AR62">IFERROR(INDEX($HD$4:$HD$171,AY62),"")</f>
        <v/>
      </c>
      <c r="AS62" s="2031" t="str" cm="1">
        <f t="array" ref="AS62">IFERROR(INDEX($HE$4:$HE$171,AY62),"")</f>
        <v/>
      </c>
      <c r="AT62" s="2031" t="str" cm="1">
        <f t="array" ref="AT62">IFERROR(INDEX($HF$4:$HF$171,AY62),"")</f>
        <v/>
      </c>
      <c r="AU62" s="2031" t="str" cm="1">
        <f t="array" ref="AU62">IFERROR(INDEX($GJ$4:$GJ$171,AY62),"")</f>
        <v/>
      </c>
      <c r="AV62" s="2031" t="str" cm="1">
        <f t="array" ref="AV62">IFERROR(INDEX($GK$4:$GK$171,AY62),"")</f>
        <v/>
      </c>
      <c r="AY62" s="2042" t="str" cm="1">
        <f t="array" ref="AY62">IFERROR(SMALL(IF($HI$4:$HI$171=1,ROW($HI$4:$HI$171)-3),ROW(W47)),IFERROR(SMALL(IF($HI$4:$HI$171=2,ROW($HI$4:$HI$171)-3),ROW(W47)-COUNTIF($HI$4:$HI$171,1)),IFERROR(SMALL(IF($HI$4:$HI$171=0,ROW($HI$4:$HI$171)-3),ROW(W47)-COUNTIF($HI$4:$HI$171,1)-COUNTIF($HI$4:$HI$171,2)),"")))</f>
        <v/>
      </c>
      <c r="AZ62" s="2042" t="str">
        <f t="shared" si="117"/>
        <v>a</v>
      </c>
      <c r="BA62" s="2053" t="e">
        <f t="shared" si="118"/>
        <v>#VALUE!</v>
      </c>
      <c r="BB62" s="2053" cm="1">
        <f t="array" ref="BB62">IFERROR(INDEX($HI$4:$HI$171,AY62),0)</f>
        <v>0</v>
      </c>
      <c r="BC62" s="2053">
        <f t="shared" si="119"/>
        <v>0</v>
      </c>
      <c r="BD62" s="2053"/>
      <c r="BE62" s="2307"/>
      <c r="BF62" s="2307"/>
      <c r="BG62" s="2307"/>
      <c r="BH62" s="2307"/>
      <c r="BI62" s="2307"/>
      <c r="BJ62" s="2307"/>
      <c r="BK62" s="2307"/>
      <c r="BL62" s="2307"/>
      <c r="BM62" s="2307"/>
      <c r="BN62" s="2307"/>
      <c r="BO62" s="2307"/>
      <c r="BP62" s="2043"/>
      <c r="BQ62" s="2042">
        <v>1</v>
      </c>
      <c r="BR62" cm="1">
        <f t="array" ref="BR62">INDEX(Pflanzen!$B$5:$B$117,'Lagerhaltung (freiwillig)'!BQ62)</f>
        <v>1</v>
      </c>
      <c r="BS62" s="2042"/>
      <c r="BT62" s="2042" t="b">
        <v>0</v>
      </c>
      <c r="BU62" s="2044"/>
      <c r="BV62" s="2044"/>
      <c r="BW62" s="2042">
        <f t="shared" si="136"/>
        <v>12</v>
      </c>
      <c r="BX62" s="2042">
        <f t="shared" si="137"/>
        <v>0</v>
      </c>
      <c r="BY62" s="2042">
        <f t="shared" si="138"/>
        <v>12</v>
      </c>
      <c r="BZ62" s="2042" cm="1">
        <f t="array" ref="BZ62">INDEX(Pflanzen!$AI$5:$AI$119,'Lagerhaltung (freiwillig)'!BR62)</f>
        <v>0</v>
      </c>
      <c r="CA62" s="2042" cm="1">
        <f t="array" ref="CA62">IF(BZ62=1,INDEX(Pflanzen!$AJ$5:$AJ$119,BR62),N62)</f>
        <v>0</v>
      </c>
      <c r="CB62" s="2042" cm="1">
        <f t="array" ref="CB62">IF(BZ62=1,INDEX(Pflanzen!$AK$5:$AK$119,BR62),O62)</f>
        <v>0</v>
      </c>
      <c r="CC62" s="2042">
        <f t="shared" si="139"/>
        <v>12</v>
      </c>
      <c r="CD62" s="2042">
        <f t="shared" si="140"/>
        <v>0</v>
      </c>
      <c r="CE62" s="2042">
        <f t="shared" si="141"/>
        <v>12</v>
      </c>
      <c r="CF62" s="2042" cm="1">
        <f t="array" ref="CF62">INDEX(Pflanzen!$F$5:$F$119,BR62)</f>
        <v>0</v>
      </c>
      <c r="CG62" s="2042" cm="1">
        <f t="array" ref="CG62">INDEX(Pflanzen!$H$5:$H$119,BR62)</f>
        <v>0</v>
      </c>
      <c r="CH62" s="2042">
        <f t="shared" si="142"/>
        <v>0</v>
      </c>
      <c r="CI62" s="2042">
        <f t="shared" si="143"/>
        <v>0</v>
      </c>
      <c r="CJ62" s="2042">
        <f t="shared" si="144"/>
        <v>0</v>
      </c>
      <c r="CK62" s="2042">
        <f t="shared" si="145"/>
        <v>0</v>
      </c>
      <c r="CL62" s="2042">
        <f t="shared" si="146"/>
        <v>0</v>
      </c>
      <c r="CM62" s="2042">
        <f t="shared" si="147"/>
        <v>0</v>
      </c>
      <c r="CN62" s="2042">
        <f t="shared" si="148"/>
        <v>0</v>
      </c>
      <c r="CO62" s="2042">
        <f t="shared" si="149"/>
        <v>0</v>
      </c>
      <c r="CP62" s="2042">
        <f t="shared" si="150"/>
        <v>0</v>
      </c>
      <c r="CQ62" s="2042">
        <f t="shared" si="151"/>
        <v>0</v>
      </c>
      <c r="CR62" s="2042">
        <f t="shared" si="152"/>
        <v>0</v>
      </c>
      <c r="CS62" s="2042">
        <f t="shared" si="153"/>
        <v>0</v>
      </c>
      <c r="CT62" s="2042">
        <f t="shared" si="154"/>
        <v>0</v>
      </c>
      <c r="CU62" s="2042">
        <f t="shared" si="155"/>
        <v>0</v>
      </c>
      <c r="CV62" s="2042"/>
      <c r="CW62" s="609" t="str">
        <f>Pflanzen!A58</f>
        <v>Silphie</v>
      </c>
      <c r="CX62" s="2042">
        <f>IFERROR(MATCH($CW62,Pflanzen!$C$5:$C$119,0),1)</f>
        <v>54</v>
      </c>
      <c r="CY62" s="609" cm="1">
        <f t="array" ref="CY62">INDEX(Pflanzen!$I$5:$I$119,'Lagerhaltung (freiwillig)'!CX62)</f>
        <v>1</v>
      </c>
      <c r="CZ62" s="2042">
        <f t="shared" si="161"/>
        <v>0</v>
      </c>
      <c r="DA62" s="2042">
        <f t="shared" si="161"/>
        <v>0</v>
      </c>
      <c r="DB62" s="2042">
        <f t="shared" si="161"/>
        <v>0</v>
      </c>
      <c r="DC62" s="2042">
        <f t="shared" si="161"/>
        <v>0</v>
      </c>
      <c r="DD62" s="2042">
        <f t="shared" si="161"/>
        <v>0</v>
      </c>
      <c r="DE62" s="2042">
        <f t="shared" si="161"/>
        <v>0</v>
      </c>
      <c r="DF62" s="2042">
        <f t="shared" si="161"/>
        <v>0</v>
      </c>
      <c r="DG62" s="2042">
        <f t="shared" si="161"/>
        <v>0</v>
      </c>
      <c r="DH62" s="2042">
        <f t="shared" si="161"/>
        <v>0</v>
      </c>
      <c r="DI62" s="2042">
        <f t="shared" si="161"/>
        <v>0</v>
      </c>
      <c r="DJ62" s="2042">
        <f t="shared" si="161"/>
        <v>0</v>
      </c>
      <c r="DK62" s="2042">
        <f t="shared" si="161"/>
        <v>0</v>
      </c>
      <c r="DL62" s="2042"/>
      <c r="DM62" s="2042">
        <f t="shared" si="162"/>
        <v>0</v>
      </c>
      <c r="DN62" s="2042">
        <f t="shared" si="162"/>
        <v>0</v>
      </c>
      <c r="DO62" s="2042">
        <f t="shared" si="162"/>
        <v>0</v>
      </c>
      <c r="DP62" s="2042">
        <f t="shared" si="162"/>
        <v>0</v>
      </c>
      <c r="DQ62" s="2042">
        <f t="shared" si="162"/>
        <v>0</v>
      </c>
      <c r="DR62" s="2042">
        <f t="shared" si="162"/>
        <v>0</v>
      </c>
      <c r="DS62" s="2042">
        <f t="shared" si="162"/>
        <v>0</v>
      </c>
      <c r="DT62" s="2042">
        <f t="shared" si="162"/>
        <v>0</v>
      </c>
      <c r="DU62" s="2042">
        <f t="shared" si="162"/>
        <v>0</v>
      </c>
      <c r="DV62" s="2042">
        <f t="shared" si="162"/>
        <v>0</v>
      </c>
      <c r="DW62" s="2042">
        <f t="shared" si="162"/>
        <v>0</v>
      </c>
      <c r="DX62" s="2042">
        <f t="shared" si="162"/>
        <v>0</v>
      </c>
      <c r="DY62" s="2042"/>
      <c r="DZ62" s="2042">
        <f t="shared" si="163"/>
        <v>0</v>
      </c>
      <c r="EA62" s="2042">
        <f t="shared" si="163"/>
        <v>0</v>
      </c>
      <c r="EB62" s="2042">
        <f t="shared" si="163"/>
        <v>0</v>
      </c>
      <c r="EC62" s="2042">
        <f t="shared" si="163"/>
        <v>0</v>
      </c>
      <c r="ED62" s="2042">
        <f t="shared" si="163"/>
        <v>0</v>
      </c>
      <c r="EE62" s="2042">
        <f t="shared" si="163"/>
        <v>0</v>
      </c>
      <c r="EF62" s="2042">
        <f t="shared" si="163"/>
        <v>0</v>
      </c>
      <c r="EG62" s="2042">
        <f t="shared" si="163"/>
        <v>0</v>
      </c>
      <c r="EH62" s="2042">
        <f t="shared" si="163"/>
        <v>0</v>
      </c>
      <c r="EI62" s="2042">
        <f t="shared" si="163"/>
        <v>0</v>
      </c>
      <c r="EJ62" s="2042">
        <f t="shared" si="163"/>
        <v>0</v>
      </c>
      <c r="EK62" s="2042">
        <f t="shared" si="163"/>
        <v>0</v>
      </c>
      <c r="EL62" s="2042"/>
      <c r="EM62" s="2042">
        <f t="shared" si="164"/>
        <v>0</v>
      </c>
      <c r="EN62" s="2042">
        <f t="shared" si="164"/>
        <v>0</v>
      </c>
      <c r="EO62" s="2042">
        <f t="shared" si="164"/>
        <v>0</v>
      </c>
      <c r="EP62" s="2042">
        <f t="shared" si="164"/>
        <v>0</v>
      </c>
      <c r="EQ62" s="2042">
        <f t="shared" si="164"/>
        <v>0</v>
      </c>
      <c r="ER62" s="2042">
        <f t="shared" si="164"/>
        <v>0</v>
      </c>
      <c r="ES62" s="2042">
        <f t="shared" si="164"/>
        <v>0</v>
      </c>
      <c r="ET62" s="2042">
        <f t="shared" si="164"/>
        <v>0</v>
      </c>
      <c r="EU62" s="2042">
        <f t="shared" si="164"/>
        <v>0</v>
      </c>
      <c r="EV62" s="2042">
        <f t="shared" si="164"/>
        <v>0</v>
      </c>
      <c r="EW62" s="2042">
        <f t="shared" si="164"/>
        <v>0</v>
      </c>
      <c r="EX62" s="2042">
        <f t="shared" si="164"/>
        <v>0</v>
      </c>
      <c r="EY62" s="2042"/>
      <c r="EZ62" s="2045">
        <f t="shared" si="50"/>
        <v>0</v>
      </c>
      <c r="FA62" s="2042">
        <f>EZ62+CZ62+DZ62                 -         SUMIF('Berechnung Nährstoffe und Lager'!$AX$113:$AX$155,$CX62,'Berechnung Nährstoffe und Lager'!$U$113:$U$155)/12  -$GB62*$HC62/12</f>
        <v>0</v>
      </c>
      <c r="FB62" s="2042">
        <f>FA62+DA62+EA62                 -         SUMIF('Berechnung Nährstoffe und Lager'!$AX$113:$AX$155,$CX62,'Berechnung Nährstoffe und Lager'!$U$113:$U$155)/12  -$GB62*$HC62/12</f>
        <v>0</v>
      </c>
      <c r="FC62" s="2042">
        <f>FB62+DB62+EB62                 -         SUMIF('Berechnung Nährstoffe und Lager'!$AX$113:$AX$155,$CX62,'Berechnung Nährstoffe und Lager'!$U$113:$U$155)/12  -$GB62*$HC62/12</f>
        <v>0</v>
      </c>
      <c r="FD62" s="2042">
        <f>FC62+DC62+EC62                 -         SUMIF('Berechnung Nährstoffe und Lager'!$AX$113:$AX$155,$CX62,'Berechnung Nährstoffe und Lager'!$U$113:$U$155)/12  -$GB62*$HC62/12</f>
        <v>0</v>
      </c>
      <c r="FE62" s="2042">
        <f>FD62+DD62+ED62                 -         SUMIF('Berechnung Nährstoffe und Lager'!$AX$113:$AX$155,$CX62,'Berechnung Nährstoffe und Lager'!$U$113:$U$155)/12  -$GB62*$HC62/12</f>
        <v>0</v>
      </c>
      <c r="FF62" s="2042">
        <f>FE62+DE62+EE62                 -         SUMIF('Berechnung Nährstoffe und Lager'!$AX$113:$AX$155,$CX62,'Berechnung Nährstoffe und Lager'!$U$113:$U$155)/12  -$GB62*$HC62/12</f>
        <v>0</v>
      </c>
      <c r="FG62" s="2042">
        <f>FF62+DF62+EF62                 -         SUMIF('Berechnung Nährstoffe und Lager'!$AX$113:$AX$155,$CX62,'Berechnung Nährstoffe und Lager'!$U$113:$U$155)/12  -$GB62*$HC62/12</f>
        <v>0</v>
      </c>
      <c r="FH62" s="2042">
        <f>FG62+DG62+EG62                 -         SUMIF('Berechnung Nährstoffe und Lager'!$AX$113:$AX$155,$CX62,'Berechnung Nährstoffe und Lager'!$U$113:$U$155)/12  -$GB62*$HC62/12</f>
        <v>0</v>
      </c>
      <c r="FI62" s="2042">
        <f>FH62+DH62+EH62                 -         SUMIF('Berechnung Nährstoffe und Lager'!$AX$113:$AX$155,$CX62,'Berechnung Nährstoffe und Lager'!$U$113:$U$155)/12  -$GB62*$HC62/12</f>
        <v>0</v>
      </c>
      <c r="FJ62" s="2042">
        <f>FI62+DI62+EI62                 -         SUMIF('Berechnung Nährstoffe und Lager'!$AX$113:$AX$155,$CX62,'Berechnung Nährstoffe und Lager'!$U$113:$U$155)/12  -$GB62*$HC62/12</f>
        <v>0</v>
      </c>
      <c r="FK62" s="2042">
        <f>FJ62+DJ62+EJ62                 -         SUMIF('Berechnung Nährstoffe und Lager'!$AX$113:$AX$155,$CX62,'Berechnung Nährstoffe und Lager'!$U$113:$U$155)/12  -$GB62*$HC62/12</f>
        <v>0</v>
      </c>
      <c r="FL62" s="2042">
        <f>FK62+DK62+EK62                 -         SUMIF('Berechnung Nährstoffe und Lager'!$AX$113:$AX$155,$CX62,'Berechnung Nährstoffe und Lager'!$U$113:$U$155)/12  -$GB62*$HC62/12</f>
        <v>0</v>
      </c>
      <c r="FM62" s="2042"/>
      <c r="FN62" s="2045">
        <f t="shared" si="51"/>
        <v>0</v>
      </c>
      <c r="FO62" s="2042">
        <f>FN62+DM62+EM62                 -         SUMIF('Berechnung Nährstoffe und Lager'!$AX$113:$AX$155,$CX62,'Berechnung Nährstoffe und Lager'!$V$113:$V$155)/12  -$GC62*$HC62/12</f>
        <v>0</v>
      </c>
      <c r="FP62" s="2042">
        <f>FO62+DN62+EN62                 -         SUMIF('Berechnung Nährstoffe und Lager'!$AX$113:$AX$155,$CX62,'Berechnung Nährstoffe und Lager'!$V$113:$V$155)/12  -$GC62*$HC62/12</f>
        <v>0</v>
      </c>
      <c r="FQ62" s="2042">
        <f>FP62+DO62+EO62                 -         SUMIF('Berechnung Nährstoffe und Lager'!$AX$113:$AX$155,$CX62,'Berechnung Nährstoffe und Lager'!$V$113:$V$155)/12  -$GC62*$HC62/12</f>
        <v>0</v>
      </c>
      <c r="FR62" s="2042">
        <f>FQ62+DP62+EP62                 -         SUMIF('Berechnung Nährstoffe und Lager'!$AX$113:$AX$155,$CX62,'Berechnung Nährstoffe und Lager'!$V$113:$V$155)/12  -$GC62*$HC62/12</f>
        <v>0</v>
      </c>
      <c r="FS62" s="2042">
        <f>FR62+DQ62+EQ62                 -         SUMIF('Berechnung Nährstoffe und Lager'!$AX$113:$AX$155,$CX62,'Berechnung Nährstoffe und Lager'!$V$113:$V$155)/12  -$GC62*$HC62/12</f>
        <v>0</v>
      </c>
      <c r="FT62" s="2042">
        <f>FS62+DR62+ER62                 -         SUMIF('Berechnung Nährstoffe und Lager'!$AX$113:$AX$155,$CX62,'Berechnung Nährstoffe und Lager'!$V$113:$V$155)/12  -$GC62*$HC62/12</f>
        <v>0</v>
      </c>
      <c r="FU62" s="2042">
        <f>FT62+DS62+ES62                 -         SUMIF('Berechnung Nährstoffe und Lager'!$AX$113:$AX$155,$CX62,'Berechnung Nährstoffe und Lager'!$V$113:$V$155)/12  -$GC62*$HC62/12</f>
        <v>0</v>
      </c>
      <c r="FV62" s="2042">
        <f>FU62+DT62+ET62                 -         SUMIF('Berechnung Nährstoffe und Lager'!$AX$113:$AX$155,$CX62,'Berechnung Nährstoffe und Lager'!$V$113:$V$155)/12  -$GC62*$HC62/12</f>
        <v>0</v>
      </c>
      <c r="FW62" s="2042">
        <f>FV62+DU62+EU62                 -         SUMIF('Berechnung Nährstoffe und Lager'!$AX$113:$AX$155,$CX62,'Berechnung Nährstoffe und Lager'!$V$113:$V$155)/12  -$GC62*$HC62/12</f>
        <v>0</v>
      </c>
      <c r="FX62" s="2042">
        <f>FW62+DV62+EV62                 -         SUMIF('Berechnung Nährstoffe und Lager'!$AX$113:$AX$155,$CX62,'Berechnung Nährstoffe und Lager'!$V$113:$V$155)/12  -$GC62*$HC62/12</f>
        <v>0</v>
      </c>
      <c r="FY62" s="2042">
        <f>FX62+DW62+EW62                 -         SUMIF('Berechnung Nährstoffe und Lager'!$AX$113:$AX$155,$CX62,'Berechnung Nährstoffe und Lager'!$V$113:$V$155)/12  -$GC62*$HC62/12</f>
        <v>0</v>
      </c>
      <c r="FZ62" s="2042">
        <f>FY62+DX62+EX62                 -         SUMIF('Berechnung Nährstoffe und Lager'!$AX$113:$AX$155,$CX62,'Berechnung Nährstoffe und Lager'!$V$113:$V$155)/12  -$GC62*$HC62/12</f>
        <v>0</v>
      </c>
      <c r="GA62" s="2042"/>
      <c r="GB62" s="2042">
        <f>SUMIFS($CI$14:$CI$68,$BR$14:$BR$68,$CX62)+SUMIFS($CM$14:$CM$68,$BR$14:$BR$68,$CX62)+SUMIFS($CR$14:$CR$68,$BR$14:$BR$68,$CX62)  -         SUMIF('Berechnung Nährstoffe und Lager'!$AX$113:$AX$155,$CX62,'Berechnung Nährstoffe und Lager'!$U$113:$U$155)</f>
        <v>0</v>
      </c>
      <c r="GC62" s="2042">
        <f>SUMIFS($CJ$14:$CJ$68,$BR$14:$BR$68,$CX62)+SUMIFS($CO$14:$CO$68,$BR$14:$BR$68,$CX62)+SUMIFS($CT$14:$CT$68,$BR$14:$BR$68,$CX62)  -         SUMIF('Berechnung Nährstoffe und Lager'!$AX$113:$AX$155,$CX62,'Berechnung Nährstoffe und Lager'!$V$113:$V$155)</f>
        <v>0</v>
      </c>
      <c r="GD62" s="2042"/>
      <c r="GE62" s="2042"/>
      <c r="GF62" s="2042">
        <f>SUMIF('Berechnung Nährstoffe und Lager'!$AX$113:$AX$155,$CX62,'Berechnung Nährstoffe und Lager'!$U$113:$U$155)</f>
        <v>0</v>
      </c>
      <c r="GG62" s="2042">
        <f>SUMIF('Berechnung Nährstoffe und Lager'!$AX$113:$AX$155,$CX62,'Berechnung Nährstoffe und Lager'!$V$113:$V$155)</f>
        <v>0</v>
      </c>
      <c r="GH62" s="2042">
        <f t="shared" si="52"/>
        <v>0</v>
      </c>
      <c r="GI62" s="2042">
        <f t="shared" si="53"/>
        <v>0</v>
      </c>
      <c r="GJ62" s="2042">
        <f t="shared" si="121"/>
        <v>0</v>
      </c>
      <c r="GK62" s="2042">
        <f t="shared" si="122"/>
        <v>0</v>
      </c>
      <c r="GL62" s="2042">
        <f t="shared" si="123"/>
        <v>0</v>
      </c>
      <c r="GM62" s="2042" cm="1">
        <f t="array" ref="GM62">IF(GL62=0,0,(IFERROR(SUMPRODUCT($J$14:$J$68,$CH$14:$CH$68,($BR$14:$BR$68=CX62)*1)+SUMPRODUCT($L$14:$L$68,$M$14:$M$68,$CK$14:$CK$68,($BR$14:$BR$68=CX62)*1,($BT$14:$BT$68=FALSE)*1)/10+SUMPRODUCT($R$14:$R$68,$CP$14:$CP$68,($BR$14:$BR$68=CX62)*1),0))/GL62)</f>
        <v>0</v>
      </c>
      <c r="GN62" s="2042">
        <f t="shared" si="54"/>
        <v>0</v>
      </c>
      <c r="GO62" s="2042">
        <f>(SUMIF('Berechnung Nährstoffe und Lager'!$AX$113:$AX$130,'Lagerhaltung (freiwillig)'!CX62,'Berechnung Nährstoffe und Lager'!$D$113:$D$130)+SUMIF('Berechnung Nährstoffe und Lager'!$AX$137:$AX$155,'Lagerhaltung (freiwillig)'!CX62,'Berechnung Nährstoffe und Lager'!$E$137:$E$155))</f>
        <v>0</v>
      </c>
      <c r="GP62" s="2042" cm="1">
        <f t="array" ref="GP62">IF(GO62=0,0,(IFERROR(SUMPRODUCT('Berechnung Nährstoffe und Lager'!$D$113:$D$130,'Berechnung Nährstoffe und Lager'!$F$113:$F$130,('Berechnung Nährstoffe und Lager'!$AX$113:$AX$130='Lagerhaltung (freiwillig)'!CX62)*1)+SUMPRODUCT('Berechnung Nährstoffe und Lager'!$E$137:$E$155,'Berechnung Nährstoffe und Lager'!$F$137:$F$155,('Berechnung Nährstoffe und Lager'!$AX$137:$AX$155='Lagerhaltung (freiwillig)'!CX62)*1),0))/GO62)</f>
        <v>0</v>
      </c>
      <c r="GQ62" s="2042">
        <f t="shared" si="55"/>
        <v>0</v>
      </c>
      <c r="GR62" s="2042">
        <f t="shared" si="56"/>
        <v>0</v>
      </c>
      <c r="GS62" s="2042">
        <f t="shared" si="57"/>
        <v>0</v>
      </c>
      <c r="GT62" s="2042">
        <f t="shared" si="58"/>
        <v>0</v>
      </c>
      <c r="GU62" s="2045" t="str">
        <f t="shared" si="39"/>
        <v xml:space="preserve"> </v>
      </c>
      <c r="GV62" s="2045" t="str">
        <f t="shared" si="39"/>
        <v xml:space="preserve"> </v>
      </c>
      <c r="GW62" s="2054">
        <f t="shared" si="124"/>
        <v>0</v>
      </c>
      <c r="GX62" s="2042">
        <f t="shared" si="125"/>
        <v>0</v>
      </c>
      <c r="GY62" s="2042" t="str">
        <f t="shared" si="120"/>
        <v>a</v>
      </c>
      <c r="GZ62" s="2055">
        <f t="shared" si="126"/>
        <v>0</v>
      </c>
      <c r="HA62" s="2055">
        <f t="shared" si="127"/>
        <v>0</v>
      </c>
      <c r="HB62" s="2055"/>
      <c r="HC62" s="2046">
        <f t="shared" si="128"/>
        <v>0</v>
      </c>
      <c r="HD62" s="2055">
        <f t="shared" si="129"/>
        <v>0</v>
      </c>
      <c r="HE62" s="2055">
        <f t="shared" si="130"/>
        <v>0</v>
      </c>
      <c r="HF62" s="2055">
        <f t="shared" si="131"/>
        <v>0</v>
      </c>
      <c r="HG62" s="2282" cm="1">
        <f t="array" ref="HG62">IF(AND(HE62=0,GJ62=0),0,IF(HE62=0,1,IF(OR(GJ62*1000/HE62/HF62&gt;INDEX(Pflanzen!$AD$5:$AD$109,CX62)/INDEX(Pflanzen!$M$5:$M$109,CX62)*$HG$1,GJ62*1000/HE62/HF62&lt;INDEX(Pflanzen!$AD$5:$AD$109,CX62)/INDEX(Pflanzen!$M$5:$M$109,CX62)/$HG$1),1,0)))</f>
        <v>0</v>
      </c>
      <c r="HH62" s="2282" cm="1">
        <f t="array" ref="HH62">IF(AND(GK62=0,HE62=0),0,IF(HE62=0,1,IF(OR(GK62*1000/HE62/HF62&gt;INDEX(Pflanzen!$AE$5:$AE$109,CX62)/INDEX(Pflanzen!$M$5:$M$109,CX62)*$HG$1,GK62*1000/HE62/HF62&lt;INDEX(Pflanzen!$AE$5:$AE$109,CX62)/INDEX(Pflanzen!$M$5:$M$109,CX62)/$HG$1),1,0)))</f>
        <v>0</v>
      </c>
      <c r="HI62" s="2042">
        <f t="shared" si="132"/>
        <v>3</v>
      </c>
      <c r="HJ62" s="2042"/>
      <c r="HL62" s="2042"/>
      <c r="HM62" s="2042" t="str">
        <f>'Berechnung Nährstoffe und Lager'!A84</f>
        <v xml:space="preserve"> -- - </v>
      </c>
      <c r="HN62" s="2042"/>
      <c r="HO62" s="2042">
        <f>'Berechnung Nährstoffe und Lager'!Z84+'Berechnung Nährstoffe und Lager'!AA84</f>
        <v>0</v>
      </c>
      <c r="HP62" s="2042">
        <f>'Berechnung Nährstoffe und Lager'!BK84</f>
        <v>1</v>
      </c>
      <c r="HQ62" s="2070">
        <f>IF(OR(HP62=$IB$6,HP62=$IB$7,HP62=1),0,0.75*'Abweichende Werte'!D8)</f>
        <v>0</v>
      </c>
      <c r="HR62" s="2059">
        <f>HO62*HQ62/1000</f>
        <v>0</v>
      </c>
      <c r="HS62" s="2070"/>
      <c r="HT62" s="2042">
        <f t="shared" si="13"/>
        <v>0</v>
      </c>
      <c r="HU62" s="2042"/>
      <c r="HV62" s="2042"/>
      <c r="HW62" s="2042"/>
      <c r="HX62" s="2042"/>
      <c r="HY62" s="2042"/>
      <c r="HZ62" s="2042"/>
      <c r="IA62" s="2042"/>
      <c r="IB62" s="2042"/>
      <c r="IC62" s="2042"/>
      <c r="ID62" s="2042"/>
      <c r="IE62" s="2042"/>
      <c r="IF62" s="2042"/>
      <c r="IG62" s="2042"/>
      <c r="IH62" s="2042"/>
      <c r="II62" s="2042"/>
      <c r="IJ62" s="2042"/>
    </row>
    <row r="63" spans="6:244" ht="15.6" customHeight="1" x14ac:dyDescent="0.2">
      <c r="F63" s="1311"/>
      <c r="G63" s="2314"/>
      <c r="H63" s="2296"/>
      <c r="I63" s="2020" t="str">
        <f t="shared" si="133"/>
        <v/>
      </c>
      <c r="J63" s="1256"/>
      <c r="K63" s="2020" t="str">
        <f t="shared" si="134"/>
        <v/>
      </c>
      <c r="L63" s="1970"/>
      <c r="M63" s="1246"/>
      <c r="N63" s="1870"/>
      <c r="O63" s="1870"/>
      <c r="P63" s="2222"/>
      <c r="Q63" s="2014" t="str">
        <f t="shared" si="135"/>
        <v/>
      </c>
      <c r="R63" s="1970"/>
      <c r="S63" s="1246"/>
      <c r="T63" s="1256"/>
      <c r="V63" s="2316" t="str">
        <f t="shared" si="156"/>
        <v/>
      </c>
      <c r="Y63" s="2005" t="str" cm="1">
        <f t="array" ref="Y63">IFERROR(INDEX($CW$4:$CW$171,AY63),"")</f>
        <v/>
      </c>
      <c r="Z63" s="510"/>
      <c r="AA63" s="510"/>
      <c r="AB63" s="510"/>
      <c r="AC63" s="2031" t="str" cm="1">
        <f t="array" ref="AC63">IFERROR(INDEX($GL$4:$GL$171,AY63),"")</f>
        <v/>
      </c>
      <c r="AD63" s="2031" t="str" cm="1">
        <f t="array" ref="AD63">IFERROR(INDEX($GM$4:$GM$171,AY63),"")</f>
        <v/>
      </c>
      <c r="AE63" s="2031" t="str" cm="1">
        <f t="array" ref="AE63">IFERROR(INDEX($GH$4:$GH$171,AY63),"")</f>
        <v/>
      </c>
      <c r="AF63" s="2031" t="str" cm="1">
        <f t="array" ref="AF63">IFERROR(INDEX($GI$4:$GI$171,AY63),"")</f>
        <v/>
      </c>
      <c r="AG63" s="2031" t="str" cm="1">
        <f t="array" ref="AG63">IFERROR(INDEX($GO$4:$GO$171,AY63),"")</f>
        <v/>
      </c>
      <c r="AH63" s="2031" t="str" cm="1">
        <f t="array" ref="AH63">IFERROR(INDEX($GP$4:$GP$171,AY63),"")</f>
        <v/>
      </c>
      <c r="AI63" s="2031" t="str" cm="1">
        <f t="array" ref="AI63">IFERROR(INDEX($GF$4:$GF$171,AY63),"")</f>
        <v/>
      </c>
      <c r="AJ63" s="2031" t="str" cm="1">
        <f t="array" ref="AJ63">IFERROR(INDEX($GG$4:$GG$171,AY63),"")</f>
        <v/>
      </c>
      <c r="AK63" s="2031" t="str" cm="1">
        <f t="array" ref="AK63">IFERROR(INDEX($GS$4:$GS$171,AY63),"")</f>
        <v/>
      </c>
      <c r="AL63" s="2032" t="str" cm="1">
        <f t="array" ref="AL63">IFERROR(INDEX($GT$4:$GT$171,AY63),"")</f>
        <v/>
      </c>
      <c r="AM63" s="2031" t="str" cm="1">
        <f t="array" ref="AM63">IFERROR(INDEX($GB$4:$GB$171,AY63),"")</f>
        <v/>
      </c>
      <c r="AN63" s="2031" t="str" cm="1">
        <f t="array" ref="AN63">IFERROR(INDEX($GC$4:$GC$171,AY63),"")</f>
        <v/>
      </c>
      <c r="AO63" s="2031" t="str" cm="1">
        <f t="array" ref="AO63">IFERROR(INDEX($GU$4:$GU$171,AY63),"")</f>
        <v/>
      </c>
      <c r="AP63" s="2031" t="str" cm="1">
        <f t="array" ref="AP63">IFERROR(INDEX($GX$4:$GX$171,AY63),"")</f>
        <v/>
      </c>
      <c r="AQ63" s="1316"/>
      <c r="AR63" s="2031" t="str" cm="1">
        <f t="array" ref="AR63">IFERROR(INDEX($HD$4:$HD$171,AY63),"")</f>
        <v/>
      </c>
      <c r="AS63" s="2031" t="str" cm="1">
        <f t="array" ref="AS63">IFERROR(INDEX($HE$4:$HE$171,AY63),"")</f>
        <v/>
      </c>
      <c r="AT63" s="2031" t="str" cm="1">
        <f t="array" ref="AT63">IFERROR(INDEX($HF$4:$HF$171,AY63),"")</f>
        <v/>
      </c>
      <c r="AU63" s="2031" t="str" cm="1">
        <f t="array" ref="AU63">IFERROR(INDEX($GJ$4:$GJ$171,AY63),"")</f>
        <v/>
      </c>
      <c r="AV63" s="2031" t="str" cm="1">
        <f t="array" ref="AV63">IFERROR(INDEX($GK$4:$GK$171,AY63),"")</f>
        <v/>
      </c>
      <c r="AY63" s="2042" t="str" cm="1">
        <f t="array" ref="AY63">IFERROR(SMALL(IF($HI$4:$HI$171=1,ROW($HI$4:$HI$171)-3),ROW(W48)),IFERROR(SMALL(IF($HI$4:$HI$171=2,ROW($HI$4:$HI$171)-3),ROW(W48)-COUNTIF($HI$4:$HI$171,1)),IFERROR(SMALL(IF($HI$4:$HI$171=0,ROW($HI$4:$HI$171)-3),ROW(W48)-COUNTIF($HI$4:$HI$171,1)-COUNTIF($HI$4:$HI$171,2)),"")))</f>
        <v/>
      </c>
      <c r="AZ63" s="2042" t="str">
        <f t="shared" si="117"/>
        <v>a</v>
      </c>
      <c r="BA63" s="2053" t="e">
        <f t="shared" si="118"/>
        <v>#VALUE!</v>
      </c>
      <c r="BB63" s="2053" cm="1">
        <f t="array" ref="BB63">IFERROR(INDEX($HI$4:$HI$171,AY63),0)</f>
        <v>0</v>
      </c>
      <c r="BC63" s="2053">
        <f t="shared" si="119"/>
        <v>0</v>
      </c>
      <c r="BD63" s="2053"/>
      <c r="BE63" s="2307"/>
      <c r="BF63" s="2307"/>
      <c r="BG63" s="2307"/>
      <c r="BH63" s="2307"/>
      <c r="BI63" s="2307"/>
      <c r="BJ63" s="2307"/>
      <c r="BK63" s="2307"/>
      <c r="BL63" s="2307"/>
      <c r="BM63" s="2307"/>
      <c r="BN63" s="2307"/>
      <c r="BO63" s="2307"/>
      <c r="BP63" s="2043"/>
      <c r="BQ63" s="2042">
        <v>1</v>
      </c>
      <c r="BR63" cm="1">
        <f t="array" ref="BR63">INDEX(Pflanzen!$B$5:$B$117,'Lagerhaltung (freiwillig)'!BQ63)</f>
        <v>1</v>
      </c>
      <c r="BS63" s="2042"/>
      <c r="BT63" s="2042" t="b">
        <v>0</v>
      </c>
      <c r="BU63" s="2044"/>
      <c r="BV63" s="2044"/>
      <c r="BW63" s="2042">
        <f t="shared" si="136"/>
        <v>12</v>
      </c>
      <c r="BX63" s="2042">
        <f t="shared" si="137"/>
        <v>0</v>
      </c>
      <c r="BY63" s="2042">
        <f t="shared" si="138"/>
        <v>12</v>
      </c>
      <c r="BZ63" s="2042" cm="1">
        <f t="array" ref="BZ63">INDEX(Pflanzen!$AI$5:$AI$119,'Lagerhaltung (freiwillig)'!BR63)</f>
        <v>0</v>
      </c>
      <c r="CA63" s="2042" cm="1">
        <f t="array" ref="CA63">IF(BZ63=1,INDEX(Pflanzen!$AJ$5:$AJ$119,BR63),N63)</f>
        <v>0</v>
      </c>
      <c r="CB63" s="2042" cm="1">
        <f t="array" ref="CB63">IF(BZ63=1,INDEX(Pflanzen!$AK$5:$AK$119,BR63),O63)</f>
        <v>0</v>
      </c>
      <c r="CC63" s="2042">
        <f t="shared" si="139"/>
        <v>12</v>
      </c>
      <c r="CD63" s="2042">
        <f t="shared" si="140"/>
        <v>0</v>
      </c>
      <c r="CE63" s="2042">
        <f t="shared" si="141"/>
        <v>12</v>
      </c>
      <c r="CF63" s="2042" cm="1">
        <f t="array" ref="CF63">INDEX(Pflanzen!$F$5:$F$119,BR63)</f>
        <v>0</v>
      </c>
      <c r="CG63" s="2042" cm="1">
        <f t="array" ref="CG63">INDEX(Pflanzen!$H$5:$H$119,BR63)</f>
        <v>0</v>
      </c>
      <c r="CH63" s="2042">
        <f t="shared" si="142"/>
        <v>0</v>
      </c>
      <c r="CI63" s="2042">
        <f t="shared" si="143"/>
        <v>0</v>
      </c>
      <c r="CJ63" s="2042">
        <f t="shared" si="144"/>
        <v>0</v>
      </c>
      <c r="CK63" s="2042">
        <f t="shared" si="145"/>
        <v>0</v>
      </c>
      <c r="CL63" s="2042">
        <f t="shared" si="146"/>
        <v>0</v>
      </c>
      <c r="CM63" s="2042">
        <f t="shared" si="147"/>
        <v>0</v>
      </c>
      <c r="CN63" s="2042">
        <f t="shared" si="148"/>
        <v>0</v>
      </c>
      <c r="CO63" s="2042">
        <f t="shared" si="149"/>
        <v>0</v>
      </c>
      <c r="CP63" s="2042">
        <f t="shared" si="150"/>
        <v>0</v>
      </c>
      <c r="CQ63" s="2042">
        <f t="shared" si="151"/>
        <v>0</v>
      </c>
      <c r="CR63" s="2042">
        <f t="shared" si="152"/>
        <v>0</v>
      </c>
      <c r="CS63" s="2042">
        <f t="shared" si="153"/>
        <v>0</v>
      </c>
      <c r="CT63" s="2042">
        <f t="shared" si="154"/>
        <v>0</v>
      </c>
      <c r="CU63" s="2042">
        <f t="shared" si="155"/>
        <v>0</v>
      </c>
      <c r="CV63" s="2042"/>
      <c r="CW63" s="609" t="str">
        <f>Pflanzen!A59</f>
        <v>Sorgumhirse</v>
      </c>
      <c r="CX63" s="2042">
        <f>IFERROR(MATCH($CW63,Pflanzen!$C$5:$C$119,0),1)</f>
        <v>55</v>
      </c>
      <c r="CY63" s="609" cm="1">
        <f t="array" ref="CY63">INDEX(Pflanzen!$I$5:$I$119,'Lagerhaltung (freiwillig)'!CX63)</f>
        <v>1</v>
      </c>
      <c r="CZ63" s="2042">
        <f t="shared" si="161"/>
        <v>0</v>
      </c>
      <c r="DA63" s="2042">
        <f t="shared" si="161"/>
        <v>0</v>
      </c>
      <c r="DB63" s="2042">
        <f t="shared" si="161"/>
        <v>0</v>
      </c>
      <c r="DC63" s="2042">
        <f t="shared" si="161"/>
        <v>0</v>
      </c>
      <c r="DD63" s="2042">
        <f t="shared" si="161"/>
        <v>0</v>
      </c>
      <c r="DE63" s="2042">
        <f t="shared" si="161"/>
        <v>0</v>
      </c>
      <c r="DF63" s="2042">
        <f t="shared" si="161"/>
        <v>0</v>
      </c>
      <c r="DG63" s="2042">
        <f t="shared" si="161"/>
        <v>0</v>
      </c>
      <c r="DH63" s="2042">
        <f t="shared" si="161"/>
        <v>0</v>
      </c>
      <c r="DI63" s="2042">
        <f t="shared" si="161"/>
        <v>0</v>
      </c>
      <c r="DJ63" s="2042">
        <f t="shared" si="161"/>
        <v>0</v>
      </c>
      <c r="DK63" s="2042">
        <f t="shared" si="161"/>
        <v>0</v>
      </c>
      <c r="DL63" s="2042"/>
      <c r="DM63" s="2042">
        <f t="shared" si="162"/>
        <v>0</v>
      </c>
      <c r="DN63" s="2042">
        <f t="shared" si="162"/>
        <v>0</v>
      </c>
      <c r="DO63" s="2042">
        <f t="shared" si="162"/>
        <v>0</v>
      </c>
      <c r="DP63" s="2042">
        <f t="shared" si="162"/>
        <v>0</v>
      </c>
      <c r="DQ63" s="2042">
        <f t="shared" si="162"/>
        <v>0</v>
      </c>
      <c r="DR63" s="2042">
        <f t="shared" si="162"/>
        <v>0</v>
      </c>
      <c r="DS63" s="2042">
        <f t="shared" si="162"/>
        <v>0</v>
      </c>
      <c r="DT63" s="2042">
        <f t="shared" si="162"/>
        <v>0</v>
      </c>
      <c r="DU63" s="2042">
        <f t="shared" si="162"/>
        <v>0</v>
      </c>
      <c r="DV63" s="2042">
        <f t="shared" si="162"/>
        <v>0</v>
      </c>
      <c r="DW63" s="2042">
        <f t="shared" si="162"/>
        <v>0</v>
      </c>
      <c r="DX63" s="2042">
        <f t="shared" si="162"/>
        <v>0</v>
      </c>
      <c r="DY63" s="2042"/>
      <c r="DZ63" s="2042">
        <f t="shared" si="163"/>
        <v>0</v>
      </c>
      <c r="EA63" s="2042">
        <f t="shared" si="163"/>
        <v>0</v>
      </c>
      <c r="EB63" s="2042">
        <f t="shared" si="163"/>
        <v>0</v>
      </c>
      <c r="EC63" s="2042">
        <f t="shared" si="163"/>
        <v>0</v>
      </c>
      <c r="ED63" s="2042">
        <f t="shared" si="163"/>
        <v>0</v>
      </c>
      <c r="EE63" s="2042">
        <f t="shared" si="163"/>
        <v>0</v>
      </c>
      <c r="EF63" s="2042">
        <f t="shared" si="163"/>
        <v>0</v>
      </c>
      <c r="EG63" s="2042">
        <f t="shared" si="163"/>
        <v>0</v>
      </c>
      <c r="EH63" s="2042">
        <f t="shared" si="163"/>
        <v>0</v>
      </c>
      <c r="EI63" s="2042">
        <f t="shared" si="163"/>
        <v>0</v>
      </c>
      <c r="EJ63" s="2042">
        <f t="shared" si="163"/>
        <v>0</v>
      </c>
      <c r="EK63" s="2042">
        <f t="shared" si="163"/>
        <v>0</v>
      </c>
      <c r="EL63" s="2042"/>
      <c r="EM63" s="2042">
        <f t="shared" si="164"/>
        <v>0</v>
      </c>
      <c r="EN63" s="2042">
        <f t="shared" si="164"/>
        <v>0</v>
      </c>
      <c r="EO63" s="2042">
        <f t="shared" si="164"/>
        <v>0</v>
      </c>
      <c r="EP63" s="2042">
        <f t="shared" si="164"/>
        <v>0</v>
      </c>
      <c r="EQ63" s="2042">
        <f t="shared" si="164"/>
        <v>0</v>
      </c>
      <c r="ER63" s="2042">
        <f t="shared" si="164"/>
        <v>0</v>
      </c>
      <c r="ES63" s="2042">
        <f t="shared" si="164"/>
        <v>0</v>
      </c>
      <c r="ET63" s="2042">
        <f t="shared" si="164"/>
        <v>0</v>
      </c>
      <c r="EU63" s="2042">
        <f t="shared" si="164"/>
        <v>0</v>
      </c>
      <c r="EV63" s="2042">
        <f t="shared" si="164"/>
        <v>0</v>
      </c>
      <c r="EW63" s="2042">
        <f t="shared" si="164"/>
        <v>0</v>
      </c>
      <c r="EX63" s="2042">
        <f t="shared" si="164"/>
        <v>0</v>
      </c>
      <c r="EY63" s="2042"/>
      <c r="EZ63" s="2045">
        <f t="shared" si="50"/>
        <v>0</v>
      </c>
      <c r="FA63" s="2042">
        <f>EZ63+CZ63+DZ63                 -         SUMIF('Berechnung Nährstoffe und Lager'!$AX$113:$AX$155,$CX63,'Berechnung Nährstoffe und Lager'!$U$113:$U$155)/12  -$GB63*$HC63/12</f>
        <v>0</v>
      </c>
      <c r="FB63" s="2042">
        <f>FA63+DA63+EA63                 -         SUMIF('Berechnung Nährstoffe und Lager'!$AX$113:$AX$155,$CX63,'Berechnung Nährstoffe und Lager'!$U$113:$U$155)/12  -$GB63*$HC63/12</f>
        <v>0</v>
      </c>
      <c r="FC63" s="2042">
        <f>FB63+DB63+EB63                 -         SUMIF('Berechnung Nährstoffe und Lager'!$AX$113:$AX$155,$CX63,'Berechnung Nährstoffe und Lager'!$U$113:$U$155)/12  -$GB63*$HC63/12</f>
        <v>0</v>
      </c>
      <c r="FD63" s="2042">
        <f>FC63+DC63+EC63                 -         SUMIF('Berechnung Nährstoffe und Lager'!$AX$113:$AX$155,$CX63,'Berechnung Nährstoffe und Lager'!$U$113:$U$155)/12  -$GB63*$HC63/12</f>
        <v>0</v>
      </c>
      <c r="FE63" s="2042">
        <f>FD63+DD63+ED63                 -         SUMIF('Berechnung Nährstoffe und Lager'!$AX$113:$AX$155,$CX63,'Berechnung Nährstoffe und Lager'!$U$113:$U$155)/12  -$GB63*$HC63/12</f>
        <v>0</v>
      </c>
      <c r="FF63" s="2042">
        <f>FE63+DE63+EE63                 -         SUMIF('Berechnung Nährstoffe und Lager'!$AX$113:$AX$155,$CX63,'Berechnung Nährstoffe und Lager'!$U$113:$U$155)/12  -$GB63*$HC63/12</f>
        <v>0</v>
      </c>
      <c r="FG63" s="2042">
        <f>FF63+DF63+EF63                 -         SUMIF('Berechnung Nährstoffe und Lager'!$AX$113:$AX$155,$CX63,'Berechnung Nährstoffe und Lager'!$U$113:$U$155)/12  -$GB63*$HC63/12</f>
        <v>0</v>
      </c>
      <c r="FH63" s="2042">
        <f>FG63+DG63+EG63                 -         SUMIF('Berechnung Nährstoffe und Lager'!$AX$113:$AX$155,$CX63,'Berechnung Nährstoffe und Lager'!$U$113:$U$155)/12  -$GB63*$HC63/12</f>
        <v>0</v>
      </c>
      <c r="FI63" s="2042">
        <f>FH63+DH63+EH63                 -         SUMIF('Berechnung Nährstoffe und Lager'!$AX$113:$AX$155,$CX63,'Berechnung Nährstoffe und Lager'!$U$113:$U$155)/12  -$GB63*$HC63/12</f>
        <v>0</v>
      </c>
      <c r="FJ63" s="2042">
        <f>FI63+DI63+EI63                 -         SUMIF('Berechnung Nährstoffe und Lager'!$AX$113:$AX$155,$CX63,'Berechnung Nährstoffe und Lager'!$U$113:$U$155)/12  -$GB63*$HC63/12</f>
        <v>0</v>
      </c>
      <c r="FK63" s="2042">
        <f>FJ63+DJ63+EJ63                 -         SUMIF('Berechnung Nährstoffe und Lager'!$AX$113:$AX$155,$CX63,'Berechnung Nährstoffe und Lager'!$U$113:$U$155)/12  -$GB63*$HC63/12</f>
        <v>0</v>
      </c>
      <c r="FL63" s="2042">
        <f>FK63+DK63+EK63                 -         SUMIF('Berechnung Nährstoffe und Lager'!$AX$113:$AX$155,$CX63,'Berechnung Nährstoffe und Lager'!$U$113:$U$155)/12  -$GB63*$HC63/12</f>
        <v>0</v>
      </c>
      <c r="FM63" s="2042"/>
      <c r="FN63" s="2045">
        <f t="shared" si="51"/>
        <v>0</v>
      </c>
      <c r="FO63" s="2042">
        <f>FN63+DM63+EM63                 -         SUMIF('Berechnung Nährstoffe und Lager'!$AX$113:$AX$155,$CX63,'Berechnung Nährstoffe und Lager'!$V$113:$V$155)/12  -$GC63*$HC63/12</f>
        <v>0</v>
      </c>
      <c r="FP63" s="2042">
        <f>FO63+DN63+EN63                 -         SUMIF('Berechnung Nährstoffe und Lager'!$AX$113:$AX$155,$CX63,'Berechnung Nährstoffe und Lager'!$V$113:$V$155)/12  -$GC63*$HC63/12</f>
        <v>0</v>
      </c>
      <c r="FQ63" s="2042">
        <f>FP63+DO63+EO63                 -         SUMIF('Berechnung Nährstoffe und Lager'!$AX$113:$AX$155,$CX63,'Berechnung Nährstoffe und Lager'!$V$113:$V$155)/12  -$GC63*$HC63/12</f>
        <v>0</v>
      </c>
      <c r="FR63" s="2042">
        <f>FQ63+DP63+EP63                 -         SUMIF('Berechnung Nährstoffe und Lager'!$AX$113:$AX$155,$CX63,'Berechnung Nährstoffe und Lager'!$V$113:$V$155)/12  -$GC63*$HC63/12</f>
        <v>0</v>
      </c>
      <c r="FS63" s="2042">
        <f>FR63+DQ63+EQ63                 -         SUMIF('Berechnung Nährstoffe und Lager'!$AX$113:$AX$155,$CX63,'Berechnung Nährstoffe und Lager'!$V$113:$V$155)/12  -$GC63*$HC63/12</f>
        <v>0</v>
      </c>
      <c r="FT63" s="2042">
        <f>FS63+DR63+ER63                 -         SUMIF('Berechnung Nährstoffe und Lager'!$AX$113:$AX$155,$CX63,'Berechnung Nährstoffe und Lager'!$V$113:$V$155)/12  -$GC63*$HC63/12</f>
        <v>0</v>
      </c>
      <c r="FU63" s="2042">
        <f>FT63+DS63+ES63                 -         SUMIF('Berechnung Nährstoffe und Lager'!$AX$113:$AX$155,$CX63,'Berechnung Nährstoffe und Lager'!$V$113:$V$155)/12  -$GC63*$HC63/12</f>
        <v>0</v>
      </c>
      <c r="FV63" s="2042">
        <f>FU63+DT63+ET63                 -         SUMIF('Berechnung Nährstoffe und Lager'!$AX$113:$AX$155,$CX63,'Berechnung Nährstoffe und Lager'!$V$113:$V$155)/12  -$GC63*$HC63/12</f>
        <v>0</v>
      </c>
      <c r="FW63" s="2042">
        <f>FV63+DU63+EU63                 -         SUMIF('Berechnung Nährstoffe und Lager'!$AX$113:$AX$155,$CX63,'Berechnung Nährstoffe und Lager'!$V$113:$V$155)/12  -$GC63*$HC63/12</f>
        <v>0</v>
      </c>
      <c r="FX63" s="2042">
        <f>FW63+DV63+EV63                 -         SUMIF('Berechnung Nährstoffe und Lager'!$AX$113:$AX$155,$CX63,'Berechnung Nährstoffe und Lager'!$V$113:$V$155)/12  -$GC63*$HC63/12</f>
        <v>0</v>
      </c>
      <c r="FY63" s="2042">
        <f>FX63+DW63+EW63                 -         SUMIF('Berechnung Nährstoffe und Lager'!$AX$113:$AX$155,$CX63,'Berechnung Nährstoffe und Lager'!$V$113:$V$155)/12  -$GC63*$HC63/12</f>
        <v>0</v>
      </c>
      <c r="FZ63" s="2042">
        <f>FY63+DX63+EX63                 -         SUMIF('Berechnung Nährstoffe und Lager'!$AX$113:$AX$155,$CX63,'Berechnung Nährstoffe und Lager'!$V$113:$V$155)/12  -$GC63*$HC63/12</f>
        <v>0</v>
      </c>
      <c r="GA63" s="2042"/>
      <c r="GB63" s="2042">
        <f>SUMIFS($CI$14:$CI$68,$BR$14:$BR$68,$CX63)+SUMIFS($CM$14:$CM$68,$BR$14:$BR$68,$CX63)+SUMIFS($CR$14:$CR$68,$BR$14:$BR$68,$CX63)  -         SUMIF('Berechnung Nährstoffe und Lager'!$AX$113:$AX$155,$CX63,'Berechnung Nährstoffe und Lager'!$U$113:$U$155)</f>
        <v>0</v>
      </c>
      <c r="GC63" s="2042">
        <f>SUMIFS($CJ$14:$CJ$68,$BR$14:$BR$68,$CX63)+SUMIFS($CO$14:$CO$68,$BR$14:$BR$68,$CX63)+SUMIFS($CT$14:$CT$68,$BR$14:$BR$68,$CX63)  -         SUMIF('Berechnung Nährstoffe und Lager'!$AX$113:$AX$155,$CX63,'Berechnung Nährstoffe und Lager'!$V$113:$V$155)</f>
        <v>0</v>
      </c>
      <c r="GD63" s="2042"/>
      <c r="GE63" s="2042"/>
      <c r="GF63" s="2042">
        <f>SUMIF('Berechnung Nährstoffe und Lager'!$AX$113:$AX$155,$CX63,'Berechnung Nährstoffe und Lager'!$U$113:$U$155)</f>
        <v>0</v>
      </c>
      <c r="GG63" s="2042">
        <f>SUMIF('Berechnung Nährstoffe und Lager'!$AX$113:$AX$155,$CX63,'Berechnung Nährstoffe und Lager'!$V$113:$V$155)</f>
        <v>0</v>
      </c>
      <c r="GH63" s="2042">
        <f t="shared" si="52"/>
        <v>0</v>
      </c>
      <c r="GI63" s="2042">
        <f t="shared" si="53"/>
        <v>0</v>
      </c>
      <c r="GJ63" s="2042">
        <f t="shared" si="121"/>
        <v>0</v>
      </c>
      <c r="GK63" s="2042">
        <f t="shared" si="122"/>
        <v>0</v>
      </c>
      <c r="GL63" s="2042">
        <f t="shared" si="123"/>
        <v>0</v>
      </c>
      <c r="GM63" s="2042" cm="1">
        <f t="array" ref="GM63">IF(GL63=0,0,(IFERROR(SUMPRODUCT($J$14:$J$68,$CH$14:$CH$68,($BR$14:$BR$68=CX63)*1)+SUMPRODUCT($L$14:$L$68,$M$14:$M$68,$CK$14:$CK$68,($BR$14:$BR$68=CX63)*1,($BT$14:$BT$68=FALSE)*1)/10+SUMPRODUCT($R$14:$R$68,$CP$14:$CP$68,($BR$14:$BR$68=CX63)*1),0))/GL63)</f>
        <v>0</v>
      </c>
      <c r="GN63" s="2042">
        <f t="shared" si="54"/>
        <v>0</v>
      </c>
      <c r="GO63" s="2042">
        <f>(SUMIF('Berechnung Nährstoffe und Lager'!$AX$113:$AX$130,'Lagerhaltung (freiwillig)'!CX63,'Berechnung Nährstoffe und Lager'!$D$113:$D$130)+SUMIF('Berechnung Nährstoffe und Lager'!$AX$137:$AX$155,'Lagerhaltung (freiwillig)'!CX63,'Berechnung Nährstoffe und Lager'!$E$137:$E$155))</f>
        <v>0</v>
      </c>
      <c r="GP63" s="2042" cm="1">
        <f t="array" ref="GP63">IF(GO63=0,0,(IFERROR(SUMPRODUCT('Berechnung Nährstoffe und Lager'!$D$113:$D$130,'Berechnung Nährstoffe und Lager'!$F$113:$F$130,('Berechnung Nährstoffe und Lager'!$AX$113:$AX$130='Lagerhaltung (freiwillig)'!CX63)*1)+SUMPRODUCT('Berechnung Nährstoffe und Lager'!$E$137:$E$155,'Berechnung Nährstoffe und Lager'!$F$137:$F$155,('Berechnung Nährstoffe und Lager'!$AX$137:$AX$155='Lagerhaltung (freiwillig)'!CX63)*1),0))/GO63)</f>
        <v>0</v>
      </c>
      <c r="GQ63" s="2042">
        <f t="shared" si="55"/>
        <v>0</v>
      </c>
      <c r="GR63" s="2042">
        <f t="shared" si="56"/>
        <v>0</v>
      </c>
      <c r="GS63" s="2042">
        <f t="shared" si="57"/>
        <v>0</v>
      </c>
      <c r="GT63" s="2042">
        <f t="shared" si="58"/>
        <v>0</v>
      </c>
      <c r="GU63" s="2045" t="str">
        <f t="shared" si="39"/>
        <v xml:space="preserve"> </v>
      </c>
      <c r="GV63" s="2045" t="str">
        <f t="shared" si="39"/>
        <v xml:space="preserve"> </v>
      </c>
      <c r="GW63" s="2054">
        <f t="shared" si="124"/>
        <v>0</v>
      </c>
      <c r="GX63" s="2042">
        <f t="shared" si="125"/>
        <v>0</v>
      </c>
      <c r="GY63" s="2042" t="str">
        <f t="shared" si="120"/>
        <v>a</v>
      </c>
      <c r="GZ63" s="2055">
        <f t="shared" si="126"/>
        <v>0</v>
      </c>
      <c r="HA63" s="2055">
        <f t="shared" si="127"/>
        <v>0</v>
      </c>
      <c r="HB63" s="2055"/>
      <c r="HC63" s="2046">
        <f t="shared" si="128"/>
        <v>0</v>
      </c>
      <c r="HD63" s="2055">
        <f t="shared" si="129"/>
        <v>0</v>
      </c>
      <c r="HE63" s="2055">
        <f t="shared" si="130"/>
        <v>0</v>
      </c>
      <c r="HF63" s="2055">
        <f t="shared" si="131"/>
        <v>0</v>
      </c>
      <c r="HG63" s="2282" cm="1">
        <f t="array" ref="HG63">IF(AND(HE63=0,GJ63=0),0,IF(HE63=0,1,IF(OR(GJ63*1000/HE63/HF63&gt;INDEX(Pflanzen!$AD$5:$AD$109,CX63)/INDEX(Pflanzen!$M$5:$M$109,CX63)*$HG$1,GJ63*1000/HE63/HF63&lt;INDEX(Pflanzen!$AD$5:$AD$109,CX63)/INDEX(Pflanzen!$M$5:$M$109,CX63)/$HG$1),1,0)))</f>
        <v>0</v>
      </c>
      <c r="HH63" s="2282" cm="1">
        <f t="array" ref="HH63">IF(AND(GK63=0,HE63=0),0,IF(HE63=0,1,IF(OR(GK63*1000/HE63/HF63&gt;INDEX(Pflanzen!$AE$5:$AE$109,CX63)/INDEX(Pflanzen!$M$5:$M$109,CX63)*$HG$1,GK63*1000/HE63/HF63&lt;INDEX(Pflanzen!$AE$5:$AE$109,CX63)/INDEX(Pflanzen!$M$5:$M$109,CX63)/$HG$1),1,0)))</f>
        <v>0</v>
      </c>
      <c r="HI63" s="2042">
        <f t="shared" si="132"/>
        <v>3</v>
      </c>
      <c r="HJ63" s="2042"/>
      <c r="HL63" s="2042"/>
      <c r="HM63" s="2042" t="str">
        <f>'Berechnung Nährstoffe und Lager'!A85</f>
        <v xml:space="preserve"> -- - </v>
      </c>
      <c r="HN63" s="2042"/>
      <c r="HO63" s="2042">
        <f>'Berechnung Nährstoffe und Lager'!Z85+'Berechnung Nährstoffe und Lager'!AA85</f>
        <v>0</v>
      </c>
      <c r="HP63" s="2042">
        <f>'Berechnung Nährstoffe und Lager'!BK85</f>
        <v>1</v>
      </c>
      <c r="HQ63" s="2070">
        <f>IF(OR(HP63=$IB$6,HP63=$IB$7,HP63=1),0,0.75*'Abweichende Werte'!D9)</f>
        <v>0</v>
      </c>
      <c r="HR63" s="2059">
        <f>HO63*HQ63/1000</f>
        <v>0</v>
      </c>
      <c r="HS63" s="2070"/>
      <c r="HT63" s="2042">
        <f t="shared" si="13"/>
        <v>0</v>
      </c>
      <c r="HU63" s="2042"/>
      <c r="HV63" s="2042"/>
      <c r="HW63" s="2042"/>
      <c r="HX63" s="2042"/>
      <c r="HY63" s="2042"/>
      <c r="HZ63" s="2042"/>
      <c r="IA63" s="2042"/>
      <c r="IB63" s="2042"/>
      <c r="IC63" s="2042"/>
      <c r="ID63" s="2042"/>
      <c r="IE63" s="2042"/>
      <c r="IF63" s="2042"/>
      <c r="IG63" s="2042"/>
      <c r="IH63" s="2042"/>
      <c r="II63" s="2042"/>
      <c r="IJ63" s="2042"/>
    </row>
    <row r="64" spans="6:244" ht="15.6" customHeight="1" x14ac:dyDescent="0.2">
      <c r="F64" s="1259"/>
      <c r="G64" s="2314"/>
      <c r="H64" s="2293"/>
      <c r="I64" s="2020" t="str">
        <f t="shared" si="133"/>
        <v/>
      </c>
      <c r="J64" s="1256"/>
      <c r="K64" s="2020" t="str">
        <f t="shared" si="134"/>
        <v/>
      </c>
      <c r="L64" s="1970"/>
      <c r="M64" s="1246"/>
      <c r="N64" s="1870"/>
      <c r="O64" s="1870"/>
      <c r="P64" s="2222"/>
      <c r="Q64" s="2194" t="str">
        <f t="shared" si="135"/>
        <v/>
      </c>
      <c r="R64" s="1970"/>
      <c r="S64" s="1246"/>
      <c r="T64" s="1256"/>
      <c r="V64" s="2316" t="str">
        <f t="shared" si="156"/>
        <v/>
      </c>
      <c r="Y64" s="2005" t="str" cm="1">
        <f t="array" ref="Y64">IFERROR(INDEX($CW$4:$CW$171,AY64),"")</f>
        <v/>
      </c>
      <c r="Z64" s="510"/>
      <c r="AA64" s="510"/>
      <c r="AB64" s="510"/>
      <c r="AC64" s="2031" t="str" cm="1">
        <f t="array" ref="AC64">IFERROR(INDEX($GL$4:$GL$171,AY64),"")</f>
        <v/>
      </c>
      <c r="AD64" s="2031" t="str" cm="1">
        <f t="array" ref="AD64">IFERROR(INDEX($GM$4:$GM$171,AY64),"")</f>
        <v/>
      </c>
      <c r="AE64" s="2031" t="str" cm="1">
        <f t="array" ref="AE64">IFERROR(INDEX($GH$4:$GH$171,AY64),"")</f>
        <v/>
      </c>
      <c r="AF64" s="2031" t="str" cm="1">
        <f t="array" ref="AF64">IFERROR(INDEX($GI$4:$GI$171,AY64),"")</f>
        <v/>
      </c>
      <c r="AG64" s="2031" t="str" cm="1">
        <f t="array" ref="AG64">IFERROR(INDEX($GO$4:$GO$171,AY64),"")</f>
        <v/>
      </c>
      <c r="AH64" s="2031" t="str" cm="1">
        <f t="array" ref="AH64">IFERROR(INDEX($GP$4:$GP$171,AY64),"")</f>
        <v/>
      </c>
      <c r="AI64" s="2031" t="str" cm="1">
        <f t="array" ref="AI64">IFERROR(INDEX($GF$4:$GF$171,AY64),"")</f>
        <v/>
      </c>
      <c r="AJ64" s="2031" t="str" cm="1">
        <f t="array" ref="AJ64">IFERROR(INDEX($GG$4:$GG$171,AY64),"")</f>
        <v/>
      </c>
      <c r="AK64" s="2031" t="str" cm="1">
        <f t="array" ref="AK64">IFERROR(INDEX($GS$4:$GS$171,AY64),"")</f>
        <v/>
      </c>
      <c r="AL64" s="2032" t="str" cm="1">
        <f t="array" ref="AL64">IFERROR(INDEX($GT$4:$GT$171,AY64),"")</f>
        <v/>
      </c>
      <c r="AM64" s="2031" t="str" cm="1">
        <f t="array" ref="AM64">IFERROR(INDEX($GB$4:$GB$171,AY64),"")</f>
        <v/>
      </c>
      <c r="AN64" s="2031" t="str" cm="1">
        <f t="array" ref="AN64">IFERROR(INDEX($GC$4:$GC$171,AY64),"")</f>
        <v/>
      </c>
      <c r="AO64" s="2031" t="str" cm="1">
        <f t="array" ref="AO64">IFERROR(INDEX($GU$4:$GU$171,AY64),"")</f>
        <v/>
      </c>
      <c r="AP64" s="2031" t="str" cm="1">
        <f t="array" ref="AP64">IFERROR(INDEX($GX$4:$GX$171,AY64),"")</f>
        <v/>
      </c>
      <c r="AQ64" s="1316"/>
      <c r="AR64" s="2031" t="str" cm="1">
        <f t="array" ref="AR64">IFERROR(INDEX($HD$4:$HD$171,AY64),"")</f>
        <v/>
      </c>
      <c r="AS64" s="2031" t="str" cm="1">
        <f t="array" ref="AS64">IFERROR(INDEX($HE$4:$HE$171,AY64),"")</f>
        <v/>
      </c>
      <c r="AT64" s="2031" t="str" cm="1">
        <f t="array" ref="AT64">IFERROR(INDEX($HF$4:$HF$171,AY64),"")</f>
        <v/>
      </c>
      <c r="AU64" s="2031" t="str" cm="1">
        <f t="array" ref="AU64">IFERROR(INDEX($GJ$4:$GJ$171,AY64),"")</f>
        <v/>
      </c>
      <c r="AV64" s="2031" t="str" cm="1">
        <f t="array" ref="AV64">IFERROR(INDEX($GK$4:$GK$171,AY64),"")</f>
        <v/>
      </c>
      <c r="AY64" s="2042" t="str" cm="1">
        <f t="array" ref="AY64">IFERROR(SMALL(IF($HI$4:$HI$171=1,ROW($HI$4:$HI$171)-3),ROW(W49)),IFERROR(SMALL(IF($HI$4:$HI$171=2,ROW($HI$4:$HI$171)-3),ROW(W49)-COUNTIF($HI$4:$HI$171,1)),IFERROR(SMALL(IF($HI$4:$HI$171=0,ROW($HI$4:$HI$171)-3),ROW(W49)-COUNTIF($HI$4:$HI$171,1)-COUNTIF($HI$4:$HI$171,2)),"")))</f>
        <v/>
      </c>
      <c r="AZ64" s="2042" t="str">
        <f t="shared" si="117"/>
        <v>a</v>
      </c>
      <c r="BA64" s="2053" t="e">
        <f t="shared" si="118"/>
        <v>#VALUE!</v>
      </c>
      <c r="BB64" s="2053" cm="1">
        <f t="array" ref="BB64">IFERROR(INDEX($HI$4:$HI$171,AY64),0)</f>
        <v>0</v>
      </c>
      <c r="BC64" s="2053">
        <f t="shared" si="119"/>
        <v>0</v>
      </c>
      <c r="BD64" s="2053"/>
      <c r="BE64" s="2307"/>
      <c r="BF64" s="2307"/>
      <c r="BG64" s="2307"/>
      <c r="BH64" s="2307"/>
      <c r="BI64" s="2307"/>
      <c r="BJ64" s="2307"/>
      <c r="BK64" s="2307"/>
      <c r="BL64" s="2307"/>
      <c r="BM64" s="2307"/>
      <c r="BN64" s="2307"/>
      <c r="BO64" s="2307"/>
      <c r="BP64" s="2043"/>
      <c r="BQ64" s="2042">
        <v>1</v>
      </c>
      <c r="BR64" cm="1">
        <f t="array" ref="BR64">INDEX(Pflanzen!$B$5:$B$117,'Lagerhaltung (freiwillig)'!BQ64)</f>
        <v>1</v>
      </c>
      <c r="BS64" s="2042"/>
      <c r="BT64" s="2042" t="b">
        <v>0</v>
      </c>
      <c r="BU64" s="2044"/>
      <c r="BV64" s="2044"/>
      <c r="BW64" s="2042">
        <f t="shared" si="136"/>
        <v>12</v>
      </c>
      <c r="BX64" s="2042">
        <f t="shared" si="137"/>
        <v>0</v>
      </c>
      <c r="BY64" s="2042">
        <f t="shared" si="138"/>
        <v>12</v>
      </c>
      <c r="BZ64" s="2042" cm="1">
        <f t="array" ref="BZ64">INDEX(Pflanzen!$AI$5:$AI$119,'Lagerhaltung (freiwillig)'!BR64)</f>
        <v>0</v>
      </c>
      <c r="CA64" s="2042" cm="1">
        <f t="array" ref="CA64">IF(BZ64=1,INDEX(Pflanzen!$AJ$5:$AJ$119,BR64),N64)</f>
        <v>0</v>
      </c>
      <c r="CB64" s="2042" cm="1">
        <f t="array" ref="CB64">IF(BZ64=1,INDEX(Pflanzen!$AK$5:$AK$119,BR64),O64)</f>
        <v>0</v>
      </c>
      <c r="CC64" s="2042">
        <f t="shared" si="139"/>
        <v>12</v>
      </c>
      <c r="CD64" s="2042">
        <f t="shared" si="140"/>
        <v>0</v>
      </c>
      <c r="CE64" s="2042">
        <f t="shared" si="141"/>
        <v>12</v>
      </c>
      <c r="CF64" s="2042" cm="1">
        <f t="array" ref="CF64">INDEX(Pflanzen!$F$5:$F$119,BR64)</f>
        <v>0</v>
      </c>
      <c r="CG64" s="2042" cm="1">
        <f t="array" ref="CG64">INDEX(Pflanzen!$H$5:$H$119,BR64)</f>
        <v>0</v>
      </c>
      <c r="CH64" s="2042">
        <f t="shared" si="142"/>
        <v>0</v>
      </c>
      <c r="CI64" s="2042">
        <f t="shared" si="143"/>
        <v>0</v>
      </c>
      <c r="CJ64" s="2042">
        <f t="shared" si="144"/>
        <v>0</v>
      </c>
      <c r="CK64" s="2042">
        <f t="shared" si="145"/>
        <v>0</v>
      </c>
      <c r="CL64" s="2042">
        <f t="shared" si="146"/>
        <v>0</v>
      </c>
      <c r="CM64" s="2042">
        <f t="shared" si="147"/>
        <v>0</v>
      </c>
      <c r="CN64" s="2042">
        <f t="shared" si="148"/>
        <v>0</v>
      </c>
      <c r="CO64" s="2042">
        <f t="shared" si="149"/>
        <v>0</v>
      </c>
      <c r="CP64" s="2042">
        <f t="shared" si="150"/>
        <v>0</v>
      </c>
      <c r="CQ64" s="2042">
        <f t="shared" si="151"/>
        <v>0</v>
      </c>
      <c r="CR64" s="2042">
        <f t="shared" si="152"/>
        <v>0</v>
      </c>
      <c r="CS64" s="2042">
        <f t="shared" si="153"/>
        <v>0</v>
      </c>
      <c r="CT64" s="2042">
        <f t="shared" si="154"/>
        <v>0</v>
      </c>
      <c r="CU64" s="2042">
        <f t="shared" si="155"/>
        <v>0</v>
      </c>
      <c r="CV64" s="2042"/>
      <c r="CW64" s="609" t="str">
        <f>Pflanzen!A60</f>
        <v>Riesenweizengras (Szarvasi)</v>
      </c>
      <c r="CX64" s="2042">
        <f>IFERROR(MATCH($CW64,Pflanzen!$C$5:$C$119,0),1)</f>
        <v>56</v>
      </c>
      <c r="CY64" s="609" cm="1">
        <f t="array" ref="CY64">INDEX(Pflanzen!$I$5:$I$119,'Lagerhaltung (freiwillig)'!CX64)</f>
        <v>1</v>
      </c>
      <c r="CZ64" s="2042">
        <f t="shared" si="161"/>
        <v>0</v>
      </c>
      <c r="DA64" s="2042">
        <f t="shared" si="161"/>
        <v>0</v>
      </c>
      <c r="DB64" s="2042">
        <f t="shared" si="161"/>
        <v>0</v>
      </c>
      <c r="DC64" s="2042">
        <f t="shared" si="161"/>
        <v>0</v>
      </c>
      <c r="DD64" s="2042">
        <f t="shared" si="161"/>
        <v>0</v>
      </c>
      <c r="DE64" s="2042">
        <f t="shared" si="161"/>
        <v>0</v>
      </c>
      <c r="DF64" s="2042">
        <f t="shared" si="161"/>
        <v>0</v>
      </c>
      <c r="DG64" s="2042">
        <f t="shared" si="161"/>
        <v>0</v>
      </c>
      <c r="DH64" s="2042">
        <f t="shared" si="161"/>
        <v>0</v>
      </c>
      <c r="DI64" s="2042">
        <f t="shared" si="161"/>
        <v>0</v>
      </c>
      <c r="DJ64" s="2042">
        <f t="shared" si="161"/>
        <v>0</v>
      </c>
      <c r="DK64" s="2042">
        <f t="shared" si="161"/>
        <v>0</v>
      </c>
      <c r="DL64" s="2042"/>
      <c r="DM64" s="2042">
        <f t="shared" si="162"/>
        <v>0</v>
      </c>
      <c r="DN64" s="2042">
        <f t="shared" si="162"/>
        <v>0</v>
      </c>
      <c r="DO64" s="2042">
        <f t="shared" si="162"/>
        <v>0</v>
      </c>
      <c r="DP64" s="2042">
        <f t="shared" si="162"/>
        <v>0</v>
      </c>
      <c r="DQ64" s="2042">
        <f t="shared" si="162"/>
        <v>0</v>
      </c>
      <c r="DR64" s="2042">
        <f t="shared" si="162"/>
        <v>0</v>
      </c>
      <c r="DS64" s="2042">
        <f t="shared" si="162"/>
        <v>0</v>
      </c>
      <c r="DT64" s="2042">
        <f t="shared" si="162"/>
        <v>0</v>
      </c>
      <c r="DU64" s="2042">
        <f t="shared" si="162"/>
        <v>0</v>
      </c>
      <c r="DV64" s="2042">
        <f t="shared" si="162"/>
        <v>0</v>
      </c>
      <c r="DW64" s="2042">
        <f t="shared" si="162"/>
        <v>0</v>
      </c>
      <c r="DX64" s="2042">
        <f t="shared" si="162"/>
        <v>0</v>
      </c>
      <c r="DY64" s="2042"/>
      <c r="DZ64" s="2042">
        <f t="shared" si="163"/>
        <v>0</v>
      </c>
      <c r="EA64" s="2042">
        <f t="shared" si="163"/>
        <v>0</v>
      </c>
      <c r="EB64" s="2042">
        <f t="shared" si="163"/>
        <v>0</v>
      </c>
      <c r="EC64" s="2042">
        <f t="shared" si="163"/>
        <v>0</v>
      </c>
      <c r="ED64" s="2042">
        <f t="shared" si="163"/>
        <v>0</v>
      </c>
      <c r="EE64" s="2042">
        <f t="shared" si="163"/>
        <v>0</v>
      </c>
      <c r="EF64" s="2042">
        <f t="shared" si="163"/>
        <v>0</v>
      </c>
      <c r="EG64" s="2042">
        <f t="shared" si="163"/>
        <v>0</v>
      </c>
      <c r="EH64" s="2042">
        <f t="shared" si="163"/>
        <v>0</v>
      </c>
      <c r="EI64" s="2042">
        <f t="shared" si="163"/>
        <v>0</v>
      </c>
      <c r="EJ64" s="2042">
        <f t="shared" si="163"/>
        <v>0</v>
      </c>
      <c r="EK64" s="2042">
        <f t="shared" si="163"/>
        <v>0</v>
      </c>
      <c r="EL64" s="2042"/>
      <c r="EM64" s="2042">
        <f t="shared" si="164"/>
        <v>0</v>
      </c>
      <c r="EN64" s="2042">
        <f t="shared" si="164"/>
        <v>0</v>
      </c>
      <c r="EO64" s="2042">
        <f t="shared" si="164"/>
        <v>0</v>
      </c>
      <c r="EP64" s="2042">
        <f t="shared" si="164"/>
        <v>0</v>
      </c>
      <c r="EQ64" s="2042">
        <f t="shared" si="164"/>
        <v>0</v>
      </c>
      <c r="ER64" s="2042">
        <f t="shared" si="164"/>
        <v>0</v>
      </c>
      <c r="ES64" s="2042">
        <f t="shared" si="164"/>
        <v>0</v>
      </c>
      <c r="ET64" s="2042">
        <f t="shared" si="164"/>
        <v>0</v>
      </c>
      <c r="EU64" s="2042">
        <f t="shared" si="164"/>
        <v>0</v>
      </c>
      <c r="EV64" s="2042">
        <f t="shared" si="164"/>
        <v>0</v>
      </c>
      <c r="EW64" s="2042">
        <f t="shared" si="164"/>
        <v>0</v>
      </c>
      <c r="EX64" s="2042">
        <f t="shared" si="164"/>
        <v>0</v>
      </c>
      <c r="EY64" s="2042"/>
      <c r="EZ64" s="2045">
        <f t="shared" si="50"/>
        <v>0</v>
      </c>
      <c r="FA64" s="2042">
        <f>EZ64+CZ64+DZ64                 -         SUMIF('Berechnung Nährstoffe und Lager'!$AX$113:$AX$155,$CX64,'Berechnung Nährstoffe und Lager'!$U$113:$U$155)/12  -$GB64*$HC64/12</f>
        <v>0</v>
      </c>
      <c r="FB64" s="2042">
        <f>FA64+DA64+EA64                 -         SUMIF('Berechnung Nährstoffe und Lager'!$AX$113:$AX$155,$CX64,'Berechnung Nährstoffe und Lager'!$U$113:$U$155)/12  -$GB64*$HC64/12</f>
        <v>0</v>
      </c>
      <c r="FC64" s="2042">
        <f>FB64+DB64+EB64                 -         SUMIF('Berechnung Nährstoffe und Lager'!$AX$113:$AX$155,$CX64,'Berechnung Nährstoffe und Lager'!$U$113:$U$155)/12  -$GB64*$HC64/12</f>
        <v>0</v>
      </c>
      <c r="FD64" s="2042">
        <f>FC64+DC64+EC64                 -         SUMIF('Berechnung Nährstoffe und Lager'!$AX$113:$AX$155,$CX64,'Berechnung Nährstoffe und Lager'!$U$113:$U$155)/12  -$GB64*$HC64/12</f>
        <v>0</v>
      </c>
      <c r="FE64" s="2042">
        <f>FD64+DD64+ED64                 -         SUMIF('Berechnung Nährstoffe und Lager'!$AX$113:$AX$155,$CX64,'Berechnung Nährstoffe und Lager'!$U$113:$U$155)/12  -$GB64*$HC64/12</f>
        <v>0</v>
      </c>
      <c r="FF64" s="2042">
        <f>FE64+DE64+EE64                 -         SUMIF('Berechnung Nährstoffe und Lager'!$AX$113:$AX$155,$CX64,'Berechnung Nährstoffe und Lager'!$U$113:$U$155)/12  -$GB64*$HC64/12</f>
        <v>0</v>
      </c>
      <c r="FG64" s="2042">
        <f>FF64+DF64+EF64                 -         SUMIF('Berechnung Nährstoffe und Lager'!$AX$113:$AX$155,$CX64,'Berechnung Nährstoffe und Lager'!$U$113:$U$155)/12  -$GB64*$HC64/12</f>
        <v>0</v>
      </c>
      <c r="FH64" s="2042">
        <f>FG64+DG64+EG64                 -         SUMIF('Berechnung Nährstoffe und Lager'!$AX$113:$AX$155,$CX64,'Berechnung Nährstoffe und Lager'!$U$113:$U$155)/12  -$GB64*$HC64/12</f>
        <v>0</v>
      </c>
      <c r="FI64" s="2042">
        <f>FH64+DH64+EH64                 -         SUMIF('Berechnung Nährstoffe und Lager'!$AX$113:$AX$155,$CX64,'Berechnung Nährstoffe und Lager'!$U$113:$U$155)/12  -$GB64*$HC64/12</f>
        <v>0</v>
      </c>
      <c r="FJ64" s="2042">
        <f>FI64+DI64+EI64                 -         SUMIF('Berechnung Nährstoffe und Lager'!$AX$113:$AX$155,$CX64,'Berechnung Nährstoffe und Lager'!$U$113:$U$155)/12  -$GB64*$HC64/12</f>
        <v>0</v>
      </c>
      <c r="FK64" s="2042">
        <f>FJ64+DJ64+EJ64                 -         SUMIF('Berechnung Nährstoffe und Lager'!$AX$113:$AX$155,$CX64,'Berechnung Nährstoffe und Lager'!$U$113:$U$155)/12  -$GB64*$HC64/12</f>
        <v>0</v>
      </c>
      <c r="FL64" s="2042">
        <f>FK64+DK64+EK64                 -         SUMIF('Berechnung Nährstoffe und Lager'!$AX$113:$AX$155,$CX64,'Berechnung Nährstoffe und Lager'!$U$113:$U$155)/12  -$GB64*$HC64/12</f>
        <v>0</v>
      </c>
      <c r="FM64" s="2042"/>
      <c r="FN64" s="2045">
        <f t="shared" si="51"/>
        <v>0</v>
      </c>
      <c r="FO64" s="2042">
        <f>FN64+DM64+EM64                 -         SUMIF('Berechnung Nährstoffe und Lager'!$AX$113:$AX$155,$CX64,'Berechnung Nährstoffe und Lager'!$V$113:$V$155)/12  -$GC64*$HC64/12</f>
        <v>0</v>
      </c>
      <c r="FP64" s="2042">
        <f>FO64+DN64+EN64                 -         SUMIF('Berechnung Nährstoffe und Lager'!$AX$113:$AX$155,$CX64,'Berechnung Nährstoffe und Lager'!$V$113:$V$155)/12  -$GC64*$HC64/12</f>
        <v>0</v>
      </c>
      <c r="FQ64" s="2042">
        <f>FP64+DO64+EO64                 -         SUMIF('Berechnung Nährstoffe und Lager'!$AX$113:$AX$155,$CX64,'Berechnung Nährstoffe und Lager'!$V$113:$V$155)/12  -$GC64*$HC64/12</f>
        <v>0</v>
      </c>
      <c r="FR64" s="2042">
        <f>FQ64+DP64+EP64                 -         SUMIF('Berechnung Nährstoffe und Lager'!$AX$113:$AX$155,$CX64,'Berechnung Nährstoffe und Lager'!$V$113:$V$155)/12  -$GC64*$HC64/12</f>
        <v>0</v>
      </c>
      <c r="FS64" s="2042">
        <f>FR64+DQ64+EQ64                 -         SUMIF('Berechnung Nährstoffe und Lager'!$AX$113:$AX$155,$CX64,'Berechnung Nährstoffe und Lager'!$V$113:$V$155)/12  -$GC64*$HC64/12</f>
        <v>0</v>
      </c>
      <c r="FT64" s="2042">
        <f>FS64+DR64+ER64                 -         SUMIF('Berechnung Nährstoffe und Lager'!$AX$113:$AX$155,$CX64,'Berechnung Nährstoffe und Lager'!$V$113:$V$155)/12  -$GC64*$HC64/12</f>
        <v>0</v>
      </c>
      <c r="FU64" s="2042">
        <f>FT64+DS64+ES64                 -         SUMIF('Berechnung Nährstoffe und Lager'!$AX$113:$AX$155,$CX64,'Berechnung Nährstoffe und Lager'!$V$113:$V$155)/12  -$GC64*$HC64/12</f>
        <v>0</v>
      </c>
      <c r="FV64" s="2042">
        <f>FU64+DT64+ET64                 -         SUMIF('Berechnung Nährstoffe und Lager'!$AX$113:$AX$155,$CX64,'Berechnung Nährstoffe und Lager'!$V$113:$V$155)/12  -$GC64*$HC64/12</f>
        <v>0</v>
      </c>
      <c r="FW64" s="2042">
        <f>FV64+DU64+EU64                 -         SUMIF('Berechnung Nährstoffe und Lager'!$AX$113:$AX$155,$CX64,'Berechnung Nährstoffe und Lager'!$V$113:$V$155)/12  -$GC64*$HC64/12</f>
        <v>0</v>
      </c>
      <c r="FX64" s="2042">
        <f>FW64+DV64+EV64                 -         SUMIF('Berechnung Nährstoffe und Lager'!$AX$113:$AX$155,$CX64,'Berechnung Nährstoffe und Lager'!$V$113:$V$155)/12  -$GC64*$HC64/12</f>
        <v>0</v>
      </c>
      <c r="FY64" s="2042">
        <f>FX64+DW64+EW64                 -         SUMIF('Berechnung Nährstoffe und Lager'!$AX$113:$AX$155,$CX64,'Berechnung Nährstoffe und Lager'!$V$113:$V$155)/12  -$GC64*$HC64/12</f>
        <v>0</v>
      </c>
      <c r="FZ64" s="2042">
        <f>FY64+DX64+EX64                 -         SUMIF('Berechnung Nährstoffe und Lager'!$AX$113:$AX$155,$CX64,'Berechnung Nährstoffe und Lager'!$V$113:$V$155)/12  -$GC64*$HC64/12</f>
        <v>0</v>
      </c>
      <c r="GA64" s="2042"/>
      <c r="GB64" s="2042">
        <f>SUMIFS($CI$14:$CI$68,$BR$14:$BR$68,$CX64)+SUMIFS($CM$14:$CM$68,$BR$14:$BR$68,$CX64)+SUMIFS($CR$14:$CR$68,$BR$14:$BR$68,$CX64)  -         SUMIF('Berechnung Nährstoffe und Lager'!$AX$113:$AX$155,$CX64,'Berechnung Nährstoffe und Lager'!$U$113:$U$155)</f>
        <v>0</v>
      </c>
      <c r="GC64" s="2042">
        <f>SUMIFS($CJ$14:$CJ$68,$BR$14:$BR$68,$CX64)+SUMIFS($CO$14:$CO$68,$BR$14:$BR$68,$CX64)+SUMIFS($CT$14:$CT$68,$BR$14:$BR$68,$CX64)  -         SUMIF('Berechnung Nährstoffe und Lager'!$AX$113:$AX$155,$CX64,'Berechnung Nährstoffe und Lager'!$V$113:$V$155)</f>
        <v>0</v>
      </c>
      <c r="GD64" s="2042"/>
      <c r="GE64" s="2042"/>
      <c r="GF64" s="2042">
        <f>SUMIF('Berechnung Nährstoffe und Lager'!$AX$113:$AX$155,$CX64,'Berechnung Nährstoffe und Lager'!$U$113:$U$155)</f>
        <v>0</v>
      </c>
      <c r="GG64" s="2042">
        <f>SUMIF('Berechnung Nährstoffe und Lager'!$AX$113:$AX$155,$CX64,'Berechnung Nährstoffe und Lager'!$V$113:$V$155)</f>
        <v>0</v>
      </c>
      <c r="GH64" s="2042">
        <f t="shared" si="52"/>
        <v>0</v>
      </c>
      <c r="GI64" s="2042">
        <f t="shared" si="53"/>
        <v>0</v>
      </c>
      <c r="GJ64" s="2042">
        <f t="shared" si="121"/>
        <v>0</v>
      </c>
      <c r="GK64" s="2042">
        <f t="shared" si="122"/>
        <v>0</v>
      </c>
      <c r="GL64" s="2042">
        <f t="shared" si="123"/>
        <v>0</v>
      </c>
      <c r="GM64" s="2042" cm="1">
        <f t="array" ref="GM64">IF(GL64=0,0,(IFERROR(SUMPRODUCT($J$14:$J$68,$CH$14:$CH$68,($BR$14:$BR$68=CX64)*1)+SUMPRODUCT($L$14:$L$68,$M$14:$M$68,$CK$14:$CK$68,($BR$14:$BR$68=CX64)*1,($BT$14:$BT$68=FALSE)*1)/10+SUMPRODUCT($R$14:$R$68,$CP$14:$CP$68,($BR$14:$BR$68=CX64)*1),0))/GL64)</f>
        <v>0</v>
      </c>
      <c r="GN64" s="2042">
        <f t="shared" si="54"/>
        <v>0</v>
      </c>
      <c r="GO64" s="2042">
        <f>(SUMIF('Berechnung Nährstoffe und Lager'!$AX$113:$AX$130,'Lagerhaltung (freiwillig)'!CX64,'Berechnung Nährstoffe und Lager'!$D$113:$D$130)+SUMIF('Berechnung Nährstoffe und Lager'!$AX$137:$AX$155,'Lagerhaltung (freiwillig)'!CX64,'Berechnung Nährstoffe und Lager'!$E$137:$E$155))</f>
        <v>0</v>
      </c>
      <c r="GP64" s="2042" cm="1">
        <f t="array" ref="GP64">IF(GO64=0,0,(IFERROR(SUMPRODUCT('Berechnung Nährstoffe und Lager'!$D$113:$D$130,'Berechnung Nährstoffe und Lager'!$F$113:$F$130,('Berechnung Nährstoffe und Lager'!$AX$113:$AX$130='Lagerhaltung (freiwillig)'!CX64)*1)+SUMPRODUCT('Berechnung Nährstoffe und Lager'!$E$137:$E$155,'Berechnung Nährstoffe und Lager'!$F$137:$F$155,('Berechnung Nährstoffe und Lager'!$AX$137:$AX$155='Lagerhaltung (freiwillig)'!CX64)*1),0))/GO64)</f>
        <v>0</v>
      </c>
      <c r="GQ64" s="2042">
        <f t="shared" si="55"/>
        <v>0</v>
      </c>
      <c r="GR64" s="2042">
        <f t="shared" si="56"/>
        <v>0</v>
      </c>
      <c r="GS64" s="2042">
        <f t="shared" si="57"/>
        <v>0</v>
      </c>
      <c r="GT64" s="2042">
        <f t="shared" si="58"/>
        <v>0</v>
      </c>
      <c r="GU64" s="2045" t="str">
        <f t="shared" si="39"/>
        <v xml:space="preserve"> </v>
      </c>
      <c r="GV64" s="2045" t="str">
        <f t="shared" si="39"/>
        <v xml:space="preserve"> </v>
      </c>
      <c r="GW64" s="2054">
        <f t="shared" si="124"/>
        <v>0</v>
      </c>
      <c r="GX64" s="2042">
        <f t="shared" si="125"/>
        <v>0</v>
      </c>
      <c r="GY64" s="2042" t="str">
        <f t="shared" si="120"/>
        <v>a</v>
      </c>
      <c r="GZ64" s="2055">
        <f t="shared" si="126"/>
        <v>0</v>
      </c>
      <c r="HA64" s="2055">
        <f t="shared" si="127"/>
        <v>0</v>
      </c>
      <c r="HB64" s="2055"/>
      <c r="HC64" s="2046">
        <f t="shared" si="128"/>
        <v>0</v>
      </c>
      <c r="HD64" s="2055">
        <f t="shared" si="129"/>
        <v>0</v>
      </c>
      <c r="HE64" s="2055">
        <f t="shared" si="130"/>
        <v>0</v>
      </c>
      <c r="HF64" s="2055">
        <f t="shared" si="131"/>
        <v>0</v>
      </c>
      <c r="HG64" s="2282" cm="1">
        <f t="array" ref="HG64">IF(AND(HE64=0,GJ64=0),0,IF(HE64=0,1,IF(OR(GJ64*1000/HE64/HF64&gt;INDEX(Pflanzen!$AD$5:$AD$109,CX64)/INDEX(Pflanzen!$M$5:$M$109,CX64)*$HG$1,GJ64*1000/HE64/HF64&lt;INDEX(Pflanzen!$AD$5:$AD$109,CX64)/INDEX(Pflanzen!$M$5:$M$109,CX64)/$HG$1),1,0)))</f>
        <v>0</v>
      </c>
      <c r="HH64" s="2282" cm="1">
        <f t="array" ref="HH64">IF(AND(GK64=0,HE64=0),0,IF(HE64=0,1,IF(OR(GK64*1000/HE64/HF64&gt;INDEX(Pflanzen!$AE$5:$AE$109,CX64)/INDEX(Pflanzen!$M$5:$M$109,CX64)*$HG$1,GK64*1000/HE64/HF64&lt;INDEX(Pflanzen!$AE$5:$AE$109,CX64)/INDEX(Pflanzen!$M$5:$M$109,CX64)/$HG$1),1,0)))</f>
        <v>0</v>
      </c>
      <c r="HI64" s="2042">
        <f t="shared" si="132"/>
        <v>3</v>
      </c>
      <c r="HJ64" s="2042"/>
      <c r="HL64" s="2042"/>
      <c r="HM64" s="2042" t="str">
        <f>'Berechnung Nährstoffe und Lager'!A86</f>
        <v xml:space="preserve"> -- - </v>
      </c>
      <c r="HN64" s="2042"/>
      <c r="HO64" s="2042">
        <f>'Berechnung Nährstoffe und Lager'!Z86+'Berechnung Nährstoffe und Lager'!AA86</f>
        <v>0</v>
      </c>
      <c r="HP64" s="2042">
        <f>'Berechnung Nährstoffe und Lager'!BK86</f>
        <v>1</v>
      </c>
      <c r="HQ64" s="2070">
        <f>IF(OR(HP64=$IB$6,HP64=$IB$7,HP64=1),0,0.75*'Abweichende Werte'!D10)</f>
        <v>0</v>
      </c>
      <c r="HR64" s="2059">
        <f>HO64*HQ64/1000</f>
        <v>0</v>
      </c>
      <c r="HS64" s="2070"/>
      <c r="HT64" s="2042">
        <f t="shared" si="13"/>
        <v>0</v>
      </c>
      <c r="HU64" s="2042"/>
      <c r="HV64" s="2042"/>
      <c r="HW64" s="2042"/>
      <c r="HX64" s="2042"/>
      <c r="HY64" s="2042"/>
      <c r="HZ64" s="2042"/>
      <c r="IA64" s="2042"/>
      <c r="IB64" s="2042"/>
      <c r="IC64" s="2042"/>
      <c r="ID64" s="2042"/>
      <c r="IE64" s="2042"/>
      <c r="IF64" s="2042"/>
      <c r="IG64" s="2042"/>
      <c r="IH64" s="2042"/>
      <c r="II64" s="2042"/>
      <c r="IJ64" s="2042"/>
    </row>
    <row r="65" spans="1:244" ht="15.6" customHeight="1" x14ac:dyDescent="0.2">
      <c r="F65" s="1259"/>
      <c r="G65" s="2314"/>
      <c r="H65" s="2293"/>
      <c r="I65" s="2020" t="str">
        <f t="shared" si="133"/>
        <v/>
      </c>
      <c r="J65" s="1256"/>
      <c r="K65" s="2020" t="str">
        <f t="shared" si="134"/>
        <v/>
      </c>
      <c r="L65" s="1970"/>
      <c r="M65" s="1246"/>
      <c r="N65" s="1870"/>
      <c r="O65" s="1870"/>
      <c r="P65" s="2222"/>
      <c r="Q65" s="2194" t="str">
        <f t="shared" si="135"/>
        <v/>
      </c>
      <c r="R65" s="1970"/>
      <c r="S65" s="1246"/>
      <c r="T65" s="1256"/>
      <c r="V65" s="2316" t="str">
        <f t="shared" si="156"/>
        <v/>
      </c>
      <c r="Y65" s="2005" t="str" cm="1">
        <f t="array" ref="Y65">IFERROR(INDEX($CW$4:$CW$171,AY65),"")</f>
        <v/>
      </c>
      <c r="Z65" s="510"/>
      <c r="AA65" s="510"/>
      <c r="AB65" s="510"/>
      <c r="AC65" s="2031" t="str" cm="1">
        <f t="array" ref="AC65">IFERROR(INDEX($GL$4:$GL$171,AY65),"")</f>
        <v/>
      </c>
      <c r="AD65" s="2031" t="str" cm="1">
        <f t="array" ref="AD65">IFERROR(INDEX($GM$4:$GM$171,AY65),"")</f>
        <v/>
      </c>
      <c r="AE65" s="2031" t="str" cm="1">
        <f t="array" ref="AE65">IFERROR(INDEX($GH$4:$GH$171,AY65),"")</f>
        <v/>
      </c>
      <c r="AF65" s="2031" t="str" cm="1">
        <f t="array" ref="AF65">IFERROR(INDEX($GI$4:$GI$171,AY65),"")</f>
        <v/>
      </c>
      <c r="AG65" s="2031" t="str" cm="1">
        <f t="array" ref="AG65">IFERROR(INDEX($GO$4:$GO$171,AY65),"")</f>
        <v/>
      </c>
      <c r="AH65" s="2031" t="str" cm="1">
        <f t="array" ref="AH65">IFERROR(INDEX($GP$4:$GP$171,AY65),"")</f>
        <v/>
      </c>
      <c r="AI65" s="2031" t="str" cm="1">
        <f t="array" ref="AI65">IFERROR(INDEX($GF$4:$GF$171,AY65),"")</f>
        <v/>
      </c>
      <c r="AJ65" s="2031" t="str" cm="1">
        <f t="array" ref="AJ65">IFERROR(INDEX($GG$4:$GG$171,AY65),"")</f>
        <v/>
      </c>
      <c r="AK65" s="2031" t="str" cm="1">
        <f t="array" ref="AK65">IFERROR(INDEX($GS$4:$GS$171,AY65),"")</f>
        <v/>
      </c>
      <c r="AL65" s="2032" t="str" cm="1">
        <f t="array" ref="AL65">IFERROR(INDEX($GT$4:$GT$171,AY65),"")</f>
        <v/>
      </c>
      <c r="AM65" s="2031" t="str" cm="1">
        <f t="array" ref="AM65">IFERROR(INDEX($GB$4:$GB$171,AY65),"")</f>
        <v/>
      </c>
      <c r="AN65" s="2031" t="str" cm="1">
        <f t="array" ref="AN65">IFERROR(INDEX($GC$4:$GC$171,AY65),"")</f>
        <v/>
      </c>
      <c r="AO65" s="2031" t="str" cm="1">
        <f t="array" ref="AO65">IFERROR(INDEX($GU$4:$GU$171,AY65),"")</f>
        <v/>
      </c>
      <c r="AP65" s="2031" t="str" cm="1">
        <f t="array" ref="AP65">IFERROR(INDEX($GX$4:$GX$171,AY65),"")</f>
        <v/>
      </c>
      <c r="AQ65" s="1316"/>
      <c r="AR65" s="2031" t="str" cm="1">
        <f t="array" ref="AR65">IFERROR(INDEX($HD$4:$HD$171,AY65),"")</f>
        <v/>
      </c>
      <c r="AS65" s="2031" t="str" cm="1">
        <f t="array" ref="AS65">IFERROR(INDEX($HE$4:$HE$171,AY65),"")</f>
        <v/>
      </c>
      <c r="AT65" s="2031" t="str" cm="1">
        <f t="array" ref="AT65">IFERROR(INDEX($HF$4:$HF$171,AY65),"")</f>
        <v/>
      </c>
      <c r="AU65" s="2031" t="str" cm="1">
        <f t="array" ref="AU65">IFERROR(INDEX($GJ$4:$GJ$171,AY65),"")</f>
        <v/>
      </c>
      <c r="AV65" s="2031" t="str" cm="1">
        <f t="array" ref="AV65">IFERROR(INDEX($GK$4:$GK$171,AY65),"")</f>
        <v/>
      </c>
      <c r="AY65" s="2042" t="str" cm="1">
        <f t="array" ref="AY65">IFERROR(SMALL(IF($HI$4:$HI$171=1,ROW($HI$4:$HI$171)-3),ROW(W50)),IFERROR(SMALL(IF($HI$4:$HI$171=2,ROW($HI$4:$HI$171)-3),ROW(W50)-COUNTIF($HI$4:$HI$171,1)),IFERROR(SMALL(IF($HI$4:$HI$171=0,ROW($HI$4:$HI$171)-3),ROW(W50)-COUNTIF($HI$4:$HI$171,1)-COUNTIF($HI$4:$HI$171,2)),"")))</f>
        <v/>
      </c>
      <c r="AZ65" s="2042" t="str">
        <f t="shared" si="117"/>
        <v>a</v>
      </c>
      <c r="BA65" s="2053" t="e">
        <f t="shared" si="118"/>
        <v>#VALUE!</v>
      </c>
      <c r="BB65" s="2053" cm="1">
        <f t="array" ref="BB65">IFERROR(INDEX($HI$4:$HI$171,AY65),0)</f>
        <v>0</v>
      </c>
      <c r="BC65" s="2053">
        <f t="shared" si="119"/>
        <v>0</v>
      </c>
      <c r="BD65" s="2053"/>
      <c r="BE65" s="2307"/>
      <c r="BF65" s="2307"/>
      <c r="BG65" s="2307"/>
      <c r="BH65" s="2307"/>
      <c r="BI65" s="2307"/>
      <c r="BJ65" s="2307"/>
      <c r="BK65" s="2307"/>
      <c r="BL65" s="2307"/>
      <c r="BM65" s="2307"/>
      <c r="BN65" s="2307"/>
      <c r="BO65" s="2307"/>
      <c r="BP65" s="2043"/>
      <c r="BQ65" s="2042">
        <v>1</v>
      </c>
      <c r="BR65" cm="1">
        <f t="array" ref="BR65">INDEX(Pflanzen!$B$5:$B$117,'Lagerhaltung (freiwillig)'!BQ65)</f>
        <v>1</v>
      </c>
      <c r="BS65" s="2042"/>
      <c r="BT65" s="2042" t="b">
        <v>0</v>
      </c>
      <c r="BU65" s="2044"/>
      <c r="BV65" s="2044"/>
      <c r="BW65" s="2042">
        <f t="shared" si="136"/>
        <v>12</v>
      </c>
      <c r="BX65" s="2042">
        <f t="shared" si="137"/>
        <v>0</v>
      </c>
      <c r="BY65" s="2042">
        <f t="shared" si="138"/>
        <v>12</v>
      </c>
      <c r="BZ65" s="2042" cm="1">
        <f t="array" ref="BZ65">INDEX(Pflanzen!$AI$5:$AI$119,'Lagerhaltung (freiwillig)'!BR65)</f>
        <v>0</v>
      </c>
      <c r="CA65" s="2042" cm="1">
        <f t="array" ref="CA65">IF(BZ65=1,INDEX(Pflanzen!$AJ$5:$AJ$119,BR65),N65)</f>
        <v>0</v>
      </c>
      <c r="CB65" s="2042" cm="1">
        <f t="array" ref="CB65">IF(BZ65=1,INDEX(Pflanzen!$AK$5:$AK$119,BR65),O65)</f>
        <v>0</v>
      </c>
      <c r="CC65" s="2042">
        <f t="shared" si="139"/>
        <v>12</v>
      </c>
      <c r="CD65" s="2042">
        <f t="shared" si="140"/>
        <v>0</v>
      </c>
      <c r="CE65" s="2042">
        <f t="shared" si="141"/>
        <v>12</v>
      </c>
      <c r="CF65" s="2042" cm="1">
        <f t="array" ref="CF65">INDEX(Pflanzen!$F$5:$F$119,BR65)</f>
        <v>0</v>
      </c>
      <c r="CG65" s="2042" cm="1">
        <f t="array" ref="CG65">INDEX(Pflanzen!$H$5:$H$119,BR65)</f>
        <v>0</v>
      </c>
      <c r="CH65" s="2042">
        <f t="shared" si="142"/>
        <v>0</v>
      </c>
      <c r="CI65" s="2042">
        <f t="shared" si="143"/>
        <v>0</v>
      </c>
      <c r="CJ65" s="2042">
        <f t="shared" si="144"/>
        <v>0</v>
      </c>
      <c r="CK65" s="2042">
        <f t="shared" si="145"/>
        <v>0</v>
      </c>
      <c r="CL65" s="2042">
        <f t="shared" si="146"/>
        <v>0</v>
      </c>
      <c r="CM65" s="2042">
        <f t="shared" si="147"/>
        <v>0</v>
      </c>
      <c r="CN65" s="2042">
        <f t="shared" si="148"/>
        <v>0</v>
      </c>
      <c r="CO65" s="2042">
        <f t="shared" si="149"/>
        <v>0</v>
      </c>
      <c r="CP65" s="2042">
        <f t="shared" si="150"/>
        <v>0</v>
      </c>
      <c r="CQ65" s="2042">
        <f t="shared" si="151"/>
        <v>0</v>
      </c>
      <c r="CR65" s="2042">
        <f t="shared" si="152"/>
        <v>0</v>
      </c>
      <c r="CS65" s="2042">
        <f t="shared" si="153"/>
        <v>0</v>
      </c>
      <c r="CT65" s="2042">
        <f t="shared" si="154"/>
        <v>0</v>
      </c>
      <c r="CU65" s="2042">
        <f t="shared" si="155"/>
        <v>0</v>
      </c>
      <c r="CV65" s="2042"/>
      <c r="CW65" s="609" t="str">
        <f>Pflanzen!A61</f>
        <v xml:space="preserve"> +++Zweitfrucht (2. Hauptfrucht)+++</v>
      </c>
      <c r="CX65" s="2042">
        <f>IFERROR(MATCH($CW65,Pflanzen!$C$5:$C$119,0),1)</f>
        <v>57</v>
      </c>
      <c r="CY65" s="609" cm="1">
        <f t="array" ref="CY65">INDEX(Pflanzen!$I$5:$I$119,'Lagerhaltung (freiwillig)'!CX65)</f>
        <v>0</v>
      </c>
      <c r="CZ65" s="2042">
        <f t="shared" si="161"/>
        <v>0</v>
      </c>
      <c r="DA65" s="2042">
        <f t="shared" si="161"/>
        <v>0</v>
      </c>
      <c r="DB65" s="2042">
        <f t="shared" si="161"/>
        <v>0</v>
      </c>
      <c r="DC65" s="2042">
        <f t="shared" si="161"/>
        <v>0</v>
      </c>
      <c r="DD65" s="2042">
        <f t="shared" si="161"/>
        <v>0</v>
      </c>
      <c r="DE65" s="2042">
        <f t="shared" si="161"/>
        <v>0</v>
      </c>
      <c r="DF65" s="2042">
        <f t="shared" si="161"/>
        <v>0</v>
      </c>
      <c r="DG65" s="2042">
        <f t="shared" si="161"/>
        <v>0</v>
      </c>
      <c r="DH65" s="2042">
        <f t="shared" si="161"/>
        <v>0</v>
      </c>
      <c r="DI65" s="2042">
        <f t="shared" si="161"/>
        <v>0</v>
      </c>
      <c r="DJ65" s="2042">
        <f t="shared" si="161"/>
        <v>0</v>
      </c>
      <c r="DK65" s="2042">
        <f t="shared" si="161"/>
        <v>0</v>
      </c>
      <c r="DL65" s="2042"/>
      <c r="DM65" s="2042">
        <f t="shared" si="162"/>
        <v>0</v>
      </c>
      <c r="DN65" s="2042">
        <f t="shared" si="162"/>
        <v>0</v>
      </c>
      <c r="DO65" s="2042">
        <f t="shared" si="162"/>
        <v>0</v>
      </c>
      <c r="DP65" s="2042">
        <f t="shared" si="162"/>
        <v>0</v>
      </c>
      <c r="DQ65" s="2042">
        <f t="shared" si="162"/>
        <v>0</v>
      </c>
      <c r="DR65" s="2042">
        <f t="shared" si="162"/>
        <v>0</v>
      </c>
      <c r="DS65" s="2042">
        <f t="shared" si="162"/>
        <v>0</v>
      </c>
      <c r="DT65" s="2042">
        <f t="shared" si="162"/>
        <v>0</v>
      </c>
      <c r="DU65" s="2042">
        <f t="shared" si="162"/>
        <v>0</v>
      </c>
      <c r="DV65" s="2042">
        <f t="shared" si="162"/>
        <v>0</v>
      </c>
      <c r="DW65" s="2042">
        <f t="shared" si="162"/>
        <v>0</v>
      </c>
      <c r="DX65" s="2042">
        <f t="shared" si="162"/>
        <v>0</v>
      </c>
      <c r="DY65" s="2042"/>
      <c r="DZ65" s="2042">
        <f t="shared" si="163"/>
        <v>0</v>
      </c>
      <c r="EA65" s="2042">
        <f t="shared" si="163"/>
        <v>0</v>
      </c>
      <c r="EB65" s="2042">
        <f t="shared" si="163"/>
        <v>0</v>
      </c>
      <c r="EC65" s="2042">
        <f t="shared" si="163"/>
        <v>0</v>
      </c>
      <c r="ED65" s="2042">
        <f t="shared" si="163"/>
        <v>0</v>
      </c>
      <c r="EE65" s="2042">
        <f t="shared" si="163"/>
        <v>0</v>
      </c>
      <c r="EF65" s="2042">
        <f t="shared" si="163"/>
        <v>0</v>
      </c>
      <c r="EG65" s="2042">
        <f t="shared" si="163"/>
        <v>0</v>
      </c>
      <c r="EH65" s="2042">
        <f t="shared" si="163"/>
        <v>0</v>
      </c>
      <c r="EI65" s="2042">
        <f t="shared" si="163"/>
        <v>0</v>
      </c>
      <c r="EJ65" s="2042">
        <f t="shared" si="163"/>
        <v>0</v>
      </c>
      <c r="EK65" s="2042">
        <f t="shared" si="163"/>
        <v>0</v>
      </c>
      <c r="EL65" s="2042"/>
      <c r="EM65" s="2042">
        <f t="shared" si="164"/>
        <v>0</v>
      </c>
      <c r="EN65" s="2042">
        <f t="shared" si="164"/>
        <v>0</v>
      </c>
      <c r="EO65" s="2042">
        <f t="shared" si="164"/>
        <v>0</v>
      </c>
      <c r="EP65" s="2042">
        <f t="shared" si="164"/>
        <v>0</v>
      </c>
      <c r="EQ65" s="2042">
        <f t="shared" si="164"/>
        <v>0</v>
      </c>
      <c r="ER65" s="2042">
        <f t="shared" si="164"/>
        <v>0</v>
      </c>
      <c r="ES65" s="2042">
        <f t="shared" si="164"/>
        <v>0</v>
      </c>
      <c r="ET65" s="2042">
        <f t="shared" si="164"/>
        <v>0</v>
      </c>
      <c r="EU65" s="2042">
        <f t="shared" si="164"/>
        <v>0</v>
      </c>
      <c r="EV65" s="2042">
        <f t="shared" si="164"/>
        <v>0</v>
      </c>
      <c r="EW65" s="2042">
        <f t="shared" si="164"/>
        <v>0</v>
      </c>
      <c r="EX65" s="2042">
        <f t="shared" si="164"/>
        <v>0</v>
      </c>
      <c r="EY65" s="2042"/>
      <c r="EZ65" s="2045">
        <f t="shared" si="50"/>
        <v>0</v>
      </c>
      <c r="FA65" s="2042">
        <f>EZ65+CZ65+DZ65                 -         SUMIF('Berechnung Nährstoffe und Lager'!$AX$113:$AX$155,$CX65,'Berechnung Nährstoffe und Lager'!$U$113:$U$155)/12  -$GB65*$HC65/12</f>
        <v>0</v>
      </c>
      <c r="FB65" s="2042">
        <f>FA65+DA65+EA65                 -         SUMIF('Berechnung Nährstoffe und Lager'!$AX$113:$AX$155,$CX65,'Berechnung Nährstoffe und Lager'!$U$113:$U$155)/12  -$GB65*$HC65/12</f>
        <v>0</v>
      </c>
      <c r="FC65" s="2042">
        <f>FB65+DB65+EB65                 -         SUMIF('Berechnung Nährstoffe und Lager'!$AX$113:$AX$155,$CX65,'Berechnung Nährstoffe und Lager'!$U$113:$U$155)/12  -$GB65*$HC65/12</f>
        <v>0</v>
      </c>
      <c r="FD65" s="2042">
        <f>FC65+DC65+EC65                 -         SUMIF('Berechnung Nährstoffe und Lager'!$AX$113:$AX$155,$CX65,'Berechnung Nährstoffe und Lager'!$U$113:$U$155)/12  -$GB65*$HC65/12</f>
        <v>0</v>
      </c>
      <c r="FE65" s="2042">
        <f>FD65+DD65+ED65                 -         SUMIF('Berechnung Nährstoffe und Lager'!$AX$113:$AX$155,$CX65,'Berechnung Nährstoffe und Lager'!$U$113:$U$155)/12  -$GB65*$HC65/12</f>
        <v>0</v>
      </c>
      <c r="FF65" s="2042">
        <f>FE65+DE65+EE65                 -         SUMIF('Berechnung Nährstoffe und Lager'!$AX$113:$AX$155,$CX65,'Berechnung Nährstoffe und Lager'!$U$113:$U$155)/12  -$GB65*$HC65/12</f>
        <v>0</v>
      </c>
      <c r="FG65" s="2042">
        <f>FF65+DF65+EF65                 -         SUMIF('Berechnung Nährstoffe und Lager'!$AX$113:$AX$155,$CX65,'Berechnung Nährstoffe und Lager'!$U$113:$U$155)/12  -$GB65*$HC65/12</f>
        <v>0</v>
      </c>
      <c r="FH65" s="2042">
        <f>FG65+DG65+EG65                 -         SUMIF('Berechnung Nährstoffe und Lager'!$AX$113:$AX$155,$CX65,'Berechnung Nährstoffe und Lager'!$U$113:$U$155)/12  -$GB65*$HC65/12</f>
        <v>0</v>
      </c>
      <c r="FI65" s="2042">
        <f>FH65+DH65+EH65                 -         SUMIF('Berechnung Nährstoffe und Lager'!$AX$113:$AX$155,$CX65,'Berechnung Nährstoffe und Lager'!$U$113:$U$155)/12  -$GB65*$HC65/12</f>
        <v>0</v>
      </c>
      <c r="FJ65" s="2042">
        <f>FI65+DI65+EI65                 -         SUMIF('Berechnung Nährstoffe und Lager'!$AX$113:$AX$155,$CX65,'Berechnung Nährstoffe und Lager'!$U$113:$U$155)/12  -$GB65*$HC65/12</f>
        <v>0</v>
      </c>
      <c r="FK65" s="2042">
        <f>FJ65+DJ65+EJ65                 -         SUMIF('Berechnung Nährstoffe und Lager'!$AX$113:$AX$155,$CX65,'Berechnung Nährstoffe und Lager'!$U$113:$U$155)/12  -$GB65*$HC65/12</f>
        <v>0</v>
      </c>
      <c r="FL65" s="2042">
        <f>FK65+DK65+EK65                 -         SUMIF('Berechnung Nährstoffe und Lager'!$AX$113:$AX$155,$CX65,'Berechnung Nährstoffe und Lager'!$U$113:$U$155)/12  -$GB65*$HC65/12</f>
        <v>0</v>
      </c>
      <c r="FM65" s="2042"/>
      <c r="FN65" s="2045">
        <f t="shared" si="51"/>
        <v>0</v>
      </c>
      <c r="FO65" s="2042">
        <f>FN65+DM65+EM65                 -         SUMIF('Berechnung Nährstoffe und Lager'!$AX$113:$AX$155,$CX65,'Berechnung Nährstoffe und Lager'!$V$113:$V$155)/12  -$GC65*$HC65/12</f>
        <v>0</v>
      </c>
      <c r="FP65" s="2042">
        <f>FO65+DN65+EN65                 -         SUMIF('Berechnung Nährstoffe und Lager'!$AX$113:$AX$155,$CX65,'Berechnung Nährstoffe und Lager'!$V$113:$V$155)/12  -$GC65*$HC65/12</f>
        <v>0</v>
      </c>
      <c r="FQ65" s="2042">
        <f>FP65+DO65+EO65                 -         SUMIF('Berechnung Nährstoffe und Lager'!$AX$113:$AX$155,$CX65,'Berechnung Nährstoffe und Lager'!$V$113:$V$155)/12  -$GC65*$HC65/12</f>
        <v>0</v>
      </c>
      <c r="FR65" s="2042">
        <f>FQ65+DP65+EP65                 -         SUMIF('Berechnung Nährstoffe und Lager'!$AX$113:$AX$155,$CX65,'Berechnung Nährstoffe und Lager'!$V$113:$V$155)/12  -$GC65*$HC65/12</f>
        <v>0</v>
      </c>
      <c r="FS65" s="2042">
        <f>FR65+DQ65+EQ65                 -         SUMIF('Berechnung Nährstoffe und Lager'!$AX$113:$AX$155,$CX65,'Berechnung Nährstoffe und Lager'!$V$113:$V$155)/12  -$GC65*$HC65/12</f>
        <v>0</v>
      </c>
      <c r="FT65" s="2042">
        <f>FS65+DR65+ER65                 -         SUMIF('Berechnung Nährstoffe und Lager'!$AX$113:$AX$155,$CX65,'Berechnung Nährstoffe und Lager'!$V$113:$V$155)/12  -$GC65*$HC65/12</f>
        <v>0</v>
      </c>
      <c r="FU65" s="2042">
        <f>FT65+DS65+ES65                 -         SUMIF('Berechnung Nährstoffe und Lager'!$AX$113:$AX$155,$CX65,'Berechnung Nährstoffe und Lager'!$V$113:$V$155)/12  -$GC65*$HC65/12</f>
        <v>0</v>
      </c>
      <c r="FV65" s="2042">
        <f>FU65+DT65+ET65                 -         SUMIF('Berechnung Nährstoffe und Lager'!$AX$113:$AX$155,$CX65,'Berechnung Nährstoffe und Lager'!$V$113:$V$155)/12  -$GC65*$HC65/12</f>
        <v>0</v>
      </c>
      <c r="FW65" s="2042">
        <f>FV65+DU65+EU65                 -         SUMIF('Berechnung Nährstoffe und Lager'!$AX$113:$AX$155,$CX65,'Berechnung Nährstoffe und Lager'!$V$113:$V$155)/12  -$GC65*$HC65/12</f>
        <v>0</v>
      </c>
      <c r="FX65" s="2042">
        <f>FW65+DV65+EV65                 -         SUMIF('Berechnung Nährstoffe und Lager'!$AX$113:$AX$155,$CX65,'Berechnung Nährstoffe und Lager'!$V$113:$V$155)/12  -$GC65*$HC65/12</f>
        <v>0</v>
      </c>
      <c r="FY65" s="2042">
        <f>FX65+DW65+EW65                 -         SUMIF('Berechnung Nährstoffe und Lager'!$AX$113:$AX$155,$CX65,'Berechnung Nährstoffe und Lager'!$V$113:$V$155)/12  -$GC65*$HC65/12</f>
        <v>0</v>
      </c>
      <c r="FZ65" s="2042">
        <f>FY65+DX65+EX65                 -         SUMIF('Berechnung Nährstoffe und Lager'!$AX$113:$AX$155,$CX65,'Berechnung Nährstoffe und Lager'!$V$113:$V$155)/12  -$GC65*$HC65/12</f>
        <v>0</v>
      </c>
      <c r="GA65" s="2042"/>
      <c r="GB65" s="2042">
        <f>SUMIFS($CI$14:$CI$68,$BR$14:$BR$68,$CX65)+SUMIFS($CM$14:$CM$68,$BR$14:$BR$68,$CX65)+SUMIFS($CR$14:$CR$68,$BR$14:$BR$68,$CX65)  -         SUMIF('Berechnung Nährstoffe und Lager'!$AX$113:$AX$155,$CX65,'Berechnung Nährstoffe und Lager'!$U$113:$U$155)</f>
        <v>0</v>
      </c>
      <c r="GC65" s="2042">
        <f>SUMIFS($CJ$14:$CJ$68,$BR$14:$BR$68,$CX65)+SUMIFS($CO$14:$CO$68,$BR$14:$BR$68,$CX65)+SUMIFS($CT$14:$CT$68,$BR$14:$BR$68,$CX65)  -         SUMIF('Berechnung Nährstoffe und Lager'!$AX$113:$AX$155,$CX65,'Berechnung Nährstoffe und Lager'!$V$113:$V$155)</f>
        <v>0</v>
      </c>
      <c r="GD65" s="2042"/>
      <c r="GE65" s="2042"/>
      <c r="GF65" s="2042">
        <f>SUMIF('Berechnung Nährstoffe und Lager'!$AX$113:$AX$155,$CX65,'Berechnung Nährstoffe und Lager'!$U$113:$U$155)</f>
        <v>0</v>
      </c>
      <c r="GG65" s="2042">
        <f>SUMIF('Berechnung Nährstoffe und Lager'!$AX$113:$AX$155,$CX65,'Berechnung Nährstoffe und Lager'!$V$113:$V$155)</f>
        <v>0</v>
      </c>
      <c r="GH65" s="2042">
        <f t="shared" si="52"/>
        <v>0</v>
      </c>
      <c r="GI65" s="2042">
        <f t="shared" si="53"/>
        <v>0</v>
      </c>
      <c r="GJ65" s="2042">
        <f t="shared" si="121"/>
        <v>0</v>
      </c>
      <c r="GK65" s="2042">
        <f t="shared" si="122"/>
        <v>0</v>
      </c>
      <c r="GL65" s="2042">
        <f t="shared" si="123"/>
        <v>0</v>
      </c>
      <c r="GM65" s="2042" cm="1">
        <f t="array" ref="GM65">IF(GL65=0,0,(IFERROR(SUMPRODUCT($J$14:$J$68,$CH$14:$CH$68,($BR$14:$BR$68=CX65)*1)+SUMPRODUCT($L$14:$L$68,$M$14:$M$68,$CK$14:$CK$68,($BR$14:$BR$68=CX65)*1,($BT$14:$BT$68=FALSE)*1)/10+SUMPRODUCT($R$14:$R$68,$CP$14:$CP$68,($BR$14:$BR$68=CX65)*1),0))/GL65)</f>
        <v>0</v>
      </c>
      <c r="GN65" s="2042">
        <f t="shared" si="54"/>
        <v>0</v>
      </c>
      <c r="GO65" s="2042">
        <f>(SUMIF('Berechnung Nährstoffe und Lager'!$AX$113:$AX$130,'Lagerhaltung (freiwillig)'!CX65,'Berechnung Nährstoffe und Lager'!$D$113:$D$130)+SUMIF('Berechnung Nährstoffe und Lager'!$AX$137:$AX$155,'Lagerhaltung (freiwillig)'!CX65,'Berechnung Nährstoffe und Lager'!$E$137:$E$155))</f>
        <v>0</v>
      </c>
      <c r="GP65" s="2042" cm="1">
        <f t="array" ref="GP65">IF(GO65=0,0,(IFERROR(SUMPRODUCT('Berechnung Nährstoffe und Lager'!$D$113:$D$130,'Berechnung Nährstoffe und Lager'!$F$113:$F$130,('Berechnung Nährstoffe und Lager'!$AX$113:$AX$130='Lagerhaltung (freiwillig)'!CX65)*1)+SUMPRODUCT('Berechnung Nährstoffe und Lager'!$E$137:$E$155,'Berechnung Nährstoffe und Lager'!$F$137:$F$155,('Berechnung Nährstoffe und Lager'!$AX$137:$AX$155='Lagerhaltung (freiwillig)'!CX65)*1),0))/GO65)</f>
        <v>0</v>
      </c>
      <c r="GQ65" s="2042">
        <f t="shared" si="55"/>
        <v>0</v>
      </c>
      <c r="GR65" s="2042">
        <f t="shared" si="56"/>
        <v>0</v>
      </c>
      <c r="GS65" s="2042">
        <f t="shared" si="57"/>
        <v>0</v>
      </c>
      <c r="GT65" s="2042">
        <f t="shared" si="58"/>
        <v>0</v>
      </c>
      <c r="GU65" s="2045" t="str">
        <f t="shared" si="39"/>
        <v xml:space="preserve"> </v>
      </c>
      <c r="GV65" s="2045" t="str">
        <f t="shared" si="39"/>
        <v xml:space="preserve"> </v>
      </c>
      <c r="GW65" s="2054">
        <f t="shared" si="124"/>
        <v>0</v>
      </c>
      <c r="GX65" s="2042">
        <f t="shared" si="125"/>
        <v>0</v>
      </c>
      <c r="GY65" s="2042" t="str">
        <f t="shared" si="120"/>
        <v>a</v>
      </c>
      <c r="GZ65" s="2055">
        <f t="shared" si="126"/>
        <v>0</v>
      </c>
      <c r="HA65" s="2055">
        <f t="shared" si="127"/>
        <v>0</v>
      </c>
      <c r="HB65" s="2055"/>
      <c r="HC65" s="2046">
        <f t="shared" si="128"/>
        <v>0</v>
      </c>
      <c r="HD65" s="2055">
        <f t="shared" si="129"/>
        <v>0</v>
      </c>
      <c r="HE65" s="2055">
        <f t="shared" si="130"/>
        <v>0</v>
      </c>
      <c r="HF65" s="2055">
        <f t="shared" si="131"/>
        <v>0</v>
      </c>
      <c r="HG65" s="2282" cm="1">
        <f t="array" ref="HG65">IF(AND(HE65=0,GJ65=0),0,IF(HE65=0,1,IF(OR(GJ65*1000/HE65/HF65&gt;INDEX(Pflanzen!$AD$5:$AD$109,CX65)/INDEX(Pflanzen!$M$5:$M$109,CX65)*$HG$1,GJ65*1000/HE65/HF65&lt;INDEX(Pflanzen!$AD$5:$AD$109,CX65)/INDEX(Pflanzen!$M$5:$M$109,CX65)/$HG$1),1,0)))</f>
        <v>0</v>
      </c>
      <c r="HH65" s="2282" cm="1">
        <f t="array" ref="HH65">IF(AND(GK65=0,HE65=0),0,IF(HE65=0,1,IF(OR(GK65*1000/HE65/HF65&gt;INDEX(Pflanzen!$AE$5:$AE$109,CX65)/INDEX(Pflanzen!$M$5:$M$109,CX65)*$HG$1,GK65*1000/HE65/HF65&lt;INDEX(Pflanzen!$AE$5:$AE$109,CX65)/INDEX(Pflanzen!$M$5:$M$109,CX65)/$HG$1),1,0)))</f>
        <v>0</v>
      </c>
      <c r="HI65" s="2042">
        <f t="shared" si="132"/>
        <v>3</v>
      </c>
      <c r="HJ65" s="2042"/>
      <c r="HL65" s="2042"/>
      <c r="HM65" s="2042" t="str">
        <f>'Berechnung Nährstoffe und Lager'!A87</f>
        <v xml:space="preserve"> -- - </v>
      </c>
      <c r="HN65" s="2042"/>
      <c r="HO65" s="2042">
        <f>'Berechnung Nährstoffe und Lager'!Z87+'Berechnung Nährstoffe und Lager'!AA87</f>
        <v>0</v>
      </c>
      <c r="HP65" s="2042">
        <f>'Berechnung Nährstoffe und Lager'!BK87</f>
        <v>1</v>
      </c>
      <c r="HQ65" s="2070">
        <f>IF(OR(HP65=$IB$6,HP65=$IB$7,HP65=1),0,0.75*'Abweichende Werte'!D11)</f>
        <v>0</v>
      </c>
      <c r="HR65" s="2059">
        <f>HO65*HQ65/1000</f>
        <v>0</v>
      </c>
      <c r="HS65" s="2070"/>
      <c r="HT65" s="2042">
        <f t="shared" si="13"/>
        <v>0</v>
      </c>
      <c r="HU65" s="2042"/>
      <c r="HV65" s="2042"/>
      <c r="HW65" s="2042"/>
      <c r="HX65" s="2042"/>
      <c r="HY65" s="2042"/>
      <c r="HZ65" s="2042"/>
      <c r="IA65" s="2042"/>
      <c r="IB65" s="2042"/>
      <c r="IC65" s="2042"/>
      <c r="ID65" s="2042"/>
      <c r="IE65" s="2042"/>
      <c r="IF65" s="2042"/>
      <c r="IG65" s="2042"/>
      <c r="IH65" s="2042"/>
      <c r="II65" s="2042"/>
      <c r="IJ65" s="2042"/>
    </row>
    <row r="66" spans="1:244" ht="15.6" customHeight="1" x14ac:dyDescent="0.2">
      <c r="F66" s="1259"/>
      <c r="G66" s="2314"/>
      <c r="H66" s="2293"/>
      <c r="I66" s="2020" t="str">
        <f t="shared" si="133"/>
        <v/>
      </c>
      <c r="J66" s="1256"/>
      <c r="K66" s="2020" t="str">
        <f t="shared" si="134"/>
        <v/>
      </c>
      <c r="L66" s="1970"/>
      <c r="M66" s="1246"/>
      <c r="N66" s="1870"/>
      <c r="O66" s="1870"/>
      <c r="P66" s="2222"/>
      <c r="Q66" s="2194" t="str">
        <f t="shared" si="135"/>
        <v/>
      </c>
      <c r="R66" s="1970"/>
      <c r="S66" s="1246"/>
      <c r="T66" s="1256"/>
      <c r="V66" s="2316" t="str">
        <f t="shared" si="156"/>
        <v/>
      </c>
      <c r="Y66" s="2005" t="str" cm="1">
        <f t="array" ref="Y66">IFERROR(INDEX($CW$4:$CW$171,AY66),"")</f>
        <v/>
      </c>
      <c r="Z66" s="510"/>
      <c r="AA66" s="510"/>
      <c r="AB66" s="510"/>
      <c r="AC66" s="2031" t="str" cm="1">
        <f t="array" ref="AC66">IFERROR(INDEX($GL$4:$GL$171,AY66),"")</f>
        <v/>
      </c>
      <c r="AD66" s="2031" t="str" cm="1">
        <f t="array" ref="AD66">IFERROR(INDEX($GM$4:$GM$171,AY66),"")</f>
        <v/>
      </c>
      <c r="AE66" s="2031" t="str" cm="1">
        <f t="array" ref="AE66">IFERROR(INDEX($GH$4:$GH$171,AY66),"")</f>
        <v/>
      </c>
      <c r="AF66" s="2031" t="str" cm="1">
        <f t="array" ref="AF66">IFERROR(INDEX($GI$4:$GI$171,AY66),"")</f>
        <v/>
      </c>
      <c r="AG66" s="2031" t="str" cm="1">
        <f t="array" ref="AG66">IFERROR(INDEX($GO$4:$GO$171,AY66),"")</f>
        <v/>
      </c>
      <c r="AH66" s="2031" t="str" cm="1">
        <f t="array" ref="AH66">IFERROR(INDEX($GP$4:$GP$171,AY66),"")</f>
        <v/>
      </c>
      <c r="AI66" s="2031" t="str" cm="1">
        <f t="array" ref="AI66">IFERROR(INDEX($GF$4:$GF$171,AY66),"")</f>
        <v/>
      </c>
      <c r="AJ66" s="2031" t="str" cm="1">
        <f t="array" ref="AJ66">IFERROR(INDEX($GG$4:$GG$171,AY66),"")</f>
        <v/>
      </c>
      <c r="AK66" s="2031" t="str" cm="1">
        <f t="array" ref="AK66">IFERROR(INDEX($GS$4:$GS$171,AY66),"")</f>
        <v/>
      </c>
      <c r="AL66" s="2032" t="str" cm="1">
        <f t="array" ref="AL66">IFERROR(INDEX($GT$4:$GT$171,AY66),"")</f>
        <v/>
      </c>
      <c r="AM66" s="2031" t="str" cm="1">
        <f t="array" ref="AM66">IFERROR(INDEX($GB$4:$GB$171,AY66),"")</f>
        <v/>
      </c>
      <c r="AN66" s="2031" t="str" cm="1">
        <f t="array" ref="AN66">IFERROR(INDEX($GC$4:$GC$171,AY66),"")</f>
        <v/>
      </c>
      <c r="AO66" s="2031" t="str" cm="1">
        <f t="array" ref="AO66">IFERROR(INDEX($GU$4:$GU$171,AY66),"")</f>
        <v/>
      </c>
      <c r="AP66" s="2031" t="str" cm="1">
        <f t="array" ref="AP66">IFERROR(INDEX($GX$4:$GX$171,AY66),"")</f>
        <v/>
      </c>
      <c r="AQ66" s="1316"/>
      <c r="AR66" s="2031" t="str" cm="1">
        <f t="array" ref="AR66">IFERROR(INDEX($HD$4:$HD$171,AY66),"")</f>
        <v/>
      </c>
      <c r="AS66" s="2031" t="str" cm="1">
        <f t="array" ref="AS66">IFERROR(INDEX($HE$4:$HE$171,AY66),"")</f>
        <v/>
      </c>
      <c r="AT66" s="2031" t="str" cm="1">
        <f t="array" ref="AT66">IFERROR(INDEX($HF$4:$HF$171,AY66),"")</f>
        <v/>
      </c>
      <c r="AU66" s="2031" t="str" cm="1">
        <f t="array" ref="AU66">IFERROR(INDEX($GJ$4:$GJ$171,AY66),"")</f>
        <v/>
      </c>
      <c r="AV66" s="2031" t="str" cm="1">
        <f t="array" ref="AV66">IFERROR(INDEX($GK$4:$GK$171,AY66),"")</f>
        <v/>
      </c>
      <c r="AY66" s="2042" t="str" cm="1">
        <f t="array" ref="AY66">IFERROR(SMALL(IF($HI$4:$HI$171=1,ROW($HI$4:$HI$171)-3),ROW(W51)),IFERROR(SMALL(IF($HI$4:$HI$171=2,ROW($HI$4:$HI$171)-3),ROW(W51)-COUNTIF($HI$4:$HI$171,1)),IFERROR(SMALL(IF($HI$4:$HI$171=0,ROW($HI$4:$HI$171)-3),ROW(W51)-COUNTIF($HI$4:$HI$171,1)-COUNTIF($HI$4:$HI$171,2)),"")))</f>
        <v/>
      </c>
      <c r="AZ66" s="2042" t="str">
        <f t="shared" si="117"/>
        <v>a</v>
      </c>
      <c r="BA66" s="2053" t="e">
        <f t="shared" si="118"/>
        <v>#VALUE!</v>
      </c>
      <c r="BB66" s="2053" cm="1">
        <f t="array" ref="BB66">IFERROR(INDEX($HI$4:$HI$171,AY66),0)</f>
        <v>0</v>
      </c>
      <c r="BC66" s="2053">
        <f t="shared" si="119"/>
        <v>0</v>
      </c>
      <c r="BD66" s="2053"/>
      <c r="BE66" s="2307"/>
      <c r="BF66" s="2307"/>
      <c r="BG66" s="2307"/>
      <c r="BH66" s="2307"/>
      <c r="BI66" s="2307"/>
      <c r="BJ66" s="2307"/>
      <c r="BK66" s="2307"/>
      <c r="BL66" s="2307"/>
      <c r="BM66" s="2307"/>
      <c r="BN66" s="2307"/>
      <c r="BO66" s="2307"/>
      <c r="BP66" s="2043"/>
      <c r="BQ66" s="2042">
        <v>1</v>
      </c>
      <c r="BR66" cm="1">
        <f t="array" ref="BR66">INDEX(Pflanzen!$B$5:$B$117,'Lagerhaltung (freiwillig)'!BQ66)</f>
        <v>1</v>
      </c>
      <c r="BS66" s="2042"/>
      <c r="BT66" s="2042" t="b">
        <v>0</v>
      </c>
      <c r="BU66" s="2044"/>
      <c r="BV66" s="2044"/>
      <c r="BW66" s="2042">
        <f t="shared" si="136"/>
        <v>12</v>
      </c>
      <c r="BX66" s="2042">
        <f t="shared" si="137"/>
        <v>0</v>
      </c>
      <c r="BY66" s="2042">
        <f t="shared" si="138"/>
        <v>12</v>
      </c>
      <c r="BZ66" s="2042" cm="1">
        <f t="array" ref="BZ66">INDEX(Pflanzen!$AI$5:$AI$119,'Lagerhaltung (freiwillig)'!BR66)</f>
        <v>0</v>
      </c>
      <c r="CA66" s="2042" cm="1">
        <f t="array" ref="CA66">IF(BZ66=1,INDEX(Pflanzen!$AJ$5:$AJ$119,BR66),N66)</f>
        <v>0</v>
      </c>
      <c r="CB66" s="2042" cm="1">
        <f t="array" ref="CB66">IF(BZ66=1,INDEX(Pflanzen!$AK$5:$AK$119,BR66),O66)</f>
        <v>0</v>
      </c>
      <c r="CC66" s="2042">
        <f t="shared" si="139"/>
        <v>12</v>
      </c>
      <c r="CD66" s="2042">
        <f t="shared" si="140"/>
        <v>0</v>
      </c>
      <c r="CE66" s="2042">
        <f t="shared" si="141"/>
        <v>12</v>
      </c>
      <c r="CF66" s="2042" cm="1">
        <f t="array" ref="CF66">INDEX(Pflanzen!$F$5:$F$119,BR66)</f>
        <v>0</v>
      </c>
      <c r="CG66" s="2042" cm="1">
        <f t="array" ref="CG66">INDEX(Pflanzen!$H$5:$H$119,BR66)</f>
        <v>0</v>
      </c>
      <c r="CH66" s="2042">
        <f t="shared" si="142"/>
        <v>0</v>
      </c>
      <c r="CI66" s="2042">
        <f t="shared" si="143"/>
        <v>0</v>
      </c>
      <c r="CJ66" s="2042">
        <f t="shared" si="144"/>
        <v>0</v>
      </c>
      <c r="CK66" s="2042">
        <f t="shared" si="145"/>
        <v>0</v>
      </c>
      <c r="CL66" s="2042">
        <f t="shared" si="146"/>
        <v>0</v>
      </c>
      <c r="CM66" s="2042">
        <f t="shared" si="147"/>
        <v>0</v>
      </c>
      <c r="CN66" s="2042">
        <f t="shared" si="148"/>
        <v>0</v>
      </c>
      <c r="CO66" s="2042">
        <f t="shared" si="149"/>
        <v>0</v>
      </c>
      <c r="CP66" s="2042">
        <f t="shared" si="150"/>
        <v>0</v>
      </c>
      <c r="CQ66" s="2042">
        <f t="shared" si="151"/>
        <v>0</v>
      </c>
      <c r="CR66" s="2042">
        <f t="shared" si="152"/>
        <v>0</v>
      </c>
      <c r="CS66" s="2042">
        <f t="shared" si="153"/>
        <v>0</v>
      </c>
      <c r="CT66" s="2042">
        <f t="shared" si="154"/>
        <v>0</v>
      </c>
      <c r="CU66" s="2042">
        <f t="shared" si="155"/>
        <v>0</v>
      </c>
      <c r="CV66" s="2042"/>
      <c r="CW66" s="609" t="str">
        <f>Pflanzen!A62</f>
        <v xml:space="preserve">Weidelgras </v>
      </c>
      <c r="CX66" s="2042">
        <f>IFERROR(MATCH($CW66,Pflanzen!$C$5:$C$119,0),1)</f>
        <v>58</v>
      </c>
      <c r="CY66" s="609" cm="1">
        <f t="array" ref="CY66">INDEX(Pflanzen!$I$5:$I$119,'Lagerhaltung (freiwillig)'!CX66)</f>
        <v>1</v>
      </c>
      <c r="CZ66" s="2042">
        <f t="shared" si="161"/>
        <v>0</v>
      </c>
      <c r="DA66" s="2042">
        <f t="shared" si="161"/>
        <v>0</v>
      </c>
      <c r="DB66" s="2042">
        <f t="shared" si="161"/>
        <v>0</v>
      </c>
      <c r="DC66" s="2042">
        <f t="shared" si="161"/>
        <v>0</v>
      </c>
      <c r="DD66" s="2042">
        <f t="shared" si="161"/>
        <v>0</v>
      </c>
      <c r="DE66" s="2042">
        <f t="shared" si="161"/>
        <v>0</v>
      </c>
      <c r="DF66" s="2042">
        <f t="shared" si="161"/>
        <v>0</v>
      </c>
      <c r="DG66" s="2042">
        <f t="shared" si="161"/>
        <v>0</v>
      </c>
      <c r="DH66" s="2042">
        <f t="shared" si="161"/>
        <v>0</v>
      </c>
      <c r="DI66" s="2042">
        <f t="shared" si="161"/>
        <v>0</v>
      </c>
      <c r="DJ66" s="2042">
        <f t="shared" si="161"/>
        <v>0</v>
      </c>
      <c r="DK66" s="2042">
        <f t="shared" si="161"/>
        <v>0</v>
      </c>
      <c r="DL66" s="2042"/>
      <c r="DM66" s="2042">
        <f t="shared" ref="DM66:DM121" si="165">SUMIFS($CS$14:$CS$68,$BW$14:$BW$68,1,$BX$14:$BX$68,DM$2,$BR$14:$BR$68,$CX66)+    SUMIFS($CS$14:$CS$68,$BW$14:$BW$68,"&gt;1",$BX$14:$BX$68,"&lt;="&amp;DM$2,$BY$14:$BY$68,"&gt;="&amp;DM$2,$BR$14:$BR$68,$CX66)</f>
        <v>0</v>
      </c>
      <c r="DN66" s="2042">
        <f t="shared" ref="DN66:DX75" si="166">SUMIFS($CS$14:$CS$68,$BW$14:$BW$68,1,$BX$14:$BX$68,DN$2,$BR$14:$BR$68,$CX66)+    SUMIFS($CS$14:$CS$68,$BW$14:$BW$68,"&gt;1",$BX$14:$BX$68,"&lt;="&amp;DN$2,$BY$14:$BY$68,"&gt;="&amp;DN$2,$BR$14:$BR$68,$CX66)</f>
        <v>0</v>
      </c>
      <c r="DO66" s="2042">
        <f t="shared" si="166"/>
        <v>0</v>
      </c>
      <c r="DP66" s="2042">
        <f t="shared" si="166"/>
        <v>0</v>
      </c>
      <c r="DQ66" s="2042">
        <f t="shared" si="166"/>
        <v>0</v>
      </c>
      <c r="DR66" s="2042">
        <f t="shared" si="166"/>
        <v>0</v>
      </c>
      <c r="DS66" s="2042">
        <f t="shared" si="166"/>
        <v>0</v>
      </c>
      <c r="DT66" s="2042">
        <f t="shared" si="166"/>
        <v>0</v>
      </c>
      <c r="DU66" s="2042">
        <f t="shared" si="166"/>
        <v>0</v>
      </c>
      <c r="DV66" s="2042">
        <f t="shared" si="166"/>
        <v>0</v>
      </c>
      <c r="DW66" s="2042">
        <f t="shared" si="166"/>
        <v>0</v>
      </c>
      <c r="DX66" s="2042">
        <f t="shared" si="166"/>
        <v>0</v>
      </c>
      <c r="DY66" s="2042"/>
      <c r="DZ66" s="2042">
        <f t="shared" si="163"/>
        <v>0</v>
      </c>
      <c r="EA66" s="2042">
        <f t="shared" si="163"/>
        <v>0</v>
      </c>
      <c r="EB66" s="2042">
        <f t="shared" si="163"/>
        <v>0</v>
      </c>
      <c r="EC66" s="2042">
        <f t="shared" si="163"/>
        <v>0</v>
      </c>
      <c r="ED66" s="2042">
        <f t="shared" si="163"/>
        <v>0</v>
      </c>
      <c r="EE66" s="2042">
        <f t="shared" si="163"/>
        <v>0</v>
      </c>
      <c r="EF66" s="2042">
        <f t="shared" si="163"/>
        <v>0</v>
      </c>
      <c r="EG66" s="2042">
        <f t="shared" si="163"/>
        <v>0</v>
      </c>
      <c r="EH66" s="2042">
        <f t="shared" si="163"/>
        <v>0</v>
      </c>
      <c r="EI66" s="2042">
        <f t="shared" si="163"/>
        <v>0</v>
      </c>
      <c r="EJ66" s="2042">
        <f t="shared" si="163"/>
        <v>0</v>
      </c>
      <c r="EK66" s="2042">
        <f t="shared" si="163"/>
        <v>0</v>
      </c>
      <c r="EL66" s="2042"/>
      <c r="EM66" s="2042">
        <f t="shared" ref="EM66:EM121" si="167">SUMIFS($CN$14:$CN$68,$CC$14:$CC$68,1,$CD$14:$CD$68,EM$2,$BR$14:$BR$68,$CX66)+         SUMIFS($CN$14:$CN$68,$CC$14:$CC$68,"&gt;1",$CD$14:$CD$68,"&lt;="&amp;EM$2,$CE$14:$CE$68,"&gt;="&amp;EM$2,$BR$14:$BR$68,$CX66)</f>
        <v>0</v>
      </c>
      <c r="EN66" s="2042">
        <f t="shared" ref="EN66:EX75" si="168">SUMIFS($CN$14:$CN$68,$CC$14:$CC$68,1,$CD$14:$CD$68,EN$2,$BR$14:$BR$68,$CX66)+         SUMIFS($CN$14:$CN$68,$CC$14:$CC$68,"&gt;1",$CD$14:$CD$68,"&lt;="&amp;EN$2,$CE$14:$CE$68,"&gt;="&amp;EN$2,$BR$14:$BR$68,$CX66)</f>
        <v>0</v>
      </c>
      <c r="EO66" s="2042">
        <f t="shared" si="168"/>
        <v>0</v>
      </c>
      <c r="EP66" s="2042">
        <f t="shared" si="168"/>
        <v>0</v>
      </c>
      <c r="EQ66" s="2042">
        <f t="shared" si="168"/>
        <v>0</v>
      </c>
      <c r="ER66" s="2042">
        <f t="shared" si="168"/>
        <v>0</v>
      </c>
      <c r="ES66" s="2042">
        <f t="shared" si="168"/>
        <v>0</v>
      </c>
      <c r="ET66" s="2042">
        <f t="shared" si="168"/>
        <v>0</v>
      </c>
      <c r="EU66" s="2042">
        <f t="shared" si="168"/>
        <v>0</v>
      </c>
      <c r="EV66" s="2042">
        <f t="shared" si="168"/>
        <v>0</v>
      </c>
      <c r="EW66" s="2042">
        <f t="shared" si="168"/>
        <v>0</v>
      </c>
      <c r="EX66" s="2042">
        <f t="shared" si="168"/>
        <v>0</v>
      </c>
      <c r="EY66" s="2042"/>
      <c r="EZ66" s="2045">
        <f t="shared" si="50"/>
        <v>0</v>
      </c>
      <c r="FA66" s="2042">
        <f>EZ66+CZ66+DZ66                 -         SUMIF('Berechnung Nährstoffe und Lager'!$AX$113:$AX$155,$CX66,'Berechnung Nährstoffe und Lager'!$U$113:$U$155)/12  -$GB66*$HC66/12</f>
        <v>0</v>
      </c>
      <c r="FB66" s="2042">
        <f>FA66+DA66+EA66                 -         SUMIF('Berechnung Nährstoffe und Lager'!$AX$113:$AX$155,$CX66,'Berechnung Nährstoffe und Lager'!$U$113:$U$155)/12  -$GB66*$HC66/12</f>
        <v>0</v>
      </c>
      <c r="FC66" s="2042">
        <f>FB66+DB66+EB66                 -         SUMIF('Berechnung Nährstoffe und Lager'!$AX$113:$AX$155,$CX66,'Berechnung Nährstoffe und Lager'!$U$113:$U$155)/12  -$GB66*$HC66/12</f>
        <v>0</v>
      </c>
      <c r="FD66" s="2042">
        <f>FC66+DC66+EC66                 -         SUMIF('Berechnung Nährstoffe und Lager'!$AX$113:$AX$155,$CX66,'Berechnung Nährstoffe und Lager'!$U$113:$U$155)/12  -$GB66*$HC66/12</f>
        <v>0</v>
      </c>
      <c r="FE66" s="2042">
        <f>FD66+DD66+ED66                 -         SUMIF('Berechnung Nährstoffe und Lager'!$AX$113:$AX$155,$CX66,'Berechnung Nährstoffe und Lager'!$U$113:$U$155)/12  -$GB66*$HC66/12</f>
        <v>0</v>
      </c>
      <c r="FF66" s="2042">
        <f>FE66+DE66+EE66                 -         SUMIF('Berechnung Nährstoffe und Lager'!$AX$113:$AX$155,$CX66,'Berechnung Nährstoffe und Lager'!$U$113:$U$155)/12  -$GB66*$HC66/12</f>
        <v>0</v>
      </c>
      <c r="FG66" s="2042">
        <f>FF66+DF66+EF66                 -         SUMIF('Berechnung Nährstoffe und Lager'!$AX$113:$AX$155,$CX66,'Berechnung Nährstoffe und Lager'!$U$113:$U$155)/12  -$GB66*$HC66/12</f>
        <v>0</v>
      </c>
      <c r="FH66" s="2042">
        <f>FG66+DG66+EG66                 -         SUMIF('Berechnung Nährstoffe und Lager'!$AX$113:$AX$155,$CX66,'Berechnung Nährstoffe und Lager'!$U$113:$U$155)/12  -$GB66*$HC66/12</f>
        <v>0</v>
      </c>
      <c r="FI66" s="2042">
        <f>FH66+DH66+EH66                 -         SUMIF('Berechnung Nährstoffe und Lager'!$AX$113:$AX$155,$CX66,'Berechnung Nährstoffe und Lager'!$U$113:$U$155)/12  -$GB66*$HC66/12</f>
        <v>0</v>
      </c>
      <c r="FJ66" s="2042">
        <f>FI66+DI66+EI66                 -         SUMIF('Berechnung Nährstoffe und Lager'!$AX$113:$AX$155,$CX66,'Berechnung Nährstoffe und Lager'!$U$113:$U$155)/12  -$GB66*$HC66/12</f>
        <v>0</v>
      </c>
      <c r="FK66" s="2042">
        <f>FJ66+DJ66+EJ66                 -         SUMIF('Berechnung Nährstoffe und Lager'!$AX$113:$AX$155,$CX66,'Berechnung Nährstoffe und Lager'!$U$113:$U$155)/12  -$GB66*$HC66/12</f>
        <v>0</v>
      </c>
      <c r="FL66" s="2042">
        <f>FK66+DK66+EK66                 -         SUMIF('Berechnung Nährstoffe und Lager'!$AX$113:$AX$155,$CX66,'Berechnung Nährstoffe und Lager'!$U$113:$U$155)/12  -$GB66*$HC66/12</f>
        <v>0</v>
      </c>
      <c r="FM66" s="2042"/>
      <c r="FN66" s="2045">
        <f t="shared" si="51"/>
        <v>0</v>
      </c>
      <c r="FO66" s="2042">
        <f>FN66+DM66+EM66                 -         SUMIF('Berechnung Nährstoffe und Lager'!$AX$113:$AX$155,$CX66,'Berechnung Nährstoffe und Lager'!$V$113:$V$155)/12  -$GC66*$HC66/12</f>
        <v>0</v>
      </c>
      <c r="FP66" s="2042">
        <f>FO66+DN66+EN66                 -         SUMIF('Berechnung Nährstoffe und Lager'!$AX$113:$AX$155,$CX66,'Berechnung Nährstoffe und Lager'!$V$113:$V$155)/12  -$GC66*$HC66/12</f>
        <v>0</v>
      </c>
      <c r="FQ66" s="2042">
        <f>FP66+DO66+EO66                 -         SUMIF('Berechnung Nährstoffe und Lager'!$AX$113:$AX$155,$CX66,'Berechnung Nährstoffe und Lager'!$V$113:$V$155)/12  -$GC66*$HC66/12</f>
        <v>0</v>
      </c>
      <c r="FR66" s="2042">
        <f>FQ66+DP66+EP66                 -         SUMIF('Berechnung Nährstoffe und Lager'!$AX$113:$AX$155,$CX66,'Berechnung Nährstoffe und Lager'!$V$113:$V$155)/12  -$GC66*$HC66/12</f>
        <v>0</v>
      </c>
      <c r="FS66" s="2042">
        <f>FR66+DQ66+EQ66                 -         SUMIF('Berechnung Nährstoffe und Lager'!$AX$113:$AX$155,$CX66,'Berechnung Nährstoffe und Lager'!$V$113:$V$155)/12  -$GC66*$HC66/12</f>
        <v>0</v>
      </c>
      <c r="FT66" s="2042">
        <f>FS66+DR66+ER66                 -         SUMIF('Berechnung Nährstoffe und Lager'!$AX$113:$AX$155,$CX66,'Berechnung Nährstoffe und Lager'!$V$113:$V$155)/12  -$GC66*$HC66/12</f>
        <v>0</v>
      </c>
      <c r="FU66" s="2042">
        <f>FT66+DS66+ES66                 -         SUMIF('Berechnung Nährstoffe und Lager'!$AX$113:$AX$155,$CX66,'Berechnung Nährstoffe und Lager'!$V$113:$V$155)/12  -$GC66*$HC66/12</f>
        <v>0</v>
      </c>
      <c r="FV66" s="2042">
        <f>FU66+DT66+ET66                 -         SUMIF('Berechnung Nährstoffe und Lager'!$AX$113:$AX$155,$CX66,'Berechnung Nährstoffe und Lager'!$V$113:$V$155)/12  -$GC66*$HC66/12</f>
        <v>0</v>
      </c>
      <c r="FW66" s="2042">
        <f>FV66+DU66+EU66                 -         SUMIF('Berechnung Nährstoffe und Lager'!$AX$113:$AX$155,$CX66,'Berechnung Nährstoffe und Lager'!$V$113:$V$155)/12  -$GC66*$HC66/12</f>
        <v>0</v>
      </c>
      <c r="FX66" s="2042">
        <f>FW66+DV66+EV66                 -         SUMIF('Berechnung Nährstoffe und Lager'!$AX$113:$AX$155,$CX66,'Berechnung Nährstoffe und Lager'!$V$113:$V$155)/12  -$GC66*$HC66/12</f>
        <v>0</v>
      </c>
      <c r="FY66" s="2042">
        <f>FX66+DW66+EW66                 -         SUMIF('Berechnung Nährstoffe und Lager'!$AX$113:$AX$155,$CX66,'Berechnung Nährstoffe und Lager'!$V$113:$V$155)/12  -$GC66*$HC66/12</f>
        <v>0</v>
      </c>
      <c r="FZ66" s="2042">
        <f>FY66+DX66+EX66                 -         SUMIF('Berechnung Nährstoffe und Lager'!$AX$113:$AX$155,$CX66,'Berechnung Nährstoffe und Lager'!$V$113:$V$155)/12  -$GC66*$HC66/12</f>
        <v>0</v>
      </c>
      <c r="GA66" s="2042"/>
      <c r="GB66" s="2042">
        <f>SUMIFS($CI$14:$CI$68,$BR$14:$BR$68,$CX66)+SUMIFS($CM$14:$CM$68,$BR$14:$BR$68,$CX66)+SUMIFS($CR$14:$CR$68,$BR$14:$BR$68,$CX66)  -         SUMIF('Berechnung Nährstoffe und Lager'!$AX$113:$AX$155,$CX66,'Berechnung Nährstoffe und Lager'!$U$113:$U$155)</f>
        <v>0</v>
      </c>
      <c r="GC66" s="2042">
        <f>SUMIFS($CJ$14:$CJ$68,$BR$14:$BR$68,$CX66)+SUMIFS($CO$14:$CO$68,$BR$14:$BR$68,$CX66)+SUMIFS($CT$14:$CT$68,$BR$14:$BR$68,$CX66)  -         SUMIF('Berechnung Nährstoffe und Lager'!$AX$113:$AX$155,$CX66,'Berechnung Nährstoffe und Lager'!$V$113:$V$155)</f>
        <v>0</v>
      </c>
      <c r="GD66" s="2042"/>
      <c r="GE66" s="2042"/>
      <c r="GF66" s="2042">
        <f>SUMIF('Berechnung Nährstoffe und Lager'!$AX$113:$AX$155,$CX66,'Berechnung Nährstoffe und Lager'!$U$113:$U$155)</f>
        <v>0</v>
      </c>
      <c r="GG66" s="2042">
        <f>SUMIF('Berechnung Nährstoffe und Lager'!$AX$113:$AX$155,$CX66,'Berechnung Nährstoffe und Lager'!$V$113:$V$155)</f>
        <v>0</v>
      </c>
      <c r="GH66" s="2042">
        <f t="shared" si="52"/>
        <v>0</v>
      </c>
      <c r="GI66" s="2042">
        <f t="shared" si="53"/>
        <v>0</v>
      </c>
      <c r="GJ66" s="2042">
        <f t="shared" si="121"/>
        <v>0</v>
      </c>
      <c r="GK66" s="2042">
        <f t="shared" si="122"/>
        <v>0</v>
      </c>
      <c r="GL66" s="2042">
        <f t="shared" si="123"/>
        <v>0</v>
      </c>
      <c r="GM66" s="2042" cm="1">
        <f t="array" ref="GM66">IF(GL66=0,0,(IFERROR(SUMPRODUCT($J$14:$J$68,$CH$14:$CH$68,($BR$14:$BR$68=CX66)*1)+SUMPRODUCT($L$14:$L$68,$M$14:$M$68,$CK$14:$CK$68,($BR$14:$BR$68=CX66)*1,($BT$14:$BT$68=FALSE)*1)/10+SUMPRODUCT($R$14:$R$68,$CP$14:$CP$68,($BR$14:$BR$68=CX66)*1),0))/GL66)</f>
        <v>0</v>
      </c>
      <c r="GN66" s="2042">
        <f t="shared" si="54"/>
        <v>0</v>
      </c>
      <c r="GO66" s="2042">
        <f>(SUMIF('Berechnung Nährstoffe und Lager'!$AX$113:$AX$130,'Lagerhaltung (freiwillig)'!CX66,'Berechnung Nährstoffe und Lager'!$D$113:$D$130)+SUMIF('Berechnung Nährstoffe und Lager'!$AX$137:$AX$155,'Lagerhaltung (freiwillig)'!CX66,'Berechnung Nährstoffe und Lager'!$E$137:$E$155))</f>
        <v>0</v>
      </c>
      <c r="GP66" s="2042" cm="1">
        <f t="array" ref="GP66">IF(GO66=0,0,(IFERROR(SUMPRODUCT('Berechnung Nährstoffe und Lager'!$D$113:$D$130,'Berechnung Nährstoffe und Lager'!$F$113:$F$130,('Berechnung Nährstoffe und Lager'!$AX$113:$AX$130='Lagerhaltung (freiwillig)'!CX66)*1)+SUMPRODUCT('Berechnung Nährstoffe und Lager'!$E$137:$E$155,'Berechnung Nährstoffe und Lager'!$F$137:$F$155,('Berechnung Nährstoffe und Lager'!$AX$137:$AX$155='Lagerhaltung (freiwillig)'!CX66)*1),0))/GO66)</f>
        <v>0</v>
      </c>
      <c r="GQ66" s="2042">
        <f t="shared" si="55"/>
        <v>0</v>
      </c>
      <c r="GR66" s="2042">
        <f t="shared" si="56"/>
        <v>0</v>
      </c>
      <c r="GS66" s="2042">
        <f t="shared" si="57"/>
        <v>0</v>
      </c>
      <c r="GT66" s="2042">
        <f t="shared" si="58"/>
        <v>0</v>
      </c>
      <c r="GU66" s="2045" t="str">
        <f t="shared" si="39"/>
        <v xml:space="preserve"> </v>
      </c>
      <c r="GV66" s="2045" t="str">
        <f t="shared" si="39"/>
        <v xml:space="preserve"> </v>
      </c>
      <c r="GW66" s="2054">
        <f t="shared" si="124"/>
        <v>0</v>
      </c>
      <c r="GX66" s="2042">
        <f t="shared" si="125"/>
        <v>0</v>
      </c>
      <c r="GY66" s="2042" t="str">
        <f t="shared" si="120"/>
        <v>a</v>
      </c>
      <c r="GZ66" s="2055">
        <f t="shared" si="126"/>
        <v>0</v>
      </c>
      <c r="HA66" s="2055">
        <f t="shared" si="127"/>
        <v>0</v>
      </c>
      <c r="HB66" s="2055"/>
      <c r="HC66" s="2046">
        <f t="shared" si="128"/>
        <v>0</v>
      </c>
      <c r="HD66" s="2055">
        <f t="shared" si="129"/>
        <v>0</v>
      </c>
      <c r="HE66" s="2055">
        <f t="shared" si="130"/>
        <v>0</v>
      </c>
      <c r="HF66" s="2055">
        <f t="shared" si="131"/>
        <v>0</v>
      </c>
      <c r="HG66" s="2282" cm="1">
        <f t="array" ref="HG66">IF(AND(HE66=0,GJ66=0),0,IF(HE66=0,1,IF(OR(GJ66*1000/HE66/HF66&gt;INDEX(Pflanzen!$AD$5:$AD$109,CX66)/INDEX(Pflanzen!$M$5:$M$109,CX66)*$HG$1,GJ66*1000/HE66/HF66&lt;INDEX(Pflanzen!$AD$5:$AD$109,CX66)/INDEX(Pflanzen!$M$5:$M$109,CX66)/$HG$1),1,0)))</f>
        <v>0</v>
      </c>
      <c r="HH66" s="2282" cm="1">
        <f t="array" ref="HH66">IF(AND(GK66=0,HE66=0),0,IF(HE66=0,1,IF(OR(GK66*1000/HE66/HF66&gt;INDEX(Pflanzen!$AE$5:$AE$109,CX66)/INDEX(Pflanzen!$M$5:$M$109,CX66)*$HG$1,GK66*1000/HE66/HF66&lt;INDEX(Pflanzen!$AE$5:$AE$109,CX66)/INDEX(Pflanzen!$M$5:$M$109,CX66)/$HG$1),1,0)))</f>
        <v>0</v>
      </c>
      <c r="HI66" s="2042">
        <f t="shared" si="132"/>
        <v>3</v>
      </c>
      <c r="HJ66" s="2042"/>
      <c r="HL66" s="2042"/>
      <c r="HM66" s="2042"/>
      <c r="HN66" s="2042"/>
      <c r="HO66" s="2042"/>
      <c r="HP66" s="2042"/>
      <c r="HQ66" s="2042"/>
      <c r="HR66" s="2042"/>
      <c r="HS66" s="2042"/>
      <c r="HT66" s="2042"/>
      <c r="HU66" s="2042"/>
      <c r="HV66" s="2042"/>
      <c r="HW66" s="2042"/>
      <c r="HX66" s="2042"/>
      <c r="HY66" s="2042"/>
      <c r="HZ66" s="2042"/>
      <c r="IA66" s="2042"/>
      <c r="IB66" s="2042"/>
      <c r="IC66" s="2042"/>
      <c r="ID66" s="2042"/>
      <c r="IE66" s="2042"/>
      <c r="IF66" s="2042"/>
      <c r="IG66" s="2042"/>
      <c r="IH66" s="2042"/>
      <c r="II66" s="2042"/>
      <c r="IJ66" s="2042"/>
    </row>
    <row r="67" spans="1:244" ht="15.6" customHeight="1" x14ac:dyDescent="0.2">
      <c r="F67" s="1259"/>
      <c r="G67" s="2314"/>
      <c r="H67" s="2293"/>
      <c r="I67" s="2020" t="str">
        <f t="shared" si="133"/>
        <v/>
      </c>
      <c r="J67" s="1256"/>
      <c r="K67" s="2020" t="str">
        <f t="shared" si="134"/>
        <v/>
      </c>
      <c r="L67" s="1970"/>
      <c r="M67" s="1246"/>
      <c r="N67" s="1870"/>
      <c r="O67" s="1870"/>
      <c r="P67" s="2222"/>
      <c r="Q67" s="2194" t="str">
        <f t="shared" si="135"/>
        <v/>
      </c>
      <c r="R67" s="1970"/>
      <c r="S67" s="1246"/>
      <c r="T67" s="1256"/>
      <c r="V67" s="2316" t="str">
        <f t="shared" si="156"/>
        <v/>
      </c>
      <c r="Y67" s="2005" t="str" cm="1">
        <f t="array" ref="Y67">IFERROR(INDEX($CW$4:$CW$171,AY67),"")</f>
        <v/>
      </c>
      <c r="Z67" s="510"/>
      <c r="AA67" s="510"/>
      <c r="AB67" s="510"/>
      <c r="AC67" s="2031" t="str" cm="1">
        <f t="array" ref="AC67">IFERROR(INDEX($GL$4:$GL$171,AY67),"")</f>
        <v/>
      </c>
      <c r="AD67" s="2031" t="str" cm="1">
        <f t="array" ref="AD67">IFERROR(INDEX($GM$4:$GM$171,AY67),"")</f>
        <v/>
      </c>
      <c r="AE67" s="2031" t="str" cm="1">
        <f t="array" ref="AE67">IFERROR(INDEX($GH$4:$GH$171,AY67),"")</f>
        <v/>
      </c>
      <c r="AF67" s="2031" t="str" cm="1">
        <f t="array" ref="AF67">IFERROR(INDEX($GI$4:$GI$171,AY67),"")</f>
        <v/>
      </c>
      <c r="AG67" s="2031" t="str" cm="1">
        <f t="array" ref="AG67">IFERROR(INDEX($GO$4:$GO$171,AY67),"")</f>
        <v/>
      </c>
      <c r="AH67" s="2031" t="str" cm="1">
        <f t="array" ref="AH67">IFERROR(INDEX($GP$4:$GP$171,AY67),"")</f>
        <v/>
      </c>
      <c r="AI67" s="2031" t="str" cm="1">
        <f t="array" ref="AI67">IFERROR(INDEX($GF$4:$GF$171,AY67),"")</f>
        <v/>
      </c>
      <c r="AJ67" s="2031" t="str" cm="1">
        <f t="array" ref="AJ67">IFERROR(INDEX($GG$4:$GG$171,AY67),"")</f>
        <v/>
      </c>
      <c r="AK67" s="2031" t="str" cm="1">
        <f t="array" ref="AK67">IFERROR(INDEX($GS$4:$GS$171,AY67),"")</f>
        <v/>
      </c>
      <c r="AL67" s="2032" t="str" cm="1">
        <f t="array" ref="AL67">IFERROR(INDEX($GT$4:$GT$171,AY67),"")</f>
        <v/>
      </c>
      <c r="AM67" s="2031" t="str" cm="1">
        <f t="array" ref="AM67">IFERROR(INDEX($GB$4:$GB$171,AY67),"")</f>
        <v/>
      </c>
      <c r="AN67" s="2031" t="str" cm="1">
        <f t="array" ref="AN67">IFERROR(INDEX($GC$4:$GC$171,AY67),"")</f>
        <v/>
      </c>
      <c r="AO67" s="2031" t="str" cm="1">
        <f t="array" ref="AO67">IFERROR(INDEX($GU$4:$GU$171,AY67),"")</f>
        <v/>
      </c>
      <c r="AP67" s="2031" t="str" cm="1">
        <f t="array" ref="AP67">IFERROR(INDEX($GX$4:$GX$171,AY67),"")</f>
        <v/>
      </c>
      <c r="AQ67" s="1316"/>
      <c r="AR67" s="2031" t="str" cm="1">
        <f t="array" ref="AR67">IFERROR(INDEX($HD$4:$HD$171,AY67),"")</f>
        <v/>
      </c>
      <c r="AS67" s="2031" t="str" cm="1">
        <f t="array" ref="AS67">IFERROR(INDEX($HE$4:$HE$171,AY67),"")</f>
        <v/>
      </c>
      <c r="AT67" s="2031" t="str" cm="1">
        <f t="array" ref="AT67">IFERROR(INDEX($HF$4:$HF$171,AY67),"")</f>
        <v/>
      </c>
      <c r="AU67" s="2031" t="str" cm="1">
        <f t="array" ref="AU67">IFERROR(INDEX($GJ$4:$GJ$171,AY67),"")</f>
        <v/>
      </c>
      <c r="AV67" s="2031" t="str" cm="1">
        <f t="array" ref="AV67">IFERROR(INDEX($GK$4:$GK$171,AY67),"")</f>
        <v/>
      </c>
      <c r="AY67" s="2042" t="str" cm="1">
        <f t="array" ref="AY67">IFERROR(SMALL(IF($HI$4:$HI$171=1,ROW($HI$4:$HI$171)-3),ROW(W52)),IFERROR(SMALL(IF($HI$4:$HI$171=2,ROW($HI$4:$HI$171)-3),ROW(W52)-COUNTIF($HI$4:$HI$171,1)),IFERROR(SMALL(IF($HI$4:$HI$171=0,ROW($HI$4:$HI$171)-3),ROW(W52)-COUNTIF($HI$4:$HI$171,1)-COUNTIF($HI$4:$HI$171,2)),"")))</f>
        <v/>
      </c>
      <c r="AZ67" s="2042" t="str">
        <f t="shared" si="117"/>
        <v>a</v>
      </c>
      <c r="BA67" s="2053" t="e">
        <f t="shared" si="118"/>
        <v>#VALUE!</v>
      </c>
      <c r="BB67" s="2053" cm="1">
        <f t="array" ref="BB67">IFERROR(INDEX($HI$4:$HI$171,AY67),0)</f>
        <v>0</v>
      </c>
      <c r="BC67" s="2053">
        <f t="shared" si="119"/>
        <v>0</v>
      </c>
      <c r="BD67" s="2053"/>
      <c r="BE67" s="2307"/>
      <c r="BF67" s="2307"/>
      <c r="BG67" s="2307"/>
      <c r="BH67" s="2307"/>
      <c r="BI67" s="2307"/>
      <c r="BJ67" s="2307"/>
      <c r="BK67" s="2307"/>
      <c r="BL67" s="2307"/>
      <c r="BM67" s="2307"/>
      <c r="BN67" s="2307"/>
      <c r="BO67" s="2307"/>
      <c r="BP67" s="2043"/>
      <c r="BQ67" s="2042">
        <v>1</v>
      </c>
      <c r="BR67" cm="1">
        <f t="array" ref="BR67">INDEX(Pflanzen!$B$5:$B$117,'Lagerhaltung (freiwillig)'!BQ67)</f>
        <v>1</v>
      </c>
      <c r="BS67" s="2042"/>
      <c r="BT67" s="2042" t="b">
        <v>0</v>
      </c>
      <c r="BU67" s="2044"/>
      <c r="BV67" s="2044"/>
      <c r="BW67" s="2042">
        <f t="shared" si="136"/>
        <v>12</v>
      </c>
      <c r="BX67" s="2042">
        <f t="shared" si="137"/>
        <v>0</v>
      </c>
      <c r="BY67" s="2042">
        <f t="shared" si="138"/>
        <v>12</v>
      </c>
      <c r="BZ67" s="2042" cm="1">
        <f t="array" ref="BZ67">INDEX(Pflanzen!$AI$5:$AI$119,'Lagerhaltung (freiwillig)'!BR67)</f>
        <v>0</v>
      </c>
      <c r="CA67" s="2042" cm="1">
        <f t="array" ref="CA67">IF(BZ67=1,INDEX(Pflanzen!$AJ$5:$AJ$119,BR67),N67)</f>
        <v>0</v>
      </c>
      <c r="CB67" s="2042" cm="1">
        <f t="array" ref="CB67">IF(BZ67=1,INDEX(Pflanzen!$AK$5:$AK$119,BR67),O67)</f>
        <v>0</v>
      </c>
      <c r="CC67" s="2042">
        <f t="shared" si="139"/>
        <v>12</v>
      </c>
      <c r="CD67" s="2042">
        <f t="shared" si="140"/>
        <v>0</v>
      </c>
      <c r="CE67" s="2042">
        <f t="shared" si="141"/>
        <v>12</v>
      </c>
      <c r="CF67" s="2042" cm="1">
        <f t="array" ref="CF67">INDEX(Pflanzen!$F$5:$F$119,BR67)</f>
        <v>0</v>
      </c>
      <c r="CG67" s="2042" cm="1">
        <f t="array" ref="CG67">INDEX(Pflanzen!$H$5:$H$119,BR67)</f>
        <v>0</v>
      </c>
      <c r="CH67" s="2042">
        <f t="shared" si="142"/>
        <v>0</v>
      </c>
      <c r="CI67" s="2042">
        <f t="shared" si="143"/>
        <v>0</v>
      </c>
      <c r="CJ67" s="2042">
        <f t="shared" si="144"/>
        <v>0</v>
      </c>
      <c r="CK67" s="2042">
        <f t="shared" si="145"/>
        <v>0</v>
      </c>
      <c r="CL67" s="2042">
        <f t="shared" si="146"/>
        <v>0</v>
      </c>
      <c r="CM67" s="2042">
        <f t="shared" si="147"/>
        <v>0</v>
      </c>
      <c r="CN67" s="2042">
        <f t="shared" si="148"/>
        <v>0</v>
      </c>
      <c r="CO67" s="2042">
        <f t="shared" si="149"/>
        <v>0</v>
      </c>
      <c r="CP67" s="2042">
        <f t="shared" si="150"/>
        <v>0</v>
      </c>
      <c r="CQ67" s="2042">
        <f t="shared" si="151"/>
        <v>0</v>
      </c>
      <c r="CR67" s="2042">
        <f t="shared" si="152"/>
        <v>0</v>
      </c>
      <c r="CS67" s="2042">
        <f t="shared" si="153"/>
        <v>0</v>
      </c>
      <c r="CT67" s="2042">
        <f t="shared" si="154"/>
        <v>0</v>
      </c>
      <c r="CU67" s="2042">
        <f t="shared" si="155"/>
        <v>0</v>
      </c>
      <c r="CV67" s="2042"/>
      <c r="CW67" s="609" t="str">
        <f>Pflanzen!A63</f>
        <v>Alexandrinerklee</v>
      </c>
      <c r="CX67" s="2042">
        <f>IFERROR(MATCH($CW67,Pflanzen!$C$5:$C$119,0),1)</f>
        <v>59</v>
      </c>
      <c r="CY67" s="609" cm="1">
        <f t="array" ref="CY67">INDEX(Pflanzen!$I$5:$I$119,'Lagerhaltung (freiwillig)'!CX67)</f>
        <v>1</v>
      </c>
      <c r="CZ67" s="2042">
        <f t="shared" si="161"/>
        <v>0</v>
      </c>
      <c r="DA67" s="2042">
        <f t="shared" si="161"/>
        <v>0</v>
      </c>
      <c r="DB67" s="2042">
        <f t="shared" si="161"/>
        <v>0</v>
      </c>
      <c r="DC67" s="2042">
        <f t="shared" si="161"/>
        <v>0</v>
      </c>
      <c r="DD67" s="2042">
        <f t="shared" si="161"/>
        <v>0</v>
      </c>
      <c r="DE67" s="2042">
        <f t="shared" si="161"/>
        <v>0</v>
      </c>
      <c r="DF67" s="2042">
        <f t="shared" si="161"/>
        <v>0</v>
      </c>
      <c r="DG67" s="2042">
        <f t="shared" si="161"/>
        <v>0</v>
      </c>
      <c r="DH67" s="2042">
        <f t="shared" si="161"/>
        <v>0</v>
      </c>
      <c r="DI67" s="2042">
        <f t="shared" si="161"/>
        <v>0</v>
      </c>
      <c r="DJ67" s="2042">
        <f t="shared" si="161"/>
        <v>0</v>
      </c>
      <c r="DK67" s="2042">
        <f t="shared" si="161"/>
        <v>0</v>
      </c>
      <c r="DL67" s="2042"/>
      <c r="DM67" s="2042">
        <f t="shared" si="165"/>
        <v>0</v>
      </c>
      <c r="DN67" s="2042">
        <f t="shared" si="166"/>
        <v>0</v>
      </c>
      <c r="DO67" s="2042">
        <f t="shared" si="166"/>
        <v>0</v>
      </c>
      <c r="DP67" s="2042">
        <f t="shared" si="166"/>
        <v>0</v>
      </c>
      <c r="DQ67" s="2042">
        <f t="shared" si="166"/>
        <v>0</v>
      </c>
      <c r="DR67" s="2042">
        <f t="shared" si="166"/>
        <v>0</v>
      </c>
      <c r="DS67" s="2042">
        <f t="shared" si="166"/>
        <v>0</v>
      </c>
      <c r="DT67" s="2042">
        <f t="shared" si="166"/>
        <v>0</v>
      </c>
      <c r="DU67" s="2042">
        <f t="shared" si="166"/>
        <v>0</v>
      </c>
      <c r="DV67" s="2042">
        <f t="shared" si="166"/>
        <v>0</v>
      </c>
      <c r="DW67" s="2042">
        <f t="shared" si="166"/>
        <v>0</v>
      </c>
      <c r="DX67" s="2042">
        <f t="shared" si="166"/>
        <v>0</v>
      </c>
      <c r="DY67" s="2042"/>
      <c r="DZ67" s="2042">
        <f t="shared" si="163"/>
        <v>0</v>
      </c>
      <c r="EA67" s="2042">
        <f t="shared" si="163"/>
        <v>0</v>
      </c>
      <c r="EB67" s="2042">
        <f t="shared" si="163"/>
        <v>0</v>
      </c>
      <c r="EC67" s="2042">
        <f t="shared" si="163"/>
        <v>0</v>
      </c>
      <c r="ED67" s="2042">
        <f t="shared" si="163"/>
        <v>0</v>
      </c>
      <c r="EE67" s="2042">
        <f t="shared" si="163"/>
        <v>0</v>
      </c>
      <c r="EF67" s="2042">
        <f t="shared" si="163"/>
        <v>0</v>
      </c>
      <c r="EG67" s="2042">
        <f t="shared" si="163"/>
        <v>0</v>
      </c>
      <c r="EH67" s="2042">
        <f t="shared" si="163"/>
        <v>0</v>
      </c>
      <c r="EI67" s="2042">
        <f t="shared" si="163"/>
        <v>0</v>
      </c>
      <c r="EJ67" s="2042">
        <f t="shared" si="163"/>
        <v>0</v>
      </c>
      <c r="EK67" s="2042">
        <f t="shared" si="163"/>
        <v>0</v>
      </c>
      <c r="EL67" s="2042"/>
      <c r="EM67" s="2042">
        <f t="shared" si="167"/>
        <v>0</v>
      </c>
      <c r="EN67" s="2042">
        <f t="shared" si="168"/>
        <v>0</v>
      </c>
      <c r="EO67" s="2042">
        <f t="shared" si="168"/>
        <v>0</v>
      </c>
      <c r="EP67" s="2042">
        <f t="shared" si="168"/>
        <v>0</v>
      </c>
      <c r="EQ67" s="2042">
        <f t="shared" si="168"/>
        <v>0</v>
      </c>
      <c r="ER67" s="2042">
        <f t="shared" si="168"/>
        <v>0</v>
      </c>
      <c r="ES67" s="2042">
        <f t="shared" si="168"/>
        <v>0</v>
      </c>
      <c r="ET67" s="2042">
        <f t="shared" si="168"/>
        <v>0</v>
      </c>
      <c r="EU67" s="2042">
        <f t="shared" si="168"/>
        <v>0</v>
      </c>
      <c r="EV67" s="2042">
        <f t="shared" si="168"/>
        <v>0</v>
      </c>
      <c r="EW67" s="2042">
        <f t="shared" si="168"/>
        <v>0</v>
      </c>
      <c r="EX67" s="2042">
        <f t="shared" si="168"/>
        <v>0</v>
      </c>
      <c r="EY67" s="2042"/>
      <c r="EZ67" s="2045">
        <f t="shared" si="50"/>
        <v>0</v>
      </c>
      <c r="FA67" s="2042">
        <f>EZ67+CZ67+DZ67                 -         SUMIF('Berechnung Nährstoffe und Lager'!$AX$113:$AX$155,$CX67,'Berechnung Nährstoffe und Lager'!$U$113:$U$155)/12  -$GB67*$HC67/12</f>
        <v>0</v>
      </c>
      <c r="FB67" s="2042">
        <f>FA67+DA67+EA67                 -         SUMIF('Berechnung Nährstoffe und Lager'!$AX$113:$AX$155,$CX67,'Berechnung Nährstoffe und Lager'!$U$113:$U$155)/12  -$GB67*$HC67/12</f>
        <v>0</v>
      </c>
      <c r="FC67" s="2042">
        <f>FB67+DB67+EB67                 -         SUMIF('Berechnung Nährstoffe und Lager'!$AX$113:$AX$155,$CX67,'Berechnung Nährstoffe und Lager'!$U$113:$U$155)/12  -$GB67*$HC67/12</f>
        <v>0</v>
      </c>
      <c r="FD67" s="2042">
        <f>FC67+DC67+EC67                 -         SUMIF('Berechnung Nährstoffe und Lager'!$AX$113:$AX$155,$CX67,'Berechnung Nährstoffe und Lager'!$U$113:$U$155)/12  -$GB67*$HC67/12</f>
        <v>0</v>
      </c>
      <c r="FE67" s="2042">
        <f>FD67+DD67+ED67                 -         SUMIF('Berechnung Nährstoffe und Lager'!$AX$113:$AX$155,$CX67,'Berechnung Nährstoffe und Lager'!$U$113:$U$155)/12  -$GB67*$HC67/12</f>
        <v>0</v>
      </c>
      <c r="FF67" s="2042">
        <f>FE67+DE67+EE67                 -         SUMIF('Berechnung Nährstoffe und Lager'!$AX$113:$AX$155,$CX67,'Berechnung Nährstoffe und Lager'!$U$113:$U$155)/12  -$GB67*$HC67/12</f>
        <v>0</v>
      </c>
      <c r="FG67" s="2042">
        <f>FF67+DF67+EF67                 -         SUMIF('Berechnung Nährstoffe und Lager'!$AX$113:$AX$155,$CX67,'Berechnung Nährstoffe und Lager'!$U$113:$U$155)/12  -$GB67*$HC67/12</f>
        <v>0</v>
      </c>
      <c r="FH67" s="2042">
        <f>FG67+DG67+EG67                 -         SUMIF('Berechnung Nährstoffe und Lager'!$AX$113:$AX$155,$CX67,'Berechnung Nährstoffe und Lager'!$U$113:$U$155)/12  -$GB67*$HC67/12</f>
        <v>0</v>
      </c>
      <c r="FI67" s="2042">
        <f>FH67+DH67+EH67                 -         SUMIF('Berechnung Nährstoffe und Lager'!$AX$113:$AX$155,$CX67,'Berechnung Nährstoffe und Lager'!$U$113:$U$155)/12  -$GB67*$HC67/12</f>
        <v>0</v>
      </c>
      <c r="FJ67" s="2042">
        <f>FI67+DI67+EI67                 -         SUMIF('Berechnung Nährstoffe und Lager'!$AX$113:$AX$155,$CX67,'Berechnung Nährstoffe und Lager'!$U$113:$U$155)/12  -$GB67*$HC67/12</f>
        <v>0</v>
      </c>
      <c r="FK67" s="2042">
        <f>FJ67+DJ67+EJ67                 -         SUMIF('Berechnung Nährstoffe und Lager'!$AX$113:$AX$155,$CX67,'Berechnung Nährstoffe und Lager'!$U$113:$U$155)/12  -$GB67*$HC67/12</f>
        <v>0</v>
      </c>
      <c r="FL67" s="2042">
        <f>FK67+DK67+EK67                 -         SUMIF('Berechnung Nährstoffe und Lager'!$AX$113:$AX$155,$CX67,'Berechnung Nährstoffe und Lager'!$U$113:$U$155)/12  -$GB67*$HC67/12</f>
        <v>0</v>
      </c>
      <c r="FM67" s="2042"/>
      <c r="FN67" s="2045">
        <f t="shared" si="51"/>
        <v>0</v>
      </c>
      <c r="FO67" s="2042">
        <f>FN67+DM67+EM67                 -         SUMIF('Berechnung Nährstoffe und Lager'!$AX$113:$AX$155,$CX67,'Berechnung Nährstoffe und Lager'!$V$113:$V$155)/12  -$GC67*$HC67/12</f>
        <v>0</v>
      </c>
      <c r="FP67" s="2042">
        <f>FO67+DN67+EN67                 -         SUMIF('Berechnung Nährstoffe und Lager'!$AX$113:$AX$155,$CX67,'Berechnung Nährstoffe und Lager'!$V$113:$V$155)/12  -$GC67*$HC67/12</f>
        <v>0</v>
      </c>
      <c r="FQ67" s="2042">
        <f>FP67+DO67+EO67                 -         SUMIF('Berechnung Nährstoffe und Lager'!$AX$113:$AX$155,$CX67,'Berechnung Nährstoffe und Lager'!$V$113:$V$155)/12  -$GC67*$HC67/12</f>
        <v>0</v>
      </c>
      <c r="FR67" s="2042">
        <f>FQ67+DP67+EP67                 -         SUMIF('Berechnung Nährstoffe und Lager'!$AX$113:$AX$155,$CX67,'Berechnung Nährstoffe und Lager'!$V$113:$V$155)/12  -$GC67*$HC67/12</f>
        <v>0</v>
      </c>
      <c r="FS67" s="2042">
        <f>FR67+DQ67+EQ67                 -         SUMIF('Berechnung Nährstoffe und Lager'!$AX$113:$AX$155,$CX67,'Berechnung Nährstoffe und Lager'!$V$113:$V$155)/12  -$GC67*$HC67/12</f>
        <v>0</v>
      </c>
      <c r="FT67" s="2042">
        <f>FS67+DR67+ER67                 -         SUMIF('Berechnung Nährstoffe und Lager'!$AX$113:$AX$155,$CX67,'Berechnung Nährstoffe und Lager'!$V$113:$V$155)/12  -$GC67*$HC67/12</f>
        <v>0</v>
      </c>
      <c r="FU67" s="2042">
        <f>FT67+DS67+ES67                 -         SUMIF('Berechnung Nährstoffe und Lager'!$AX$113:$AX$155,$CX67,'Berechnung Nährstoffe und Lager'!$V$113:$V$155)/12  -$GC67*$HC67/12</f>
        <v>0</v>
      </c>
      <c r="FV67" s="2042">
        <f>FU67+DT67+ET67                 -         SUMIF('Berechnung Nährstoffe und Lager'!$AX$113:$AX$155,$CX67,'Berechnung Nährstoffe und Lager'!$V$113:$V$155)/12  -$GC67*$HC67/12</f>
        <v>0</v>
      </c>
      <c r="FW67" s="2042">
        <f>FV67+DU67+EU67                 -         SUMIF('Berechnung Nährstoffe und Lager'!$AX$113:$AX$155,$CX67,'Berechnung Nährstoffe und Lager'!$V$113:$V$155)/12  -$GC67*$HC67/12</f>
        <v>0</v>
      </c>
      <c r="FX67" s="2042">
        <f>FW67+DV67+EV67                 -         SUMIF('Berechnung Nährstoffe und Lager'!$AX$113:$AX$155,$CX67,'Berechnung Nährstoffe und Lager'!$V$113:$V$155)/12  -$GC67*$HC67/12</f>
        <v>0</v>
      </c>
      <c r="FY67" s="2042">
        <f>FX67+DW67+EW67                 -         SUMIF('Berechnung Nährstoffe und Lager'!$AX$113:$AX$155,$CX67,'Berechnung Nährstoffe und Lager'!$V$113:$V$155)/12  -$GC67*$HC67/12</f>
        <v>0</v>
      </c>
      <c r="FZ67" s="2042">
        <f>FY67+DX67+EX67                 -         SUMIF('Berechnung Nährstoffe und Lager'!$AX$113:$AX$155,$CX67,'Berechnung Nährstoffe und Lager'!$V$113:$V$155)/12  -$GC67*$HC67/12</f>
        <v>0</v>
      </c>
      <c r="GA67" s="2042"/>
      <c r="GB67" s="2042">
        <f>SUMIFS($CI$14:$CI$68,$BR$14:$BR$68,$CX67)+SUMIFS($CM$14:$CM$68,$BR$14:$BR$68,$CX67)+SUMIFS($CR$14:$CR$68,$BR$14:$BR$68,$CX67)  -         SUMIF('Berechnung Nährstoffe und Lager'!$AX$113:$AX$155,$CX67,'Berechnung Nährstoffe und Lager'!$U$113:$U$155)</f>
        <v>0</v>
      </c>
      <c r="GC67" s="2042">
        <f>SUMIFS($CJ$14:$CJ$68,$BR$14:$BR$68,$CX67)+SUMIFS($CO$14:$CO$68,$BR$14:$BR$68,$CX67)+SUMIFS($CT$14:$CT$68,$BR$14:$BR$68,$CX67)  -         SUMIF('Berechnung Nährstoffe und Lager'!$AX$113:$AX$155,$CX67,'Berechnung Nährstoffe und Lager'!$V$113:$V$155)</f>
        <v>0</v>
      </c>
      <c r="GD67" s="2042"/>
      <c r="GE67" s="2042"/>
      <c r="GF67" s="2042">
        <f>SUMIF('Berechnung Nährstoffe und Lager'!$AX$113:$AX$155,$CX67,'Berechnung Nährstoffe und Lager'!$U$113:$U$155)</f>
        <v>0</v>
      </c>
      <c r="GG67" s="2042">
        <f>SUMIF('Berechnung Nährstoffe und Lager'!$AX$113:$AX$155,$CX67,'Berechnung Nährstoffe und Lager'!$V$113:$V$155)</f>
        <v>0</v>
      </c>
      <c r="GH67" s="2042">
        <f t="shared" si="52"/>
        <v>0</v>
      </c>
      <c r="GI67" s="2042">
        <f t="shared" si="53"/>
        <v>0</v>
      </c>
      <c r="GJ67" s="2042">
        <f t="shared" si="121"/>
        <v>0</v>
      </c>
      <c r="GK67" s="2042">
        <f t="shared" si="122"/>
        <v>0</v>
      </c>
      <c r="GL67" s="2042">
        <f t="shared" si="123"/>
        <v>0</v>
      </c>
      <c r="GM67" s="2042" cm="1">
        <f t="array" ref="GM67">IF(GL67=0,0,(IFERROR(SUMPRODUCT($J$14:$J$68,$CH$14:$CH$68,($BR$14:$BR$68=CX67)*1)+SUMPRODUCT($L$14:$L$68,$M$14:$M$68,$CK$14:$CK$68,($BR$14:$BR$68=CX67)*1,($BT$14:$BT$68=FALSE)*1)/10+SUMPRODUCT($R$14:$R$68,$CP$14:$CP$68,($BR$14:$BR$68=CX67)*1),0))/GL67)</f>
        <v>0</v>
      </c>
      <c r="GN67" s="2042">
        <f t="shared" si="54"/>
        <v>0</v>
      </c>
      <c r="GO67" s="2042">
        <f>(SUMIF('Berechnung Nährstoffe und Lager'!$AX$113:$AX$130,'Lagerhaltung (freiwillig)'!CX67,'Berechnung Nährstoffe und Lager'!$D$113:$D$130)+SUMIF('Berechnung Nährstoffe und Lager'!$AX$137:$AX$155,'Lagerhaltung (freiwillig)'!CX67,'Berechnung Nährstoffe und Lager'!$E$137:$E$155))</f>
        <v>0</v>
      </c>
      <c r="GP67" s="2042" cm="1">
        <f t="array" ref="GP67">IF(GO67=0,0,(IFERROR(SUMPRODUCT('Berechnung Nährstoffe und Lager'!$D$113:$D$130,'Berechnung Nährstoffe und Lager'!$F$113:$F$130,('Berechnung Nährstoffe und Lager'!$AX$113:$AX$130='Lagerhaltung (freiwillig)'!CX67)*1)+SUMPRODUCT('Berechnung Nährstoffe und Lager'!$E$137:$E$155,'Berechnung Nährstoffe und Lager'!$F$137:$F$155,('Berechnung Nährstoffe und Lager'!$AX$137:$AX$155='Lagerhaltung (freiwillig)'!CX67)*1),0))/GO67)</f>
        <v>0</v>
      </c>
      <c r="GQ67" s="2042">
        <f t="shared" si="55"/>
        <v>0</v>
      </c>
      <c r="GR67" s="2042">
        <f t="shared" si="56"/>
        <v>0</v>
      </c>
      <c r="GS67" s="2042">
        <f t="shared" si="57"/>
        <v>0</v>
      </c>
      <c r="GT67" s="2042">
        <f t="shared" si="58"/>
        <v>0</v>
      </c>
      <c r="GU67" s="2045" t="str">
        <f t="shared" si="39"/>
        <v xml:space="preserve"> </v>
      </c>
      <c r="GV67" s="2045" t="str">
        <f t="shared" si="39"/>
        <v xml:space="preserve"> </v>
      </c>
      <c r="GW67" s="2054">
        <f t="shared" si="124"/>
        <v>0</v>
      </c>
      <c r="GX67" s="2042">
        <f t="shared" si="125"/>
        <v>0</v>
      </c>
      <c r="GY67" s="2042" t="str">
        <f t="shared" si="120"/>
        <v>a</v>
      </c>
      <c r="GZ67" s="2055">
        <f t="shared" si="126"/>
        <v>0</v>
      </c>
      <c r="HA67" s="2055">
        <f t="shared" si="127"/>
        <v>0</v>
      </c>
      <c r="HB67" s="2055"/>
      <c r="HC67" s="2046">
        <f t="shared" si="128"/>
        <v>0</v>
      </c>
      <c r="HD67" s="2055">
        <f t="shared" si="129"/>
        <v>0</v>
      </c>
      <c r="HE67" s="2055">
        <f t="shared" si="130"/>
        <v>0</v>
      </c>
      <c r="HF67" s="2055">
        <f t="shared" si="131"/>
        <v>0</v>
      </c>
      <c r="HG67" s="2282" cm="1">
        <f t="array" ref="HG67">IF(AND(HE67=0,GJ67=0),0,IF(HE67=0,1,IF(OR(GJ67*1000/HE67/HF67&gt;INDEX(Pflanzen!$AD$5:$AD$109,CX67)/INDEX(Pflanzen!$M$5:$M$109,CX67)*$HG$1,GJ67*1000/HE67/HF67&lt;INDEX(Pflanzen!$AD$5:$AD$109,CX67)/INDEX(Pflanzen!$M$5:$M$109,CX67)/$HG$1),1,0)))</f>
        <v>0</v>
      </c>
      <c r="HH67" s="2282" cm="1">
        <f t="array" ref="HH67">IF(AND(GK67=0,HE67=0),0,IF(HE67=0,1,IF(OR(GK67*1000/HE67/HF67&gt;INDEX(Pflanzen!$AE$5:$AE$109,CX67)/INDEX(Pflanzen!$M$5:$M$109,CX67)*$HG$1,GK67*1000/HE67/HF67&lt;INDEX(Pflanzen!$AE$5:$AE$109,CX67)/INDEX(Pflanzen!$M$5:$M$109,CX67)/$HG$1),1,0)))</f>
        <v>0</v>
      </c>
      <c r="HI67" s="2042">
        <f t="shared" si="132"/>
        <v>3</v>
      </c>
      <c r="HJ67" s="2042"/>
      <c r="HL67" s="2042"/>
      <c r="HM67" s="2042"/>
      <c r="HN67" s="2042"/>
      <c r="HO67" s="2042"/>
      <c r="HP67" s="2042"/>
      <c r="HQ67" s="2042"/>
      <c r="HR67" s="2042"/>
      <c r="HS67" s="2042"/>
      <c r="HT67" s="2042"/>
      <c r="HU67" s="2042"/>
      <c r="HV67" s="2042"/>
      <c r="HW67" s="2042"/>
      <c r="HX67" s="2042"/>
      <c r="HY67" s="2042"/>
      <c r="HZ67" s="2042"/>
      <c r="IA67" s="2042"/>
      <c r="IB67" s="2042"/>
      <c r="IC67" s="2042"/>
      <c r="ID67" s="2042"/>
      <c r="IE67" s="2042"/>
      <c r="IF67" s="2042"/>
      <c r="IG67" s="2042"/>
      <c r="IH67" s="2042"/>
      <c r="II67" s="2042"/>
      <c r="IJ67" s="2042"/>
    </row>
    <row r="68" spans="1:244" ht="15.6" customHeight="1" thickBot="1" x14ac:dyDescent="0.25">
      <c r="F68" s="1260"/>
      <c r="G68" s="2315"/>
      <c r="H68" s="2297"/>
      <c r="I68" s="2018" t="str">
        <f t="shared" si="133"/>
        <v/>
      </c>
      <c r="J68" s="1257"/>
      <c r="K68" s="2018" t="str">
        <f t="shared" si="134"/>
        <v/>
      </c>
      <c r="L68" s="1971"/>
      <c r="M68" s="1253"/>
      <c r="N68" s="1908"/>
      <c r="O68" s="1908"/>
      <c r="P68" s="2223"/>
      <c r="Q68" s="2021" t="str">
        <f t="shared" si="135"/>
        <v/>
      </c>
      <c r="R68" s="1971"/>
      <c r="S68" s="1253"/>
      <c r="T68" s="1257"/>
      <c r="V68" s="2316" t="str">
        <f t="shared" si="156"/>
        <v/>
      </c>
      <c r="Y68" s="2005" t="str" cm="1">
        <f t="array" ref="Y68">IFERROR(INDEX($CW$4:$CW$171,AY68),"")</f>
        <v/>
      </c>
      <c r="Z68" s="510"/>
      <c r="AA68" s="510"/>
      <c r="AB68" s="510"/>
      <c r="AC68" s="2031" t="str" cm="1">
        <f t="array" ref="AC68">IFERROR(INDEX($GL$4:$GL$171,AY68),"")</f>
        <v/>
      </c>
      <c r="AD68" s="2031" t="str" cm="1">
        <f t="array" ref="AD68">IFERROR(INDEX($GM$4:$GM$171,AY68),"")</f>
        <v/>
      </c>
      <c r="AE68" s="2031" t="str" cm="1">
        <f t="array" ref="AE68">IFERROR(INDEX($GH$4:$GH$171,AY68),"")</f>
        <v/>
      </c>
      <c r="AF68" s="2031" t="str" cm="1">
        <f t="array" ref="AF68">IFERROR(INDEX($GI$4:$GI$171,AY68),"")</f>
        <v/>
      </c>
      <c r="AG68" s="2031" t="str" cm="1">
        <f t="array" ref="AG68">IFERROR(INDEX($GO$4:$GO$171,AY68),"")</f>
        <v/>
      </c>
      <c r="AH68" s="2031" t="str" cm="1">
        <f t="array" ref="AH68">IFERROR(INDEX($GP$4:$GP$171,AY68),"")</f>
        <v/>
      </c>
      <c r="AI68" s="2031" t="str" cm="1">
        <f t="array" ref="AI68">IFERROR(INDEX($GF$4:$GF$171,AY68),"")</f>
        <v/>
      </c>
      <c r="AJ68" s="2031" t="str" cm="1">
        <f t="array" ref="AJ68">IFERROR(INDEX($GG$4:$GG$171,AY68),"")</f>
        <v/>
      </c>
      <c r="AK68" s="2031" t="str" cm="1">
        <f t="array" ref="AK68">IFERROR(INDEX($GS$4:$GS$171,AY68),"")</f>
        <v/>
      </c>
      <c r="AL68" s="2032" t="str" cm="1">
        <f t="array" ref="AL68">IFERROR(INDEX($GT$4:$GT$171,AY68),"")</f>
        <v/>
      </c>
      <c r="AM68" s="2031" t="str" cm="1">
        <f t="array" ref="AM68">IFERROR(INDEX($GB$4:$GB$171,AY68),"")</f>
        <v/>
      </c>
      <c r="AN68" s="2031" t="str" cm="1">
        <f t="array" ref="AN68">IFERROR(INDEX($GC$4:$GC$171,AY68),"")</f>
        <v/>
      </c>
      <c r="AO68" s="2031" t="str" cm="1">
        <f t="array" ref="AO68">IFERROR(INDEX($GU$4:$GU$171,AY68),"")</f>
        <v/>
      </c>
      <c r="AP68" s="2031" t="str" cm="1">
        <f t="array" ref="AP68">IFERROR(INDEX($GX$4:$GX$171,AY68),"")</f>
        <v/>
      </c>
      <c r="AQ68" s="1316"/>
      <c r="AR68" s="2031" t="str" cm="1">
        <f t="array" ref="AR68">IFERROR(INDEX($HD$4:$HD$171,AY68),"")</f>
        <v/>
      </c>
      <c r="AS68" s="2031" t="str" cm="1">
        <f t="array" ref="AS68">IFERROR(INDEX($HE$4:$HE$171,AY68),"")</f>
        <v/>
      </c>
      <c r="AT68" s="2031" t="str" cm="1">
        <f t="array" ref="AT68">IFERROR(INDEX($HF$4:$HF$171,AY68),"")</f>
        <v/>
      </c>
      <c r="AU68" s="2031" t="str" cm="1">
        <f t="array" ref="AU68">IFERROR(INDEX($GJ$4:$GJ$171,AY68),"")</f>
        <v/>
      </c>
      <c r="AV68" s="2031" t="str" cm="1">
        <f t="array" ref="AV68">IFERROR(INDEX($GK$4:$GK$171,AY68),"")</f>
        <v/>
      </c>
      <c r="AY68" s="2042" t="str" cm="1">
        <f t="array" ref="AY68">IFERROR(SMALL(IF($HI$4:$HI$171=1,ROW($HI$4:$HI$171)-3),ROW(W53)),IFERROR(SMALL(IF($HI$4:$HI$171=2,ROW($HI$4:$HI$171)-3),ROW(W53)-COUNTIF($HI$4:$HI$171,1)),IFERROR(SMALL(IF($HI$4:$HI$171=0,ROW($HI$4:$HI$171)-3),ROW(W53)-COUNTIF($HI$4:$HI$171,1)-COUNTIF($HI$4:$HI$171,2)),"")))</f>
        <v/>
      </c>
      <c r="AZ68" s="2042" t="str">
        <f t="shared" si="117"/>
        <v>a</v>
      </c>
      <c r="BA68" s="2053" t="e">
        <f t="shared" si="118"/>
        <v>#VALUE!</v>
      </c>
      <c r="BB68" s="2053" cm="1">
        <f t="array" ref="BB68">IFERROR(INDEX($HI$4:$HI$171,AY68),0)</f>
        <v>0</v>
      </c>
      <c r="BC68" s="2053">
        <f t="shared" si="119"/>
        <v>0</v>
      </c>
      <c r="BD68" s="2053"/>
      <c r="BE68" s="2307"/>
      <c r="BF68" s="2307"/>
      <c r="BG68" s="2307"/>
      <c r="BH68" s="2307"/>
      <c r="BI68" s="2307"/>
      <c r="BJ68" s="2307"/>
      <c r="BK68" s="2307"/>
      <c r="BL68" s="2307"/>
      <c r="BM68" s="2307"/>
      <c r="BN68" s="2307"/>
      <c r="BO68" s="2307"/>
      <c r="BP68" s="2043"/>
      <c r="BQ68" s="2042">
        <v>1</v>
      </c>
      <c r="BR68" cm="1">
        <f t="array" ref="BR68">INDEX(Pflanzen!$B$5:$B$117,'Lagerhaltung (freiwillig)'!BQ68)</f>
        <v>1</v>
      </c>
      <c r="BS68" s="2042"/>
      <c r="BT68" s="2042" t="b">
        <v>0</v>
      </c>
      <c r="BU68" s="2044"/>
      <c r="BV68" s="2044"/>
      <c r="BW68" s="2042">
        <f t="shared" si="136"/>
        <v>12</v>
      </c>
      <c r="BX68" s="2042">
        <f t="shared" si="137"/>
        <v>0</v>
      </c>
      <c r="BY68" s="2042">
        <f t="shared" si="138"/>
        <v>12</v>
      </c>
      <c r="BZ68" s="2042" cm="1">
        <f t="array" ref="BZ68">INDEX(Pflanzen!$AI$5:$AI$119,'Lagerhaltung (freiwillig)'!BR68)</f>
        <v>0</v>
      </c>
      <c r="CA68" s="2042" cm="1">
        <f t="array" ref="CA68">IF(BZ68=1,INDEX(Pflanzen!$AJ$5:$AJ$119,BR68),N68)</f>
        <v>0</v>
      </c>
      <c r="CB68" s="2042" cm="1">
        <f t="array" ref="CB68">IF(BZ68=1,INDEX(Pflanzen!$AK$5:$AK$119,BR68),O68)</f>
        <v>0</v>
      </c>
      <c r="CC68" s="2042">
        <f t="shared" si="139"/>
        <v>12</v>
      </c>
      <c r="CD68" s="2042">
        <f t="shared" si="140"/>
        <v>0</v>
      </c>
      <c r="CE68" s="2042">
        <f t="shared" si="141"/>
        <v>12</v>
      </c>
      <c r="CF68" s="2042" cm="1">
        <f t="array" ref="CF68">INDEX(Pflanzen!$F$5:$F$119,BR68)</f>
        <v>0</v>
      </c>
      <c r="CG68" s="2042" cm="1">
        <f t="array" ref="CG68">INDEX(Pflanzen!$H$5:$H$119,BR68)</f>
        <v>0</v>
      </c>
      <c r="CH68" s="2042">
        <f t="shared" si="142"/>
        <v>0</v>
      </c>
      <c r="CI68" s="2042">
        <f t="shared" si="143"/>
        <v>0</v>
      </c>
      <c r="CJ68" s="2042">
        <f t="shared" si="144"/>
        <v>0</v>
      </c>
      <c r="CK68" s="2042">
        <f t="shared" si="145"/>
        <v>0</v>
      </c>
      <c r="CL68" s="2042">
        <f t="shared" si="146"/>
        <v>0</v>
      </c>
      <c r="CM68" s="2042">
        <f t="shared" si="147"/>
        <v>0</v>
      </c>
      <c r="CN68" s="2042">
        <f t="shared" si="148"/>
        <v>0</v>
      </c>
      <c r="CO68" s="2042">
        <f t="shared" si="149"/>
        <v>0</v>
      </c>
      <c r="CP68" s="2042">
        <f t="shared" si="150"/>
        <v>0</v>
      </c>
      <c r="CQ68" s="2042">
        <f t="shared" si="151"/>
        <v>0</v>
      </c>
      <c r="CR68" s="2042">
        <f t="shared" si="152"/>
        <v>0</v>
      </c>
      <c r="CS68" s="2042">
        <f t="shared" si="153"/>
        <v>0</v>
      </c>
      <c r="CT68" s="2042">
        <f t="shared" si="154"/>
        <v>0</v>
      </c>
      <c r="CU68" s="2042">
        <f t="shared" si="155"/>
        <v>0</v>
      </c>
      <c r="CV68" s="2042"/>
      <c r="CW68" s="609" t="str">
        <f>Pflanzen!A64</f>
        <v>GPS Sommerraps</v>
      </c>
      <c r="CX68" s="2042">
        <f>IFERROR(MATCH($CW68,Pflanzen!$C$5:$C$119,0),1)</f>
        <v>60</v>
      </c>
      <c r="CY68" s="609" cm="1">
        <f t="array" ref="CY68">INDEX(Pflanzen!$I$5:$I$119,'Lagerhaltung (freiwillig)'!CX68)</f>
        <v>1</v>
      </c>
      <c r="CZ68" s="2042">
        <f t="shared" si="161"/>
        <v>0</v>
      </c>
      <c r="DA68" s="2042">
        <f t="shared" si="161"/>
        <v>0</v>
      </c>
      <c r="DB68" s="2042">
        <f t="shared" si="161"/>
        <v>0</v>
      </c>
      <c r="DC68" s="2042">
        <f t="shared" si="161"/>
        <v>0</v>
      </c>
      <c r="DD68" s="2042">
        <f t="shared" si="161"/>
        <v>0</v>
      </c>
      <c r="DE68" s="2042">
        <f t="shared" si="161"/>
        <v>0</v>
      </c>
      <c r="DF68" s="2042">
        <f t="shared" si="161"/>
        <v>0</v>
      </c>
      <c r="DG68" s="2042">
        <f t="shared" si="161"/>
        <v>0</v>
      </c>
      <c r="DH68" s="2042">
        <f t="shared" si="161"/>
        <v>0</v>
      </c>
      <c r="DI68" s="2042">
        <f t="shared" si="161"/>
        <v>0</v>
      </c>
      <c r="DJ68" s="2042">
        <f t="shared" si="161"/>
        <v>0</v>
      </c>
      <c r="DK68" s="2042">
        <f t="shared" si="161"/>
        <v>0</v>
      </c>
      <c r="DL68" s="2042"/>
      <c r="DM68" s="2042">
        <f t="shared" si="165"/>
        <v>0</v>
      </c>
      <c r="DN68" s="2042">
        <f t="shared" si="166"/>
        <v>0</v>
      </c>
      <c r="DO68" s="2042">
        <f t="shared" si="166"/>
        <v>0</v>
      </c>
      <c r="DP68" s="2042">
        <f t="shared" si="166"/>
        <v>0</v>
      </c>
      <c r="DQ68" s="2042">
        <f t="shared" si="166"/>
        <v>0</v>
      </c>
      <c r="DR68" s="2042">
        <f t="shared" si="166"/>
        <v>0</v>
      </c>
      <c r="DS68" s="2042">
        <f t="shared" si="166"/>
        <v>0</v>
      </c>
      <c r="DT68" s="2042">
        <f t="shared" si="166"/>
        <v>0</v>
      </c>
      <c r="DU68" s="2042">
        <f t="shared" si="166"/>
        <v>0</v>
      </c>
      <c r="DV68" s="2042">
        <f t="shared" si="166"/>
        <v>0</v>
      </c>
      <c r="DW68" s="2042">
        <f t="shared" si="166"/>
        <v>0</v>
      </c>
      <c r="DX68" s="2042">
        <f t="shared" si="166"/>
        <v>0</v>
      </c>
      <c r="DY68" s="2042"/>
      <c r="DZ68" s="2042">
        <f t="shared" si="163"/>
        <v>0</v>
      </c>
      <c r="EA68" s="2042">
        <f t="shared" si="163"/>
        <v>0</v>
      </c>
      <c r="EB68" s="2042">
        <f t="shared" si="163"/>
        <v>0</v>
      </c>
      <c r="EC68" s="2042">
        <f t="shared" si="163"/>
        <v>0</v>
      </c>
      <c r="ED68" s="2042">
        <f t="shared" si="163"/>
        <v>0</v>
      </c>
      <c r="EE68" s="2042">
        <f t="shared" si="163"/>
        <v>0</v>
      </c>
      <c r="EF68" s="2042">
        <f t="shared" si="163"/>
        <v>0</v>
      </c>
      <c r="EG68" s="2042">
        <f t="shared" si="163"/>
        <v>0</v>
      </c>
      <c r="EH68" s="2042">
        <f t="shared" si="163"/>
        <v>0</v>
      </c>
      <c r="EI68" s="2042">
        <f t="shared" si="163"/>
        <v>0</v>
      </c>
      <c r="EJ68" s="2042">
        <f t="shared" si="163"/>
        <v>0</v>
      </c>
      <c r="EK68" s="2042">
        <f t="shared" si="163"/>
        <v>0</v>
      </c>
      <c r="EL68" s="2042"/>
      <c r="EM68" s="2042">
        <f t="shared" si="167"/>
        <v>0</v>
      </c>
      <c r="EN68" s="2042">
        <f t="shared" si="168"/>
        <v>0</v>
      </c>
      <c r="EO68" s="2042">
        <f t="shared" si="168"/>
        <v>0</v>
      </c>
      <c r="EP68" s="2042">
        <f t="shared" si="168"/>
        <v>0</v>
      </c>
      <c r="EQ68" s="2042">
        <f t="shared" si="168"/>
        <v>0</v>
      </c>
      <c r="ER68" s="2042">
        <f t="shared" si="168"/>
        <v>0</v>
      </c>
      <c r="ES68" s="2042">
        <f t="shared" si="168"/>
        <v>0</v>
      </c>
      <c r="ET68" s="2042">
        <f t="shared" si="168"/>
        <v>0</v>
      </c>
      <c r="EU68" s="2042">
        <f t="shared" si="168"/>
        <v>0</v>
      </c>
      <c r="EV68" s="2042">
        <f t="shared" si="168"/>
        <v>0</v>
      </c>
      <c r="EW68" s="2042">
        <f t="shared" si="168"/>
        <v>0</v>
      </c>
      <c r="EX68" s="2042">
        <f t="shared" si="168"/>
        <v>0</v>
      </c>
      <c r="EY68" s="2042"/>
      <c r="EZ68" s="2045">
        <f t="shared" si="50"/>
        <v>0</v>
      </c>
      <c r="FA68" s="2042">
        <f>EZ68+CZ68+DZ68                 -         SUMIF('Berechnung Nährstoffe und Lager'!$AX$113:$AX$155,$CX68,'Berechnung Nährstoffe und Lager'!$U$113:$U$155)/12  -$GB68*$HC68/12</f>
        <v>0</v>
      </c>
      <c r="FB68" s="2042">
        <f>FA68+DA68+EA68                 -         SUMIF('Berechnung Nährstoffe und Lager'!$AX$113:$AX$155,$CX68,'Berechnung Nährstoffe und Lager'!$U$113:$U$155)/12  -$GB68*$HC68/12</f>
        <v>0</v>
      </c>
      <c r="FC68" s="2042">
        <f>FB68+DB68+EB68                 -         SUMIF('Berechnung Nährstoffe und Lager'!$AX$113:$AX$155,$CX68,'Berechnung Nährstoffe und Lager'!$U$113:$U$155)/12  -$GB68*$HC68/12</f>
        <v>0</v>
      </c>
      <c r="FD68" s="2042">
        <f>FC68+DC68+EC68                 -         SUMIF('Berechnung Nährstoffe und Lager'!$AX$113:$AX$155,$CX68,'Berechnung Nährstoffe und Lager'!$U$113:$U$155)/12  -$GB68*$HC68/12</f>
        <v>0</v>
      </c>
      <c r="FE68" s="2042">
        <f>FD68+DD68+ED68                 -         SUMIF('Berechnung Nährstoffe und Lager'!$AX$113:$AX$155,$CX68,'Berechnung Nährstoffe und Lager'!$U$113:$U$155)/12  -$GB68*$HC68/12</f>
        <v>0</v>
      </c>
      <c r="FF68" s="2042">
        <f>FE68+DE68+EE68                 -         SUMIF('Berechnung Nährstoffe und Lager'!$AX$113:$AX$155,$CX68,'Berechnung Nährstoffe und Lager'!$U$113:$U$155)/12  -$GB68*$HC68/12</f>
        <v>0</v>
      </c>
      <c r="FG68" s="2042">
        <f>FF68+DF68+EF68                 -         SUMIF('Berechnung Nährstoffe und Lager'!$AX$113:$AX$155,$CX68,'Berechnung Nährstoffe und Lager'!$U$113:$U$155)/12  -$GB68*$HC68/12</f>
        <v>0</v>
      </c>
      <c r="FH68" s="2042">
        <f>FG68+DG68+EG68                 -         SUMIF('Berechnung Nährstoffe und Lager'!$AX$113:$AX$155,$CX68,'Berechnung Nährstoffe und Lager'!$U$113:$U$155)/12  -$GB68*$HC68/12</f>
        <v>0</v>
      </c>
      <c r="FI68" s="2042">
        <f>FH68+DH68+EH68                 -         SUMIF('Berechnung Nährstoffe und Lager'!$AX$113:$AX$155,$CX68,'Berechnung Nährstoffe und Lager'!$U$113:$U$155)/12  -$GB68*$HC68/12</f>
        <v>0</v>
      </c>
      <c r="FJ68" s="2042">
        <f>FI68+DI68+EI68                 -         SUMIF('Berechnung Nährstoffe und Lager'!$AX$113:$AX$155,$CX68,'Berechnung Nährstoffe und Lager'!$U$113:$U$155)/12  -$GB68*$HC68/12</f>
        <v>0</v>
      </c>
      <c r="FK68" s="2042">
        <f>FJ68+DJ68+EJ68                 -         SUMIF('Berechnung Nährstoffe und Lager'!$AX$113:$AX$155,$CX68,'Berechnung Nährstoffe und Lager'!$U$113:$U$155)/12  -$GB68*$HC68/12</f>
        <v>0</v>
      </c>
      <c r="FL68" s="2042">
        <f>FK68+DK68+EK68                 -         SUMIF('Berechnung Nährstoffe und Lager'!$AX$113:$AX$155,$CX68,'Berechnung Nährstoffe und Lager'!$U$113:$U$155)/12  -$GB68*$HC68/12</f>
        <v>0</v>
      </c>
      <c r="FM68" s="2042"/>
      <c r="FN68" s="2045">
        <f t="shared" si="51"/>
        <v>0</v>
      </c>
      <c r="FO68" s="2042">
        <f>FN68+DM68+EM68                 -         SUMIF('Berechnung Nährstoffe und Lager'!$AX$113:$AX$155,$CX68,'Berechnung Nährstoffe und Lager'!$V$113:$V$155)/12  -$GC68*$HC68/12</f>
        <v>0</v>
      </c>
      <c r="FP68" s="2042">
        <f>FO68+DN68+EN68                 -         SUMIF('Berechnung Nährstoffe und Lager'!$AX$113:$AX$155,$CX68,'Berechnung Nährstoffe und Lager'!$V$113:$V$155)/12  -$GC68*$HC68/12</f>
        <v>0</v>
      </c>
      <c r="FQ68" s="2042">
        <f>FP68+DO68+EO68                 -         SUMIF('Berechnung Nährstoffe und Lager'!$AX$113:$AX$155,$CX68,'Berechnung Nährstoffe und Lager'!$V$113:$V$155)/12  -$GC68*$HC68/12</f>
        <v>0</v>
      </c>
      <c r="FR68" s="2042">
        <f>FQ68+DP68+EP68                 -         SUMIF('Berechnung Nährstoffe und Lager'!$AX$113:$AX$155,$CX68,'Berechnung Nährstoffe und Lager'!$V$113:$V$155)/12  -$GC68*$HC68/12</f>
        <v>0</v>
      </c>
      <c r="FS68" s="2042">
        <f>FR68+DQ68+EQ68                 -         SUMIF('Berechnung Nährstoffe und Lager'!$AX$113:$AX$155,$CX68,'Berechnung Nährstoffe und Lager'!$V$113:$V$155)/12  -$GC68*$HC68/12</f>
        <v>0</v>
      </c>
      <c r="FT68" s="2042">
        <f>FS68+DR68+ER68                 -         SUMIF('Berechnung Nährstoffe und Lager'!$AX$113:$AX$155,$CX68,'Berechnung Nährstoffe und Lager'!$V$113:$V$155)/12  -$GC68*$HC68/12</f>
        <v>0</v>
      </c>
      <c r="FU68" s="2042">
        <f>FT68+DS68+ES68                 -         SUMIF('Berechnung Nährstoffe und Lager'!$AX$113:$AX$155,$CX68,'Berechnung Nährstoffe und Lager'!$V$113:$V$155)/12  -$GC68*$HC68/12</f>
        <v>0</v>
      </c>
      <c r="FV68" s="2042">
        <f>FU68+DT68+ET68                 -         SUMIF('Berechnung Nährstoffe und Lager'!$AX$113:$AX$155,$CX68,'Berechnung Nährstoffe und Lager'!$V$113:$V$155)/12  -$GC68*$HC68/12</f>
        <v>0</v>
      </c>
      <c r="FW68" s="2042">
        <f>FV68+DU68+EU68                 -         SUMIF('Berechnung Nährstoffe und Lager'!$AX$113:$AX$155,$CX68,'Berechnung Nährstoffe und Lager'!$V$113:$V$155)/12  -$GC68*$HC68/12</f>
        <v>0</v>
      </c>
      <c r="FX68" s="2042">
        <f>FW68+DV68+EV68                 -         SUMIF('Berechnung Nährstoffe und Lager'!$AX$113:$AX$155,$CX68,'Berechnung Nährstoffe und Lager'!$V$113:$V$155)/12  -$GC68*$HC68/12</f>
        <v>0</v>
      </c>
      <c r="FY68" s="2042">
        <f>FX68+DW68+EW68                 -         SUMIF('Berechnung Nährstoffe und Lager'!$AX$113:$AX$155,$CX68,'Berechnung Nährstoffe und Lager'!$V$113:$V$155)/12  -$GC68*$HC68/12</f>
        <v>0</v>
      </c>
      <c r="FZ68" s="2042">
        <f>FY68+DX68+EX68                 -         SUMIF('Berechnung Nährstoffe und Lager'!$AX$113:$AX$155,$CX68,'Berechnung Nährstoffe und Lager'!$V$113:$V$155)/12  -$GC68*$HC68/12</f>
        <v>0</v>
      </c>
      <c r="GA68" s="2042"/>
      <c r="GB68" s="2042">
        <f>SUMIFS($CI$14:$CI$68,$BR$14:$BR$68,$CX68)+SUMIFS($CM$14:$CM$68,$BR$14:$BR$68,$CX68)+SUMIFS($CR$14:$CR$68,$BR$14:$BR$68,$CX68)  -         SUMIF('Berechnung Nährstoffe und Lager'!$AX$113:$AX$155,$CX68,'Berechnung Nährstoffe und Lager'!$U$113:$U$155)</f>
        <v>0</v>
      </c>
      <c r="GC68" s="2042">
        <f>SUMIFS($CJ$14:$CJ$68,$BR$14:$BR$68,$CX68)+SUMIFS($CO$14:$CO$68,$BR$14:$BR$68,$CX68)+SUMIFS($CT$14:$CT$68,$BR$14:$BR$68,$CX68)  -         SUMIF('Berechnung Nährstoffe und Lager'!$AX$113:$AX$155,$CX68,'Berechnung Nährstoffe und Lager'!$V$113:$V$155)</f>
        <v>0</v>
      </c>
      <c r="GD68" s="2042"/>
      <c r="GE68" s="2042"/>
      <c r="GF68" s="2042">
        <f>SUMIF('Berechnung Nährstoffe und Lager'!$AX$113:$AX$155,$CX68,'Berechnung Nährstoffe und Lager'!$U$113:$U$155)</f>
        <v>0</v>
      </c>
      <c r="GG68" s="2042">
        <f>SUMIF('Berechnung Nährstoffe und Lager'!$AX$113:$AX$155,$CX68,'Berechnung Nährstoffe und Lager'!$V$113:$V$155)</f>
        <v>0</v>
      </c>
      <c r="GH68" s="2042">
        <f t="shared" si="52"/>
        <v>0</v>
      </c>
      <c r="GI68" s="2042">
        <f t="shared" si="53"/>
        <v>0</v>
      </c>
      <c r="GJ68" s="2042">
        <f t="shared" si="121"/>
        <v>0</v>
      </c>
      <c r="GK68" s="2042">
        <f t="shared" si="122"/>
        <v>0</v>
      </c>
      <c r="GL68" s="2042">
        <f t="shared" si="123"/>
        <v>0</v>
      </c>
      <c r="GM68" s="2042" cm="1">
        <f t="array" ref="GM68">IF(GL68=0,0,(IFERROR(SUMPRODUCT($J$14:$J$68,$CH$14:$CH$68,($BR$14:$BR$68=CX68)*1)+SUMPRODUCT($L$14:$L$68,$M$14:$M$68,$CK$14:$CK$68,($BR$14:$BR$68=CX68)*1,($BT$14:$BT$68=FALSE)*1)/10+SUMPRODUCT($R$14:$R$68,$CP$14:$CP$68,($BR$14:$BR$68=CX68)*1),0))/GL68)</f>
        <v>0</v>
      </c>
      <c r="GN68" s="2042">
        <f t="shared" si="54"/>
        <v>0</v>
      </c>
      <c r="GO68" s="2042">
        <f>(SUMIF('Berechnung Nährstoffe und Lager'!$AX$113:$AX$130,'Lagerhaltung (freiwillig)'!CX68,'Berechnung Nährstoffe und Lager'!$D$113:$D$130)+SUMIF('Berechnung Nährstoffe und Lager'!$AX$137:$AX$155,'Lagerhaltung (freiwillig)'!CX68,'Berechnung Nährstoffe und Lager'!$E$137:$E$155))</f>
        <v>0</v>
      </c>
      <c r="GP68" s="2042" cm="1">
        <f t="array" ref="GP68">IF(GO68=0,0,(IFERROR(SUMPRODUCT('Berechnung Nährstoffe und Lager'!$D$113:$D$130,'Berechnung Nährstoffe und Lager'!$F$113:$F$130,('Berechnung Nährstoffe und Lager'!$AX$113:$AX$130='Lagerhaltung (freiwillig)'!CX68)*1)+SUMPRODUCT('Berechnung Nährstoffe und Lager'!$E$137:$E$155,'Berechnung Nährstoffe und Lager'!$F$137:$F$155,('Berechnung Nährstoffe und Lager'!$AX$137:$AX$155='Lagerhaltung (freiwillig)'!CX68)*1),0))/GO68)</f>
        <v>0</v>
      </c>
      <c r="GQ68" s="2042">
        <f t="shared" si="55"/>
        <v>0</v>
      </c>
      <c r="GR68" s="2042">
        <f t="shared" si="56"/>
        <v>0</v>
      </c>
      <c r="GS68" s="2042">
        <f t="shared" si="57"/>
        <v>0</v>
      </c>
      <c r="GT68" s="2042">
        <f t="shared" si="58"/>
        <v>0</v>
      </c>
      <c r="GU68" s="2045" t="str">
        <f t="shared" si="39"/>
        <v xml:space="preserve"> </v>
      </c>
      <c r="GV68" s="2045" t="str">
        <f t="shared" si="39"/>
        <v xml:space="preserve"> </v>
      </c>
      <c r="GW68" s="2054">
        <f t="shared" si="124"/>
        <v>0</v>
      </c>
      <c r="GX68" s="2042">
        <f t="shared" si="125"/>
        <v>0</v>
      </c>
      <c r="GY68" s="2042" t="str">
        <f t="shared" si="120"/>
        <v>a</v>
      </c>
      <c r="GZ68" s="2055">
        <f t="shared" si="126"/>
        <v>0</v>
      </c>
      <c r="HA68" s="2055">
        <f t="shared" si="127"/>
        <v>0</v>
      </c>
      <c r="HB68" s="2055"/>
      <c r="HC68" s="2046">
        <f t="shared" si="128"/>
        <v>0</v>
      </c>
      <c r="HD68" s="2055">
        <f t="shared" si="129"/>
        <v>0</v>
      </c>
      <c r="HE68" s="2055">
        <f t="shared" si="130"/>
        <v>0</v>
      </c>
      <c r="HF68" s="2055">
        <f t="shared" si="131"/>
        <v>0</v>
      </c>
      <c r="HG68" s="2282" cm="1">
        <f t="array" ref="HG68">IF(AND(HE68=0,GJ68=0),0,IF(HE68=0,1,IF(OR(GJ68*1000/HE68/HF68&gt;INDEX(Pflanzen!$AD$5:$AD$109,CX68)/INDEX(Pflanzen!$M$5:$M$109,CX68)*$HG$1,GJ68*1000/HE68/HF68&lt;INDEX(Pflanzen!$AD$5:$AD$109,CX68)/INDEX(Pflanzen!$M$5:$M$109,CX68)/$HG$1),1,0)))</f>
        <v>0</v>
      </c>
      <c r="HH68" s="2282" cm="1">
        <f t="array" ref="HH68">IF(AND(GK68=0,HE68=0),0,IF(HE68=0,1,IF(OR(GK68*1000/HE68/HF68&gt;INDEX(Pflanzen!$AE$5:$AE$109,CX68)/INDEX(Pflanzen!$M$5:$M$109,CX68)*$HG$1,GK68*1000/HE68/HF68&lt;INDEX(Pflanzen!$AE$5:$AE$109,CX68)/INDEX(Pflanzen!$M$5:$M$109,CX68)/$HG$1),1,0)))</f>
        <v>0</v>
      </c>
      <c r="HI68" s="2042">
        <f t="shared" si="132"/>
        <v>3</v>
      </c>
      <c r="HJ68" s="2042"/>
      <c r="HL68" s="2042"/>
      <c r="HM68" s="2042"/>
      <c r="HN68" s="2042"/>
      <c r="HO68" s="2042"/>
      <c r="HP68" s="2042"/>
      <c r="HQ68" s="2042"/>
      <c r="HR68" s="2042"/>
      <c r="HS68" s="2042"/>
      <c r="HT68" s="2042"/>
      <c r="HU68" s="2042"/>
      <c r="HV68" s="2042"/>
      <c r="HW68" s="2042"/>
      <c r="HX68" s="2042"/>
      <c r="HY68" s="2042"/>
      <c r="HZ68" s="2042"/>
      <c r="IA68" s="2042"/>
      <c r="IB68" s="2042"/>
      <c r="IC68" s="2042"/>
      <c r="ID68" s="2042"/>
      <c r="IE68" s="2042"/>
      <c r="IF68" s="2042"/>
      <c r="IG68" s="2042"/>
      <c r="IH68" s="2042"/>
      <c r="II68" s="2042"/>
      <c r="IJ68" s="2042"/>
    </row>
    <row r="69" spans="1:244" ht="15.6" customHeight="1" x14ac:dyDescent="0.2">
      <c r="A69" s="510"/>
      <c r="B69" s="510"/>
      <c r="C69" s="510"/>
      <c r="D69" s="510"/>
      <c r="E69" s="510"/>
      <c r="F69" s="510"/>
      <c r="G69" s="510"/>
      <c r="H69" s="510"/>
      <c r="I69" s="510"/>
      <c r="J69" s="510"/>
      <c r="K69" s="510"/>
      <c r="L69" s="510"/>
      <c r="M69" s="510"/>
      <c r="N69" s="510"/>
      <c r="O69" s="510"/>
      <c r="P69" s="510"/>
      <c r="Q69" s="510"/>
      <c r="R69" s="510"/>
      <c r="S69" s="510"/>
      <c r="T69" s="510"/>
      <c r="U69" s="510"/>
      <c r="V69" s="510"/>
      <c r="Y69" s="2005" t="str" cm="1">
        <f t="array" ref="Y69">IFERROR(INDEX($CW$4:$CW$171,AY69),"")</f>
        <v/>
      </c>
      <c r="Z69" s="510"/>
      <c r="AA69" s="510"/>
      <c r="AB69" s="510"/>
      <c r="AC69" s="2031" t="str" cm="1">
        <f t="array" ref="AC69">IFERROR(INDEX($GL$4:$GL$171,AY69),"")</f>
        <v/>
      </c>
      <c r="AD69" s="2031" t="str" cm="1">
        <f t="array" ref="AD69">IFERROR(INDEX($GM$4:$GM$171,AY69),"")</f>
        <v/>
      </c>
      <c r="AE69" s="2031" t="str" cm="1">
        <f t="array" ref="AE69">IFERROR(INDEX($GH$4:$GH$171,AY69),"")</f>
        <v/>
      </c>
      <c r="AF69" s="2031" t="str" cm="1">
        <f t="array" ref="AF69">IFERROR(INDEX($GI$4:$GI$171,AY69),"")</f>
        <v/>
      </c>
      <c r="AG69" s="2031" t="str" cm="1">
        <f t="array" ref="AG69">IFERROR(INDEX($GO$4:$GO$171,AY69),"")</f>
        <v/>
      </c>
      <c r="AH69" s="2031" t="str" cm="1">
        <f t="array" ref="AH69">IFERROR(INDEX($GP$4:$GP$171,AY69),"")</f>
        <v/>
      </c>
      <c r="AI69" s="2031" t="str" cm="1">
        <f t="array" ref="AI69">IFERROR(INDEX($GF$4:$GF$171,AY69),"")</f>
        <v/>
      </c>
      <c r="AJ69" s="2031" t="str" cm="1">
        <f t="array" ref="AJ69">IFERROR(INDEX($GG$4:$GG$171,AY69),"")</f>
        <v/>
      </c>
      <c r="AK69" s="2031" t="str" cm="1">
        <f t="array" ref="AK69">IFERROR(INDEX($GS$4:$GS$171,AY69),"")</f>
        <v/>
      </c>
      <c r="AL69" s="2032" t="str" cm="1">
        <f t="array" ref="AL69">IFERROR(INDEX($GT$4:$GT$171,AY69),"")</f>
        <v/>
      </c>
      <c r="AM69" s="2031" t="str" cm="1">
        <f t="array" ref="AM69">IFERROR(INDEX($GB$4:$GB$171,AY69),"")</f>
        <v/>
      </c>
      <c r="AN69" s="2031" t="str" cm="1">
        <f t="array" ref="AN69">IFERROR(INDEX($GC$4:$GC$171,AY69),"")</f>
        <v/>
      </c>
      <c r="AO69" s="2031" t="str" cm="1">
        <f t="array" ref="AO69">IFERROR(INDEX($GU$4:$GU$171,AY69),"")</f>
        <v/>
      </c>
      <c r="AP69" s="2031" t="str" cm="1">
        <f t="array" ref="AP69">IFERROR(INDEX($GX$4:$GX$171,AY69),"")</f>
        <v/>
      </c>
      <c r="AQ69" s="1316"/>
      <c r="AR69" s="2031" t="str" cm="1">
        <f t="array" ref="AR69">IFERROR(INDEX($HD$4:$HD$171,AY69),"")</f>
        <v/>
      </c>
      <c r="AS69" s="2031" t="str" cm="1">
        <f t="array" ref="AS69">IFERROR(INDEX($HE$4:$HE$171,AY69),"")</f>
        <v/>
      </c>
      <c r="AT69" s="2031" t="str" cm="1">
        <f t="array" ref="AT69">IFERROR(INDEX($HF$4:$HF$171,AY69),"")</f>
        <v/>
      </c>
      <c r="AU69" s="2031" t="str" cm="1">
        <f t="array" ref="AU69">IFERROR(INDEX($GJ$4:$GJ$171,AY69),"")</f>
        <v/>
      </c>
      <c r="AV69" s="2031" t="str" cm="1">
        <f t="array" ref="AV69">IFERROR(INDEX($GK$4:$GK$171,AY69),"")</f>
        <v/>
      </c>
      <c r="AY69" s="2042" t="str" cm="1">
        <f t="array" ref="AY69">IFERROR(SMALL(IF($HI$4:$HI$171=1,ROW($HI$4:$HI$171)-3),ROW(W54)),IFERROR(SMALL(IF($HI$4:$HI$171=2,ROW($HI$4:$HI$171)-3),ROW(W54)-COUNTIF($HI$4:$HI$171,1)),IFERROR(SMALL(IF($HI$4:$HI$171=0,ROW($HI$4:$HI$171)-3),ROW(W54)-COUNTIF($HI$4:$HI$171,1)-COUNTIF($HI$4:$HI$171,2)),"")))</f>
        <v/>
      </c>
      <c r="AZ69" s="2042" t="str">
        <f t="shared" si="117"/>
        <v>a</v>
      </c>
      <c r="BA69" s="2053" t="e">
        <f t="shared" si="118"/>
        <v>#VALUE!</v>
      </c>
      <c r="BB69" s="2053" cm="1">
        <f t="array" ref="BB69">IFERROR(INDEX($HI$4:$HI$171,AY69),0)</f>
        <v>0</v>
      </c>
      <c r="BC69" s="2053">
        <f t="shared" si="119"/>
        <v>0</v>
      </c>
      <c r="BD69" s="2053"/>
      <c r="BE69" s="2307"/>
      <c r="BF69" s="2307"/>
      <c r="BG69" s="2307"/>
      <c r="BH69" s="2307"/>
      <c r="BI69" s="2307"/>
      <c r="BJ69" s="2307"/>
      <c r="BK69" s="2307"/>
      <c r="BL69" s="2307"/>
      <c r="BM69" s="2307"/>
      <c r="BN69" s="2307"/>
      <c r="BO69" s="2307"/>
      <c r="BP69" s="2043"/>
      <c r="BQ69" s="2042"/>
      <c r="BR69" s="2042"/>
      <c r="BS69" s="2042"/>
      <c r="BT69" s="2042"/>
      <c r="BU69" s="2044"/>
      <c r="BV69" s="2044"/>
      <c r="BW69" s="2042"/>
      <c r="BX69" s="2042"/>
      <c r="BY69" s="2042"/>
      <c r="BZ69" s="2042"/>
      <c r="CA69" s="2042"/>
      <c r="CB69" s="2042"/>
      <c r="CC69" s="2042"/>
      <c r="CD69" s="2042"/>
      <c r="CE69" s="2042"/>
      <c r="CF69" s="2042"/>
      <c r="CG69" s="2042"/>
      <c r="CH69" s="2042"/>
      <c r="CI69" s="2042"/>
      <c r="CJ69" s="2042"/>
      <c r="CK69" s="2042"/>
      <c r="CL69" s="2042"/>
      <c r="CM69" s="2042"/>
      <c r="CN69" s="2042"/>
      <c r="CO69" s="2042"/>
      <c r="CP69" s="2042"/>
      <c r="CQ69" s="2042"/>
      <c r="CR69" s="2042"/>
      <c r="CS69" s="2042"/>
      <c r="CT69" s="2042"/>
      <c r="CU69" s="2042"/>
      <c r="CV69" s="2042"/>
      <c r="CW69" s="609" t="str">
        <f>Pflanzen!A65</f>
        <v>GPS Winterraps</v>
      </c>
      <c r="CX69" s="2042">
        <f>IFERROR(MATCH($CW69,Pflanzen!$C$5:$C$119,0),1)</f>
        <v>61</v>
      </c>
      <c r="CY69" s="609" cm="1">
        <f t="array" ref="CY69">INDEX(Pflanzen!$I$5:$I$119,'Lagerhaltung (freiwillig)'!CX69)</f>
        <v>1</v>
      </c>
      <c r="CZ69" s="2042">
        <f t="shared" ref="CZ69:DK78" si="169">SUMIFS($CQ$14:$CQ$68,$BW$14:$BW$68,1,$BX$14:$BX$68,CZ$2,$BR$14:$BR$68,$CX69)+    SUMIFS($CQ$14:$CQ$68,$BW$14:$BW$68,"&gt;1",$BX$14:$BX$68,"&lt;="&amp;CZ$2,$BY$14:$BY$68,"&gt;="&amp;CZ$2,$BR$14:$BR$68,$CX69)</f>
        <v>0</v>
      </c>
      <c r="DA69" s="2042">
        <f t="shared" si="169"/>
        <v>0</v>
      </c>
      <c r="DB69" s="2042">
        <f t="shared" si="169"/>
        <v>0</v>
      </c>
      <c r="DC69" s="2042">
        <f t="shared" si="169"/>
        <v>0</v>
      </c>
      <c r="DD69" s="2042">
        <f t="shared" si="169"/>
        <v>0</v>
      </c>
      <c r="DE69" s="2042">
        <f t="shared" si="169"/>
        <v>0</v>
      </c>
      <c r="DF69" s="2042">
        <f t="shared" si="169"/>
        <v>0</v>
      </c>
      <c r="DG69" s="2042">
        <f t="shared" si="169"/>
        <v>0</v>
      </c>
      <c r="DH69" s="2042">
        <f t="shared" si="169"/>
        <v>0</v>
      </c>
      <c r="DI69" s="2042">
        <f t="shared" si="169"/>
        <v>0</v>
      </c>
      <c r="DJ69" s="2042">
        <f t="shared" si="169"/>
        <v>0</v>
      </c>
      <c r="DK69" s="2042">
        <f t="shared" si="169"/>
        <v>0</v>
      </c>
      <c r="DL69" s="2042"/>
      <c r="DM69" s="2042">
        <f t="shared" si="165"/>
        <v>0</v>
      </c>
      <c r="DN69" s="2042">
        <f t="shared" si="166"/>
        <v>0</v>
      </c>
      <c r="DO69" s="2042">
        <f t="shared" si="166"/>
        <v>0</v>
      </c>
      <c r="DP69" s="2042">
        <f t="shared" si="166"/>
        <v>0</v>
      </c>
      <c r="DQ69" s="2042">
        <f t="shared" si="166"/>
        <v>0</v>
      </c>
      <c r="DR69" s="2042">
        <f t="shared" si="166"/>
        <v>0</v>
      </c>
      <c r="DS69" s="2042">
        <f t="shared" si="166"/>
        <v>0</v>
      </c>
      <c r="DT69" s="2042">
        <f t="shared" si="166"/>
        <v>0</v>
      </c>
      <c r="DU69" s="2042">
        <f t="shared" si="166"/>
        <v>0</v>
      </c>
      <c r="DV69" s="2042">
        <f t="shared" si="166"/>
        <v>0</v>
      </c>
      <c r="DW69" s="2042">
        <f t="shared" si="166"/>
        <v>0</v>
      </c>
      <c r="DX69" s="2042">
        <f t="shared" si="166"/>
        <v>0</v>
      </c>
      <c r="DY69" s="2042"/>
      <c r="DZ69" s="2042">
        <f t="shared" ref="DZ69:EK78" si="170">SUMIFS($CL$14:$CL$68,$CC$14:$CC$68,1,$CD$14:$CD$68,DZ$2,$BR$14:$BR$68,$CX69)+         SUMIFS($CL$14:$CL$68,$CC$14:$CC$68,"&gt;1",$CD$14:$CD$68,"&lt;="&amp;DZ$2,$CE$14:$CE$68,"&gt;="&amp;DZ$2,$BR$14:$BR$68,$CX69)</f>
        <v>0</v>
      </c>
      <c r="EA69" s="2042">
        <f t="shared" si="170"/>
        <v>0</v>
      </c>
      <c r="EB69" s="2042">
        <f t="shared" si="170"/>
        <v>0</v>
      </c>
      <c r="EC69" s="2042">
        <f t="shared" si="170"/>
        <v>0</v>
      </c>
      <c r="ED69" s="2042">
        <f t="shared" si="170"/>
        <v>0</v>
      </c>
      <c r="EE69" s="2042">
        <f t="shared" si="170"/>
        <v>0</v>
      </c>
      <c r="EF69" s="2042">
        <f t="shared" si="170"/>
        <v>0</v>
      </c>
      <c r="EG69" s="2042">
        <f t="shared" si="170"/>
        <v>0</v>
      </c>
      <c r="EH69" s="2042">
        <f t="shared" si="170"/>
        <v>0</v>
      </c>
      <c r="EI69" s="2042">
        <f t="shared" si="170"/>
        <v>0</v>
      </c>
      <c r="EJ69" s="2042">
        <f t="shared" si="170"/>
        <v>0</v>
      </c>
      <c r="EK69" s="2042">
        <f t="shared" si="170"/>
        <v>0</v>
      </c>
      <c r="EL69" s="2042"/>
      <c r="EM69" s="2042">
        <f t="shared" si="167"/>
        <v>0</v>
      </c>
      <c r="EN69" s="2042">
        <f t="shared" si="168"/>
        <v>0</v>
      </c>
      <c r="EO69" s="2042">
        <f t="shared" si="168"/>
        <v>0</v>
      </c>
      <c r="EP69" s="2042">
        <f t="shared" si="168"/>
        <v>0</v>
      </c>
      <c r="EQ69" s="2042">
        <f t="shared" si="168"/>
        <v>0</v>
      </c>
      <c r="ER69" s="2042">
        <f t="shared" si="168"/>
        <v>0</v>
      </c>
      <c r="ES69" s="2042">
        <f t="shared" si="168"/>
        <v>0</v>
      </c>
      <c r="ET69" s="2042">
        <f t="shared" si="168"/>
        <v>0</v>
      </c>
      <c r="EU69" s="2042">
        <f t="shared" si="168"/>
        <v>0</v>
      </c>
      <c r="EV69" s="2042">
        <f t="shared" si="168"/>
        <v>0</v>
      </c>
      <c r="EW69" s="2042">
        <f t="shared" si="168"/>
        <v>0</v>
      </c>
      <c r="EX69" s="2042">
        <f t="shared" si="168"/>
        <v>0</v>
      </c>
      <c r="EY69" s="2042"/>
      <c r="EZ69" s="2045">
        <f t="shared" si="50"/>
        <v>0</v>
      </c>
      <c r="FA69" s="2042">
        <f>EZ69+CZ69+DZ69                 -         SUMIF('Berechnung Nährstoffe und Lager'!$AX$113:$AX$155,$CX69,'Berechnung Nährstoffe und Lager'!$U$113:$U$155)/12  -$GB69*$HC69/12</f>
        <v>0</v>
      </c>
      <c r="FB69" s="2042">
        <f>FA69+DA69+EA69                 -         SUMIF('Berechnung Nährstoffe und Lager'!$AX$113:$AX$155,$CX69,'Berechnung Nährstoffe und Lager'!$U$113:$U$155)/12  -$GB69*$HC69/12</f>
        <v>0</v>
      </c>
      <c r="FC69" s="2042">
        <f>FB69+DB69+EB69                 -         SUMIF('Berechnung Nährstoffe und Lager'!$AX$113:$AX$155,$CX69,'Berechnung Nährstoffe und Lager'!$U$113:$U$155)/12  -$GB69*$HC69/12</f>
        <v>0</v>
      </c>
      <c r="FD69" s="2042">
        <f>FC69+DC69+EC69                 -         SUMIF('Berechnung Nährstoffe und Lager'!$AX$113:$AX$155,$CX69,'Berechnung Nährstoffe und Lager'!$U$113:$U$155)/12  -$GB69*$HC69/12</f>
        <v>0</v>
      </c>
      <c r="FE69" s="2042">
        <f>FD69+DD69+ED69                 -         SUMIF('Berechnung Nährstoffe und Lager'!$AX$113:$AX$155,$CX69,'Berechnung Nährstoffe und Lager'!$U$113:$U$155)/12  -$GB69*$HC69/12</f>
        <v>0</v>
      </c>
      <c r="FF69" s="2042">
        <f>FE69+DE69+EE69                 -         SUMIF('Berechnung Nährstoffe und Lager'!$AX$113:$AX$155,$CX69,'Berechnung Nährstoffe und Lager'!$U$113:$U$155)/12  -$GB69*$HC69/12</f>
        <v>0</v>
      </c>
      <c r="FG69" s="2042">
        <f>FF69+DF69+EF69                 -         SUMIF('Berechnung Nährstoffe und Lager'!$AX$113:$AX$155,$CX69,'Berechnung Nährstoffe und Lager'!$U$113:$U$155)/12  -$GB69*$HC69/12</f>
        <v>0</v>
      </c>
      <c r="FH69" s="2042">
        <f>FG69+DG69+EG69                 -         SUMIF('Berechnung Nährstoffe und Lager'!$AX$113:$AX$155,$CX69,'Berechnung Nährstoffe und Lager'!$U$113:$U$155)/12  -$GB69*$HC69/12</f>
        <v>0</v>
      </c>
      <c r="FI69" s="2042">
        <f>FH69+DH69+EH69                 -         SUMIF('Berechnung Nährstoffe und Lager'!$AX$113:$AX$155,$CX69,'Berechnung Nährstoffe und Lager'!$U$113:$U$155)/12  -$GB69*$HC69/12</f>
        <v>0</v>
      </c>
      <c r="FJ69" s="2042">
        <f>FI69+DI69+EI69                 -         SUMIF('Berechnung Nährstoffe und Lager'!$AX$113:$AX$155,$CX69,'Berechnung Nährstoffe und Lager'!$U$113:$U$155)/12  -$GB69*$HC69/12</f>
        <v>0</v>
      </c>
      <c r="FK69" s="2042">
        <f>FJ69+DJ69+EJ69                 -         SUMIF('Berechnung Nährstoffe und Lager'!$AX$113:$AX$155,$CX69,'Berechnung Nährstoffe und Lager'!$U$113:$U$155)/12  -$GB69*$HC69/12</f>
        <v>0</v>
      </c>
      <c r="FL69" s="2042">
        <f>FK69+DK69+EK69                 -         SUMIF('Berechnung Nährstoffe und Lager'!$AX$113:$AX$155,$CX69,'Berechnung Nährstoffe und Lager'!$U$113:$U$155)/12  -$GB69*$HC69/12</f>
        <v>0</v>
      </c>
      <c r="FM69" s="2042"/>
      <c r="FN69" s="2045">
        <f t="shared" si="51"/>
        <v>0</v>
      </c>
      <c r="FO69" s="2042">
        <f>FN69+DM69+EM69                 -         SUMIF('Berechnung Nährstoffe und Lager'!$AX$113:$AX$155,$CX69,'Berechnung Nährstoffe und Lager'!$V$113:$V$155)/12  -$GC69*$HC69/12</f>
        <v>0</v>
      </c>
      <c r="FP69" s="2042">
        <f>FO69+DN69+EN69                 -         SUMIF('Berechnung Nährstoffe und Lager'!$AX$113:$AX$155,$CX69,'Berechnung Nährstoffe und Lager'!$V$113:$V$155)/12  -$GC69*$HC69/12</f>
        <v>0</v>
      </c>
      <c r="FQ69" s="2042">
        <f>FP69+DO69+EO69                 -         SUMIF('Berechnung Nährstoffe und Lager'!$AX$113:$AX$155,$CX69,'Berechnung Nährstoffe und Lager'!$V$113:$V$155)/12  -$GC69*$HC69/12</f>
        <v>0</v>
      </c>
      <c r="FR69" s="2042">
        <f>FQ69+DP69+EP69                 -         SUMIF('Berechnung Nährstoffe und Lager'!$AX$113:$AX$155,$CX69,'Berechnung Nährstoffe und Lager'!$V$113:$V$155)/12  -$GC69*$HC69/12</f>
        <v>0</v>
      </c>
      <c r="FS69" s="2042">
        <f>FR69+DQ69+EQ69                 -         SUMIF('Berechnung Nährstoffe und Lager'!$AX$113:$AX$155,$CX69,'Berechnung Nährstoffe und Lager'!$V$113:$V$155)/12  -$GC69*$HC69/12</f>
        <v>0</v>
      </c>
      <c r="FT69" s="2042">
        <f>FS69+DR69+ER69                 -         SUMIF('Berechnung Nährstoffe und Lager'!$AX$113:$AX$155,$CX69,'Berechnung Nährstoffe und Lager'!$V$113:$V$155)/12  -$GC69*$HC69/12</f>
        <v>0</v>
      </c>
      <c r="FU69" s="2042">
        <f>FT69+DS69+ES69                 -         SUMIF('Berechnung Nährstoffe und Lager'!$AX$113:$AX$155,$CX69,'Berechnung Nährstoffe und Lager'!$V$113:$V$155)/12  -$GC69*$HC69/12</f>
        <v>0</v>
      </c>
      <c r="FV69" s="2042">
        <f>FU69+DT69+ET69                 -         SUMIF('Berechnung Nährstoffe und Lager'!$AX$113:$AX$155,$CX69,'Berechnung Nährstoffe und Lager'!$V$113:$V$155)/12  -$GC69*$HC69/12</f>
        <v>0</v>
      </c>
      <c r="FW69" s="2042">
        <f>FV69+DU69+EU69                 -         SUMIF('Berechnung Nährstoffe und Lager'!$AX$113:$AX$155,$CX69,'Berechnung Nährstoffe und Lager'!$V$113:$V$155)/12  -$GC69*$HC69/12</f>
        <v>0</v>
      </c>
      <c r="FX69" s="2042">
        <f>FW69+DV69+EV69                 -         SUMIF('Berechnung Nährstoffe und Lager'!$AX$113:$AX$155,$CX69,'Berechnung Nährstoffe und Lager'!$V$113:$V$155)/12  -$GC69*$HC69/12</f>
        <v>0</v>
      </c>
      <c r="FY69" s="2042">
        <f>FX69+DW69+EW69                 -         SUMIF('Berechnung Nährstoffe und Lager'!$AX$113:$AX$155,$CX69,'Berechnung Nährstoffe und Lager'!$V$113:$V$155)/12  -$GC69*$HC69/12</f>
        <v>0</v>
      </c>
      <c r="FZ69" s="2042">
        <f>FY69+DX69+EX69                 -         SUMIF('Berechnung Nährstoffe und Lager'!$AX$113:$AX$155,$CX69,'Berechnung Nährstoffe und Lager'!$V$113:$V$155)/12  -$GC69*$HC69/12</f>
        <v>0</v>
      </c>
      <c r="GA69" s="2042"/>
      <c r="GB69" s="2042">
        <f>SUMIFS($CI$14:$CI$68,$BR$14:$BR$68,$CX69)+SUMIFS($CM$14:$CM$68,$BR$14:$BR$68,$CX69)+SUMIFS($CR$14:$CR$68,$BR$14:$BR$68,$CX69)  -         SUMIF('Berechnung Nährstoffe und Lager'!$AX$113:$AX$155,$CX69,'Berechnung Nährstoffe und Lager'!$U$113:$U$155)</f>
        <v>0</v>
      </c>
      <c r="GC69" s="2042">
        <f>SUMIFS($CJ$14:$CJ$68,$BR$14:$BR$68,$CX69)+SUMIFS($CO$14:$CO$68,$BR$14:$BR$68,$CX69)+SUMIFS($CT$14:$CT$68,$BR$14:$BR$68,$CX69)  -         SUMIF('Berechnung Nährstoffe und Lager'!$AX$113:$AX$155,$CX69,'Berechnung Nährstoffe und Lager'!$V$113:$V$155)</f>
        <v>0</v>
      </c>
      <c r="GD69" s="2042"/>
      <c r="GE69" s="2042"/>
      <c r="GF69" s="2042">
        <f>SUMIF('Berechnung Nährstoffe und Lager'!$AX$113:$AX$155,$CX69,'Berechnung Nährstoffe und Lager'!$U$113:$U$155)</f>
        <v>0</v>
      </c>
      <c r="GG69" s="2042">
        <f>SUMIF('Berechnung Nährstoffe und Lager'!$AX$113:$AX$155,$CX69,'Berechnung Nährstoffe und Lager'!$V$113:$V$155)</f>
        <v>0</v>
      </c>
      <c r="GH69" s="2042">
        <f t="shared" si="52"/>
        <v>0</v>
      </c>
      <c r="GI69" s="2042">
        <f t="shared" si="53"/>
        <v>0</v>
      </c>
      <c r="GJ69" s="2042">
        <f t="shared" si="121"/>
        <v>0</v>
      </c>
      <c r="GK69" s="2042">
        <f t="shared" si="122"/>
        <v>0</v>
      </c>
      <c r="GL69" s="2042">
        <f t="shared" si="123"/>
        <v>0</v>
      </c>
      <c r="GM69" s="2042" cm="1">
        <f t="array" ref="GM69">IF(GL69=0,0,(IFERROR(SUMPRODUCT($J$14:$J$68,$CH$14:$CH$68,($BR$14:$BR$68=CX69)*1)+SUMPRODUCT($L$14:$L$68,$M$14:$M$68,$CK$14:$CK$68,($BR$14:$BR$68=CX69)*1,($BT$14:$BT$68=FALSE)*1)/10+SUMPRODUCT($R$14:$R$68,$CP$14:$CP$68,($BR$14:$BR$68=CX69)*1),0))/GL69)</f>
        <v>0</v>
      </c>
      <c r="GN69" s="2042">
        <f t="shared" si="54"/>
        <v>0</v>
      </c>
      <c r="GO69" s="2042">
        <f>(SUMIF('Berechnung Nährstoffe und Lager'!$AX$113:$AX$130,'Lagerhaltung (freiwillig)'!CX69,'Berechnung Nährstoffe und Lager'!$D$113:$D$130)+SUMIF('Berechnung Nährstoffe und Lager'!$AX$137:$AX$155,'Lagerhaltung (freiwillig)'!CX69,'Berechnung Nährstoffe und Lager'!$E$137:$E$155))</f>
        <v>0</v>
      </c>
      <c r="GP69" s="2042" cm="1">
        <f t="array" ref="GP69">IF(GO69=0,0,(IFERROR(SUMPRODUCT('Berechnung Nährstoffe und Lager'!$D$113:$D$130,'Berechnung Nährstoffe und Lager'!$F$113:$F$130,('Berechnung Nährstoffe und Lager'!$AX$113:$AX$130='Lagerhaltung (freiwillig)'!CX69)*1)+SUMPRODUCT('Berechnung Nährstoffe und Lager'!$E$137:$E$155,'Berechnung Nährstoffe und Lager'!$F$137:$F$155,('Berechnung Nährstoffe und Lager'!$AX$137:$AX$155='Lagerhaltung (freiwillig)'!CX69)*1),0))/GO69)</f>
        <v>0</v>
      </c>
      <c r="GQ69" s="2042">
        <f t="shared" si="55"/>
        <v>0</v>
      </c>
      <c r="GR69" s="2042">
        <f t="shared" si="56"/>
        <v>0</v>
      </c>
      <c r="GS69" s="2042">
        <f t="shared" si="57"/>
        <v>0</v>
      </c>
      <c r="GT69" s="2042">
        <f t="shared" si="58"/>
        <v>0</v>
      </c>
      <c r="GU69" s="2045" t="str">
        <f t="shared" si="39"/>
        <v xml:space="preserve"> </v>
      </c>
      <c r="GV69" s="2045" t="str">
        <f t="shared" si="39"/>
        <v xml:space="preserve"> </v>
      </c>
      <c r="GW69" s="2054">
        <f t="shared" si="124"/>
        <v>0</v>
      </c>
      <c r="GX69" s="2042">
        <f t="shared" si="125"/>
        <v>0</v>
      </c>
      <c r="GY69" s="2042" t="str">
        <f t="shared" si="120"/>
        <v>a</v>
      </c>
      <c r="GZ69" s="2055">
        <f t="shared" si="126"/>
        <v>0</v>
      </c>
      <c r="HA69" s="2055">
        <f t="shared" si="127"/>
        <v>0</v>
      </c>
      <c r="HB69" s="2055"/>
      <c r="HC69" s="2046">
        <f t="shared" si="128"/>
        <v>0</v>
      </c>
      <c r="HD69" s="2055">
        <f t="shared" si="129"/>
        <v>0</v>
      </c>
      <c r="HE69" s="2055">
        <f t="shared" si="130"/>
        <v>0</v>
      </c>
      <c r="HF69" s="2055">
        <f t="shared" si="131"/>
        <v>0</v>
      </c>
      <c r="HG69" s="2282" cm="1">
        <f t="array" ref="HG69">IF(AND(HE69=0,GJ69=0),0,IF(HE69=0,1,IF(OR(GJ69*1000/HE69/HF69&gt;INDEX(Pflanzen!$AD$5:$AD$109,CX69)/INDEX(Pflanzen!$M$5:$M$109,CX69)*$HG$1,GJ69*1000/HE69/HF69&lt;INDEX(Pflanzen!$AD$5:$AD$109,CX69)/INDEX(Pflanzen!$M$5:$M$109,CX69)/$HG$1),1,0)))</f>
        <v>0</v>
      </c>
      <c r="HH69" s="2282" cm="1">
        <f t="array" ref="HH69">IF(AND(GK69=0,HE69=0),0,IF(HE69=0,1,IF(OR(GK69*1000/HE69/HF69&gt;INDEX(Pflanzen!$AE$5:$AE$109,CX69)/INDEX(Pflanzen!$M$5:$M$109,CX69)*$HG$1,GK69*1000/HE69/HF69&lt;INDEX(Pflanzen!$AE$5:$AE$109,CX69)/INDEX(Pflanzen!$M$5:$M$109,CX69)/$HG$1),1,0)))</f>
        <v>0</v>
      </c>
      <c r="HI69" s="2042">
        <f t="shared" si="132"/>
        <v>3</v>
      </c>
      <c r="HJ69" s="2042"/>
      <c r="HL69" s="2042"/>
      <c r="HM69" s="2042"/>
      <c r="HN69" s="2042"/>
      <c r="HO69" s="2042"/>
      <c r="HP69" s="2042"/>
      <c r="HQ69" s="2042"/>
      <c r="HR69" s="2042"/>
      <c r="HS69" s="2042"/>
      <c r="HT69" s="2042"/>
      <c r="HU69" s="2042"/>
      <c r="HV69" s="2042"/>
      <c r="HW69" s="2042"/>
      <c r="HX69" s="2042"/>
      <c r="HY69" s="2042"/>
      <c r="HZ69" s="2042"/>
      <c r="IA69" s="2042"/>
      <c r="IB69" s="2042"/>
      <c r="IC69" s="2042"/>
      <c r="ID69" s="2042"/>
      <c r="IE69" s="2042"/>
      <c r="IF69" s="2042"/>
      <c r="IG69" s="2042"/>
      <c r="IH69" s="2042"/>
      <c r="II69" s="2042"/>
      <c r="IJ69" s="2042"/>
    </row>
    <row r="70" spans="1:244" ht="4.5" customHeight="1" thickBot="1" x14ac:dyDescent="0.25">
      <c r="A70" s="510"/>
      <c r="B70" s="510"/>
      <c r="C70" s="510"/>
      <c r="D70" s="510"/>
      <c r="E70" s="510"/>
      <c r="F70" s="510"/>
      <c r="G70" s="510"/>
      <c r="H70" s="510"/>
      <c r="I70" s="510"/>
      <c r="J70" s="510"/>
      <c r="K70" s="510"/>
      <c r="L70" s="510"/>
      <c r="M70" s="510"/>
      <c r="N70" s="510"/>
      <c r="O70" s="510"/>
      <c r="P70" s="510"/>
      <c r="Q70" s="510"/>
      <c r="R70" s="510"/>
      <c r="S70" s="510"/>
      <c r="T70" s="510"/>
      <c r="U70" s="510"/>
      <c r="V70" s="510"/>
      <c r="Y70" s="2005" t="str" cm="1">
        <f t="array" ref="Y70">IFERROR(INDEX($CW$4:$CW$171,AY70),"")</f>
        <v/>
      </c>
      <c r="Z70" s="510"/>
      <c r="AA70" s="510"/>
      <c r="AB70" s="510"/>
      <c r="AC70" s="2031" t="str" cm="1">
        <f t="array" ref="AC70">IFERROR(INDEX($GL$4:$GL$171,AY70),"")</f>
        <v/>
      </c>
      <c r="AD70" s="2031" t="str" cm="1">
        <f t="array" ref="AD70">IFERROR(INDEX($GM$4:$GM$171,AY70),"")</f>
        <v/>
      </c>
      <c r="AE70" s="2031" t="str" cm="1">
        <f t="array" ref="AE70">IFERROR(INDEX($GH$4:$GH$171,AY70),"")</f>
        <v/>
      </c>
      <c r="AF70" s="2031" t="str" cm="1">
        <f t="array" ref="AF70">IFERROR(INDEX($GI$4:$GI$171,AY70),"")</f>
        <v/>
      </c>
      <c r="AG70" s="2031" t="str" cm="1">
        <f t="array" ref="AG70">IFERROR(INDEX($GO$4:$GO$171,AY70),"")</f>
        <v/>
      </c>
      <c r="AH70" s="2031" t="str" cm="1">
        <f t="array" ref="AH70">IFERROR(INDEX($GP$4:$GP$171,AY70),"")</f>
        <v/>
      </c>
      <c r="AI70" s="2031" t="str" cm="1">
        <f t="array" ref="AI70">IFERROR(INDEX($GF$4:$GF$171,AY70),"")</f>
        <v/>
      </c>
      <c r="AJ70" s="2031" t="str" cm="1">
        <f t="array" ref="AJ70">IFERROR(INDEX($GG$4:$GG$171,AY70),"")</f>
        <v/>
      </c>
      <c r="AK70" s="2031" t="str" cm="1">
        <f t="array" ref="AK70">IFERROR(INDEX($GS$4:$GS$171,AY70),"")</f>
        <v/>
      </c>
      <c r="AL70" s="2032" t="str" cm="1">
        <f t="array" ref="AL70">IFERROR(INDEX($GT$4:$GT$171,AY70),"")</f>
        <v/>
      </c>
      <c r="AM70" s="2031" t="str" cm="1">
        <f t="array" ref="AM70">IFERROR(INDEX($GB$4:$GB$171,AY70),"")</f>
        <v/>
      </c>
      <c r="AN70" s="2031" t="str" cm="1">
        <f t="array" ref="AN70">IFERROR(INDEX($GC$4:$GC$171,AY70),"")</f>
        <v/>
      </c>
      <c r="AO70" s="2031" t="str" cm="1">
        <f t="array" ref="AO70">IFERROR(INDEX($GU$4:$GU$171,AY70),"")</f>
        <v/>
      </c>
      <c r="AP70" s="2031" t="str" cm="1">
        <f t="array" ref="AP70">IFERROR(INDEX($GX$4:$GX$171,AY70),"")</f>
        <v/>
      </c>
      <c r="AQ70" s="1316"/>
      <c r="AR70" s="2031" t="str" cm="1">
        <f t="array" ref="AR70">IFERROR(INDEX($HD$4:$HD$171,AY70),"")</f>
        <v/>
      </c>
      <c r="AS70" s="2031" t="str" cm="1">
        <f t="array" ref="AS70">IFERROR(INDEX($HE$4:$HE$171,AY70),"")</f>
        <v/>
      </c>
      <c r="AT70" s="2031" t="str" cm="1">
        <f t="array" ref="AT70">IFERROR(INDEX($HF$4:$HF$171,AY70),"")</f>
        <v/>
      </c>
      <c r="AU70" s="2031" t="str" cm="1">
        <f t="array" ref="AU70">IFERROR(INDEX($GJ$4:$GJ$171,AY70),"")</f>
        <v/>
      </c>
      <c r="AV70" s="2031" t="str" cm="1">
        <f t="array" ref="AV70">IFERROR(INDEX($GK$4:$GK$171,AY70),"")</f>
        <v/>
      </c>
      <c r="AY70" s="2042" t="str" cm="1">
        <f t="array" ref="AY70">IFERROR(SMALL(IF($HI$4:$HI$171=1,ROW($HI$4:$HI$171)-3),ROW(W55)),IFERROR(SMALL(IF($HI$4:$HI$171=2,ROW($HI$4:$HI$171)-3),ROW(W55)-COUNTIF($HI$4:$HI$171,1)),IFERROR(SMALL(IF($HI$4:$HI$171=0,ROW($HI$4:$HI$171)-3),ROW(W55)-COUNTIF($HI$4:$HI$171,1)-COUNTIF($HI$4:$HI$171,2)),"")))</f>
        <v/>
      </c>
      <c r="AZ70" s="2042" t="str">
        <f t="shared" si="117"/>
        <v>a</v>
      </c>
      <c r="BA70" s="2053" t="e">
        <f t="shared" si="118"/>
        <v>#VALUE!</v>
      </c>
      <c r="BB70" s="2053" cm="1">
        <f t="array" ref="BB70">IFERROR(INDEX($HI$4:$HI$171,AY70),0)</f>
        <v>0</v>
      </c>
      <c r="BC70" s="2053">
        <f t="shared" si="119"/>
        <v>0</v>
      </c>
      <c r="BD70" s="2053"/>
      <c r="BE70" s="2307"/>
      <c r="BF70" s="2307"/>
      <c r="BG70" s="2307"/>
      <c r="BH70" s="2307"/>
      <c r="BI70" s="2307"/>
      <c r="BJ70" s="2307"/>
      <c r="BK70" s="2307"/>
      <c r="BL70" s="2307"/>
      <c r="BM70" s="2307"/>
      <c r="BN70" s="2307"/>
      <c r="BO70" s="2307"/>
      <c r="BP70" s="2043"/>
      <c r="BQ70" s="2042"/>
      <c r="BR70" s="2042"/>
      <c r="BS70" s="2042"/>
      <c r="BT70" s="2042"/>
      <c r="BU70" s="2044"/>
      <c r="BV70" s="2044"/>
      <c r="BW70" s="2042"/>
      <c r="BX70" s="2042"/>
      <c r="BY70" s="2042"/>
      <c r="BZ70" s="2042"/>
      <c r="CA70" s="2042"/>
      <c r="CB70" s="2042"/>
      <c r="CC70" s="2042"/>
      <c r="CD70" s="2042"/>
      <c r="CE70" s="2042"/>
      <c r="CF70" s="2042"/>
      <c r="CG70" s="2042"/>
      <c r="CH70" s="2042"/>
      <c r="CI70" s="2042"/>
      <c r="CJ70" s="2042"/>
      <c r="CK70" s="2042"/>
      <c r="CL70" s="2042"/>
      <c r="CM70" s="2042"/>
      <c r="CN70" s="2042"/>
      <c r="CO70" s="2042"/>
      <c r="CP70" s="2042"/>
      <c r="CQ70" s="2042"/>
      <c r="CR70" s="2042"/>
      <c r="CS70" s="2042"/>
      <c r="CT70" s="2042"/>
      <c r="CU70" s="2042"/>
      <c r="CV70" s="2042"/>
      <c r="CW70" s="609" t="str">
        <f>Pflanzen!A66</f>
        <v>GPS Winterrübsen</v>
      </c>
      <c r="CX70" s="2042">
        <f>IFERROR(MATCH($CW70,Pflanzen!$C$5:$C$119,0),1)</f>
        <v>62</v>
      </c>
      <c r="CY70" s="609" cm="1">
        <f t="array" ref="CY70">INDEX(Pflanzen!$I$5:$I$119,'Lagerhaltung (freiwillig)'!CX70)</f>
        <v>1</v>
      </c>
      <c r="CZ70" s="2042">
        <f t="shared" si="169"/>
        <v>0</v>
      </c>
      <c r="DA70" s="2042">
        <f t="shared" si="169"/>
        <v>0</v>
      </c>
      <c r="DB70" s="2042">
        <f t="shared" si="169"/>
        <v>0</v>
      </c>
      <c r="DC70" s="2042">
        <f t="shared" si="169"/>
        <v>0</v>
      </c>
      <c r="DD70" s="2042">
        <f t="shared" si="169"/>
        <v>0</v>
      </c>
      <c r="DE70" s="2042">
        <f t="shared" si="169"/>
        <v>0</v>
      </c>
      <c r="DF70" s="2042">
        <f t="shared" si="169"/>
        <v>0</v>
      </c>
      <c r="DG70" s="2042">
        <f t="shared" si="169"/>
        <v>0</v>
      </c>
      <c r="DH70" s="2042">
        <f t="shared" si="169"/>
        <v>0</v>
      </c>
      <c r="DI70" s="2042">
        <f t="shared" si="169"/>
        <v>0</v>
      </c>
      <c r="DJ70" s="2042">
        <f t="shared" si="169"/>
        <v>0</v>
      </c>
      <c r="DK70" s="2042">
        <f t="shared" si="169"/>
        <v>0</v>
      </c>
      <c r="DL70" s="2042"/>
      <c r="DM70" s="2042">
        <f t="shared" si="165"/>
        <v>0</v>
      </c>
      <c r="DN70" s="2042">
        <f t="shared" si="166"/>
        <v>0</v>
      </c>
      <c r="DO70" s="2042">
        <f t="shared" si="166"/>
        <v>0</v>
      </c>
      <c r="DP70" s="2042">
        <f t="shared" si="166"/>
        <v>0</v>
      </c>
      <c r="DQ70" s="2042">
        <f t="shared" si="166"/>
        <v>0</v>
      </c>
      <c r="DR70" s="2042">
        <f t="shared" si="166"/>
        <v>0</v>
      </c>
      <c r="DS70" s="2042">
        <f t="shared" si="166"/>
        <v>0</v>
      </c>
      <c r="DT70" s="2042">
        <f t="shared" si="166"/>
        <v>0</v>
      </c>
      <c r="DU70" s="2042">
        <f t="shared" si="166"/>
        <v>0</v>
      </c>
      <c r="DV70" s="2042">
        <f t="shared" si="166"/>
        <v>0</v>
      </c>
      <c r="DW70" s="2042">
        <f t="shared" si="166"/>
        <v>0</v>
      </c>
      <c r="DX70" s="2042">
        <f t="shared" si="166"/>
        <v>0</v>
      </c>
      <c r="DY70" s="2042"/>
      <c r="DZ70" s="2042">
        <f t="shared" si="170"/>
        <v>0</v>
      </c>
      <c r="EA70" s="2042">
        <f t="shared" si="170"/>
        <v>0</v>
      </c>
      <c r="EB70" s="2042">
        <f t="shared" si="170"/>
        <v>0</v>
      </c>
      <c r="EC70" s="2042">
        <f t="shared" si="170"/>
        <v>0</v>
      </c>
      <c r="ED70" s="2042">
        <f t="shared" si="170"/>
        <v>0</v>
      </c>
      <c r="EE70" s="2042">
        <f t="shared" si="170"/>
        <v>0</v>
      </c>
      <c r="EF70" s="2042">
        <f t="shared" si="170"/>
        <v>0</v>
      </c>
      <c r="EG70" s="2042">
        <f t="shared" si="170"/>
        <v>0</v>
      </c>
      <c r="EH70" s="2042">
        <f t="shared" si="170"/>
        <v>0</v>
      </c>
      <c r="EI70" s="2042">
        <f t="shared" si="170"/>
        <v>0</v>
      </c>
      <c r="EJ70" s="2042">
        <f t="shared" si="170"/>
        <v>0</v>
      </c>
      <c r="EK70" s="2042">
        <f t="shared" si="170"/>
        <v>0</v>
      </c>
      <c r="EL70" s="2042"/>
      <c r="EM70" s="2042">
        <f t="shared" si="167"/>
        <v>0</v>
      </c>
      <c r="EN70" s="2042">
        <f t="shared" si="168"/>
        <v>0</v>
      </c>
      <c r="EO70" s="2042">
        <f t="shared" si="168"/>
        <v>0</v>
      </c>
      <c r="EP70" s="2042">
        <f t="shared" si="168"/>
        <v>0</v>
      </c>
      <c r="EQ70" s="2042">
        <f t="shared" si="168"/>
        <v>0</v>
      </c>
      <c r="ER70" s="2042">
        <f t="shared" si="168"/>
        <v>0</v>
      </c>
      <c r="ES70" s="2042">
        <f t="shared" si="168"/>
        <v>0</v>
      </c>
      <c r="ET70" s="2042">
        <f t="shared" si="168"/>
        <v>0</v>
      </c>
      <c r="EU70" s="2042">
        <f t="shared" si="168"/>
        <v>0</v>
      </c>
      <c r="EV70" s="2042">
        <f t="shared" si="168"/>
        <v>0</v>
      </c>
      <c r="EW70" s="2042">
        <f t="shared" si="168"/>
        <v>0</v>
      </c>
      <c r="EX70" s="2042">
        <f t="shared" si="168"/>
        <v>0</v>
      </c>
      <c r="EY70" s="2042"/>
      <c r="EZ70" s="2045">
        <f t="shared" si="50"/>
        <v>0</v>
      </c>
      <c r="FA70" s="2042">
        <f>EZ70+CZ70+DZ70                 -         SUMIF('Berechnung Nährstoffe und Lager'!$AX$113:$AX$155,$CX70,'Berechnung Nährstoffe und Lager'!$U$113:$U$155)/12  -$GB70*$HC70/12</f>
        <v>0</v>
      </c>
      <c r="FB70" s="2042">
        <f>FA70+DA70+EA70                 -         SUMIF('Berechnung Nährstoffe und Lager'!$AX$113:$AX$155,$CX70,'Berechnung Nährstoffe und Lager'!$U$113:$U$155)/12  -$GB70*$HC70/12</f>
        <v>0</v>
      </c>
      <c r="FC70" s="2042">
        <f>FB70+DB70+EB70                 -         SUMIF('Berechnung Nährstoffe und Lager'!$AX$113:$AX$155,$CX70,'Berechnung Nährstoffe und Lager'!$U$113:$U$155)/12  -$GB70*$HC70/12</f>
        <v>0</v>
      </c>
      <c r="FD70" s="2042">
        <f>FC70+DC70+EC70                 -         SUMIF('Berechnung Nährstoffe und Lager'!$AX$113:$AX$155,$CX70,'Berechnung Nährstoffe und Lager'!$U$113:$U$155)/12  -$GB70*$HC70/12</f>
        <v>0</v>
      </c>
      <c r="FE70" s="2042">
        <f>FD70+DD70+ED70                 -         SUMIF('Berechnung Nährstoffe und Lager'!$AX$113:$AX$155,$CX70,'Berechnung Nährstoffe und Lager'!$U$113:$U$155)/12  -$GB70*$HC70/12</f>
        <v>0</v>
      </c>
      <c r="FF70" s="2042">
        <f>FE70+DE70+EE70                 -         SUMIF('Berechnung Nährstoffe und Lager'!$AX$113:$AX$155,$CX70,'Berechnung Nährstoffe und Lager'!$U$113:$U$155)/12  -$GB70*$HC70/12</f>
        <v>0</v>
      </c>
      <c r="FG70" s="2042">
        <f>FF70+DF70+EF70                 -         SUMIF('Berechnung Nährstoffe und Lager'!$AX$113:$AX$155,$CX70,'Berechnung Nährstoffe und Lager'!$U$113:$U$155)/12  -$GB70*$HC70/12</f>
        <v>0</v>
      </c>
      <c r="FH70" s="2042">
        <f>FG70+DG70+EG70                 -         SUMIF('Berechnung Nährstoffe und Lager'!$AX$113:$AX$155,$CX70,'Berechnung Nährstoffe und Lager'!$U$113:$U$155)/12  -$GB70*$HC70/12</f>
        <v>0</v>
      </c>
      <c r="FI70" s="2042">
        <f>FH70+DH70+EH70                 -         SUMIF('Berechnung Nährstoffe und Lager'!$AX$113:$AX$155,$CX70,'Berechnung Nährstoffe und Lager'!$U$113:$U$155)/12  -$GB70*$HC70/12</f>
        <v>0</v>
      </c>
      <c r="FJ70" s="2042">
        <f>FI70+DI70+EI70                 -         SUMIF('Berechnung Nährstoffe und Lager'!$AX$113:$AX$155,$CX70,'Berechnung Nährstoffe und Lager'!$U$113:$U$155)/12  -$GB70*$HC70/12</f>
        <v>0</v>
      </c>
      <c r="FK70" s="2042">
        <f>FJ70+DJ70+EJ70                 -         SUMIF('Berechnung Nährstoffe und Lager'!$AX$113:$AX$155,$CX70,'Berechnung Nährstoffe und Lager'!$U$113:$U$155)/12  -$GB70*$HC70/12</f>
        <v>0</v>
      </c>
      <c r="FL70" s="2042">
        <f>FK70+DK70+EK70                 -         SUMIF('Berechnung Nährstoffe und Lager'!$AX$113:$AX$155,$CX70,'Berechnung Nährstoffe und Lager'!$U$113:$U$155)/12  -$GB70*$HC70/12</f>
        <v>0</v>
      </c>
      <c r="FM70" s="2042"/>
      <c r="FN70" s="2045">
        <f t="shared" si="51"/>
        <v>0</v>
      </c>
      <c r="FO70" s="2042">
        <f>FN70+DM70+EM70                 -         SUMIF('Berechnung Nährstoffe und Lager'!$AX$113:$AX$155,$CX70,'Berechnung Nährstoffe und Lager'!$V$113:$V$155)/12  -$GC70*$HC70/12</f>
        <v>0</v>
      </c>
      <c r="FP70" s="2042">
        <f>FO70+DN70+EN70                 -         SUMIF('Berechnung Nährstoffe und Lager'!$AX$113:$AX$155,$CX70,'Berechnung Nährstoffe und Lager'!$V$113:$V$155)/12  -$GC70*$HC70/12</f>
        <v>0</v>
      </c>
      <c r="FQ70" s="2042">
        <f>FP70+DO70+EO70                 -         SUMIF('Berechnung Nährstoffe und Lager'!$AX$113:$AX$155,$CX70,'Berechnung Nährstoffe und Lager'!$V$113:$V$155)/12  -$GC70*$HC70/12</f>
        <v>0</v>
      </c>
      <c r="FR70" s="2042">
        <f>FQ70+DP70+EP70                 -         SUMIF('Berechnung Nährstoffe und Lager'!$AX$113:$AX$155,$CX70,'Berechnung Nährstoffe und Lager'!$V$113:$V$155)/12  -$GC70*$HC70/12</f>
        <v>0</v>
      </c>
      <c r="FS70" s="2042">
        <f>FR70+DQ70+EQ70                 -         SUMIF('Berechnung Nährstoffe und Lager'!$AX$113:$AX$155,$CX70,'Berechnung Nährstoffe und Lager'!$V$113:$V$155)/12  -$GC70*$HC70/12</f>
        <v>0</v>
      </c>
      <c r="FT70" s="2042">
        <f>FS70+DR70+ER70                 -         SUMIF('Berechnung Nährstoffe und Lager'!$AX$113:$AX$155,$CX70,'Berechnung Nährstoffe und Lager'!$V$113:$V$155)/12  -$GC70*$HC70/12</f>
        <v>0</v>
      </c>
      <c r="FU70" s="2042">
        <f>FT70+DS70+ES70                 -         SUMIF('Berechnung Nährstoffe und Lager'!$AX$113:$AX$155,$CX70,'Berechnung Nährstoffe und Lager'!$V$113:$V$155)/12  -$GC70*$HC70/12</f>
        <v>0</v>
      </c>
      <c r="FV70" s="2042">
        <f>FU70+DT70+ET70                 -         SUMIF('Berechnung Nährstoffe und Lager'!$AX$113:$AX$155,$CX70,'Berechnung Nährstoffe und Lager'!$V$113:$V$155)/12  -$GC70*$HC70/12</f>
        <v>0</v>
      </c>
      <c r="FW70" s="2042">
        <f>FV70+DU70+EU70                 -         SUMIF('Berechnung Nährstoffe und Lager'!$AX$113:$AX$155,$CX70,'Berechnung Nährstoffe und Lager'!$V$113:$V$155)/12  -$GC70*$HC70/12</f>
        <v>0</v>
      </c>
      <c r="FX70" s="2042">
        <f>FW70+DV70+EV70                 -         SUMIF('Berechnung Nährstoffe und Lager'!$AX$113:$AX$155,$CX70,'Berechnung Nährstoffe und Lager'!$V$113:$V$155)/12  -$GC70*$HC70/12</f>
        <v>0</v>
      </c>
      <c r="FY70" s="2042">
        <f>FX70+DW70+EW70                 -         SUMIF('Berechnung Nährstoffe und Lager'!$AX$113:$AX$155,$CX70,'Berechnung Nährstoffe und Lager'!$V$113:$V$155)/12  -$GC70*$HC70/12</f>
        <v>0</v>
      </c>
      <c r="FZ70" s="2042">
        <f>FY70+DX70+EX70                 -         SUMIF('Berechnung Nährstoffe und Lager'!$AX$113:$AX$155,$CX70,'Berechnung Nährstoffe und Lager'!$V$113:$V$155)/12  -$GC70*$HC70/12</f>
        <v>0</v>
      </c>
      <c r="GA70" s="2042"/>
      <c r="GB70" s="2042">
        <f>SUMIFS($CI$14:$CI$68,$BR$14:$BR$68,$CX70)+SUMIFS($CM$14:$CM$68,$BR$14:$BR$68,$CX70)+SUMIFS($CR$14:$CR$68,$BR$14:$BR$68,$CX70)  -         SUMIF('Berechnung Nährstoffe und Lager'!$AX$113:$AX$155,$CX70,'Berechnung Nährstoffe und Lager'!$U$113:$U$155)</f>
        <v>0</v>
      </c>
      <c r="GC70" s="2042">
        <f>SUMIFS($CJ$14:$CJ$68,$BR$14:$BR$68,$CX70)+SUMIFS($CO$14:$CO$68,$BR$14:$BR$68,$CX70)+SUMIFS($CT$14:$CT$68,$BR$14:$BR$68,$CX70)  -         SUMIF('Berechnung Nährstoffe und Lager'!$AX$113:$AX$155,$CX70,'Berechnung Nährstoffe und Lager'!$V$113:$V$155)</f>
        <v>0</v>
      </c>
      <c r="GD70" s="2042"/>
      <c r="GE70" s="2042"/>
      <c r="GF70" s="2042">
        <f>SUMIF('Berechnung Nährstoffe und Lager'!$AX$113:$AX$155,$CX70,'Berechnung Nährstoffe und Lager'!$U$113:$U$155)</f>
        <v>0</v>
      </c>
      <c r="GG70" s="2042">
        <f>SUMIF('Berechnung Nährstoffe und Lager'!$AX$113:$AX$155,$CX70,'Berechnung Nährstoffe und Lager'!$V$113:$V$155)</f>
        <v>0</v>
      </c>
      <c r="GH70" s="2042">
        <f t="shared" si="52"/>
        <v>0</v>
      </c>
      <c r="GI70" s="2042">
        <f t="shared" si="53"/>
        <v>0</v>
      </c>
      <c r="GJ70" s="2042">
        <f t="shared" si="121"/>
        <v>0</v>
      </c>
      <c r="GK70" s="2042">
        <f t="shared" si="122"/>
        <v>0</v>
      </c>
      <c r="GL70" s="2042">
        <f t="shared" si="123"/>
        <v>0</v>
      </c>
      <c r="GM70" s="2042" cm="1">
        <f t="array" ref="GM70">IF(GL70=0,0,(IFERROR(SUMPRODUCT($J$14:$J$68,$CH$14:$CH$68,($BR$14:$BR$68=CX70)*1)+SUMPRODUCT($L$14:$L$68,$M$14:$M$68,$CK$14:$CK$68,($BR$14:$BR$68=CX70)*1,($BT$14:$BT$68=FALSE)*1)/10+SUMPRODUCT($R$14:$R$68,$CP$14:$CP$68,($BR$14:$BR$68=CX70)*1),0))/GL70)</f>
        <v>0</v>
      </c>
      <c r="GN70" s="2042">
        <f t="shared" si="54"/>
        <v>0</v>
      </c>
      <c r="GO70" s="2042">
        <f>(SUMIF('Berechnung Nährstoffe und Lager'!$AX$113:$AX$130,'Lagerhaltung (freiwillig)'!CX70,'Berechnung Nährstoffe und Lager'!$D$113:$D$130)+SUMIF('Berechnung Nährstoffe und Lager'!$AX$137:$AX$155,'Lagerhaltung (freiwillig)'!CX70,'Berechnung Nährstoffe und Lager'!$E$137:$E$155))</f>
        <v>0</v>
      </c>
      <c r="GP70" s="2042" cm="1">
        <f t="array" ref="GP70">IF(GO70=0,0,(IFERROR(SUMPRODUCT('Berechnung Nährstoffe und Lager'!$D$113:$D$130,'Berechnung Nährstoffe und Lager'!$F$113:$F$130,('Berechnung Nährstoffe und Lager'!$AX$113:$AX$130='Lagerhaltung (freiwillig)'!CX70)*1)+SUMPRODUCT('Berechnung Nährstoffe und Lager'!$E$137:$E$155,'Berechnung Nährstoffe und Lager'!$F$137:$F$155,('Berechnung Nährstoffe und Lager'!$AX$137:$AX$155='Lagerhaltung (freiwillig)'!CX70)*1),0))/GO70)</f>
        <v>0</v>
      </c>
      <c r="GQ70" s="2042">
        <f t="shared" si="55"/>
        <v>0</v>
      </c>
      <c r="GR70" s="2042">
        <f t="shared" si="56"/>
        <v>0</v>
      </c>
      <c r="GS70" s="2042">
        <f t="shared" si="57"/>
        <v>0</v>
      </c>
      <c r="GT70" s="2042">
        <f t="shared" si="58"/>
        <v>0</v>
      </c>
      <c r="GU70" s="2045" t="str">
        <f t="shared" si="39"/>
        <v xml:space="preserve"> </v>
      </c>
      <c r="GV70" s="2045" t="str">
        <f t="shared" si="39"/>
        <v xml:space="preserve"> </v>
      </c>
      <c r="GW70" s="2054">
        <f t="shared" si="124"/>
        <v>0</v>
      </c>
      <c r="GX70" s="2042">
        <f t="shared" si="125"/>
        <v>0</v>
      </c>
      <c r="GY70" s="2042" t="str">
        <f t="shared" si="120"/>
        <v>a</v>
      </c>
      <c r="GZ70" s="2055">
        <f t="shared" si="126"/>
        <v>0</v>
      </c>
      <c r="HA70" s="2055">
        <f t="shared" si="127"/>
        <v>0</v>
      </c>
      <c r="HB70" s="2055"/>
      <c r="HC70" s="2046">
        <f t="shared" si="128"/>
        <v>0</v>
      </c>
      <c r="HD70" s="2055">
        <f t="shared" si="129"/>
        <v>0</v>
      </c>
      <c r="HE70" s="2055">
        <f t="shared" si="130"/>
        <v>0</v>
      </c>
      <c r="HF70" s="2055">
        <f t="shared" si="131"/>
        <v>0</v>
      </c>
      <c r="HG70" s="2282" cm="1">
        <f t="array" ref="HG70">IF(AND(HE70=0,GJ70=0),0,IF(HE70=0,1,IF(OR(GJ70*1000/HE70/HF70&gt;INDEX(Pflanzen!$AD$5:$AD$109,CX70)/INDEX(Pflanzen!$M$5:$M$109,CX70)*$HG$1,GJ70*1000/HE70/HF70&lt;INDEX(Pflanzen!$AD$5:$AD$109,CX70)/INDEX(Pflanzen!$M$5:$M$109,CX70)/$HG$1),1,0)))</f>
        <v>0</v>
      </c>
      <c r="HH70" s="2282" cm="1">
        <f t="array" ref="HH70">IF(AND(GK70=0,HE70=0),0,IF(HE70=0,1,IF(OR(GK70*1000/HE70/HF70&gt;INDEX(Pflanzen!$AE$5:$AE$109,CX70)/INDEX(Pflanzen!$M$5:$M$109,CX70)*$HG$1,GK70*1000/HE70/HF70&lt;INDEX(Pflanzen!$AE$5:$AE$109,CX70)/INDEX(Pflanzen!$M$5:$M$109,CX70)/$HG$1),1,0)))</f>
        <v>0</v>
      </c>
      <c r="HI70" s="2042">
        <f t="shared" si="132"/>
        <v>3</v>
      </c>
      <c r="HJ70" s="2042"/>
      <c r="HL70" s="2042"/>
      <c r="HM70" s="2042"/>
      <c r="HN70" s="2042"/>
      <c r="HO70" s="2042"/>
      <c r="HP70" s="2042"/>
      <c r="HQ70" s="2042"/>
      <c r="HR70" s="2042"/>
      <c r="HS70" s="2042"/>
      <c r="HT70" s="2042"/>
      <c r="HU70" s="2042"/>
      <c r="HV70" s="2042"/>
      <c r="HW70" s="2042"/>
      <c r="HX70" s="2042"/>
      <c r="HY70" s="2042"/>
      <c r="HZ70" s="2042"/>
      <c r="IA70" s="2042"/>
      <c r="IB70" s="2042"/>
      <c r="IC70" s="2042"/>
      <c r="ID70" s="2042"/>
      <c r="IE70" s="2042"/>
      <c r="IF70" s="2042"/>
      <c r="IG70" s="2042"/>
      <c r="IH70" s="2042"/>
      <c r="II70" s="2042"/>
      <c r="IJ70" s="2042"/>
    </row>
    <row r="71" spans="1:244" ht="14.25" customHeight="1" thickBot="1" x14ac:dyDescent="0.25">
      <c r="A71" s="3037" t="s">
        <v>8528</v>
      </c>
      <c r="B71" s="3038"/>
      <c r="C71" s="3038"/>
      <c r="D71" s="3038"/>
      <c r="E71" s="3039"/>
      <c r="F71" s="3022"/>
      <c r="G71" s="3024"/>
      <c r="H71" s="3023"/>
      <c r="I71" s="3022" t="s">
        <v>8461</v>
      </c>
      <c r="J71" s="3023"/>
      <c r="K71" s="3075" t="s">
        <v>1171</v>
      </c>
      <c r="L71" s="3076"/>
      <c r="M71" s="3076"/>
      <c r="N71" s="3076"/>
      <c r="O71" s="3076"/>
      <c r="P71" s="3077"/>
      <c r="Q71" s="3025" t="s">
        <v>8451</v>
      </c>
      <c r="R71" s="3026"/>
      <c r="S71" s="3026"/>
      <c r="T71" s="3027"/>
      <c r="U71" s="2217"/>
      <c r="V71" s="2219"/>
      <c r="Y71" s="2005" t="str" cm="1">
        <f t="array" ref="Y71">IFERROR(INDEX($CW$4:$CW$171,AY71),"")</f>
        <v/>
      </c>
      <c r="Z71" s="510"/>
      <c r="AA71" s="510"/>
      <c r="AB71" s="510"/>
      <c r="AC71" s="2031" t="str" cm="1">
        <f t="array" ref="AC71">IFERROR(INDEX($GL$4:$GL$171,AY71),"")</f>
        <v/>
      </c>
      <c r="AD71" s="2031" t="str" cm="1">
        <f t="array" ref="AD71">IFERROR(INDEX($GM$4:$GM$171,AY71),"")</f>
        <v/>
      </c>
      <c r="AE71" s="2031" t="str" cm="1">
        <f t="array" ref="AE71">IFERROR(INDEX($GH$4:$GH$171,AY71),"")</f>
        <v/>
      </c>
      <c r="AF71" s="2031" t="str" cm="1">
        <f t="array" ref="AF71">IFERROR(INDEX($GI$4:$GI$171,AY71),"")</f>
        <v/>
      </c>
      <c r="AG71" s="2031" t="str" cm="1">
        <f t="array" ref="AG71">IFERROR(INDEX($GO$4:$GO$171,AY71),"")</f>
        <v/>
      </c>
      <c r="AH71" s="2031" t="str" cm="1">
        <f t="array" ref="AH71">IFERROR(INDEX($GP$4:$GP$171,AY71),"")</f>
        <v/>
      </c>
      <c r="AI71" s="2031" t="str" cm="1">
        <f t="array" ref="AI71">IFERROR(INDEX($GF$4:$GF$171,AY71),"")</f>
        <v/>
      </c>
      <c r="AJ71" s="2031" t="str" cm="1">
        <f t="array" ref="AJ71">IFERROR(INDEX($GG$4:$GG$171,AY71),"")</f>
        <v/>
      </c>
      <c r="AK71" s="2031" t="str" cm="1">
        <f t="array" ref="AK71">IFERROR(INDEX($GS$4:$GS$171,AY71),"")</f>
        <v/>
      </c>
      <c r="AL71" s="2032" t="str" cm="1">
        <f t="array" ref="AL71">IFERROR(INDEX($GT$4:$GT$171,AY71),"")</f>
        <v/>
      </c>
      <c r="AM71" s="2031" t="str" cm="1">
        <f t="array" ref="AM71">IFERROR(INDEX($GB$4:$GB$171,AY71),"")</f>
        <v/>
      </c>
      <c r="AN71" s="2031" t="str" cm="1">
        <f t="array" ref="AN71">IFERROR(INDEX($GC$4:$GC$171,AY71),"")</f>
        <v/>
      </c>
      <c r="AO71" s="2031" t="str" cm="1">
        <f t="array" ref="AO71">IFERROR(INDEX($GU$4:$GU$171,AY71),"")</f>
        <v/>
      </c>
      <c r="AP71" s="2031" t="str" cm="1">
        <f t="array" ref="AP71">IFERROR(INDEX($GX$4:$GX$171,AY71),"")</f>
        <v/>
      </c>
      <c r="AQ71" s="1316"/>
      <c r="AR71" s="2031" t="str" cm="1">
        <f t="array" ref="AR71">IFERROR(INDEX($HD$4:$HD$171,AY71),"")</f>
        <v/>
      </c>
      <c r="AS71" s="2031" t="str" cm="1">
        <f t="array" ref="AS71">IFERROR(INDEX($HE$4:$HE$171,AY71),"")</f>
        <v/>
      </c>
      <c r="AT71" s="2031" t="str" cm="1">
        <f t="array" ref="AT71">IFERROR(INDEX($HF$4:$HF$171,AY71),"")</f>
        <v/>
      </c>
      <c r="AU71" s="2031" t="str" cm="1">
        <f t="array" ref="AU71">IFERROR(INDEX($GJ$4:$GJ$171,AY71),"")</f>
        <v/>
      </c>
      <c r="AV71" s="2031" t="str" cm="1">
        <f t="array" ref="AV71">IFERROR(INDEX($GK$4:$GK$171,AY71),"")</f>
        <v/>
      </c>
      <c r="AY71" s="2042" t="str" cm="1">
        <f t="array" ref="AY71">IFERROR(SMALL(IF($HI$4:$HI$171=1,ROW($HI$4:$HI$171)-3),ROW(W56)),IFERROR(SMALL(IF($HI$4:$HI$171=2,ROW($HI$4:$HI$171)-3),ROW(W56)-COUNTIF($HI$4:$HI$171,1)),IFERROR(SMALL(IF($HI$4:$HI$171=0,ROW($HI$4:$HI$171)-3),ROW(W56)-COUNTIF($HI$4:$HI$171,1)-COUNTIF($HI$4:$HI$171,2)),"")))</f>
        <v/>
      </c>
      <c r="AZ71" s="2042" t="str">
        <f t="shared" si="117"/>
        <v>a</v>
      </c>
      <c r="BA71" s="2053" t="e">
        <f t="shared" si="118"/>
        <v>#VALUE!</v>
      </c>
      <c r="BB71" s="2053" cm="1">
        <f t="array" ref="BB71">IFERROR(INDEX($HI$4:$HI$171,AY71),0)</f>
        <v>0</v>
      </c>
      <c r="BC71" s="2053">
        <f t="shared" si="119"/>
        <v>0</v>
      </c>
      <c r="BD71" s="2053"/>
      <c r="BE71" s="2307"/>
      <c r="BF71" s="2307"/>
      <c r="BG71" s="2307"/>
      <c r="BH71" s="2307"/>
      <c r="BI71" s="2307"/>
      <c r="BJ71" s="2307"/>
      <c r="BK71" s="2307"/>
      <c r="BL71" s="2307"/>
      <c r="BM71" s="2307"/>
      <c r="BN71" s="2307"/>
      <c r="BO71" s="2307"/>
      <c r="BP71" s="2043"/>
      <c r="BQ71" s="2042"/>
      <c r="BR71" s="2042"/>
      <c r="BS71" s="2042"/>
      <c r="BT71" s="2978" t="s">
        <v>1187</v>
      </c>
      <c r="BU71" s="2978"/>
      <c r="BV71" s="2978"/>
      <c r="BW71" s="2978"/>
      <c r="BX71" s="2978"/>
      <c r="BY71" s="2978"/>
      <c r="BZ71" s="2978"/>
      <c r="CA71" s="2978"/>
      <c r="CB71" s="2978"/>
      <c r="CC71" s="2978"/>
      <c r="CD71" s="2978"/>
      <c r="CE71" s="2978"/>
      <c r="CF71" s="2047" t="s">
        <v>1188</v>
      </c>
      <c r="CG71" s="2047"/>
      <c r="CH71" s="2042"/>
      <c r="CI71" s="2042"/>
      <c r="CJ71" s="2042"/>
      <c r="CK71" s="2042"/>
      <c r="CL71" s="2042"/>
      <c r="CM71" s="2042"/>
      <c r="CN71" s="2042"/>
      <c r="CO71" s="2042"/>
      <c r="CP71" s="2042"/>
      <c r="CQ71" s="2042"/>
      <c r="CR71" s="2042"/>
      <c r="CS71" s="2042"/>
      <c r="CT71" s="2042"/>
      <c r="CU71" s="2042"/>
      <c r="CV71" s="2042"/>
      <c r="CW71" s="609" t="str">
        <f>Pflanzen!A67</f>
        <v>GPS Senf weiß/gelb</v>
      </c>
      <c r="CX71" s="2042">
        <f>IFERROR(MATCH($CW71,Pflanzen!$C$5:$C$119,0),1)</f>
        <v>63</v>
      </c>
      <c r="CY71" s="609" cm="1">
        <f t="array" ref="CY71">INDEX(Pflanzen!$I$5:$I$119,'Lagerhaltung (freiwillig)'!CX71)</f>
        <v>1</v>
      </c>
      <c r="CZ71" s="2042">
        <f t="shared" si="169"/>
        <v>0</v>
      </c>
      <c r="DA71" s="2042">
        <f t="shared" si="169"/>
        <v>0</v>
      </c>
      <c r="DB71" s="2042">
        <f t="shared" si="169"/>
        <v>0</v>
      </c>
      <c r="DC71" s="2042">
        <f t="shared" si="169"/>
        <v>0</v>
      </c>
      <c r="DD71" s="2042">
        <f t="shared" si="169"/>
        <v>0</v>
      </c>
      <c r="DE71" s="2042">
        <f t="shared" si="169"/>
        <v>0</v>
      </c>
      <c r="DF71" s="2042">
        <f t="shared" si="169"/>
        <v>0</v>
      </c>
      <c r="DG71" s="2042">
        <f t="shared" si="169"/>
        <v>0</v>
      </c>
      <c r="DH71" s="2042">
        <f t="shared" si="169"/>
        <v>0</v>
      </c>
      <c r="DI71" s="2042">
        <f t="shared" si="169"/>
        <v>0</v>
      </c>
      <c r="DJ71" s="2042">
        <f t="shared" si="169"/>
        <v>0</v>
      </c>
      <c r="DK71" s="2042">
        <f t="shared" si="169"/>
        <v>0</v>
      </c>
      <c r="DL71" s="2042"/>
      <c r="DM71" s="2042">
        <f t="shared" si="165"/>
        <v>0</v>
      </c>
      <c r="DN71" s="2042">
        <f t="shared" si="166"/>
        <v>0</v>
      </c>
      <c r="DO71" s="2042">
        <f t="shared" si="166"/>
        <v>0</v>
      </c>
      <c r="DP71" s="2042">
        <f t="shared" si="166"/>
        <v>0</v>
      </c>
      <c r="DQ71" s="2042">
        <f t="shared" si="166"/>
        <v>0</v>
      </c>
      <c r="DR71" s="2042">
        <f t="shared" si="166"/>
        <v>0</v>
      </c>
      <c r="DS71" s="2042">
        <f t="shared" si="166"/>
        <v>0</v>
      </c>
      <c r="DT71" s="2042">
        <f t="shared" si="166"/>
        <v>0</v>
      </c>
      <c r="DU71" s="2042">
        <f t="shared" si="166"/>
        <v>0</v>
      </c>
      <c r="DV71" s="2042">
        <f t="shared" si="166"/>
        <v>0</v>
      </c>
      <c r="DW71" s="2042">
        <f t="shared" si="166"/>
        <v>0</v>
      </c>
      <c r="DX71" s="2042">
        <f t="shared" si="166"/>
        <v>0</v>
      </c>
      <c r="DY71" s="2042"/>
      <c r="DZ71" s="2042">
        <f t="shared" si="170"/>
        <v>0</v>
      </c>
      <c r="EA71" s="2042">
        <f t="shared" si="170"/>
        <v>0</v>
      </c>
      <c r="EB71" s="2042">
        <f t="shared" si="170"/>
        <v>0</v>
      </c>
      <c r="EC71" s="2042">
        <f t="shared" si="170"/>
        <v>0</v>
      </c>
      <c r="ED71" s="2042">
        <f t="shared" si="170"/>
        <v>0</v>
      </c>
      <c r="EE71" s="2042">
        <f t="shared" si="170"/>
        <v>0</v>
      </c>
      <c r="EF71" s="2042">
        <f t="shared" si="170"/>
        <v>0</v>
      </c>
      <c r="EG71" s="2042">
        <f t="shared" si="170"/>
        <v>0</v>
      </c>
      <c r="EH71" s="2042">
        <f t="shared" si="170"/>
        <v>0</v>
      </c>
      <c r="EI71" s="2042">
        <f t="shared" si="170"/>
        <v>0</v>
      </c>
      <c r="EJ71" s="2042">
        <f t="shared" si="170"/>
        <v>0</v>
      </c>
      <c r="EK71" s="2042">
        <f t="shared" si="170"/>
        <v>0</v>
      </c>
      <c r="EL71" s="2042"/>
      <c r="EM71" s="2042">
        <f t="shared" si="167"/>
        <v>0</v>
      </c>
      <c r="EN71" s="2042">
        <f t="shared" si="168"/>
        <v>0</v>
      </c>
      <c r="EO71" s="2042">
        <f t="shared" si="168"/>
        <v>0</v>
      </c>
      <c r="EP71" s="2042">
        <f t="shared" si="168"/>
        <v>0</v>
      </c>
      <c r="EQ71" s="2042">
        <f t="shared" si="168"/>
        <v>0</v>
      </c>
      <c r="ER71" s="2042">
        <f t="shared" si="168"/>
        <v>0</v>
      </c>
      <c r="ES71" s="2042">
        <f t="shared" si="168"/>
        <v>0</v>
      </c>
      <c r="ET71" s="2042">
        <f t="shared" si="168"/>
        <v>0</v>
      </c>
      <c r="EU71" s="2042">
        <f t="shared" si="168"/>
        <v>0</v>
      </c>
      <c r="EV71" s="2042">
        <f t="shared" si="168"/>
        <v>0</v>
      </c>
      <c r="EW71" s="2042">
        <f t="shared" si="168"/>
        <v>0</v>
      </c>
      <c r="EX71" s="2042">
        <f t="shared" si="168"/>
        <v>0</v>
      </c>
      <c r="EY71" s="2042"/>
      <c r="EZ71" s="2045">
        <f t="shared" si="50"/>
        <v>0</v>
      </c>
      <c r="FA71" s="2042">
        <f>EZ71+CZ71+DZ71                 -         SUMIF('Berechnung Nährstoffe und Lager'!$AX$113:$AX$155,$CX71,'Berechnung Nährstoffe und Lager'!$U$113:$U$155)/12  -$GB71*$HC71/12</f>
        <v>0</v>
      </c>
      <c r="FB71" s="2042">
        <f>FA71+DA71+EA71                 -         SUMIF('Berechnung Nährstoffe und Lager'!$AX$113:$AX$155,$CX71,'Berechnung Nährstoffe und Lager'!$U$113:$U$155)/12  -$GB71*$HC71/12</f>
        <v>0</v>
      </c>
      <c r="FC71" s="2042">
        <f>FB71+DB71+EB71                 -         SUMIF('Berechnung Nährstoffe und Lager'!$AX$113:$AX$155,$CX71,'Berechnung Nährstoffe und Lager'!$U$113:$U$155)/12  -$GB71*$HC71/12</f>
        <v>0</v>
      </c>
      <c r="FD71" s="2042">
        <f>FC71+DC71+EC71                 -         SUMIF('Berechnung Nährstoffe und Lager'!$AX$113:$AX$155,$CX71,'Berechnung Nährstoffe und Lager'!$U$113:$U$155)/12  -$GB71*$HC71/12</f>
        <v>0</v>
      </c>
      <c r="FE71" s="2042">
        <f>FD71+DD71+ED71                 -         SUMIF('Berechnung Nährstoffe und Lager'!$AX$113:$AX$155,$CX71,'Berechnung Nährstoffe und Lager'!$U$113:$U$155)/12  -$GB71*$HC71/12</f>
        <v>0</v>
      </c>
      <c r="FF71" s="2042">
        <f>FE71+DE71+EE71                 -         SUMIF('Berechnung Nährstoffe und Lager'!$AX$113:$AX$155,$CX71,'Berechnung Nährstoffe und Lager'!$U$113:$U$155)/12  -$GB71*$HC71/12</f>
        <v>0</v>
      </c>
      <c r="FG71" s="2042">
        <f>FF71+DF71+EF71                 -         SUMIF('Berechnung Nährstoffe und Lager'!$AX$113:$AX$155,$CX71,'Berechnung Nährstoffe und Lager'!$U$113:$U$155)/12  -$GB71*$HC71/12</f>
        <v>0</v>
      </c>
      <c r="FH71" s="2042">
        <f>FG71+DG71+EG71                 -         SUMIF('Berechnung Nährstoffe und Lager'!$AX$113:$AX$155,$CX71,'Berechnung Nährstoffe und Lager'!$U$113:$U$155)/12  -$GB71*$HC71/12</f>
        <v>0</v>
      </c>
      <c r="FI71" s="2042">
        <f>FH71+DH71+EH71                 -         SUMIF('Berechnung Nährstoffe und Lager'!$AX$113:$AX$155,$CX71,'Berechnung Nährstoffe und Lager'!$U$113:$U$155)/12  -$GB71*$HC71/12</f>
        <v>0</v>
      </c>
      <c r="FJ71" s="2042">
        <f>FI71+DI71+EI71                 -         SUMIF('Berechnung Nährstoffe und Lager'!$AX$113:$AX$155,$CX71,'Berechnung Nährstoffe und Lager'!$U$113:$U$155)/12  -$GB71*$HC71/12</f>
        <v>0</v>
      </c>
      <c r="FK71" s="2042">
        <f>FJ71+DJ71+EJ71                 -         SUMIF('Berechnung Nährstoffe und Lager'!$AX$113:$AX$155,$CX71,'Berechnung Nährstoffe und Lager'!$U$113:$U$155)/12  -$GB71*$HC71/12</f>
        <v>0</v>
      </c>
      <c r="FL71" s="2042">
        <f>FK71+DK71+EK71                 -         SUMIF('Berechnung Nährstoffe und Lager'!$AX$113:$AX$155,$CX71,'Berechnung Nährstoffe und Lager'!$U$113:$U$155)/12  -$GB71*$HC71/12</f>
        <v>0</v>
      </c>
      <c r="FM71" s="2042"/>
      <c r="FN71" s="2045">
        <f t="shared" si="51"/>
        <v>0</v>
      </c>
      <c r="FO71" s="2042">
        <f>FN71+DM71+EM71                 -         SUMIF('Berechnung Nährstoffe und Lager'!$AX$113:$AX$155,$CX71,'Berechnung Nährstoffe und Lager'!$V$113:$V$155)/12  -$GC71*$HC71/12</f>
        <v>0</v>
      </c>
      <c r="FP71" s="2042">
        <f>FO71+DN71+EN71                 -         SUMIF('Berechnung Nährstoffe und Lager'!$AX$113:$AX$155,$CX71,'Berechnung Nährstoffe und Lager'!$V$113:$V$155)/12  -$GC71*$HC71/12</f>
        <v>0</v>
      </c>
      <c r="FQ71" s="2042">
        <f>FP71+DO71+EO71                 -         SUMIF('Berechnung Nährstoffe und Lager'!$AX$113:$AX$155,$CX71,'Berechnung Nährstoffe und Lager'!$V$113:$V$155)/12  -$GC71*$HC71/12</f>
        <v>0</v>
      </c>
      <c r="FR71" s="2042">
        <f>FQ71+DP71+EP71                 -         SUMIF('Berechnung Nährstoffe und Lager'!$AX$113:$AX$155,$CX71,'Berechnung Nährstoffe und Lager'!$V$113:$V$155)/12  -$GC71*$HC71/12</f>
        <v>0</v>
      </c>
      <c r="FS71" s="2042">
        <f>FR71+DQ71+EQ71                 -         SUMIF('Berechnung Nährstoffe und Lager'!$AX$113:$AX$155,$CX71,'Berechnung Nährstoffe und Lager'!$V$113:$V$155)/12  -$GC71*$HC71/12</f>
        <v>0</v>
      </c>
      <c r="FT71" s="2042">
        <f>FS71+DR71+ER71                 -         SUMIF('Berechnung Nährstoffe und Lager'!$AX$113:$AX$155,$CX71,'Berechnung Nährstoffe und Lager'!$V$113:$V$155)/12  -$GC71*$HC71/12</f>
        <v>0</v>
      </c>
      <c r="FU71" s="2042">
        <f>FT71+DS71+ES71                 -         SUMIF('Berechnung Nährstoffe und Lager'!$AX$113:$AX$155,$CX71,'Berechnung Nährstoffe und Lager'!$V$113:$V$155)/12  -$GC71*$HC71/12</f>
        <v>0</v>
      </c>
      <c r="FV71" s="2042">
        <f>FU71+DT71+ET71                 -         SUMIF('Berechnung Nährstoffe und Lager'!$AX$113:$AX$155,$CX71,'Berechnung Nährstoffe und Lager'!$V$113:$V$155)/12  -$GC71*$HC71/12</f>
        <v>0</v>
      </c>
      <c r="FW71" s="2042">
        <f>FV71+DU71+EU71                 -         SUMIF('Berechnung Nährstoffe und Lager'!$AX$113:$AX$155,$CX71,'Berechnung Nährstoffe und Lager'!$V$113:$V$155)/12  -$GC71*$HC71/12</f>
        <v>0</v>
      </c>
      <c r="FX71" s="2042">
        <f>FW71+DV71+EV71                 -         SUMIF('Berechnung Nährstoffe und Lager'!$AX$113:$AX$155,$CX71,'Berechnung Nährstoffe und Lager'!$V$113:$V$155)/12  -$GC71*$HC71/12</f>
        <v>0</v>
      </c>
      <c r="FY71" s="2042">
        <f>FX71+DW71+EW71                 -         SUMIF('Berechnung Nährstoffe und Lager'!$AX$113:$AX$155,$CX71,'Berechnung Nährstoffe und Lager'!$V$113:$V$155)/12  -$GC71*$HC71/12</f>
        <v>0</v>
      </c>
      <c r="FZ71" s="2042">
        <f>FY71+DX71+EX71                 -         SUMIF('Berechnung Nährstoffe und Lager'!$AX$113:$AX$155,$CX71,'Berechnung Nährstoffe und Lager'!$V$113:$V$155)/12  -$GC71*$HC71/12</f>
        <v>0</v>
      </c>
      <c r="GA71" s="2042"/>
      <c r="GB71" s="2042">
        <f>SUMIFS($CI$14:$CI$68,$BR$14:$BR$68,$CX71)+SUMIFS($CM$14:$CM$68,$BR$14:$BR$68,$CX71)+SUMIFS($CR$14:$CR$68,$BR$14:$BR$68,$CX71)  -         SUMIF('Berechnung Nährstoffe und Lager'!$AX$113:$AX$155,$CX71,'Berechnung Nährstoffe und Lager'!$U$113:$U$155)</f>
        <v>0</v>
      </c>
      <c r="GC71" s="2042">
        <f>SUMIFS($CJ$14:$CJ$68,$BR$14:$BR$68,$CX71)+SUMIFS($CO$14:$CO$68,$BR$14:$BR$68,$CX71)+SUMIFS($CT$14:$CT$68,$BR$14:$BR$68,$CX71)  -         SUMIF('Berechnung Nährstoffe und Lager'!$AX$113:$AX$155,$CX71,'Berechnung Nährstoffe und Lager'!$V$113:$V$155)</f>
        <v>0</v>
      </c>
      <c r="GD71" s="2042"/>
      <c r="GE71" s="2042"/>
      <c r="GF71" s="2042">
        <f>SUMIF('Berechnung Nährstoffe und Lager'!$AX$113:$AX$155,$CX71,'Berechnung Nährstoffe und Lager'!$U$113:$U$155)</f>
        <v>0</v>
      </c>
      <c r="GG71" s="2042">
        <f>SUMIF('Berechnung Nährstoffe und Lager'!$AX$113:$AX$155,$CX71,'Berechnung Nährstoffe und Lager'!$V$113:$V$155)</f>
        <v>0</v>
      </c>
      <c r="GH71" s="2042">
        <f t="shared" si="52"/>
        <v>0</v>
      </c>
      <c r="GI71" s="2042">
        <f t="shared" si="53"/>
        <v>0</v>
      </c>
      <c r="GJ71" s="2042">
        <f t="shared" si="121"/>
        <v>0</v>
      </c>
      <c r="GK71" s="2042">
        <f t="shared" si="122"/>
        <v>0</v>
      </c>
      <c r="GL71" s="2042">
        <f t="shared" si="123"/>
        <v>0</v>
      </c>
      <c r="GM71" s="2042" cm="1">
        <f t="array" ref="GM71">IF(GL71=0,0,(IFERROR(SUMPRODUCT($J$14:$J$68,$CH$14:$CH$68,($BR$14:$BR$68=CX71)*1)+SUMPRODUCT($L$14:$L$68,$M$14:$M$68,$CK$14:$CK$68,($BR$14:$BR$68=CX71)*1,($BT$14:$BT$68=FALSE)*1)/10+SUMPRODUCT($R$14:$R$68,$CP$14:$CP$68,($BR$14:$BR$68=CX71)*1),0))/GL71)</f>
        <v>0</v>
      </c>
      <c r="GN71" s="2042">
        <f t="shared" si="54"/>
        <v>0</v>
      </c>
      <c r="GO71" s="2042">
        <f>(SUMIF('Berechnung Nährstoffe und Lager'!$AX$113:$AX$130,'Lagerhaltung (freiwillig)'!CX71,'Berechnung Nährstoffe und Lager'!$D$113:$D$130)+SUMIF('Berechnung Nährstoffe und Lager'!$AX$137:$AX$155,'Lagerhaltung (freiwillig)'!CX71,'Berechnung Nährstoffe und Lager'!$E$137:$E$155))</f>
        <v>0</v>
      </c>
      <c r="GP71" s="2042" cm="1">
        <f t="array" ref="GP71">IF(GO71=0,0,(IFERROR(SUMPRODUCT('Berechnung Nährstoffe und Lager'!$D$113:$D$130,'Berechnung Nährstoffe und Lager'!$F$113:$F$130,('Berechnung Nährstoffe und Lager'!$AX$113:$AX$130='Lagerhaltung (freiwillig)'!CX71)*1)+SUMPRODUCT('Berechnung Nährstoffe und Lager'!$E$137:$E$155,'Berechnung Nährstoffe und Lager'!$F$137:$F$155,('Berechnung Nährstoffe und Lager'!$AX$137:$AX$155='Lagerhaltung (freiwillig)'!CX71)*1),0))/GO71)</f>
        <v>0</v>
      </c>
      <c r="GQ71" s="2042">
        <f t="shared" si="55"/>
        <v>0</v>
      </c>
      <c r="GR71" s="2042">
        <f t="shared" si="56"/>
        <v>0</v>
      </c>
      <c r="GS71" s="2042">
        <f t="shared" si="57"/>
        <v>0</v>
      </c>
      <c r="GT71" s="2042">
        <f t="shared" si="58"/>
        <v>0</v>
      </c>
      <c r="GU71" s="2045" t="str">
        <f t="shared" si="39"/>
        <v xml:space="preserve"> </v>
      </c>
      <c r="GV71" s="2045" t="str">
        <f t="shared" si="39"/>
        <v xml:space="preserve"> </v>
      </c>
      <c r="GW71" s="2054">
        <f t="shared" si="124"/>
        <v>0</v>
      </c>
      <c r="GX71" s="2042">
        <f t="shared" si="125"/>
        <v>0</v>
      </c>
      <c r="GY71" s="2042" t="str">
        <f t="shared" si="120"/>
        <v>a</v>
      </c>
      <c r="GZ71" s="2055">
        <f t="shared" si="126"/>
        <v>0</v>
      </c>
      <c r="HA71" s="2055">
        <f t="shared" si="127"/>
        <v>0</v>
      </c>
      <c r="HB71" s="2055"/>
      <c r="HC71" s="2046">
        <f t="shared" si="128"/>
        <v>0</v>
      </c>
      <c r="HD71" s="2055">
        <f t="shared" si="129"/>
        <v>0</v>
      </c>
      <c r="HE71" s="2055">
        <f t="shared" si="130"/>
        <v>0</v>
      </c>
      <c r="HF71" s="2055">
        <f t="shared" si="131"/>
        <v>0</v>
      </c>
      <c r="HG71" s="2282" cm="1">
        <f t="array" ref="HG71">IF(AND(HE71=0,GJ71=0),0,IF(HE71=0,1,IF(OR(GJ71*1000/HE71/HF71&gt;INDEX(Pflanzen!$AD$5:$AD$109,CX71)/INDEX(Pflanzen!$M$5:$M$109,CX71)*$HG$1,GJ71*1000/HE71/HF71&lt;INDEX(Pflanzen!$AD$5:$AD$109,CX71)/INDEX(Pflanzen!$M$5:$M$109,CX71)/$HG$1),1,0)))</f>
        <v>0</v>
      </c>
      <c r="HH71" s="2282" cm="1">
        <f t="array" ref="HH71">IF(AND(GK71=0,HE71=0),0,IF(HE71=0,1,IF(OR(GK71*1000/HE71/HF71&gt;INDEX(Pflanzen!$AE$5:$AE$109,CX71)/INDEX(Pflanzen!$M$5:$M$109,CX71)*$HG$1,GK71*1000/HE71/HF71&lt;INDEX(Pflanzen!$AE$5:$AE$109,CX71)/INDEX(Pflanzen!$M$5:$M$109,CX71)/$HG$1),1,0)))</f>
        <v>0</v>
      </c>
      <c r="HI71" s="2042">
        <f t="shared" si="132"/>
        <v>3</v>
      </c>
      <c r="HJ71" s="2042"/>
      <c r="HL71" s="2042"/>
      <c r="HM71" s="2042"/>
      <c r="HN71" s="2042"/>
      <c r="HO71" s="2042"/>
      <c r="HP71" s="2042"/>
      <c r="HQ71" s="2042"/>
      <c r="HR71" s="2042"/>
      <c r="HS71" s="2042"/>
      <c r="HT71" s="2042"/>
      <c r="HU71" s="2042"/>
      <c r="HV71" s="2042"/>
      <c r="HW71" s="2042"/>
      <c r="HX71" s="2042"/>
      <c r="HY71" s="2042"/>
      <c r="HZ71" s="2042"/>
      <c r="IA71" s="2042"/>
      <c r="IB71" s="2042"/>
      <c r="IC71" s="2042"/>
      <c r="ID71" s="2042"/>
      <c r="IE71" s="2042"/>
      <c r="IF71" s="2042"/>
      <c r="IG71" s="2042"/>
      <c r="IH71" s="2042"/>
      <c r="II71" s="2042"/>
      <c r="IJ71" s="2042"/>
    </row>
    <row r="72" spans="1:244" ht="15.75" customHeight="1" x14ac:dyDescent="0.2">
      <c r="A72" s="3125" t="s">
        <v>8529</v>
      </c>
      <c r="B72" s="3126"/>
      <c r="C72" s="3126"/>
      <c r="D72" s="3126"/>
      <c r="E72" s="3127"/>
      <c r="F72" s="3001" t="s">
        <v>1169</v>
      </c>
      <c r="G72" s="2008" t="s">
        <v>4</v>
      </c>
      <c r="H72" s="2010" t="s">
        <v>490</v>
      </c>
      <c r="I72" s="3001" t="s">
        <v>8517</v>
      </c>
      <c r="J72" s="3043" t="s">
        <v>1170</v>
      </c>
      <c r="K72" s="3046" t="s">
        <v>1183</v>
      </c>
      <c r="L72" s="3049" t="s">
        <v>1172</v>
      </c>
      <c r="M72" s="3049" t="s">
        <v>1173</v>
      </c>
      <c r="N72" s="3091" t="s">
        <v>8456</v>
      </c>
      <c r="O72" s="3092"/>
      <c r="P72" s="3072" t="s">
        <v>1097</v>
      </c>
      <c r="Q72" s="3001" t="s">
        <v>8517</v>
      </c>
      <c r="R72" s="2994" t="s">
        <v>8413</v>
      </c>
      <c r="S72" s="3040" t="s">
        <v>8462</v>
      </c>
      <c r="T72" s="3041"/>
      <c r="U72" s="2218"/>
      <c r="V72" s="2220"/>
      <c r="Y72" s="2005" t="str" cm="1">
        <f t="array" ref="Y72">IFERROR(INDEX($CW$4:$CW$171,AY72),"")</f>
        <v/>
      </c>
      <c r="Z72" s="510"/>
      <c r="AA72" s="510"/>
      <c r="AB72" s="510"/>
      <c r="AC72" s="2031" t="str" cm="1">
        <f t="array" ref="AC72">IFERROR(INDEX($GL$4:$GL$171,AY72),"")</f>
        <v/>
      </c>
      <c r="AD72" s="2031" t="str" cm="1">
        <f t="array" ref="AD72">IFERROR(INDEX($GM$4:$GM$171,AY72),"")</f>
        <v/>
      </c>
      <c r="AE72" s="2031" t="str" cm="1">
        <f t="array" ref="AE72">IFERROR(INDEX($GH$4:$GH$171,AY72),"")</f>
        <v/>
      </c>
      <c r="AF72" s="2031" t="str" cm="1">
        <f t="array" ref="AF72">IFERROR(INDEX($GI$4:$GI$171,AY72),"")</f>
        <v/>
      </c>
      <c r="AG72" s="2031" t="str" cm="1">
        <f t="array" ref="AG72">IFERROR(INDEX($GO$4:$GO$171,AY72),"")</f>
        <v/>
      </c>
      <c r="AH72" s="2031" t="str" cm="1">
        <f t="array" ref="AH72">IFERROR(INDEX($GP$4:$GP$171,AY72),"")</f>
        <v/>
      </c>
      <c r="AI72" s="2031" t="str" cm="1">
        <f t="array" ref="AI72">IFERROR(INDEX($GF$4:$GF$171,AY72),"")</f>
        <v/>
      </c>
      <c r="AJ72" s="2031" t="str" cm="1">
        <f t="array" ref="AJ72">IFERROR(INDEX($GG$4:$GG$171,AY72),"")</f>
        <v/>
      </c>
      <c r="AK72" s="2031" t="str" cm="1">
        <f t="array" ref="AK72">IFERROR(INDEX($GS$4:$GS$171,AY72),"")</f>
        <v/>
      </c>
      <c r="AL72" s="2032" t="str" cm="1">
        <f t="array" ref="AL72">IFERROR(INDEX($GT$4:$GT$171,AY72),"")</f>
        <v/>
      </c>
      <c r="AM72" s="2031" t="str" cm="1">
        <f t="array" ref="AM72">IFERROR(INDEX($GB$4:$GB$171,AY72),"")</f>
        <v/>
      </c>
      <c r="AN72" s="2031" t="str" cm="1">
        <f t="array" ref="AN72">IFERROR(INDEX($GC$4:$GC$171,AY72),"")</f>
        <v/>
      </c>
      <c r="AO72" s="2031" t="str" cm="1">
        <f t="array" ref="AO72">IFERROR(INDEX($GU$4:$GU$171,AY72),"")</f>
        <v/>
      </c>
      <c r="AP72" s="2031" t="str" cm="1">
        <f t="array" ref="AP72">IFERROR(INDEX($GX$4:$GX$171,AY72),"")</f>
        <v/>
      </c>
      <c r="AQ72" s="1316"/>
      <c r="AR72" s="2031" t="str" cm="1">
        <f t="array" ref="AR72">IFERROR(INDEX($HD$4:$HD$171,AY72),"")</f>
        <v/>
      </c>
      <c r="AS72" s="2031" t="str" cm="1">
        <f t="array" ref="AS72">IFERROR(INDEX($HE$4:$HE$171,AY72),"")</f>
        <v/>
      </c>
      <c r="AT72" s="2031" t="str" cm="1">
        <f t="array" ref="AT72">IFERROR(INDEX($HF$4:$HF$171,AY72),"")</f>
        <v/>
      </c>
      <c r="AU72" s="2031" t="str" cm="1">
        <f t="array" ref="AU72">IFERROR(INDEX($GJ$4:$GJ$171,AY72),"")</f>
        <v/>
      </c>
      <c r="AV72" s="2031" t="str" cm="1">
        <f t="array" ref="AV72">IFERROR(INDEX($GK$4:$GK$171,AY72),"")</f>
        <v/>
      </c>
      <c r="AY72" s="2042" t="str" cm="1">
        <f t="array" ref="AY72">IFERROR(SMALL(IF($HI$4:$HI$171=1,ROW($HI$4:$HI$171)-3),ROW(W57)),IFERROR(SMALL(IF($HI$4:$HI$171=2,ROW($HI$4:$HI$171)-3),ROW(W57)-COUNTIF($HI$4:$HI$171,1)),IFERROR(SMALL(IF($HI$4:$HI$171=0,ROW($HI$4:$HI$171)-3),ROW(W57)-COUNTIF($HI$4:$HI$171,1)-COUNTIF($HI$4:$HI$171,2)),"")))</f>
        <v/>
      </c>
      <c r="AZ72" s="2042" t="str">
        <f t="shared" ref="AZ72:AZ84" si="171">IF(AQ72="","a",AQ72)</f>
        <v>a</v>
      </c>
      <c r="BA72" s="2053" t="e">
        <f t="shared" ref="BA72:BA103" si="172">IF(AK72=" ",0,AK72-AQ72)</f>
        <v>#VALUE!</v>
      </c>
      <c r="BB72" s="2053" cm="1">
        <f t="array" ref="BB72">IFERROR(INDEX($HI$4:$HI$171,AY72),0)</f>
        <v>0</v>
      </c>
      <c r="BC72" s="2053">
        <f t="shared" ref="BC72:BC103" si="173">IFERROR(SUM(INDEX($HG$4:$HG$171,AY72),INDEX($HH$4:$HH$171,AY72)),0)</f>
        <v>0</v>
      </c>
      <c r="BD72" s="2053"/>
      <c r="BE72" s="2307"/>
      <c r="BF72" s="2307"/>
      <c r="BG72" s="2307"/>
      <c r="BH72" s="2307"/>
      <c r="BI72" s="2307"/>
      <c r="BJ72" s="2307"/>
      <c r="BK72" s="2307"/>
      <c r="BL72" s="2307"/>
      <c r="BM72" s="2307"/>
      <c r="BN72" s="2307"/>
      <c r="BO72" s="2307"/>
      <c r="BP72" s="2043"/>
      <c r="BQ72" s="2042"/>
      <c r="BR72" s="2042"/>
      <c r="BS72" s="2042"/>
      <c r="BT72" s="2042"/>
      <c r="BU72" s="2044"/>
      <c r="BV72" s="2044"/>
      <c r="BW72" s="2042"/>
      <c r="BX72" s="2042"/>
      <c r="BY72" s="2042"/>
      <c r="BZ72" s="2042"/>
      <c r="CA72" s="2042"/>
      <c r="CB72" s="2042"/>
      <c r="CC72" s="2042"/>
      <c r="CD72" s="2042"/>
      <c r="CE72" s="2042"/>
      <c r="CF72" s="2042"/>
      <c r="CG72" s="2042"/>
      <c r="CH72" s="2042"/>
      <c r="CI72" s="2042"/>
      <c r="CJ72" s="2042"/>
      <c r="CK72" s="2042"/>
      <c r="CL72" s="2042"/>
      <c r="CM72" s="2042"/>
      <c r="CN72" s="2042"/>
      <c r="CO72" s="2042"/>
      <c r="CP72" s="2042"/>
      <c r="CQ72" s="2042"/>
      <c r="CR72" s="2042"/>
      <c r="CS72" s="2042"/>
      <c r="CT72" s="2042"/>
      <c r="CU72" s="2042"/>
      <c r="CV72" s="2042"/>
      <c r="CW72" s="609" t="str">
        <f>Pflanzen!A68</f>
        <v>GPS Winterroggen/Grünroggen</v>
      </c>
      <c r="CX72" s="2042">
        <f>IFERROR(MATCH($CW72,Pflanzen!$C$5:$C$119,0),1)</f>
        <v>64</v>
      </c>
      <c r="CY72" s="609" cm="1">
        <f t="array" ref="CY72">INDEX(Pflanzen!$I$5:$I$119,'Lagerhaltung (freiwillig)'!CX72)</f>
        <v>1</v>
      </c>
      <c r="CZ72" s="2042">
        <f t="shared" si="169"/>
        <v>0</v>
      </c>
      <c r="DA72" s="2042">
        <f t="shared" si="169"/>
        <v>0</v>
      </c>
      <c r="DB72" s="2042">
        <f t="shared" si="169"/>
        <v>0</v>
      </c>
      <c r="DC72" s="2042">
        <f t="shared" si="169"/>
        <v>0</v>
      </c>
      <c r="DD72" s="2042">
        <f t="shared" si="169"/>
        <v>0</v>
      </c>
      <c r="DE72" s="2042">
        <f t="shared" si="169"/>
        <v>0</v>
      </c>
      <c r="DF72" s="2042">
        <f t="shared" si="169"/>
        <v>0</v>
      </c>
      <c r="DG72" s="2042">
        <f t="shared" si="169"/>
        <v>0</v>
      </c>
      <c r="DH72" s="2042">
        <f t="shared" si="169"/>
        <v>0</v>
      </c>
      <c r="DI72" s="2042">
        <f t="shared" si="169"/>
        <v>0</v>
      </c>
      <c r="DJ72" s="2042">
        <f t="shared" si="169"/>
        <v>0</v>
      </c>
      <c r="DK72" s="2042">
        <f t="shared" si="169"/>
        <v>0</v>
      </c>
      <c r="DL72" s="2042"/>
      <c r="DM72" s="2042">
        <f t="shared" si="165"/>
        <v>0</v>
      </c>
      <c r="DN72" s="2042">
        <f t="shared" si="166"/>
        <v>0</v>
      </c>
      <c r="DO72" s="2042">
        <f t="shared" si="166"/>
        <v>0</v>
      </c>
      <c r="DP72" s="2042">
        <f t="shared" si="166"/>
        <v>0</v>
      </c>
      <c r="DQ72" s="2042">
        <f t="shared" si="166"/>
        <v>0</v>
      </c>
      <c r="DR72" s="2042">
        <f t="shared" si="166"/>
        <v>0</v>
      </c>
      <c r="DS72" s="2042">
        <f t="shared" si="166"/>
        <v>0</v>
      </c>
      <c r="DT72" s="2042">
        <f t="shared" si="166"/>
        <v>0</v>
      </c>
      <c r="DU72" s="2042">
        <f t="shared" si="166"/>
        <v>0</v>
      </c>
      <c r="DV72" s="2042">
        <f t="shared" si="166"/>
        <v>0</v>
      </c>
      <c r="DW72" s="2042">
        <f t="shared" si="166"/>
        <v>0</v>
      </c>
      <c r="DX72" s="2042">
        <f t="shared" si="166"/>
        <v>0</v>
      </c>
      <c r="DY72" s="2042"/>
      <c r="DZ72" s="2042">
        <f t="shared" si="170"/>
        <v>0</v>
      </c>
      <c r="EA72" s="2042">
        <f t="shared" si="170"/>
        <v>0</v>
      </c>
      <c r="EB72" s="2042">
        <f t="shared" si="170"/>
        <v>0</v>
      </c>
      <c r="EC72" s="2042">
        <f t="shared" si="170"/>
        <v>0</v>
      </c>
      <c r="ED72" s="2042">
        <f t="shared" si="170"/>
        <v>0</v>
      </c>
      <c r="EE72" s="2042">
        <f t="shared" si="170"/>
        <v>0</v>
      </c>
      <c r="EF72" s="2042">
        <f t="shared" si="170"/>
        <v>0</v>
      </c>
      <c r="EG72" s="2042">
        <f t="shared" si="170"/>
        <v>0</v>
      </c>
      <c r="EH72" s="2042">
        <f t="shared" si="170"/>
        <v>0</v>
      </c>
      <c r="EI72" s="2042">
        <f t="shared" si="170"/>
        <v>0</v>
      </c>
      <c r="EJ72" s="2042">
        <f t="shared" si="170"/>
        <v>0</v>
      </c>
      <c r="EK72" s="2042">
        <f t="shared" si="170"/>
        <v>0</v>
      </c>
      <c r="EL72" s="2042"/>
      <c r="EM72" s="2042">
        <f t="shared" si="167"/>
        <v>0</v>
      </c>
      <c r="EN72" s="2042">
        <f t="shared" si="168"/>
        <v>0</v>
      </c>
      <c r="EO72" s="2042">
        <f t="shared" si="168"/>
        <v>0</v>
      </c>
      <c r="EP72" s="2042">
        <f t="shared" si="168"/>
        <v>0</v>
      </c>
      <c r="EQ72" s="2042">
        <f t="shared" si="168"/>
        <v>0</v>
      </c>
      <c r="ER72" s="2042">
        <f t="shared" si="168"/>
        <v>0</v>
      </c>
      <c r="ES72" s="2042">
        <f t="shared" si="168"/>
        <v>0</v>
      </c>
      <c r="ET72" s="2042">
        <f t="shared" si="168"/>
        <v>0</v>
      </c>
      <c r="EU72" s="2042">
        <f t="shared" si="168"/>
        <v>0</v>
      </c>
      <c r="EV72" s="2042">
        <f t="shared" si="168"/>
        <v>0</v>
      </c>
      <c r="EW72" s="2042">
        <f t="shared" si="168"/>
        <v>0</v>
      </c>
      <c r="EX72" s="2042">
        <f t="shared" si="168"/>
        <v>0</v>
      </c>
      <c r="EY72" s="2042"/>
      <c r="EZ72" s="2045">
        <f t="shared" si="50"/>
        <v>0</v>
      </c>
      <c r="FA72" s="2042">
        <f>EZ72+CZ72+DZ72                 -         SUMIF('Berechnung Nährstoffe und Lager'!$AX$113:$AX$155,$CX72,'Berechnung Nährstoffe und Lager'!$U$113:$U$155)/12  -$GB72*$HC72/12</f>
        <v>0</v>
      </c>
      <c r="FB72" s="2042">
        <f>FA72+DA72+EA72                 -         SUMIF('Berechnung Nährstoffe und Lager'!$AX$113:$AX$155,$CX72,'Berechnung Nährstoffe und Lager'!$U$113:$U$155)/12  -$GB72*$HC72/12</f>
        <v>0</v>
      </c>
      <c r="FC72" s="2042">
        <f>FB72+DB72+EB72                 -         SUMIF('Berechnung Nährstoffe und Lager'!$AX$113:$AX$155,$CX72,'Berechnung Nährstoffe und Lager'!$U$113:$U$155)/12  -$GB72*$HC72/12</f>
        <v>0</v>
      </c>
      <c r="FD72" s="2042">
        <f>FC72+DC72+EC72                 -         SUMIF('Berechnung Nährstoffe und Lager'!$AX$113:$AX$155,$CX72,'Berechnung Nährstoffe und Lager'!$U$113:$U$155)/12  -$GB72*$HC72/12</f>
        <v>0</v>
      </c>
      <c r="FE72" s="2042">
        <f>FD72+DD72+ED72                 -         SUMIF('Berechnung Nährstoffe und Lager'!$AX$113:$AX$155,$CX72,'Berechnung Nährstoffe und Lager'!$U$113:$U$155)/12  -$GB72*$HC72/12</f>
        <v>0</v>
      </c>
      <c r="FF72" s="2042">
        <f>FE72+DE72+EE72                 -         SUMIF('Berechnung Nährstoffe und Lager'!$AX$113:$AX$155,$CX72,'Berechnung Nährstoffe und Lager'!$U$113:$U$155)/12  -$GB72*$HC72/12</f>
        <v>0</v>
      </c>
      <c r="FG72" s="2042">
        <f>FF72+DF72+EF72                 -         SUMIF('Berechnung Nährstoffe und Lager'!$AX$113:$AX$155,$CX72,'Berechnung Nährstoffe und Lager'!$U$113:$U$155)/12  -$GB72*$HC72/12</f>
        <v>0</v>
      </c>
      <c r="FH72" s="2042">
        <f>FG72+DG72+EG72                 -         SUMIF('Berechnung Nährstoffe und Lager'!$AX$113:$AX$155,$CX72,'Berechnung Nährstoffe und Lager'!$U$113:$U$155)/12  -$GB72*$HC72/12</f>
        <v>0</v>
      </c>
      <c r="FI72" s="2042">
        <f>FH72+DH72+EH72                 -         SUMIF('Berechnung Nährstoffe und Lager'!$AX$113:$AX$155,$CX72,'Berechnung Nährstoffe und Lager'!$U$113:$U$155)/12  -$GB72*$HC72/12</f>
        <v>0</v>
      </c>
      <c r="FJ72" s="2042">
        <f>FI72+DI72+EI72                 -         SUMIF('Berechnung Nährstoffe und Lager'!$AX$113:$AX$155,$CX72,'Berechnung Nährstoffe und Lager'!$U$113:$U$155)/12  -$GB72*$HC72/12</f>
        <v>0</v>
      </c>
      <c r="FK72" s="2042">
        <f>FJ72+DJ72+EJ72                 -         SUMIF('Berechnung Nährstoffe und Lager'!$AX$113:$AX$155,$CX72,'Berechnung Nährstoffe und Lager'!$U$113:$U$155)/12  -$GB72*$HC72/12</f>
        <v>0</v>
      </c>
      <c r="FL72" s="2042">
        <f>FK72+DK72+EK72                 -         SUMIF('Berechnung Nährstoffe und Lager'!$AX$113:$AX$155,$CX72,'Berechnung Nährstoffe und Lager'!$U$113:$U$155)/12  -$GB72*$HC72/12</f>
        <v>0</v>
      </c>
      <c r="FM72" s="2042"/>
      <c r="FN72" s="2045">
        <f t="shared" si="51"/>
        <v>0</v>
      </c>
      <c r="FO72" s="2042">
        <f>FN72+DM72+EM72                 -         SUMIF('Berechnung Nährstoffe und Lager'!$AX$113:$AX$155,$CX72,'Berechnung Nährstoffe und Lager'!$V$113:$V$155)/12  -$GC72*$HC72/12</f>
        <v>0</v>
      </c>
      <c r="FP72" s="2042">
        <f>FO72+DN72+EN72                 -         SUMIF('Berechnung Nährstoffe und Lager'!$AX$113:$AX$155,$CX72,'Berechnung Nährstoffe und Lager'!$V$113:$V$155)/12  -$GC72*$HC72/12</f>
        <v>0</v>
      </c>
      <c r="FQ72" s="2042">
        <f>FP72+DO72+EO72                 -         SUMIF('Berechnung Nährstoffe und Lager'!$AX$113:$AX$155,$CX72,'Berechnung Nährstoffe und Lager'!$V$113:$V$155)/12  -$GC72*$HC72/12</f>
        <v>0</v>
      </c>
      <c r="FR72" s="2042">
        <f>FQ72+DP72+EP72                 -         SUMIF('Berechnung Nährstoffe und Lager'!$AX$113:$AX$155,$CX72,'Berechnung Nährstoffe und Lager'!$V$113:$V$155)/12  -$GC72*$HC72/12</f>
        <v>0</v>
      </c>
      <c r="FS72" s="2042">
        <f>FR72+DQ72+EQ72                 -         SUMIF('Berechnung Nährstoffe und Lager'!$AX$113:$AX$155,$CX72,'Berechnung Nährstoffe und Lager'!$V$113:$V$155)/12  -$GC72*$HC72/12</f>
        <v>0</v>
      </c>
      <c r="FT72" s="2042">
        <f>FS72+DR72+ER72                 -         SUMIF('Berechnung Nährstoffe und Lager'!$AX$113:$AX$155,$CX72,'Berechnung Nährstoffe und Lager'!$V$113:$V$155)/12  -$GC72*$HC72/12</f>
        <v>0</v>
      </c>
      <c r="FU72" s="2042">
        <f>FT72+DS72+ES72                 -         SUMIF('Berechnung Nährstoffe und Lager'!$AX$113:$AX$155,$CX72,'Berechnung Nährstoffe und Lager'!$V$113:$V$155)/12  -$GC72*$HC72/12</f>
        <v>0</v>
      </c>
      <c r="FV72" s="2042">
        <f>FU72+DT72+ET72                 -         SUMIF('Berechnung Nährstoffe und Lager'!$AX$113:$AX$155,$CX72,'Berechnung Nährstoffe und Lager'!$V$113:$V$155)/12  -$GC72*$HC72/12</f>
        <v>0</v>
      </c>
      <c r="FW72" s="2042">
        <f>FV72+DU72+EU72                 -         SUMIF('Berechnung Nährstoffe und Lager'!$AX$113:$AX$155,$CX72,'Berechnung Nährstoffe und Lager'!$V$113:$V$155)/12  -$GC72*$HC72/12</f>
        <v>0</v>
      </c>
      <c r="FX72" s="2042">
        <f>FW72+DV72+EV72                 -         SUMIF('Berechnung Nährstoffe und Lager'!$AX$113:$AX$155,$CX72,'Berechnung Nährstoffe und Lager'!$V$113:$V$155)/12  -$GC72*$HC72/12</f>
        <v>0</v>
      </c>
      <c r="FY72" s="2042">
        <f>FX72+DW72+EW72                 -         SUMIF('Berechnung Nährstoffe und Lager'!$AX$113:$AX$155,$CX72,'Berechnung Nährstoffe und Lager'!$V$113:$V$155)/12  -$GC72*$HC72/12</f>
        <v>0</v>
      </c>
      <c r="FZ72" s="2042">
        <f>FY72+DX72+EX72                 -         SUMIF('Berechnung Nährstoffe und Lager'!$AX$113:$AX$155,$CX72,'Berechnung Nährstoffe und Lager'!$V$113:$V$155)/12  -$GC72*$HC72/12</f>
        <v>0</v>
      </c>
      <c r="GA72" s="2042"/>
      <c r="GB72" s="2042">
        <f>SUMIFS($CI$14:$CI$68,$BR$14:$BR$68,$CX72)+SUMIFS($CM$14:$CM$68,$BR$14:$BR$68,$CX72)+SUMIFS($CR$14:$CR$68,$BR$14:$BR$68,$CX72)  -         SUMIF('Berechnung Nährstoffe und Lager'!$AX$113:$AX$155,$CX72,'Berechnung Nährstoffe und Lager'!$U$113:$U$155)</f>
        <v>0</v>
      </c>
      <c r="GC72" s="2042">
        <f>SUMIFS($CJ$14:$CJ$68,$BR$14:$BR$68,$CX72)+SUMIFS($CO$14:$CO$68,$BR$14:$BR$68,$CX72)+SUMIFS($CT$14:$CT$68,$BR$14:$BR$68,$CX72)  -         SUMIF('Berechnung Nährstoffe und Lager'!$AX$113:$AX$155,$CX72,'Berechnung Nährstoffe und Lager'!$V$113:$V$155)</f>
        <v>0</v>
      </c>
      <c r="GD72" s="2042"/>
      <c r="GE72" s="2042"/>
      <c r="GF72" s="2042">
        <f>SUMIF('Berechnung Nährstoffe und Lager'!$AX$113:$AX$155,$CX72,'Berechnung Nährstoffe und Lager'!$U$113:$U$155)</f>
        <v>0</v>
      </c>
      <c r="GG72" s="2042">
        <f>SUMIF('Berechnung Nährstoffe und Lager'!$AX$113:$AX$155,$CX72,'Berechnung Nährstoffe und Lager'!$V$113:$V$155)</f>
        <v>0</v>
      </c>
      <c r="GH72" s="2042">
        <f t="shared" si="52"/>
        <v>0</v>
      </c>
      <c r="GI72" s="2042">
        <f t="shared" si="53"/>
        <v>0</v>
      </c>
      <c r="GJ72" s="2042">
        <f t="shared" si="121"/>
        <v>0</v>
      </c>
      <c r="GK72" s="2042">
        <f t="shared" si="122"/>
        <v>0</v>
      </c>
      <c r="GL72" s="2042">
        <f t="shared" si="123"/>
        <v>0</v>
      </c>
      <c r="GM72" s="2042" cm="1">
        <f t="array" ref="GM72">IF(GL72=0,0,(IFERROR(SUMPRODUCT($J$14:$J$68,$CH$14:$CH$68,($BR$14:$BR$68=CX72)*1)+SUMPRODUCT($L$14:$L$68,$M$14:$M$68,$CK$14:$CK$68,($BR$14:$BR$68=CX72)*1,($BT$14:$BT$68=FALSE)*1)/10+SUMPRODUCT($R$14:$R$68,$CP$14:$CP$68,($BR$14:$BR$68=CX72)*1),0))/GL72)</f>
        <v>0</v>
      </c>
      <c r="GN72" s="2042">
        <f t="shared" si="54"/>
        <v>0</v>
      </c>
      <c r="GO72" s="2042">
        <f>(SUMIF('Berechnung Nährstoffe und Lager'!$AX$113:$AX$130,'Lagerhaltung (freiwillig)'!CX72,'Berechnung Nährstoffe und Lager'!$D$113:$D$130)+SUMIF('Berechnung Nährstoffe und Lager'!$AX$137:$AX$155,'Lagerhaltung (freiwillig)'!CX72,'Berechnung Nährstoffe und Lager'!$E$137:$E$155))</f>
        <v>0</v>
      </c>
      <c r="GP72" s="2042" cm="1">
        <f t="array" ref="GP72">IF(GO72=0,0,(IFERROR(SUMPRODUCT('Berechnung Nährstoffe und Lager'!$D$113:$D$130,'Berechnung Nährstoffe und Lager'!$F$113:$F$130,('Berechnung Nährstoffe und Lager'!$AX$113:$AX$130='Lagerhaltung (freiwillig)'!CX72)*1)+SUMPRODUCT('Berechnung Nährstoffe und Lager'!$E$137:$E$155,'Berechnung Nährstoffe und Lager'!$F$137:$F$155,('Berechnung Nährstoffe und Lager'!$AX$137:$AX$155='Lagerhaltung (freiwillig)'!CX72)*1),0))/GO72)</f>
        <v>0</v>
      </c>
      <c r="GQ72" s="2042">
        <f t="shared" si="55"/>
        <v>0</v>
      </c>
      <c r="GR72" s="2042">
        <f t="shared" si="56"/>
        <v>0</v>
      </c>
      <c r="GS72" s="2042">
        <f t="shared" si="57"/>
        <v>0</v>
      </c>
      <c r="GT72" s="2042">
        <f t="shared" si="58"/>
        <v>0</v>
      </c>
      <c r="GU72" s="2045" t="str">
        <f t="shared" si="39"/>
        <v xml:space="preserve"> </v>
      </c>
      <c r="GV72" s="2045" t="str">
        <f t="shared" si="39"/>
        <v xml:space="preserve"> </v>
      </c>
      <c r="GW72" s="2054">
        <f t="shared" si="124"/>
        <v>0</v>
      </c>
      <c r="GX72" s="2042">
        <f t="shared" si="125"/>
        <v>0</v>
      </c>
      <c r="GY72" s="2042" t="str">
        <f t="shared" si="120"/>
        <v>a</v>
      </c>
      <c r="GZ72" s="2055">
        <f t="shared" si="126"/>
        <v>0</v>
      </c>
      <c r="HA72" s="2055">
        <f t="shared" si="127"/>
        <v>0</v>
      </c>
      <c r="HB72" s="2055"/>
      <c r="HC72" s="2046">
        <f t="shared" si="128"/>
        <v>0</v>
      </c>
      <c r="HD72" s="2055">
        <f t="shared" si="129"/>
        <v>0</v>
      </c>
      <c r="HE72" s="2055">
        <f t="shared" si="130"/>
        <v>0</v>
      </c>
      <c r="HF72" s="2055">
        <f t="shared" si="131"/>
        <v>0</v>
      </c>
      <c r="HG72" s="2282" cm="1">
        <f t="array" ref="HG72">IF(AND(HE72=0,GJ72=0),0,IF(HE72=0,1,IF(OR(GJ72*1000/HE72/HF72&gt;INDEX(Pflanzen!$AD$5:$AD$109,CX72)/INDEX(Pflanzen!$M$5:$M$109,CX72)*$HG$1,GJ72*1000/HE72/HF72&lt;INDEX(Pflanzen!$AD$5:$AD$109,CX72)/INDEX(Pflanzen!$M$5:$M$109,CX72)/$HG$1),1,0)))</f>
        <v>0</v>
      </c>
      <c r="HH72" s="2282" cm="1">
        <f t="array" ref="HH72">IF(AND(GK72=0,HE72=0),0,IF(HE72=0,1,IF(OR(GK72*1000/HE72/HF72&gt;INDEX(Pflanzen!$AE$5:$AE$109,CX72)/INDEX(Pflanzen!$M$5:$M$109,CX72)*$HG$1,GK72*1000/HE72/HF72&lt;INDEX(Pflanzen!$AE$5:$AE$109,CX72)/INDEX(Pflanzen!$M$5:$M$109,CX72)/$HG$1),1,0)))</f>
        <v>0</v>
      </c>
      <c r="HI72" s="2042">
        <f t="shared" si="132"/>
        <v>3</v>
      </c>
      <c r="HJ72" s="2042"/>
      <c r="HL72" s="2042"/>
      <c r="HM72" s="2042"/>
      <c r="HN72" s="2042"/>
      <c r="HO72" s="2042"/>
      <c r="HP72" s="2042"/>
      <c r="HQ72" s="2042"/>
      <c r="HR72" s="2042"/>
      <c r="HS72" s="2042"/>
      <c r="HT72" s="2042"/>
      <c r="HU72" s="2042"/>
      <c r="HV72" s="2042"/>
      <c r="HW72" s="2042"/>
      <c r="HX72" s="2042"/>
      <c r="HY72" s="2042"/>
      <c r="HZ72" s="2042"/>
      <c r="IA72" s="2042"/>
      <c r="IB72" s="2042"/>
      <c r="IC72" s="2042"/>
      <c r="ID72" s="2042"/>
      <c r="IE72" s="2042"/>
      <c r="IF72" s="2042"/>
      <c r="IG72" s="2042"/>
      <c r="IH72" s="2042"/>
      <c r="II72" s="2042"/>
      <c r="IJ72" s="2042"/>
    </row>
    <row r="73" spans="1:244" ht="13.5" customHeight="1" x14ac:dyDescent="0.2">
      <c r="A73" s="3128"/>
      <c r="B73" s="3129"/>
      <c r="C73" s="3129"/>
      <c r="D73" s="3129"/>
      <c r="E73" s="3130"/>
      <c r="F73" s="3002"/>
      <c r="G73" s="2990" t="s">
        <v>1182</v>
      </c>
      <c r="H73" s="2991"/>
      <c r="I73" s="3002"/>
      <c r="J73" s="3044"/>
      <c r="K73" s="3047"/>
      <c r="L73" s="3050"/>
      <c r="M73" s="3050"/>
      <c r="N73" s="3093"/>
      <c r="O73" s="3094"/>
      <c r="P73" s="3073"/>
      <c r="Q73" s="3002"/>
      <c r="R73" s="2971"/>
      <c r="S73" s="3042"/>
      <c r="T73" s="2986"/>
      <c r="U73" s="2218"/>
      <c r="V73" s="2220"/>
      <c r="Y73" s="2005" t="str" cm="1">
        <f t="array" ref="Y73">IFERROR(INDEX($CW$4:$CW$171,AY73),"")</f>
        <v/>
      </c>
      <c r="Z73" s="510"/>
      <c r="AA73" s="510"/>
      <c r="AB73" s="510"/>
      <c r="AC73" s="2031" t="str" cm="1">
        <f t="array" ref="AC73">IFERROR(INDEX($GL$4:$GL$171,AY73),"")</f>
        <v/>
      </c>
      <c r="AD73" s="2031" t="str" cm="1">
        <f t="array" ref="AD73">IFERROR(INDEX($GM$4:$GM$171,AY73),"")</f>
        <v/>
      </c>
      <c r="AE73" s="2031" t="str" cm="1">
        <f t="array" ref="AE73">IFERROR(INDEX($GH$4:$GH$171,AY73),"")</f>
        <v/>
      </c>
      <c r="AF73" s="2031" t="str" cm="1">
        <f t="array" ref="AF73">IFERROR(INDEX($GI$4:$GI$171,AY73),"")</f>
        <v/>
      </c>
      <c r="AG73" s="2031" t="str" cm="1">
        <f t="array" ref="AG73">IFERROR(INDEX($GO$4:$GO$171,AY73),"")</f>
        <v/>
      </c>
      <c r="AH73" s="2031" t="str" cm="1">
        <f t="array" ref="AH73">IFERROR(INDEX($GP$4:$GP$171,AY73),"")</f>
        <v/>
      </c>
      <c r="AI73" s="2031" t="str" cm="1">
        <f t="array" ref="AI73">IFERROR(INDEX($GF$4:$GF$171,AY73),"")</f>
        <v/>
      </c>
      <c r="AJ73" s="2031" t="str" cm="1">
        <f t="array" ref="AJ73">IFERROR(INDEX($GG$4:$GG$171,AY73),"")</f>
        <v/>
      </c>
      <c r="AK73" s="2031" t="str" cm="1">
        <f t="array" ref="AK73">IFERROR(INDEX($GS$4:$GS$171,AY73),"")</f>
        <v/>
      </c>
      <c r="AL73" s="2032" t="str" cm="1">
        <f t="array" ref="AL73">IFERROR(INDEX($GT$4:$GT$171,AY73),"")</f>
        <v/>
      </c>
      <c r="AM73" s="2031" t="str" cm="1">
        <f t="array" ref="AM73">IFERROR(INDEX($GB$4:$GB$171,AY73),"")</f>
        <v/>
      </c>
      <c r="AN73" s="2031" t="str" cm="1">
        <f t="array" ref="AN73">IFERROR(INDEX($GC$4:$GC$171,AY73),"")</f>
        <v/>
      </c>
      <c r="AO73" s="2031" t="str" cm="1">
        <f t="array" ref="AO73">IFERROR(INDEX($GU$4:$GU$171,AY73),"")</f>
        <v/>
      </c>
      <c r="AP73" s="2031" t="str" cm="1">
        <f t="array" ref="AP73">IFERROR(INDEX($GX$4:$GX$171,AY73),"")</f>
        <v/>
      </c>
      <c r="AQ73" s="1316"/>
      <c r="AR73" s="2031" t="str" cm="1">
        <f t="array" ref="AR73">IFERROR(INDEX($HD$4:$HD$171,AY73),"")</f>
        <v/>
      </c>
      <c r="AS73" s="2031" t="str" cm="1">
        <f t="array" ref="AS73">IFERROR(INDEX($HE$4:$HE$171,AY73),"")</f>
        <v/>
      </c>
      <c r="AT73" s="2031" t="str" cm="1">
        <f t="array" ref="AT73">IFERROR(INDEX($HF$4:$HF$171,AY73),"")</f>
        <v/>
      </c>
      <c r="AU73" s="2031" t="str" cm="1">
        <f t="array" ref="AU73">IFERROR(INDEX($GJ$4:$GJ$171,AY73),"")</f>
        <v/>
      </c>
      <c r="AV73" s="2031" t="str" cm="1">
        <f t="array" ref="AV73">IFERROR(INDEX($GK$4:$GK$171,AY73),"")</f>
        <v/>
      </c>
      <c r="AY73" s="2042" t="str" cm="1">
        <f t="array" ref="AY73">IFERROR(SMALL(IF($HI$4:$HI$171=1,ROW($HI$4:$HI$171)-3),ROW(W58)),IFERROR(SMALL(IF($HI$4:$HI$171=2,ROW($HI$4:$HI$171)-3),ROW(W58)-COUNTIF($HI$4:$HI$171,1)),IFERROR(SMALL(IF($HI$4:$HI$171=0,ROW($HI$4:$HI$171)-3),ROW(W58)-COUNTIF($HI$4:$HI$171,1)-COUNTIF($HI$4:$HI$171,2)),"")))</f>
        <v/>
      </c>
      <c r="AZ73" s="2042" t="str">
        <f t="shared" si="171"/>
        <v>a</v>
      </c>
      <c r="BA73" s="2053" t="e">
        <f t="shared" si="172"/>
        <v>#VALUE!</v>
      </c>
      <c r="BB73" s="2053" cm="1">
        <f t="array" ref="BB73">IFERROR(INDEX($HI$4:$HI$171,AY73),0)</f>
        <v>0</v>
      </c>
      <c r="BC73" s="2053">
        <f t="shared" si="173"/>
        <v>0</v>
      </c>
      <c r="BD73" s="2053"/>
      <c r="BE73" s="2307"/>
      <c r="BF73" s="2307"/>
      <c r="BG73" s="2307"/>
      <c r="BH73" s="2307"/>
      <c r="BI73" s="2307"/>
      <c r="BJ73" s="2307"/>
      <c r="BK73" s="2307"/>
      <c r="BL73" s="2307"/>
      <c r="BM73" s="2307"/>
      <c r="BN73" s="2307"/>
      <c r="BO73" s="2307"/>
      <c r="BP73" s="2043"/>
      <c r="BQ73" s="2042"/>
      <c r="BR73" s="2042"/>
      <c r="BS73" s="2042"/>
      <c r="BT73" s="2042"/>
      <c r="BU73" s="2044"/>
      <c r="BV73" s="2044"/>
      <c r="BW73" s="2045" t="s">
        <v>514</v>
      </c>
      <c r="BX73" s="2045"/>
      <c r="BY73" s="2045"/>
      <c r="BZ73" s="2045"/>
      <c r="CA73" s="2042"/>
      <c r="CB73" s="2042"/>
      <c r="CC73" s="2045"/>
      <c r="CD73" s="2045"/>
      <c r="CE73" s="2045"/>
      <c r="CF73" s="2045"/>
      <c r="CG73" s="2045"/>
      <c r="CH73" s="2042"/>
      <c r="CI73" s="2042"/>
      <c r="CJ73" s="2042"/>
      <c r="CK73" s="2042"/>
      <c r="CL73" s="2042"/>
      <c r="CM73" s="2042"/>
      <c r="CN73" s="2042"/>
      <c r="CO73" s="2042"/>
      <c r="CP73" s="2978" t="s">
        <v>514</v>
      </c>
      <c r="CQ73" s="2978"/>
      <c r="CR73" s="2978"/>
      <c r="CS73" s="2978"/>
      <c r="CT73" s="2978"/>
      <c r="CU73" s="2045" t="s">
        <v>1208</v>
      </c>
      <c r="CV73" s="2042"/>
      <c r="CW73" s="609" t="str">
        <f>Pflanzen!A69</f>
        <v>GPS Sorghumhirse</v>
      </c>
      <c r="CX73" s="2042">
        <f>IFERROR(MATCH($CW73,Pflanzen!$C$5:$C$119,0),1)</f>
        <v>65</v>
      </c>
      <c r="CY73" s="609" cm="1">
        <f t="array" ref="CY73">INDEX(Pflanzen!$I$5:$I$119,'Lagerhaltung (freiwillig)'!CX73)</f>
        <v>1</v>
      </c>
      <c r="CZ73" s="2042">
        <f t="shared" si="169"/>
        <v>0</v>
      </c>
      <c r="DA73" s="2042">
        <f t="shared" si="169"/>
        <v>0</v>
      </c>
      <c r="DB73" s="2042">
        <f t="shared" si="169"/>
        <v>0</v>
      </c>
      <c r="DC73" s="2042">
        <f t="shared" si="169"/>
        <v>0</v>
      </c>
      <c r="DD73" s="2042">
        <f t="shared" si="169"/>
        <v>0</v>
      </c>
      <c r="DE73" s="2042">
        <f t="shared" si="169"/>
        <v>0</v>
      </c>
      <c r="DF73" s="2042">
        <f t="shared" si="169"/>
        <v>0</v>
      </c>
      <c r="DG73" s="2042">
        <f t="shared" si="169"/>
        <v>0</v>
      </c>
      <c r="DH73" s="2042">
        <f t="shared" si="169"/>
        <v>0</v>
      </c>
      <c r="DI73" s="2042">
        <f t="shared" si="169"/>
        <v>0</v>
      </c>
      <c r="DJ73" s="2042">
        <f t="shared" si="169"/>
        <v>0</v>
      </c>
      <c r="DK73" s="2042">
        <f t="shared" si="169"/>
        <v>0</v>
      </c>
      <c r="DL73" s="2042"/>
      <c r="DM73" s="2042">
        <f t="shared" si="165"/>
        <v>0</v>
      </c>
      <c r="DN73" s="2042">
        <f t="shared" si="166"/>
        <v>0</v>
      </c>
      <c r="DO73" s="2042">
        <f t="shared" si="166"/>
        <v>0</v>
      </c>
      <c r="DP73" s="2042">
        <f t="shared" si="166"/>
        <v>0</v>
      </c>
      <c r="DQ73" s="2042">
        <f t="shared" si="166"/>
        <v>0</v>
      </c>
      <c r="DR73" s="2042">
        <f t="shared" si="166"/>
        <v>0</v>
      </c>
      <c r="DS73" s="2042">
        <f t="shared" si="166"/>
        <v>0</v>
      </c>
      <c r="DT73" s="2042">
        <f t="shared" si="166"/>
        <v>0</v>
      </c>
      <c r="DU73" s="2042">
        <f t="shared" si="166"/>
        <v>0</v>
      </c>
      <c r="DV73" s="2042">
        <f t="shared" si="166"/>
        <v>0</v>
      </c>
      <c r="DW73" s="2042">
        <f t="shared" si="166"/>
        <v>0</v>
      </c>
      <c r="DX73" s="2042">
        <f t="shared" si="166"/>
        <v>0</v>
      </c>
      <c r="DY73" s="2042"/>
      <c r="DZ73" s="2042">
        <f t="shared" si="170"/>
        <v>0</v>
      </c>
      <c r="EA73" s="2042">
        <f t="shared" si="170"/>
        <v>0</v>
      </c>
      <c r="EB73" s="2042">
        <f t="shared" si="170"/>
        <v>0</v>
      </c>
      <c r="EC73" s="2042">
        <f t="shared" si="170"/>
        <v>0</v>
      </c>
      <c r="ED73" s="2042">
        <f t="shared" si="170"/>
        <v>0</v>
      </c>
      <c r="EE73" s="2042">
        <f t="shared" si="170"/>
        <v>0</v>
      </c>
      <c r="EF73" s="2042">
        <f t="shared" si="170"/>
        <v>0</v>
      </c>
      <c r="EG73" s="2042">
        <f t="shared" si="170"/>
        <v>0</v>
      </c>
      <c r="EH73" s="2042">
        <f t="shared" si="170"/>
        <v>0</v>
      </c>
      <c r="EI73" s="2042">
        <f t="shared" si="170"/>
        <v>0</v>
      </c>
      <c r="EJ73" s="2042">
        <f t="shared" si="170"/>
        <v>0</v>
      </c>
      <c r="EK73" s="2042">
        <f t="shared" si="170"/>
        <v>0</v>
      </c>
      <c r="EL73" s="2042"/>
      <c r="EM73" s="2042">
        <f t="shared" si="167"/>
        <v>0</v>
      </c>
      <c r="EN73" s="2042">
        <f t="shared" si="168"/>
        <v>0</v>
      </c>
      <c r="EO73" s="2042">
        <f t="shared" si="168"/>
        <v>0</v>
      </c>
      <c r="EP73" s="2042">
        <f t="shared" si="168"/>
        <v>0</v>
      </c>
      <c r="EQ73" s="2042">
        <f t="shared" si="168"/>
        <v>0</v>
      </c>
      <c r="ER73" s="2042">
        <f t="shared" si="168"/>
        <v>0</v>
      </c>
      <c r="ES73" s="2042">
        <f t="shared" si="168"/>
        <v>0</v>
      </c>
      <c r="ET73" s="2042">
        <f t="shared" si="168"/>
        <v>0</v>
      </c>
      <c r="EU73" s="2042">
        <f t="shared" si="168"/>
        <v>0</v>
      </c>
      <c r="EV73" s="2042">
        <f t="shared" si="168"/>
        <v>0</v>
      </c>
      <c r="EW73" s="2042">
        <f t="shared" si="168"/>
        <v>0</v>
      </c>
      <c r="EX73" s="2042">
        <f t="shared" si="168"/>
        <v>0</v>
      </c>
      <c r="EY73" s="2042"/>
      <c r="EZ73" s="2045">
        <f t="shared" si="50"/>
        <v>0</v>
      </c>
      <c r="FA73" s="2042">
        <f>EZ73+CZ73+DZ73                 -         SUMIF('Berechnung Nährstoffe und Lager'!$AX$113:$AX$155,$CX73,'Berechnung Nährstoffe und Lager'!$U$113:$U$155)/12  -$GB73*$HC73/12</f>
        <v>0</v>
      </c>
      <c r="FB73" s="2042">
        <f>FA73+DA73+EA73                 -         SUMIF('Berechnung Nährstoffe und Lager'!$AX$113:$AX$155,$CX73,'Berechnung Nährstoffe und Lager'!$U$113:$U$155)/12  -$GB73*$HC73/12</f>
        <v>0</v>
      </c>
      <c r="FC73" s="2042">
        <f>FB73+DB73+EB73                 -         SUMIF('Berechnung Nährstoffe und Lager'!$AX$113:$AX$155,$CX73,'Berechnung Nährstoffe und Lager'!$U$113:$U$155)/12  -$GB73*$HC73/12</f>
        <v>0</v>
      </c>
      <c r="FD73" s="2042">
        <f>FC73+DC73+EC73                 -         SUMIF('Berechnung Nährstoffe und Lager'!$AX$113:$AX$155,$CX73,'Berechnung Nährstoffe und Lager'!$U$113:$U$155)/12  -$GB73*$HC73/12</f>
        <v>0</v>
      </c>
      <c r="FE73" s="2042">
        <f>FD73+DD73+ED73                 -         SUMIF('Berechnung Nährstoffe und Lager'!$AX$113:$AX$155,$CX73,'Berechnung Nährstoffe und Lager'!$U$113:$U$155)/12  -$GB73*$HC73/12</f>
        <v>0</v>
      </c>
      <c r="FF73" s="2042">
        <f>FE73+DE73+EE73                 -         SUMIF('Berechnung Nährstoffe und Lager'!$AX$113:$AX$155,$CX73,'Berechnung Nährstoffe und Lager'!$U$113:$U$155)/12  -$GB73*$HC73/12</f>
        <v>0</v>
      </c>
      <c r="FG73" s="2042">
        <f>FF73+DF73+EF73                 -         SUMIF('Berechnung Nährstoffe und Lager'!$AX$113:$AX$155,$CX73,'Berechnung Nährstoffe und Lager'!$U$113:$U$155)/12  -$GB73*$HC73/12</f>
        <v>0</v>
      </c>
      <c r="FH73" s="2042">
        <f>FG73+DG73+EG73                 -         SUMIF('Berechnung Nährstoffe und Lager'!$AX$113:$AX$155,$CX73,'Berechnung Nährstoffe und Lager'!$U$113:$U$155)/12  -$GB73*$HC73/12</f>
        <v>0</v>
      </c>
      <c r="FI73" s="2042">
        <f>FH73+DH73+EH73                 -         SUMIF('Berechnung Nährstoffe und Lager'!$AX$113:$AX$155,$CX73,'Berechnung Nährstoffe und Lager'!$U$113:$U$155)/12  -$GB73*$HC73/12</f>
        <v>0</v>
      </c>
      <c r="FJ73" s="2042">
        <f>FI73+DI73+EI73                 -         SUMIF('Berechnung Nährstoffe und Lager'!$AX$113:$AX$155,$CX73,'Berechnung Nährstoffe und Lager'!$U$113:$U$155)/12  -$GB73*$HC73/12</f>
        <v>0</v>
      </c>
      <c r="FK73" s="2042">
        <f>FJ73+DJ73+EJ73                 -         SUMIF('Berechnung Nährstoffe und Lager'!$AX$113:$AX$155,$CX73,'Berechnung Nährstoffe und Lager'!$U$113:$U$155)/12  -$GB73*$HC73/12</f>
        <v>0</v>
      </c>
      <c r="FL73" s="2042">
        <f>FK73+DK73+EK73                 -         SUMIF('Berechnung Nährstoffe und Lager'!$AX$113:$AX$155,$CX73,'Berechnung Nährstoffe und Lager'!$U$113:$U$155)/12  -$GB73*$HC73/12</f>
        <v>0</v>
      </c>
      <c r="FM73" s="2042"/>
      <c r="FN73" s="2045">
        <f t="shared" si="51"/>
        <v>0</v>
      </c>
      <c r="FO73" s="2042">
        <f>FN73+DM73+EM73                 -         SUMIF('Berechnung Nährstoffe und Lager'!$AX$113:$AX$155,$CX73,'Berechnung Nährstoffe und Lager'!$V$113:$V$155)/12  -$GC73*$HC73/12</f>
        <v>0</v>
      </c>
      <c r="FP73" s="2042">
        <f>FO73+DN73+EN73                 -         SUMIF('Berechnung Nährstoffe und Lager'!$AX$113:$AX$155,$CX73,'Berechnung Nährstoffe und Lager'!$V$113:$V$155)/12  -$GC73*$HC73/12</f>
        <v>0</v>
      </c>
      <c r="FQ73" s="2042">
        <f>FP73+DO73+EO73                 -         SUMIF('Berechnung Nährstoffe und Lager'!$AX$113:$AX$155,$CX73,'Berechnung Nährstoffe und Lager'!$V$113:$V$155)/12  -$GC73*$HC73/12</f>
        <v>0</v>
      </c>
      <c r="FR73" s="2042">
        <f>FQ73+DP73+EP73                 -         SUMIF('Berechnung Nährstoffe und Lager'!$AX$113:$AX$155,$CX73,'Berechnung Nährstoffe und Lager'!$V$113:$V$155)/12  -$GC73*$HC73/12</f>
        <v>0</v>
      </c>
      <c r="FS73" s="2042">
        <f>FR73+DQ73+EQ73                 -         SUMIF('Berechnung Nährstoffe und Lager'!$AX$113:$AX$155,$CX73,'Berechnung Nährstoffe und Lager'!$V$113:$V$155)/12  -$GC73*$HC73/12</f>
        <v>0</v>
      </c>
      <c r="FT73" s="2042">
        <f>FS73+DR73+ER73                 -         SUMIF('Berechnung Nährstoffe und Lager'!$AX$113:$AX$155,$CX73,'Berechnung Nährstoffe und Lager'!$V$113:$V$155)/12  -$GC73*$HC73/12</f>
        <v>0</v>
      </c>
      <c r="FU73" s="2042">
        <f>FT73+DS73+ES73                 -         SUMIF('Berechnung Nährstoffe und Lager'!$AX$113:$AX$155,$CX73,'Berechnung Nährstoffe und Lager'!$V$113:$V$155)/12  -$GC73*$HC73/12</f>
        <v>0</v>
      </c>
      <c r="FV73" s="2042">
        <f>FU73+DT73+ET73                 -         SUMIF('Berechnung Nährstoffe und Lager'!$AX$113:$AX$155,$CX73,'Berechnung Nährstoffe und Lager'!$V$113:$V$155)/12  -$GC73*$HC73/12</f>
        <v>0</v>
      </c>
      <c r="FW73" s="2042">
        <f>FV73+DU73+EU73                 -         SUMIF('Berechnung Nährstoffe und Lager'!$AX$113:$AX$155,$CX73,'Berechnung Nährstoffe und Lager'!$V$113:$V$155)/12  -$GC73*$HC73/12</f>
        <v>0</v>
      </c>
      <c r="FX73" s="2042">
        <f>FW73+DV73+EV73                 -         SUMIF('Berechnung Nährstoffe und Lager'!$AX$113:$AX$155,$CX73,'Berechnung Nährstoffe und Lager'!$V$113:$V$155)/12  -$GC73*$HC73/12</f>
        <v>0</v>
      </c>
      <c r="FY73" s="2042">
        <f>FX73+DW73+EW73                 -         SUMIF('Berechnung Nährstoffe und Lager'!$AX$113:$AX$155,$CX73,'Berechnung Nährstoffe und Lager'!$V$113:$V$155)/12  -$GC73*$HC73/12</f>
        <v>0</v>
      </c>
      <c r="FZ73" s="2042">
        <f>FY73+DX73+EX73                 -         SUMIF('Berechnung Nährstoffe und Lager'!$AX$113:$AX$155,$CX73,'Berechnung Nährstoffe und Lager'!$V$113:$V$155)/12  -$GC73*$HC73/12</f>
        <v>0</v>
      </c>
      <c r="GA73" s="2042"/>
      <c r="GB73" s="2042">
        <f>SUMIFS($CI$14:$CI$68,$BR$14:$BR$68,$CX73)+SUMIFS($CM$14:$CM$68,$BR$14:$BR$68,$CX73)+SUMIFS($CR$14:$CR$68,$BR$14:$BR$68,$CX73)  -         SUMIF('Berechnung Nährstoffe und Lager'!$AX$113:$AX$155,$CX73,'Berechnung Nährstoffe und Lager'!$U$113:$U$155)</f>
        <v>0</v>
      </c>
      <c r="GC73" s="2042">
        <f>SUMIFS($CJ$14:$CJ$68,$BR$14:$BR$68,$CX73)+SUMIFS($CO$14:$CO$68,$BR$14:$BR$68,$CX73)+SUMIFS($CT$14:$CT$68,$BR$14:$BR$68,$CX73)  -         SUMIF('Berechnung Nährstoffe und Lager'!$AX$113:$AX$155,$CX73,'Berechnung Nährstoffe und Lager'!$V$113:$V$155)</f>
        <v>0</v>
      </c>
      <c r="GD73" s="2042"/>
      <c r="GE73" s="2042"/>
      <c r="GF73" s="2042">
        <f>SUMIF('Berechnung Nährstoffe und Lager'!$AX$113:$AX$155,$CX73,'Berechnung Nährstoffe und Lager'!$U$113:$U$155)</f>
        <v>0</v>
      </c>
      <c r="GG73" s="2042">
        <f>SUMIF('Berechnung Nährstoffe und Lager'!$AX$113:$AX$155,$CX73,'Berechnung Nährstoffe und Lager'!$V$113:$V$155)</f>
        <v>0</v>
      </c>
      <c r="GH73" s="2042">
        <f t="shared" si="52"/>
        <v>0</v>
      </c>
      <c r="GI73" s="2042">
        <f t="shared" si="53"/>
        <v>0</v>
      </c>
      <c r="GJ73" s="2042">
        <f t="shared" si="121"/>
        <v>0</v>
      </c>
      <c r="GK73" s="2042">
        <f t="shared" si="122"/>
        <v>0</v>
      </c>
      <c r="GL73" s="2042">
        <f t="shared" si="123"/>
        <v>0</v>
      </c>
      <c r="GM73" s="2042" cm="1">
        <f t="array" ref="GM73">IF(GL73=0,0,(IFERROR(SUMPRODUCT($J$14:$J$68,$CH$14:$CH$68,($BR$14:$BR$68=CX73)*1)+SUMPRODUCT($L$14:$L$68,$M$14:$M$68,$CK$14:$CK$68,($BR$14:$BR$68=CX73)*1,($BT$14:$BT$68=FALSE)*1)/10+SUMPRODUCT($R$14:$R$68,$CP$14:$CP$68,($BR$14:$BR$68=CX73)*1),0))/GL73)</f>
        <v>0</v>
      </c>
      <c r="GN73" s="2042">
        <f t="shared" si="54"/>
        <v>0</v>
      </c>
      <c r="GO73" s="2042">
        <f>(SUMIF('Berechnung Nährstoffe und Lager'!$AX$113:$AX$130,'Lagerhaltung (freiwillig)'!CX73,'Berechnung Nährstoffe und Lager'!$D$113:$D$130)+SUMIF('Berechnung Nährstoffe und Lager'!$AX$137:$AX$155,'Lagerhaltung (freiwillig)'!CX73,'Berechnung Nährstoffe und Lager'!$E$137:$E$155))</f>
        <v>0</v>
      </c>
      <c r="GP73" s="2042" cm="1">
        <f t="array" ref="GP73">IF(GO73=0,0,(IFERROR(SUMPRODUCT('Berechnung Nährstoffe und Lager'!$D$113:$D$130,'Berechnung Nährstoffe und Lager'!$F$113:$F$130,('Berechnung Nährstoffe und Lager'!$AX$113:$AX$130='Lagerhaltung (freiwillig)'!CX73)*1)+SUMPRODUCT('Berechnung Nährstoffe und Lager'!$E$137:$E$155,'Berechnung Nährstoffe und Lager'!$F$137:$F$155,('Berechnung Nährstoffe und Lager'!$AX$137:$AX$155='Lagerhaltung (freiwillig)'!CX73)*1),0))/GO73)</f>
        <v>0</v>
      </c>
      <c r="GQ73" s="2042">
        <f t="shared" si="55"/>
        <v>0</v>
      </c>
      <c r="GR73" s="2042">
        <f t="shared" si="56"/>
        <v>0</v>
      </c>
      <c r="GS73" s="2042">
        <f t="shared" si="57"/>
        <v>0</v>
      </c>
      <c r="GT73" s="2042">
        <f t="shared" si="58"/>
        <v>0</v>
      </c>
      <c r="GU73" s="2045" t="str">
        <f t="shared" si="39"/>
        <v xml:space="preserve"> </v>
      </c>
      <c r="GV73" s="2045" t="str">
        <f t="shared" si="39"/>
        <v xml:space="preserve"> </v>
      </c>
      <c r="GW73" s="2054">
        <f t="shared" si="124"/>
        <v>0</v>
      </c>
      <c r="GX73" s="2042">
        <f t="shared" si="125"/>
        <v>0</v>
      </c>
      <c r="GY73" s="2042" t="str">
        <f t="shared" ref="GY73:GY104" si="174">IF(HI73=3,"a",VLOOKUP(CW73,$Y$13:$AZ$132,COLUMN($AZ$1)-COLUMN($Y$1)+1,FALSE))</f>
        <v>a</v>
      </c>
      <c r="GZ73" s="2055">
        <f t="shared" si="126"/>
        <v>0</v>
      </c>
      <c r="HA73" s="2055">
        <f t="shared" si="127"/>
        <v>0</v>
      </c>
      <c r="HB73" s="2055"/>
      <c r="HC73" s="2046">
        <f t="shared" si="128"/>
        <v>0</v>
      </c>
      <c r="HD73" s="2055">
        <f t="shared" si="129"/>
        <v>0</v>
      </c>
      <c r="HE73" s="2055">
        <f t="shared" si="130"/>
        <v>0</v>
      </c>
      <c r="HF73" s="2055">
        <f t="shared" si="131"/>
        <v>0</v>
      </c>
      <c r="HG73" s="2282" cm="1">
        <f t="array" ref="HG73">IF(AND(HE73=0,GJ73=0),0,IF(HE73=0,1,IF(OR(GJ73*1000/HE73/HF73&gt;INDEX(Pflanzen!$AD$5:$AD$109,CX73)/INDEX(Pflanzen!$M$5:$M$109,CX73)*$HG$1,GJ73*1000/HE73/HF73&lt;INDEX(Pflanzen!$AD$5:$AD$109,CX73)/INDEX(Pflanzen!$M$5:$M$109,CX73)/$HG$1),1,0)))</f>
        <v>0</v>
      </c>
      <c r="HH73" s="2282" cm="1">
        <f t="array" ref="HH73">IF(AND(GK73=0,HE73=0),0,IF(HE73=0,1,IF(OR(GK73*1000/HE73/HF73&gt;INDEX(Pflanzen!$AE$5:$AE$109,CX73)/INDEX(Pflanzen!$M$5:$M$109,CX73)*$HG$1,GK73*1000/HE73/HF73&lt;INDEX(Pflanzen!$AE$5:$AE$109,CX73)/INDEX(Pflanzen!$M$5:$M$109,CX73)/$HG$1),1,0)))</f>
        <v>0</v>
      </c>
      <c r="HI73" s="2042">
        <f t="shared" si="132"/>
        <v>3</v>
      </c>
      <c r="HJ73" s="2042"/>
      <c r="HL73" s="2042"/>
      <c r="HM73" s="2042"/>
      <c r="HN73" s="2042"/>
      <c r="HO73" s="2042"/>
      <c r="HP73" s="2042"/>
      <c r="HQ73" s="2042"/>
      <c r="HR73" s="2042"/>
      <c r="HS73" s="2042"/>
      <c r="HT73" s="2042"/>
      <c r="HU73" s="2042"/>
      <c r="HV73" s="2042"/>
      <c r="HW73" s="2042"/>
      <c r="HX73" s="2042"/>
      <c r="HY73" s="2042"/>
      <c r="HZ73" s="2042"/>
      <c r="IA73" s="2042"/>
      <c r="IB73" s="2042"/>
      <c r="IC73" s="2042"/>
      <c r="ID73" s="2042"/>
      <c r="IE73" s="2042"/>
      <c r="IF73" s="2042"/>
      <c r="IG73" s="2042"/>
      <c r="IH73" s="2042"/>
      <c r="II73" s="2042"/>
      <c r="IJ73" s="2042"/>
    </row>
    <row r="74" spans="1:244" ht="12.75" customHeight="1" thickBot="1" x14ac:dyDescent="0.25">
      <c r="A74" s="3131"/>
      <c r="B74" s="3132"/>
      <c r="C74" s="3132"/>
      <c r="D74" s="3132"/>
      <c r="E74" s="3133"/>
      <c r="F74" s="3003"/>
      <c r="G74" s="2992" t="s">
        <v>500</v>
      </c>
      <c r="H74" s="2993"/>
      <c r="I74" s="3003"/>
      <c r="J74" s="3045"/>
      <c r="K74" s="3048"/>
      <c r="L74" s="3051"/>
      <c r="M74" s="3051"/>
      <c r="N74" s="2258" t="s">
        <v>8457</v>
      </c>
      <c r="O74" s="2259" t="s">
        <v>1098</v>
      </c>
      <c r="P74" s="3074"/>
      <c r="Q74" s="3003"/>
      <c r="R74" s="2972"/>
      <c r="S74" s="2198" t="s">
        <v>8457</v>
      </c>
      <c r="T74" s="2201" t="s">
        <v>1098</v>
      </c>
      <c r="U74" s="2218"/>
      <c r="V74" s="2220"/>
      <c r="Y74" s="2005" t="str" cm="1">
        <f t="array" ref="Y74">IFERROR(INDEX($CW$4:$CW$171,AY74),"")</f>
        <v/>
      </c>
      <c r="Z74" s="510"/>
      <c r="AA74" s="510"/>
      <c r="AB74" s="510"/>
      <c r="AC74" s="2031" t="str" cm="1">
        <f t="array" ref="AC74">IFERROR(INDEX($GL$4:$GL$171,AY74),"")</f>
        <v/>
      </c>
      <c r="AD74" s="2031" t="str" cm="1">
        <f t="array" ref="AD74">IFERROR(INDEX($GM$4:$GM$171,AY74),"")</f>
        <v/>
      </c>
      <c r="AE74" s="2031" t="str" cm="1">
        <f t="array" ref="AE74">IFERROR(INDEX($GH$4:$GH$171,AY74),"")</f>
        <v/>
      </c>
      <c r="AF74" s="2031" t="str" cm="1">
        <f t="array" ref="AF74">IFERROR(INDEX($GI$4:$GI$171,AY74),"")</f>
        <v/>
      </c>
      <c r="AG74" s="2031" t="str" cm="1">
        <f t="array" ref="AG74">IFERROR(INDEX($GO$4:$GO$171,AY74),"")</f>
        <v/>
      </c>
      <c r="AH74" s="2031" t="str" cm="1">
        <f t="array" ref="AH74">IFERROR(INDEX($GP$4:$GP$171,AY74),"")</f>
        <v/>
      </c>
      <c r="AI74" s="2031" t="str" cm="1">
        <f t="array" ref="AI74">IFERROR(INDEX($GF$4:$GF$171,AY74),"")</f>
        <v/>
      </c>
      <c r="AJ74" s="2031" t="str" cm="1">
        <f t="array" ref="AJ74">IFERROR(INDEX($GG$4:$GG$171,AY74),"")</f>
        <v/>
      </c>
      <c r="AK74" s="2031" t="str" cm="1">
        <f t="array" ref="AK74">IFERROR(INDEX($GS$4:$GS$171,AY74),"")</f>
        <v/>
      </c>
      <c r="AL74" s="2032" t="str" cm="1">
        <f t="array" ref="AL74">IFERROR(INDEX($GT$4:$GT$171,AY74),"")</f>
        <v/>
      </c>
      <c r="AM74" s="2031" t="str" cm="1">
        <f t="array" ref="AM74">IFERROR(INDEX($GB$4:$GB$171,AY74),"")</f>
        <v/>
      </c>
      <c r="AN74" s="2031" t="str" cm="1">
        <f t="array" ref="AN74">IFERROR(INDEX($GC$4:$GC$171,AY74),"")</f>
        <v/>
      </c>
      <c r="AO74" s="2031" t="str" cm="1">
        <f t="array" ref="AO74">IFERROR(INDEX($GU$4:$GU$171,AY74),"")</f>
        <v/>
      </c>
      <c r="AP74" s="2031" t="str" cm="1">
        <f t="array" ref="AP74">IFERROR(INDEX($GX$4:$GX$171,AY74),"")</f>
        <v/>
      </c>
      <c r="AQ74" s="1316"/>
      <c r="AR74" s="2031" t="str" cm="1">
        <f t="array" ref="AR74">IFERROR(INDEX($HD$4:$HD$171,AY74),"")</f>
        <v/>
      </c>
      <c r="AS74" s="2031" t="str" cm="1">
        <f t="array" ref="AS74">IFERROR(INDEX($HE$4:$HE$171,AY74),"")</f>
        <v/>
      </c>
      <c r="AT74" s="2031" t="str" cm="1">
        <f t="array" ref="AT74">IFERROR(INDEX($HF$4:$HF$171,AY74),"")</f>
        <v/>
      </c>
      <c r="AU74" s="2031" t="str" cm="1">
        <f t="array" ref="AU74">IFERROR(INDEX($GJ$4:$GJ$171,AY74),"")</f>
        <v/>
      </c>
      <c r="AV74" s="2031" t="str" cm="1">
        <f t="array" ref="AV74">IFERROR(INDEX($GK$4:$GK$171,AY74),"")</f>
        <v/>
      </c>
      <c r="AY74" s="2042" t="str" cm="1">
        <f t="array" ref="AY74">IFERROR(SMALL(IF($HI$4:$HI$171=1,ROW($HI$4:$HI$171)-3),ROW(W59)),IFERROR(SMALL(IF($HI$4:$HI$171=2,ROW($HI$4:$HI$171)-3),ROW(W59)-COUNTIF($HI$4:$HI$171,1)),IFERROR(SMALL(IF($HI$4:$HI$171=0,ROW($HI$4:$HI$171)-3),ROW(W59)-COUNTIF($HI$4:$HI$171,1)-COUNTIF($HI$4:$HI$171,2)),"")))</f>
        <v/>
      </c>
      <c r="AZ74" s="2042" t="str">
        <f t="shared" si="171"/>
        <v>a</v>
      </c>
      <c r="BA74" s="2053" t="e">
        <f t="shared" si="172"/>
        <v>#VALUE!</v>
      </c>
      <c r="BB74" s="2053" cm="1">
        <f t="array" ref="BB74">IFERROR(INDEX($HI$4:$HI$171,AY74),0)</f>
        <v>0</v>
      </c>
      <c r="BC74" s="2053">
        <f t="shared" si="173"/>
        <v>0</v>
      </c>
      <c r="BD74" s="2053"/>
      <c r="BE74" s="2307"/>
      <c r="BF74" s="2307"/>
      <c r="BG74" s="2307"/>
      <c r="BH74" s="2307"/>
      <c r="BI74" s="2307"/>
      <c r="BJ74" s="2307"/>
      <c r="BK74" s="2307"/>
      <c r="BL74" s="2307"/>
      <c r="BM74" s="2307"/>
      <c r="BN74" s="2307"/>
      <c r="BO74" s="2307"/>
      <c r="BP74" s="2043"/>
      <c r="BQ74" s="2042"/>
      <c r="BR74" s="2045"/>
      <c r="BS74" s="2045"/>
      <c r="BT74" s="2045"/>
      <c r="BU74" s="2061"/>
      <c r="BV74" s="2061"/>
      <c r="BW74" s="2045" t="s">
        <v>1149</v>
      </c>
      <c r="BX74" s="2045" t="s">
        <v>1192</v>
      </c>
      <c r="BY74" s="2045" t="s">
        <v>1193</v>
      </c>
      <c r="BZ74" s="2045"/>
      <c r="CA74" s="2045"/>
      <c r="CB74" s="2045"/>
      <c r="CC74" s="2045"/>
      <c r="CD74" s="2045"/>
      <c r="CE74" s="2045"/>
      <c r="CF74" s="2045"/>
      <c r="CG74" s="2045"/>
      <c r="CH74" s="2042"/>
      <c r="CI74" s="2042"/>
      <c r="CJ74" s="2042"/>
      <c r="CK74" s="2042"/>
      <c r="CL74" s="2042"/>
      <c r="CM74" s="2042"/>
      <c r="CN74" s="2042"/>
      <c r="CO74" s="2042"/>
      <c r="CP74" s="2045" t="s">
        <v>321</v>
      </c>
      <c r="CQ74" s="2045" t="s">
        <v>1185</v>
      </c>
      <c r="CR74" s="2045" t="s">
        <v>1243</v>
      </c>
      <c r="CS74" s="2045" t="s">
        <v>8460</v>
      </c>
      <c r="CT74" s="2045" t="s">
        <v>8459</v>
      </c>
      <c r="CU74" s="2045" t="s">
        <v>1209</v>
      </c>
      <c r="CV74" s="2042"/>
      <c r="CW74" s="609" t="str">
        <f>Pflanzen!A70</f>
        <v xml:space="preserve"> +++Zwischenfrucht+++</v>
      </c>
      <c r="CX74" s="2042">
        <f>IFERROR(MATCH($CW74,Pflanzen!$C$5:$C$119,0),1)</f>
        <v>66</v>
      </c>
      <c r="CY74" s="609" cm="1">
        <f t="array" ref="CY74">INDEX(Pflanzen!$I$5:$I$119,'Lagerhaltung (freiwillig)'!CX74)</f>
        <v>0</v>
      </c>
      <c r="CZ74" s="2042">
        <f t="shared" si="169"/>
        <v>0</v>
      </c>
      <c r="DA74" s="2042">
        <f t="shared" si="169"/>
        <v>0</v>
      </c>
      <c r="DB74" s="2042">
        <f t="shared" si="169"/>
        <v>0</v>
      </c>
      <c r="DC74" s="2042">
        <f t="shared" si="169"/>
        <v>0</v>
      </c>
      <c r="DD74" s="2042">
        <f t="shared" si="169"/>
        <v>0</v>
      </c>
      <c r="DE74" s="2042">
        <f t="shared" si="169"/>
        <v>0</v>
      </c>
      <c r="DF74" s="2042">
        <f t="shared" si="169"/>
        <v>0</v>
      </c>
      <c r="DG74" s="2042">
        <f t="shared" si="169"/>
        <v>0</v>
      </c>
      <c r="DH74" s="2042">
        <f t="shared" si="169"/>
        <v>0</v>
      </c>
      <c r="DI74" s="2042">
        <f t="shared" si="169"/>
        <v>0</v>
      </c>
      <c r="DJ74" s="2042">
        <f t="shared" si="169"/>
        <v>0</v>
      </c>
      <c r="DK74" s="2042">
        <f t="shared" si="169"/>
        <v>0</v>
      </c>
      <c r="DL74" s="2042"/>
      <c r="DM74" s="2042">
        <f t="shared" si="165"/>
        <v>0</v>
      </c>
      <c r="DN74" s="2042">
        <f t="shared" si="166"/>
        <v>0</v>
      </c>
      <c r="DO74" s="2042">
        <f t="shared" si="166"/>
        <v>0</v>
      </c>
      <c r="DP74" s="2042">
        <f t="shared" si="166"/>
        <v>0</v>
      </c>
      <c r="DQ74" s="2042">
        <f t="shared" si="166"/>
        <v>0</v>
      </c>
      <c r="DR74" s="2042">
        <f t="shared" si="166"/>
        <v>0</v>
      </c>
      <c r="DS74" s="2042">
        <f t="shared" si="166"/>
        <v>0</v>
      </c>
      <c r="DT74" s="2042">
        <f t="shared" si="166"/>
        <v>0</v>
      </c>
      <c r="DU74" s="2042">
        <f t="shared" si="166"/>
        <v>0</v>
      </c>
      <c r="DV74" s="2042">
        <f t="shared" si="166"/>
        <v>0</v>
      </c>
      <c r="DW74" s="2042">
        <f t="shared" si="166"/>
        <v>0</v>
      </c>
      <c r="DX74" s="2042">
        <f t="shared" si="166"/>
        <v>0</v>
      </c>
      <c r="DY74" s="2042"/>
      <c r="DZ74" s="2042">
        <f t="shared" si="170"/>
        <v>0</v>
      </c>
      <c r="EA74" s="2042">
        <f t="shared" si="170"/>
        <v>0</v>
      </c>
      <c r="EB74" s="2042">
        <f t="shared" si="170"/>
        <v>0</v>
      </c>
      <c r="EC74" s="2042">
        <f t="shared" si="170"/>
        <v>0</v>
      </c>
      <c r="ED74" s="2042">
        <f t="shared" si="170"/>
        <v>0</v>
      </c>
      <c r="EE74" s="2042">
        <f t="shared" si="170"/>
        <v>0</v>
      </c>
      <c r="EF74" s="2042">
        <f t="shared" si="170"/>
        <v>0</v>
      </c>
      <c r="EG74" s="2042">
        <f t="shared" si="170"/>
        <v>0</v>
      </c>
      <c r="EH74" s="2042">
        <f t="shared" si="170"/>
        <v>0</v>
      </c>
      <c r="EI74" s="2042">
        <f t="shared" si="170"/>
        <v>0</v>
      </c>
      <c r="EJ74" s="2042">
        <f t="shared" si="170"/>
        <v>0</v>
      </c>
      <c r="EK74" s="2042">
        <f t="shared" si="170"/>
        <v>0</v>
      </c>
      <c r="EL74" s="2042"/>
      <c r="EM74" s="2042">
        <f t="shared" si="167"/>
        <v>0</v>
      </c>
      <c r="EN74" s="2042">
        <f t="shared" si="168"/>
        <v>0</v>
      </c>
      <c r="EO74" s="2042">
        <f t="shared" si="168"/>
        <v>0</v>
      </c>
      <c r="EP74" s="2042">
        <f t="shared" si="168"/>
        <v>0</v>
      </c>
      <c r="EQ74" s="2042">
        <f t="shared" si="168"/>
        <v>0</v>
      </c>
      <c r="ER74" s="2042">
        <f t="shared" si="168"/>
        <v>0</v>
      </c>
      <c r="ES74" s="2042">
        <f t="shared" si="168"/>
        <v>0</v>
      </c>
      <c r="ET74" s="2042">
        <f t="shared" si="168"/>
        <v>0</v>
      </c>
      <c r="EU74" s="2042">
        <f t="shared" si="168"/>
        <v>0</v>
      </c>
      <c r="EV74" s="2042">
        <f t="shared" si="168"/>
        <v>0</v>
      </c>
      <c r="EW74" s="2042">
        <f t="shared" si="168"/>
        <v>0</v>
      </c>
      <c r="EX74" s="2042">
        <f t="shared" si="168"/>
        <v>0</v>
      </c>
      <c r="EY74" s="2042"/>
      <c r="EZ74" s="2045">
        <f t="shared" si="50"/>
        <v>0</v>
      </c>
      <c r="FA74" s="2042">
        <f>EZ74+CZ74+DZ74                 -         SUMIF('Berechnung Nährstoffe und Lager'!$AX$113:$AX$155,$CX74,'Berechnung Nährstoffe und Lager'!$U$113:$U$155)/12  -$GB74*$HC74/12</f>
        <v>0</v>
      </c>
      <c r="FB74" s="2042">
        <f>FA74+DA74+EA74                 -         SUMIF('Berechnung Nährstoffe und Lager'!$AX$113:$AX$155,$CX74,'Berechnung Nährstoffe und Lager'!$U$113:$U$155)/12  -$GB74*$HC74/12</f>
        <v>0</v>
      </c>
      <c r="FC74" s="2042">
        <f>FB74+DB74+EB74                 -         SUMIF('Berechnung Nährstoffe und Lager'!$AX$113:$AX$155,$CX74,'Berechnung Nährstoffe und Lager'!$U$113:$U$155)/12  -$GB74*$HC74/12</f>
        <v>0</v>
      </c>
      <c r="FD74" s="2042">
        <f>FC74+DC74+EC74                 -         SUMIF('Berechnung Nährstoffe und Lager'!$AX$113:$AX$155,$CX74,'Berechnung Nährstoffe und Lager'!$U$113:$U$155)/12  -$GB74*$HC74/12</f>
        <v>0</v>
      </c>
      <c r="FE74" s="2042">
        <f>FD74+DD74+ED74                 -         SUMIF('Berechnung Nährstoffe und Lager'!$AX$113:$AX$155,$CX74,'Berechnung Nährstoffe und Lager'!$U$113:$U$155)/12  -$GB74*$HC74/12</f>
        <v>0</v>
      </c>
      <c r="FF74" s="2042">
        <f>FE74+DE74+EE74                 -         SUMIF('Berechnung Nährstoffe und Lager'!$AX$113:$AX$155,$CX74,'Berechnung Nährstoffe und Lager'!$U$113:$U$155)/12  -$GB74*$HC74/12</f>
        <v>0</v>
      </c>
      <c r="FG74" s="2042">
        <f>FF74+DF74+EF74                 -         SUMIF('Berechnung Nährstoffe und Lager'!$AX$113:$AX$155,$CX74,'Berechnung Nährstoffe und Lager'!$U$113:$U$155)/12  -$GB74*$HC74/12</f>
        <v>0</v>
      </c>
      <c r="FH74" s="2042">
        <f>FG74+DG74+EG74                 -         SUMIF('Berechnung Nährstoffe und Lager'!$AX$113:$AX$155,$CX74,'Berechnung Nährstoffe und Lager'!$U$113:$U$155)/12  -$GB74*$HC74/12</f>
        <v>0</v>
      </c>
      <c r="FI74" s="2042">
        <f>FH74+DH74+EH74                 -         SUMIF('Berechnung Nährstoffe und Lager'!$AX$113:$AX$155,$CX74,'Berechnung Nährstoffe und Lager'!$U$113:$U$155)/12  -$GB74*$HC74/12</f>
        <v>0</v>
      </c>
      <c r="FJ74" s="2042">
        <f>FI74+DI74+EI74                 -         SUMIF('Berechnung Nährstoffe und Lager'!$AX$113:$AX$155,$CX74,'Berechnung Nährstoffe und Lager'!$U$113:$U$155)/12  -$GB74*$HC74/12</f>
        <v>0</v>
      </c>
      <c r="FK74" s="2042">
        <f>FJ74+DJ74+EJ74                 -         SUMIF('Berechnung Nährstoffe und Lager'!$AX$113:$AX$155,$CX74,'Berechnung Nährstoffe und Lager'!$U$113:$U$155)/12  -$GB74*$HC74/12</f>
        <v>0</v>
      </c>
      <c r="FL74" s="2042">
        <f>FK74+DK74+EK74                 -         SUMIF('Berechnung Nährstoffe und Lager'!$AX$113:$AX$155,$CX74,'Berechnung Nährstoffe und Lager'!$U$113:$U$155)/12  -$GB74*$HC74/12</f>
        <v>0</v>
      </c>
      <c r="FM74" s="2042"/>
      <c r="FN74" s="2045">
        <f t="shared" si="51"/>
        <v>0</v>
      </c>
      <c r="FO74" s="2042">
        <f>FN74+DM74+EM74                 -         SUMIF('Berechnung Nährstoffe und Lager'!$AX$113:$AX$155,$CX74,'Berechnung Nährstoffe und Lager'!$V$113:$V$155)/12  -$GC74*$HC74/12</f>
        <v>0</v>
      </c>
      <c r="FP74" s="2042">
        <f>FO74+DN74+EN74                 -         SUMIF('Berechnung Nährstoffe und Lager'!$AX$113:$AX$155,$CX74,'Berechnung Nährstoffe und Lager'!$V$113:$V$155)/12  -$GC74*$HC74/12</f>
        <v>0</v>
      </c>
      <c r="FQ74" s="2042">
        <f>FP74+DO74+EO74                 -         SUMIF('Berechnung Nährstoffe und Lager'!$AX$113:$AX$155,$CX74,'Berechnung Nährstoffe und Lager'!$V$113:$V$155)/12  -$GC74*$HC74/12</f>
        <v>0</v>
      </c>
      <c r="FR74" s="2042">
        <f>FQ74+DP74+EP74                 -         SUMIF('Berechnung Nährstoffe und Lager'!$AX$113:$AX$155,$CX74,'Berechnung Nährstoffe und Lager'!$V$113:$V$155)/12  -$GC74*$HC74/12</f>
        <v>0</v>
      </c>
      <c r="FS74" s="2042">
        <f>FR74+DQ74+EQ74                 -         SUMIF('Berechnung Nährstoffe und Lager'!$AX$113:$AX$155,$CX74,'Berechnung Nährstoffe und Lager'!$V$113:$V$155)/12  -$GC74*$HC74/12</f>
        <v>0</v>
      </c>
      <c r="FT74" s="2042">
        <f>FS74+DR74+ER74                 -         SUMIF('Berechnung Nährstoffe und Lager'!$AX$113:$AX$155,$CX74,'Berechnung Nährstoffe und Lager'!$V$113:$V$155)/12  -$GC74*$HC74/12</f>
        <v>0</v>
      </c>
      <c r="FU74" s="2042">
        <f>FT74+DS74+ES74                 -         SUMIF('Berechnung Nährstoffe und Lager'!$AX$113:$AX$155,$CX74,'Berechnung Nährstoffe und Lager'!$V$113:$V$155)/12  -$GC74*$HC74/12</f>
        <v>0</v>
      </c>
      <c r="FV74" s="2042">
        <f>FU74+DT74+ET74                 -         SUMIF('Berechnung Nährstoffe und Lager'!$AX$113:$AX$155,$CX74,'Berechnung Nährstoffe und Lager'!$V$113:$V$155)/12  -$GC74*$HC74/12</f>
        <v>0</v>
      </c>
      <c r="FW74" s="2042">
        <f>FV74+DU74+EU74                 -         SUMIF('Berechnung Nährstoffe und Lager'!$AX$113:$AX$155,$CX74,'Berechnung Nährstoffe und Lager'!$V$113:$V$155)/12  -$GC74*$HC74/12</f>
        <v>0</v>
      </c>
      <c r="FX74" s="2042">
        <f>FW74+DV74+EV74                 -         SUMIF('Berechnung Nährstoffe und Lager'!$AX$113:$AX$155,$CX74,'Berechnung Nährstoffe und Lager'!$V$113:$V$155)/12  -$GC74*$HC74/12</f>
        <v>0</v>
      </c>
      <c r="FY74" s="2042">
        <f>FX74+DW74+EW74                 -         SUMIF('Berechnung Nährstoffe und Lager'!$AX$113:$AX$155,$CX74,'Berechnung Nährstoffe und Lager'!$V$113:$V$155)/12  -$GC74*$HC74/12</f>
        <v>0</v>
      </c>
      <c r="FZ74" s="2042">
        <f>FY74+DX74+EX74                 -         SUMIF('Berechnung Nährstoffe und Lager'!$AX$113:$AX$155,$CX74,'Berechnung Nährstoffe und Lager'!$V$113:$V$155)/12  -$GC74*$HC74/12</f>
        <v>0</v>
      </c>
      <c r="GA74" s="2042"/>
      <c r="GB74" s="2042">
        <f>SUMIFS($CI$14:$CI$68,$BR$14:$BR$68,$CX74)+SUMIFS($CM$14:$CM$68,$BR$14:$BR$68,$CX74)+SUMIFS($CR$14:$CR$68,$BR$14:$BR$68,$CX74)  -         SUMIF('Berechnung Nährstoffe und Lager'!$AX$113:$AX$155,$CX74,'Berechnung Nährstoffe und Lager'!$U$113:$U$155)</f>
        <v>0</v>
      </c>
      <c r="GC74" s="2042">
        <f>SUMIFS($CJ$14:$CJ$68,$BR$14:$BR$68,$CX74)+SUMIFS($CO$14:$CO$68,$BR$14:$BR$68,$CX74)+SUMIFS($CT$14:$CT$68,$BR$14:$BR$68,$CX74)  -         SUMIF('Berechnung Nährstoffe und Lager'!$AX$113:$AX$155,$CX74,'Berechnung Nährstoffe und Lager'!$V$113:$V$155)</f>
        <v>0</v>
      </c>
      <c r="GD74" s="2042"/>
      <c r="GE74" s="2042"/>
      <c r="GF74" s="2042">
        <f>SUMIF('Berechnung Nährstoffe und Lager'!$AX$113:$AX$155,$CX74,'Berechnung Nährstoffe und Lager'!$U$113:$U$155)</f>
        <v>0</v>
      </c>
      <c r="GG74" s="2042">
        <f>SUMIF('Berechnung Nährstoffe und Lager'!$AX$113:$AX$155,$CX74,'Berechnung Nährstoffe und Lager'!$V$113:$V$155)</f>
        <v>0</v>
      </c>
      <c r="GH74" s="2042">
        <f t="shared" si="52"/>
        <v>0</v>
      </c>
      <c r="GI74" s="2042">
        <f t="shared" si="53"/>
        <v>0</v>
      </c>
      <c r="GJ74" s="2042">
        <f t="shared" si="121"/>
        <v>0</v>
      </c>
      <c r="GK74" s="2042">
        <f t="shared" si="122"/>
        <v>0</v>
      </c>
      <c r="GL74" s="2042">
        <f t="shared" si="123"/>
        <v>0</v>
      </c>
      <c r="GM74" s="2042" cm="1">
        <f t="array" ref="GM74">IF(GL74=0,0,(IFERROR(SUMPRODUCT($J$14:$J$68,$CH$14:$CH$68,($BR$14:$BR$68=CX74)*1)+SUMPRODUCT($L$14:$L$68,$M$14:$M$68,$CK$14:$CK$68,($BR$14:$BR$68=CX74)*1,($BT$14:$BT$68=FALSE)*1)/10+SUMPRODUCT($R$14:$R$68,$CP$14:$CP$68,($BR$14:$BR$68=CX74)*1),0))/GL74)</f>
        <v>0</v>
      </c>
      <c r="GN74" s="2042">
        <f t="shared" si="54"/>
        <v>0</v>
      </c>
      <c r="GO74" s="2042">
        <f>(SUMIF('Berechnung Nährstoffe und Lager'!$AX$113:$AX$130,'Lagerhaltung (freiwillig)'!CX74,'Berechnung Nährstoffe und Lager'!$D$113:$D$130)+SUMIF('Berechnung Nährstoffe und Lager'!$AX$137:$AX$155,'Lagerhaltung (freiwillig)'!CX74,'Berechnung Nährstoffe und Lager'!$E$137:$E$155))</f>
        <v>0</v>
      </c>
      <c r="GP74" s="2042" cm="1">
        <f t="array" ref="GP74">IF(GO74=0,0,(IFERROR(SUMPRODUCT('Berechnung Nährstoffe und Lager'!$D$113:$D$130,'Berechnung Nährstoffe und Lager'!$F$113:$F$130,('Berechnung Nährstoffe und Lager'!$AX$113:$AX$130='Lagerhaltung (freiwillig)'!CX74)*1)+SUMPRODUCT('Berechnung Nährstoffe und Lager'!$E$137:$E$155,'Berechnung Nährstoffe und Lager'!$F$137:$F$155,('Berechnung Nährstoffe und Lager'!$AX$137:$AX$155='Lagerhaltung (freiwillig)'!CX74)*1),0))/GO74)</f>
        <v>0</v>
      </c>
      <c r="GQ74" s="2042">
        <f t="shared" si="55"/>
        <v>0</v>
      </c>
      <c r="GR74" s="2042">
        <f t="shared" si="56"/>
        <v>0</v>
      </c>
      <c r="GS74" s="2042">
        <f t="shared" si="57"/>
        <v>0</v>
      </c>
      <c r="GT74" s="2042">
        <f t="shared" si="58"/>
        <v>0</v>
      </c>
      <c r="GU74" s="2045" t="str">
        <f t="shared" ref="GU74:GV171" si="175">" "</f>
        <v xml:space="preserve"> </v>
      </c>
      <c r="GV74" s="2045" t="str">
        <f t="shared" si="175"/>
        <v xml:space="preserve"> </v>
      </c>
      <c r="GW74" s="2054">
        <f t="shared" si="124"/>
        <v>0</v>
      </c>
      <c r="GX74" s="2042">
        <f t="shared" si="125"/>
        <v>0</v>
      </c>
      <c r="GY74" s="2042" t="str">
        <f t="shared" si="174"/>
        <v>a</v>
      </c>
      <c r="GZ74" s="2055">
        <f t="shared" si="126"/>
        <v>0</v>
      </c>
      <c r="HA74" s="2055">
        <f t="shared" si="127"/>
        <v>0</v>
      </c>
      <c r="HB74" s="2055"/>
      <c r="HC74" s="2046">
        <f t="shared" si="128"/>
        <v>0</v>
      </c>
      <c r="HD74" s="2055">
        <f t="shared" si="129"/>
        <v>0</v>
      </c>
      <c r="HE74" s="2055">
        <f t="shared" si="130"/>
        <v>0</v>
      </c>
      <c r="HF74" s="2055">
        <f t="shared" si="131"/>
        <v>0</v>
      </c>
      <c r="HG74" s="2282" cm="1">
        <f t="array" ref="HG74">IF(AND(HE74=0,GJ74=0),0,IF(HE74=0,1,IF(OR(GJ74*1000/HE74/HF74&gt;INDEX(Pflanzen!$AD$5:$AD$109,CX74)/INDEX(Pflanzen!$M$5:$M$109,CX74)*$HG$1,GJ74*1000/HE74/HF74&lt;INDEX(Pflanzen!$AD$5:$AD$109,CX74)/INDEX(Pflanzen!$M$5:$M$109,CX74)/$HG$1),1,0)))</f>
        <v>0</v>
      </c>
      <c r="HH74" s="2282" cm="1">
        <f t="array" ref="HH74">IF(AND(GK74=0,HE74=0),0,IF(HE74=0,1,IF(OR(GK74*1000/HE74/HF74&gt;INDEX(Pflanzen!$AE$5:$AE$109,CX74)/INDEX(Pflanzen!$M$5:$M$109,CX74)*$HG$1,GK74*1000/HE74/HF74&lt;INDEX(Pflanzen!$AE$5:$AE$109,CX74)/INDEX(Pflanzen!$M$5:$M$109,CX74)/$HG$1),1,0)))</f>
        <v>0</v>
      </c>
      <c r="HI74" s="2042">
        <f t="shared" si="132"/>
        <v>3</v>
      </c>
      <c r="HJ74" s="2042"/>
      <c r="HL74" s="2042"/>
      <c r="HM74" s="2042"/>
      <c r="HN74" s="2042"/>
      <c r="HO74" s="2042"/>
      <c r="HP74" s="2042"/>
      <c r="HQ74" s="2042"/>
      <c r="HR74" s="2042"/>
      <c r="HS74" s="2042"/>
      <c r="HT74" s="2042"/>
      <c r="HU74" s="2042"/>
      <c r="HV74" s="2042"/>
      <c r="HW74" s="2042"/>
      <c r="HX74" s="2042"/>
      <c r="HY74" s="2042"/>
      <c r="HZ74" s="2042"/>
      <c r="IA74" s="2042"/>
      <c r="IB74" s="2042"/>
      <c r="IC74" s="2042"/>
      <c r="ID74" s="2042"/>
      <c r="IE74" s="2042"/>
      <c r="IF74" s="2042"/>
      <c r="IG74" s="2042"/>
      <c r="IH74" s="2042"/>
      <c r="II74" s="2042"/>
      <c r="IJ74" s="2042"/>
    </row>
    <row r="75" spans="1:244" ht="15.6" customHeight="1" x14ac:dyDescent="0.2">
      <c r="A75" s="2038"/>
      <c r="B75" s="2039"/>
      <c r="C75" s="3143" t="s">
        <v>1159</v>
      </c>
      <c r="D75" s="3144"/>
      <c r="E75" s="3145"/>
      <c r="F75" s="2302" cm="1">
        <f t="array" ref="F75">INDEX(Pflanzen!$M$122:$M$160,BR75)</f>
        <v>0</v>
      </c>
      <c r="G75" s="2255" cm="1">
        <f t="array" ref="G75">INDEX(Pflanzen!$AD$122:$AD$160,BR75)</f>
        <v>0</v>
      </c>
      <c r="H75" s="2256" cm="1">
        <f t="array" ref="H75">INDEX(Pflanzen!$AE$122:$AE$160,BR75)</f>
        <v>0</v>
      </c>
      <c r="I75" s="1935"/>
      <c r="J75" s="1244"/>
      <c r="K75" s="1923"/>
      <c r="L75" s="1924"/>
      <c r="M75" s="1924"/>
      <c r="N75" s="1925"/>
      <c r="O75" s="1925"/>
      <c r="P75" s="1926"/>
      <c r="Q75" s="1937"/>
      <c r="R75" s="1245"/>
      <c r="S75" s="1937"/>
      <c r="T75" s="1244"/>
      <c r="U75" s="1159"/>
      <c r="V75" s="2316" t="str">
        <f>IF(OR(L75&gt;0,M75&gt;0,AND(OR(J75&gt;0,R75&gt;0),OR(G75=0,H75=0,F75=0))),"Fehler","")</f>
        <v/>
      </c>
      <c r="Y75" s="2005" t="str" cm="1">
        <f t="array" ref="Y75">IFERROR(INDEX($CW$4:$CW$171,AY75),"")</f>
        <v/>
      </c>
      <c r="Z75" s="510"/>
      <c r="AA75" s="510"/>
      <c r="AB75" s="510"/>
      <c r="AC75" s="2031" t="str" cm="1">
        <f t="array" ref="AC75">IFERROR(INDEX($GL$4:$GL$171,AY75),"")</f>
        <v/>
      </c>
      <c r="AD75" s="2031" t="str" cm="1">
        <f t="array" ref="AD75">IFERROR(INDEX($GM$4:$GM$171,AY75),"")</f>
        <v/>
      </c>
      <c r="AE75" s="2031" t="str" cm="1">
        <f t="array" ref="AE75">IFERROR(INDEX($GH$4:$GH$171,AY75),"")</f>
        <v/>
      </c>
      <c r="AF75" s="2031" t="str" cm="1">
        <f t="array" ref="AF75">IFERROR(INDEX($GI$4:$GI$171,AY75),"")</f>
        <v/>
      </c>
      <c r="AG75" s="2031" t="str" cm="1">
        <f t="array" ref="AG75">IFERROR(INDEX($GO$4:$GO$171,AY75),"")</f>
        <v/>
      </c>
      <c r="AH75" s="2031" t="str" cm="1">
        <f t="array" ref="AH75">IFERROR(INDEX($GP$4:$GP$171,AY75),"")</f>
        <v/>
      </c>
      <c r="AI75" s="2031" t="str" cm="1">
        <f t="array" ref="AI75">IFERROR(INDEX($GF$4:$GF$171,AY75),"")</f>
        <v/>
      </c>
      <c r="AJ75" s="2031" t="str" cm="1">
        <f t="array" ref="AJ75">IFERROR(INDEX($GG$4:$GG$171,AY75),"")</f>
        <v/>
      </c>
      <c r="AK75" s="2031" t="str" cm="1">
        <f t="array" ref="AK75">IFERROR(INDEX($GS$4:$GS$171,AY75),"")</f>
        <v/>
      </c>
      <c r="AL75" s="2032" t="str" cm="1">
        <f t="array" ref="AL75">IFERROR(INDEX($GT$4:$GT$171,AY75),"")</f>
        <v/>
      </c>
      <c r="AM75" s="2031" t="str" cm="1">
        <f t="array" ref="AM75">IFERROR(INDEX($GB$4:$GB$171,AY75),"")</f>
        <v/>
      </c>
      <c r="AN75" s="2031" t="str" cm="1">
        <f t="array" ref="AN75">IFERROR(INDEX($GC$4:$GC$171,AY75),"")</f>
        <v/>
      </c>
      <c r="AO75" s="2031" t="str" cm="1">
        <f t="array" ref="AO75">IFERROR(INDEX($GU$4:$GU$171,AY75),"")</f>
        <v/>
      </c>
      <c r="AP75" s="2031" t="str" cm="1">
        <f t="array" ref="AP75">IFERROR(INDEX($GX$4:$GX$171,AY75),"")</f>
        <v/>
      </c>
      <c r="AQ75" s="1316"/>
      <c r="AR75" s="2031" t="str" cm="1">
        <f t="array" ref="AR75">IFERROR(INDEX($HD$4:$HD$171,AY75),"")</f>
        <v/>
      </c>
      <c r="AS75" s="2031" t="str" cm="1">
        <f t="array" ref="AS75">IFERROR(INDEX($HE$4:$HE$171,AY75),"")</f>
        <v/>
      </c>
      <c r="AT75" s="2031" t="str" cm="1">
        <f t="array" ref="AT75">IFERROR(INDEX($HF$4:$HF$171,AY75),"")</f>
        <v/>
      </c>
      <c r="AU75" s="2031" t="str" cm="1">
        <f t="array" ref="AU75">IFERROR(INDEX($GJ$4:$GJ$171,AY75),"")</f>
        <v/>
      </c>
      <c r="AV75" s="2031" t="str" cm="1">
        <f t="array" ref="AV75">IFERROR(INDEX($GK$4:$GK$171,AY75),"")</f>
        <v/>
      </c>
      <c r="AY75" s="2042" t="str" cm="1">
        <f t="array" ref="AY75">IFERROR(SMALL(IF($HI$4:$HI$171=1,ROW($HI$4:$HI$171)-3),ROW(W60)),IFERROR(SMALL(IF($HI$4:$HI$171=2,ROW($HI$4:$HI$171)-3),ROW(W60)-COUNTIF($HI$4:$HI$171,1)),IFERROR(SMALL(IF($HI$4:$HI$171=0,ROW($HI$4:$HI$171)-3),ROW(W60)-COUNTIF($HI$4:$HI$171,1)-COUNTIF($HI$4:$HI$171,2)),"")))</f>
        <v/>
      </c>
      <c r="AZ75" s="2042" t="str">
        <f t="shared" si="171"/>
        <v>a</v>
      </c>
      <c r="BA75" s="2053" t="e">
        <f t="shared" si="172"/>
        <v>#VALUE!</v>
      </c>
      <c r="BB75" s="2053" cm="1">
        <f t="array" ref="BB75">IFERROR(INDEX($HI$4:$HI$171,AY75),0)</f>
        <v>0</v>
      </c>
      <c r="BC75" s="2053">
        <f t="shared" si="173"/>
        <v>0</v>
      </c>
      <c r="BD75" s="2053"/>
      <c r="BE75" s="2307"/>
      <c r="BF75" s="2307"/>
      <c r="BG75" s="2307"/>
      <c r="BH75" s="2307"/>
      <c r="BI75" s="2307"/>
      <c r="BJ75" s="2307"/>
      <c r="BK75" s="2307"/>
      <c r="BL75" s="2307"/>
      <c r="BM75" s="2307"/>
      <c r="BN75" s="2307"/>
      <c r="BO75" s="2307"/>
      <c r="BP75" s="2043"/>
      <c r="BQ75" s="2042"/>
      <c r="BR75" s="2042">
        <v>1</v>
      </c>
      <c r="BS75" s="2042"/>
      <c r="BT75" s="2042"/>
      <c r="BU75" s="2044"/>
      <c r="BV75" s="2044"/>
      <c r="BW75" s="2042">
        <f t="shared" ref="BW75:BW89" si="176">IF(AND(S75&lt;&gt;T75,T75&gt;S75,S75&gt;0),T75-S75+1,IF(AND(S75=0,T75=0),12,1))</f>
        <v>12</v>
      </c>
      <c r="BX75" s="2042">
        <f t="shared" ref="BX75:BX89" si="177">IF(AND(S75=0,T75&gt;0),T75,S75)</f>
        <v>0</v>
      </c>
      <c r="BY75" s="2042">
        <f t="shared" ref="BY75:BY89" si="178">IF(AND(T75=0,S75&gt;0),S75,IF(AND(S75=0,T75=0),12,T75))</f>
        <v>12</v>
      </c>
      <c r="BZ75" s="2042"/>
      <c r="CA75" s="2053"/>
      <c r="CB75" s="2053"/>
      <c r="CC75" s="2042"/>
      <c r="CD75" s="2042"/>
      <c r="CE75" s="2042"/>
      <c r="CF75" s="2042"/>
      <c r="CG75" s="2042"/>
      <c r="CH75" s="2042">
        <f>IF(I75&gt;0,I75,F75)</f>
        <v>0</v>
      </c>
      <c r="CI75" s="2042">
        <f>IF(I75&gt;0,J75*G75*I75/F75/1000,J75*G75/1000)</f>
        <v>0</v>
      </c>
      <c r="CJ75" s="2042">
        <f>IF(I75&gt;0,J75*H75*I75/F75/1000,J75*H75/1000)</f>
        <v>0</v>
      </c>
      <c r="CK75" s="2042"/>
      <c r="CL75" s="2042"/>
      <c r="CM75" s="2042"/>
      <c r="CN75" s="2042"/>
      <c r="CO75" s="2042"/>
      <c r="CP75" s="2042">
        <f>IF(Q75&gt;0,Q75,F75)</f>
        <v>0</v>
      </c>
      <c r="CQ75" s="2042">
        <f>IF(Q75&gt;0,R75*G75*Q75/F75/BW75/1000,R75*G75/BW75/1000)</f>
        <v>0</v>
      </c>
      <c r="CR75" s="2042">
        <f>IF(Q75&gt;0,R75*G75*Q75/F75/1000,R75*G75/1000)</f>
        <v>0</v>
      </c>
      <c r="CS75" s="2042">
        <f>IF(Q75&gt;0,R75*H75*Q75/F75/BW75/1000,R75*H75/BW75/1000)</f>
        <v>0</v>
      </c>
      <c r="CT75" s="2042">
        <f>IF(Q75&gt;0,R75*H75*Q75/F75/1000,R75*H75/1000)</f>
        <v>0</v>
      </c>
      <c r="CU75" s="2042">
        <f t="shared" ref="CU75:CU89" si="179">IF(BT75=TRUE,SUM(J75,R75),SUM(J75,L75*M75/10,R75))</f>
        <v>0</v>
      </c>
      <c r="CV75" s="2042"/>
      <c r="CW75" s="609" t="str">
        <f>Pflanzen!A71</f>
        <v>Zwischenfrucht 0 - 25 % Leg.</v>
      </c>
      <c r="CX75" s="2042">
        <f>IFERROR(MATCH($CW75,Pflanzen!$C$5:$C$119,0),1)</f>
        <v>67</v>
      </c>
      <c r="CY75" s="609" cm="1">
        <f t="array" ref="CY75">INDEX(Pflanzen!$I$5:$I$119,'Lagerhaltung (freiwillig)'!CX75)</f>
        <v>1</v>
      </c>
      <c r="CZ75" s="2042">
        <f t="shared" si="169"/>
        <v>0</v>
      </c>
      <c r="DA75" s="2042">
        <f t="shared" si="169"/>
        <v>0</v>
      </c>
      <c r="DB75" s="2042">
        <f t="shared" si="169"/>
        <v>0</v>
      </c>
      <c r="DC75" s="2042">
        <f t="shared" si="169"/>
        <v>0</v>
      </c>
      <c r="DD75" s="2042">
        <f t="shared" si="169"/>
        <v>0</v>
      </c>
      <c r="DE75" s="2042">
        <f t="shared" si="169"/>
        <v>0</v>
      </c>
      <c r="DF75" s="2042">
        <f t="shared" si="169"/>
        <v>0</v>
      </c>
      <c r="DG75" s="2042">
        <f t="shared" si="169"/>
        <v>0</v>
      </c>
      <c r="DH75" s="2042">
        <f t="shared" si="169"/>
        <v>0</v>
      </c>
      <c r="DI75" s="2042">
        <f t="shared" si="169"/>
        <v>0</v>
      </c>
      <c r="DJ75" s="2042">
        <f t="shared" si="169"/>
        <v>0</v>
      </c>
      <c r="DK75" s="2042">
        <f t="shared" si="169"/>
        <v>0</v>
      </c>
      <c r="DL75" s="2042"/>
      <c r="DM75" s="2042">
        <f t="shared" si="165"/>
        <v>0</v>
      </c>
      <c r="DN75" s="2042">
        <f t="shared" si="166"/>
        <v>0</v>
      </c>
      <c r="DO75" s="2042">
        <f t="shared" si="166"/>
        <v>0</v>
      </c>
      <c r="DP75" s="2042">
        <f t="shared" si="166"/>
        <v>0</v>
      </c>
      <c r="DQ75" s="2042">
        <f t="shared" si="166"/>
        <v>0</v>
      </c>
      <c r="DR75" s="2042">
        <f t="shared" si="166"/>
        <v>0</v>
      </c>
      <c r="DS75" s="2042">
        <f t="shared" si="166"/>
        <v>0</v>
      </c>
      <c r="DT75" s="2042">
        <f t="shared" si="166"/>
        <v>0</v>
      </c>
      <c r="DU75" s="2042">
        <f t="shared" si="166"/>
        <v>0</v>
      </c>
      <c r="DV75" s="2042">
        <f t="shared" si="166"/>
        <v>0</v>
      </c>
      <c r="DW75" s="2042">
        <f t="shared" si="166"/>
        <v>0</v>
      </c>
      <c r="DX75" s="2042">
        <f t="shared" si="166"/>
        <v>0</v>
      </c>
      <c r="DY75" s="2042"/>
      <c r="DZ75" s="2042">
        <f t="shared" si="170"/>
        <v>0</v>
      </c>
      <c r="EA75" s="2042">
        <f t="shared" si="170"/>
        <v>0</v>
      </c>
      <c r="EB75" s="2042">
        <f t="shared" si="170"/>
        <v>0</v>
      </c>
      <c r="EC75" s="2042">
        <f t="shared" si="170"/>
        <v>0</v>
      </c>
      <c r="ED75" s="2042">
        <f t="shared" si="170"/>
        <v>0</v>
      </c>
      <c r="EE75" s="2042">
        <f t="shared" si="170"/>
        <v>0</v>
      </c>
      <c r="EF75" s="2042">
        <f t="shared" si="170"/>
        <v>0</v>
      </c>
      <c r="EG75" s="2042">
        <f t="shared" si="170"/>
        <v>0</v>
      </c>
      <c r="EH75" s="2042">
        <f t="shared" si="170"/>
        <v>0</v>
      </c>
      <c r="EI75" s="2042">
        <f t="shared" si="170"/>
        <v>0</v>
      </c>
      <c r="EJ75" s="2042">
        <f t="shared" si="170"/>
        <v>0</v>
      </c>
      <c r="EK75" s="2042">
        <f t="shared" si="170"/>
        <v>0</v>
      </c>
      <c r="EL75" s="2042"/>
      <c r="EM75" s="2042">
        <f t="shared" si="167"/>
        <v>0</v>
      </c>
      <c r="EN75" s="2042">
        <f t="shared" si="168"/>
        <v>0</v>
      </c>
      <c r="EO75" s="2042">
        <f t="shared" si="168"/>
        <v>0</v>
      </c>
      <c r="EP75" s="2042">
        <f t="shared" si="168"/>
        <v>0</v>
      </c>
      <c r="EQ75" s="2042">
        <f t="shared" si="168"/>
        <v>0</v>
      </c>
      <c r="ER75" s="2042">
        <f t="shared" si="168"/>
        <v>0</v>
      </c>
      <c r="ES75" s="2042">
        <f t="shared" si="168"/>
        <v>0</v>
      </c>
      <c r="ET75" s="2042">
        <f t="shared" si="168"/>
        <v>0</v>
      </c>
      <c r="EU75" s="2042">
        <f t="shared" si="168"/>
        <v>0</v>
      </c>
      <c r="EV75" s="2042">
        <f t="shared" si="168"/>
        <v>0</v>
      </c>
      <c r="EW75" s="2042">
        <f t="shared" si="168"/>
        <v>0</v>
      </c>
      <c r="EX75" s="2042">
        <f t="shared" si="168"/>
        <v>0</v>
      </c>
      <c r="EY75" s="2042"/>
      <c r="EZ75" s="2045">
        <f t="shared" si="50"/>
        <v>0</v>
      </c>
      <c r="FA75" s="2042">
        <f>EZ75+CZ75+DZ75                 -         SUMIF('Berechnung Nährstoffe und Lager'!$AX$113:$AX$155,$CX75,'Berechnung Nährstoffe und Lager'!$U$113:$U$155)/12  -$GB75*$HC75/12</f>
        <v>0</v>
      </c>
      <c r="FB75" s="2042">
        <f>FA75+DA75+EA75                 -         SUMIF('Berechnung Nährstoffe und Lager'!$AX$113:$AX$155,$CX75,'Berechnung Nährstoffe und Lager'!$U$113:$U$155)/12  -$GB75*$HC75/12</f>
        <v>0</v>
      </c>
      <c r="FC75" s="2042">
        <f>FB75+DB75+EB75                 -         SUMIF('Berechnung Nährstoffe und Lager'!$AX$113:$AX$155,$CX75,'Berechnung Nährstoffe und Lager'!$U$113:$U$155)/12  -$GB75*$HC75/12</f>
        <v>0</v>
      </c>
      <c r="FD75" s="2042">
        <f>FC75+DC75+EC75                 -         SUMIF('Berechnung Nährstoffe und Lager'!$AX$113:$AX$155,$CX75,'Berechnung Nährstoffe und Lager'!$U$113:$U$155)/12  -$GB75*$HC75/12</f>
        <v>0</v>
      </c>
      <c r="FE75" s="2042">
        <f>FD75+DD75+ED75                 -         SUMIF('Berechnung Nährstoffe und Lager'!$AX$113:$AX$155,$CX75,'Berechnung Nährstoffe und Lager'!$U$113:$U$155)/12  -$GB75*$HC75/12</f>
        <v>0</v>
      </c>
      <c r="FF75" s="2042">
        <f>FE75+DE75+EE75                 -         SUMIF('Berechnung Nährstoffe und Lager'!$AX$113:$AX$155,$CX75,'Berechnung Nährstoffe und Lager'!$U$113:$U$155)/12  -$GB75*$HC75/12</f>
        <v>0</v>
      </c>
      <c r="FG75" s="2042">
        <f>FF75+DF75+EF75                 -         SUMIF('Berechnung Nährstoffe und Lager'!$AX$113:$AX$155,$CX75,'Berechnung Nährstoffe und Lager'!$U$113:$U$155)/12  -$GB75*$HC75/12</f>
        <v>0</v>
      </c>
      <c r="FH75" s="2042">
        <f>FG75+DG75+EG75                 -         SUMIF('Berechnung Nährstoffe und Lager'!$AX$113:$AX$155,$CX75,'Berechnung Nährstoffe und Lager'!$U$113:$U$155)/12  -$GB75*$HC75/12</f>
        <v>0</v>
      </c>
      <c r="FI75" s="2042">
        <f>FH75+DH75+EH75                 -         SUMIF('Berechnung Nährstoffe und Lager'!$AX$113:$AX$155,$CX75,'Berechnung Nährstoffe und Lager'!$U$113:$U$155)/12  -$GB75*$HC75/12</f>
        <v>0</v>
      </c>
      <c r="FJ75" s="2042">
        <f>FI75+DI75+EI75                 -         SUMIF('Berechnung Nährstoffe und Lager'!$AX$113:$AX$155,$CX75,'Berechnung Nährstoffe und Lager'!$U$113:$U$155)/12  -$GB75*$HC75/12</f>
        <v>0</v>
      </c>
      <c r="FK75" s="2042">
        <f>FJ75+DJ75+EJ75                 -         SUMIF('Berechnung Nährstoffe und Lager'!$AX$113:$AX$155,$CX75,'Berechnung Nährstoffe und Lager'!$U$113:$U$155)/12  -$GB75*$HC75/12</f>
        <v>0</v>
      </c>
      <c r="FL75" s="2042">
        <f>FK75+DK75+EK75                 -         SUMIF('Berechnung Nährstoffe und Lager'!$AX$113:$AX$155,$CX75,'Berechnung Nährstoffe und Lager'!$U$113:$U$155)/12  -$GB75*$HC75/12</f>
        <v>0</v>
      </c>
      <c r="FM75" s="2042"/>
      <c r="FN75" s="2045">
        <f t="shared" si="51"/>
        <v>0</v>
      </c>
      <c r="FO75" s="2042">
        <f>FN75+DM75+EM75                 -         SUMIF('Berechnung Nährstoffe und Lager'!$AX$113:$AX$155,$CX75,'Berechnung Nährstoffe und Lager'!$V$113:$V$155)/12  -$GC75*$HC75/12</f>
        <v>0</v>
      </c>
      <c r="FP75" s="2042">
        <f>FO75+DN75+EN75                 -         SUMIF('Berechnung Nährstoffe und Lager'!$AX$113:$AX$155,$CX75,'Berechnung Nährstoffe und Lager'!$V$113:$V$155)/12  -$GC75*$HC75/12</f>
        <v>0</v>
      </c>
      <c r="FQ75" s="2042">
        <f>FP75+DO75+EO75                 -         SUMIF('Berechnung Nährstoffe und Lager'!$AX$113:$AX$155,$CX75,'Berechnung Nährstoffe und Lager'!$V$113:$V$155)/12  -$GC75*$HC75/12</f>
        <v>0</v>
      </c>
      <c r="FR75" s="2042">
        <f>FQ75+DP75+EP75                 -         SUMIF('Berechnung Nährstoffe und Lager'!$AX$113:$AX$155,$CX75,'Berechnung Nährstoffe und Lager'!$V$113:$V$155)/12  -$GC75*$HC75/12</f>
        <v>0</v>
      </c>
      <c r="FS75" s="2042">
        <f>FR75+DQ75+EQ75                 -         SUMIF('Berechnung Nährstoffe und Lager'!$AX$113:$AX$155,$CX75,'Berechnung Nährstoffe und Lager'!$V$113:$V$155)/12  -$GC75*$HC75/12</f>
        <v>0</v>
      </c>
      <c r="FT75" s="2042">
        <f>FS75+DR75+ER75                 -         SUMIF('Berechnung Nährstoffe und Lager'!$AX$113:$AX$155,$CX75,'Berechnung Nährstoffe und Lager'!$V$113:$V$155)/12  -$GC75*$HC75/12</f>
        <v>0</v>
      </c>
      <c r="FU75" s="2042">
        <f>FT75+DS75+ES75                 -         SUMIF('Berechnung Nährstoffe und Lager'!$AX$113:$AX$155,$CX75,'Berechnung Nährstoffe und Lager'!$V$113:$V$155)/12  -$GC75*$HC75/12</f>
        <v>0</v>
      </c>
      <c r="FV75" s="2042">
        <f>FU75+DT75+ET75                 -         SUMIF('Berechnung Nährstoffe und Lager'!$AX$113:$AX$155,$CX75,'Berechnung Nährstoffe und Lager'!$V$113:$V$155)/12  -$GC75*$HC75/12</f>
        <v>0</v>
      </c>
      <c r="FW75" s="2042">
        <f>FV75+DU75+EU75                 -         SUMIF('Berechnung Nährstoffe und Lager'!$AX$113:$AX$155,$CX75,'Berechnung Nährstoffe und Lager'!$V$113:$V$155)/12  -$GC75*$HC75/12</f>
        <v>0</v>
      </c>
      <c r="FX75" s="2042">
        <f>FW75+DV75+EV75                 -         SUMIF('Berechnung Nährstoffe und Lager'!$AX$113:$AX$155,$CX75,'Berechnung Nährstoffe und Lager'!$V$113:$V$155)/12  -$GC75*$HC75/12</f>
        <v>0</v>
      </c>
      <c r="FY75" s="2042">
        <f>FX75+DW75+EW75                 -         SUMIF('Berechnung Nährstoffe und Lager'!$AX$113:$AX$155,$CX75,'Berechnung Nährstoffe und Lager'!$V$113:$V$155)/12  -$GC75*$HC75/12</f>
        <v>0</v>
      </c>
      <c r="FZ75" s="2042">
        <f>FY75+DX75+EX75                 -         SUMIF('Berechnung Nährstoffe und Lager'!$AX$113:$AX$155,$CX75,'Berechnung Nährstoffe und Lager'!$V$113:$V$155)/12  -$GC75*$HC75/12</f>
        <v>0</v>
      </c>
      <c r="GA75" s="2042"/>
      <c r="GB75" s="2042">
        <f>SUMIFS($CI$14:$CI$68,$BR$14:$BR$68,$CX75)+SUMIFS($CM$14:$CM$68,$BR$14:$BR$68,$CX75)+SUMIFS($CR$14:$CR$68,$BR$14:$BR$68,$CX75)  -         SUMIF('Berechnung Nährstoffe und Lager'!$AX$113:$AX$155,$CX75,'Berechnung Nährstoffe und Lager'!$U$113:$U$155)</f>
        <v>0</v>
      </c>
      <c r="GC75" s="2042">
        <f>SUMIFS($CJ$14:$CJ$68,$BR$14:$BR$68,$CX75)+SUMIFS($CO$14:$CO$68,$BR$14:$BR$68,$CX75)+SUMIFS($CT$14:$CT$68,$BR$14:$BR$68,$CX75)  -         SUMIF('Berechnung Nährstoffe und Lager'!$AX$113:$AX$155,$CX75,'Berechnung Nährstoffe und Lager'!$V$113:$V$155)</f>
        <v>0</v>
      </c>
      <c r="GD75" s="2042"/>
      <c r="GE75" s="2042"/>
      <c r="GF75" s="2042">
        <f>SUMIF('Berechnung Nährstoffe und Lager'!$AX$113:$AX$155,$CX75,'Berechnung Nährstoffe und Lager'!$U$113:$U$155)</f>
        <v>0</v>
      </c>
      <c r="GG75" s="2042">
        <f>SUMIF('Berechnung Nährstoffe und Lager'!$AX$113:$AX$155,$CX75,'Berechnung Nährstoffe und Lager'!$V$113:$V$155)</f>
        <v>0</v>
      </c>
      <c r="GH75" s="2042">
        <f t="shared" si="52"/>
        <v>0</v>
      </c>
      <c r="GI75" s="2042">
        <f t="shared" si="53"/>
        <v>0</v>
      </c>
      <c r="GJ75" s="2042">
        <f t="shared" ref="GJ75:GJ106" si="180">GB75-GB75*HC75</f>
        <v>0</v>
      </c>
      <c r="GK75" s="2042">
        <f t="shared" ref="GK75:GK106" si="181">GC75-GC75*HC75</f>
        <v>0</v>
      </c>
      <c r="GL75" s="2042">
        <f t="shared" ref="GL75:GL106" si="182">SUMIF($BR$14:$BR$68,CX75,$CU$14:$CU$68)</f>
        <v>0</v>
      </c>
      <c r="GM75" s="2042" cm="1">
        <f t="array" ref="GM75">IF(GL75=0,0,(IFERROR(SUMPRODUCT($J$14:$J$68,$CH$14:$CH$68,($BR$14:$BR$68=CX75)*1)+SUMPRODUCT($L$14:$L$68,$M$14:$M$68,$CK$14:$CK$68,($BR$14:$BR$68=CX75)*1,($BT$14:$BT$68=FALSE)*1)/10+SUMPRODUCT($R$14:$R$68,$CP$14:$CP$68,($BR$14:$BR$68=CX75)*1),0))/GL75)</f>
        <v>0</v>
      </c>
      <c r="GN75" s="2042">
        <f t="shared" si="54"/>
        <v>0</v>
      </c>
      <c r="GO75" s="2042">
        <f>(SUMIF('Berechnung Nährstoffe und Lager'!$AX$113:$AX$130,'Lagerhaltung (freiwillig)'!CX75,'Berechnung Nährstoffe und Lager'!$D$113:$D$130)+SUMIF('Berechnung Nährstoffe und Lager'!$AX$137:$AX$155,'Lagerhaltung (freiwillig)'!CX75,'Berechnung Nährstoffe und Lager'!$E$137:$E$155))</f>
        <v>0</v>
      </c>
      <c r="GP75" s="2042" cm="1">
        <f t="array" ref="GP75">IF(GO75=0,0,(IFERROR(SUMPRODUCT('Berechnung Nährstoffe und Lager'!$D$113:$D$130,'Berechnung Nährstoffe und Lager'!$F$113:$F$130,('Berechnung Nährstoffe und Lager'!$AX$113:$AX$130='Lagerhaltung (freiwillig)'!CX75)*1)+SUMPRODUCT('Berechnung Nährstoffe und Lager'!$E$137:$E$155,'Berechnung Nährstoffe und Lager'!$F$137:$F$155,('Berechnung Nährstoffe und Lager'!$AX$137:$AX$155='Lagerhaltung (freiwillig)'!CX75)*1),0))/GO75)</f>
        <v>0</v>
      </c>
      <c r="GQ75" s="2042">
        <f t="shared" si="55"/>
        <v>0</v>
      </c>
      <c r="GR75" s="2042">
        <f t="shared" si="56"/>
        <v>0</v>
      </c>
      <c r="GS75" s="2042">
        <f t="shared" si="57"/>
        <v>0</v>
      </c>
      <c r="GT75" s="2042">
        <f t="shared" si="58"/>
        <v>0</v>
      </c>
      <c r="GU75" s="2045" t="str">
        <f t="shared" si="175"/>
        <v xml:space="preserve"> </v>
      </c>
      <c r="GV75" s="2045" t="str">
        <f t="shared" si="175"/>
        <v xml:space="preserve"> </v>
      </c>
      <c r="GW75" s="2054">
        <f t="shared" ref="GW75:GW106" si="183">IF(OR(HI75=3,GS75&lt;=0),0,IF(CY75=$CY$4,$GV$4/$GE$4,IF(CY75=$CY$6,$GV$6/$GE$6,0)))</f>
        <v>0</v>
      </c>
      <c r="GX75" s="2042">
        <f t="shared" ref="GX75:GX106" si="184">GS75*GW75</f>
        <v>0</v>
      </c>
      <c r="GY75" s="2042" t="str">
        <f t="shared" si="174"/>
        <v>a</v>
      </c>
      <c r="GZ75" s="2055">
        <f t="shared" ref="GZ75:GZ106" si="185">IF(GY75="a",0,GB75*HC75)</f>
        <v>0</v>
      </c>
      <c r="HA75" s="2055">
        <f t="shared" ref="HA75:HA106" si="186">IF(GY75="a",0,GB75*(1-HC75))</f>
        <v>0</v>
      </c>
      <c r="HB75" s="2055"/>
      <c r="HC75" s="2046">
        <f t="shared" ref="HC75:HC106" si="187">IF(OR(HI75=3,GS75&lt;=0),0,IF(GY75&lt;&gt;"a",IF(GS75=0,0,MIN(1,GY75/GS75)),IF(CY75=$CY$4,IF($GE$4-$HA$4-$GZ$4=0,0,$HB$4/($GE$4-$HA$4-$GZ$4)),IF(CY75=$CY$6,IF($GE$6-$HA$6-$GZ$6=0,0,$HB$6/($GE$6-$HA$6-$GZ$6)),0))))</f>
        <v>0</v>
      </c>
      <c r="HD75" s="2055">
        <f t="shared" ref="HD75:HD106" si="188">MAX(0,GS75*HC75)</f>
        <v>0</v>
      </c>
      <c r="HE75" s="2055">
        <f t="shared" ref="HE75:HE106" si="189">GS75-HD75</f>
        <v>0</v>
      </c>
      <c r="HF75" s="2055">
        <f t="shared" ref="HF75:HF106" si="190">GM75</f>
        <v>0</v>
      </c>
      <c r="HG75" s="2282" cm="1">
        <f t="array" ref="HG75">IF(AND(HE75=0,GJ75=0),0,IF(HE75=0,1,IF(OR(GJ75*1000/HE75/HF75&gt;INDEX(Pflanzen!$AD$5:$AD$109,CX75)/INDEX(Pflanzen!$M$5:$M$109,CX75)*$HG$1,GJ75*1000/HE75/HF75&lt;INDEX(Pflanzen!$AD$5:$AD$109,CX75)/INDEX(Pflanzen!$M$5:$M$109,CX75)/$HG$1),1,0)))</f>
        <v>0</v>
      </c>
      <c r="HH75" s="2282" cm="1">
        <f t="array" ref="HH75">IF(AND(GK75=0,HE75=0),0,IF(HE75=0,1,IF(OR(GK75*1000/HE75/HF75&gt;INDEX(Pflanzen!$AE$5:$AE$109,CX75)/INDEX(Pflanzen!$M$5:$M$109,CX75)*$HG$1,GK75*1000/HE75/HF75&lt;INDEX(Pflanzen!$AE$5:$AE$109,CX75)/INDEX(Pflanzen!$M$5:$M$109,CX75)/$HG$1),1,0)))</f>
        <v>0</v>
      </c>
      <c r="HI75" s="2042">
        <f t="shared" ref="HI75:HI106" si="191">IF(AND(GB75=0,GF75=0,GH75=0),3,CY75)</f>
        <v>3</v>
      </c>
      <c r="HJ75" s="2042"/>
      <c r="HL75" s="2042"/>
      <c r="HM75" s="2042"/>
      <c r="HN75" s="2042"/>
      <c r="HO75" s="2042"/>
      <c r="HP75" s="2042"/>
      <c r="HQ75" s="2042"/>
      <c r="HR75" s="2042"/>
      <c r="HS75" s="2042"/>
      <c r="HT75" s="2042"/>
      <c r="HU75" s="2042"/>
      <c r="HV75" s="2042"/>
      <c r="HW75" s="2042"/>
      <c r="HX75" s="2042"/>
      <c r="HY75" s="2042"/>
      <c r="HZ75" s="2042"/>
      <c r="IA75" s="2042"/>
      <c r="IB75" s="2042"/>
      <c r="IC75" s="2042"/>
      <c r="ID75" s="2042"/>
      <c r="IE75" s="2042"/>
      <c r="IF75" s="2042"/>
      <c r="IG75" s="2042"/>
      <c r="IH75" s="2042"/>
      <c r="II75" s="2042"/>
      <c r="IJ75" s="2042"/>
    </row>
    <row r="76" spans="1:244" ht="15.6" customHeight="1" x14ac:dyDescent="0.2">
      <c r="A76" s="2040"/>
      <c r="B76" s="2041"/>
      <c r="C76" s="3004" t="s">
        <v>1258</v>
      </c>
      <c r="D76" s="3005"/>
      <c r="E76" s="3006"/>
      <c r="F76" s="2303" cm="1">
        <f t="array" ref="F76">INDEX(Pflanzen!$M$122:$M$160,BR76)</f>
        <v>0</v>
      </c>
      <c r="G76" s="2256" cm="1">
        <f t="array" ref="G76">INDEX(Pflanzen!$AD$122:$AD$160,BR76)</f>
        <v>0</v>
      </c>
      <c r="H76" s="2256" cm="1">
        <f t="array" ref="H76">INDEX(Pflanzen!$AE$122:$AE$160,BR76)</f>
        <v>0</v>
      </c>
      <c r="I76" s="1936"/>
      <c r="J76" s="1970"/>
      <c r="K76" s="1927"/>
      <c r="L76" s="1928"/>
      <c r="M76" s="1928"/>
      <c r="N76" s="1929"/>
      <c r="O76" s="1929"/>
      <c r="P76" s="1930"/>
      <c r="Q76" s="1938"/>
      <c r="R76" s="1246"/>
      <c r="S76" s="1938"/>
      <c r="T76" s="1970"/>
      <c r="U76" s="1159"/>
      <c r="V76" s="2316" t="str">
        <f t="shared" ref="V76:V79" si="192">IF(OR(L76&gt;0,M76&gt;0,AND(OR(J76&gt;0,R76&gt;0),OR(G76=0,H76=0,F76=0))),"Fehler","")</f>
        <v/>
      </c>
      <c r="Y76" s="2005" t="str" cm="1">
        <f t="array" ref="Y76">IFERROR(INDEX($CW$4:$CW$171,AY76),"")</f>
        <v/>
      </c>
      <c r="Z76" s="510"/>
      <c r="AA76" s="510"/>
      <c r="AB76" s="510"/>
      <c r="AC76" s="2031" t="str" cm="1">
        <f t="array" ref="AC76">IFERROR(INDEX($GL$4:$GL$171,AY76),"")</f>
        <v/>
      </c>
      <c r="AD76" s="2031" t="str" cm="1">
        <f t="array" ref="AD76">IFERROR(INDEX($GM$4:$GM$171,AY76),"")</f>
        <v/>
      </c>
      <c r="AE76" s="2031" t="str" cm="1">
        <f t="array" ref="AE76">IFERROR(INDEX($GH$4:$GH$171,AY76),"")</f>
        <v/>
      </c>
      <c r="AF76" s="2031" t="str" cm="1">
        <f t="array" ref="AF76">IFERROR(INDEX($GI$4:$GI$171,AY76),"")</f>
        <v/>
      </c>
      <c r="AG76" s="2031" t="str" cm="1">
        <f t="array" ref="AG76">IFERROR(INDEX($GO$4:$GO$171,AY76),"")</f>
        <v/>
      </c>
      <c r="AH76" s="2031" t="str" cm="1">
        <f t="array" ref="AH76">IFERROR(INDEX($GP$4:$GP$171,AY76),"")</f>
        <v/>
      </c>
      <c r="AI76" s="2031" t="str" cm="1">
        <f t="array" ref="AI76">IFERROR(INDEX($GF$4:$GF$171,AY76),"")</f>
        <v/>
      </c>
      <c r="AJ76" s="2031" t="str" cm="1">
        <f t="array" ref="AJ76">IFERROR(INDEX($GG$4:$GG$171,AY76),"")</f>
        <v/>
      </c>
      <c r="AK76" s="2031" t="str" cm="1">
        <f t="array" ref="AK76">IFERROR(INDEX($GS$4:$GS$171,AY76),"")</f>
        <v/>
      </c>
      <c r="AL76" s="2032" t="str" cm="1">
        <f t="array" ref="AL76">IFERROR(INDEX($GT$4:$GT$171,AY76),"")</f>
        <v/>
      </c>
      <c r="AM76" s="2031" t="str" cm="1">
        <f t="array" ref="AM76">IFERROR(INDEX($GB$4:$GB$171,AY76),"")</f>
        <v/>
      </c>
      <c r="AN76" s="2031" t="str" cm="1">
        <f t="array" ref="AN76">IFERROR(INDEX($GC$4:$GC$171,AY76),"")</f>
        <v/>
      </c>
      <c r="AO76" s="2031" t="str" cm="1">
        <f t="array" ref="AO76">IFERROR(INDEX($GU$4:$GU$171,AY76),"")</f>
        <v/>
      </c>
      <c r="AP76" s="2031" t="str" cm="1">
        <f t="array" ref="AP76">IFERROR(INDEX($GX$4:$GX$171,AY76),"")</f>
        <v/>
      </c>
      <c r="AQ76" s="1316"/>
      <c r="AR76" s="2031" t="str" cm="1">
        <f t="array" ref="AR76">IFERROR(INDEX($HD$4:$HD$171,AY76),"")</f>
        <v/>
      </c>
      <c r="AS76" s="2031" t="str" cm="1">
        <f t="array" ref="AS76">IFERROR(INDEX($HE$4:$HE$171,AY76),"")</f>
        <v/>
      </c>
      <c r="AT76" s="2031" t="str" cm="1">
        <f t="array" ref="AT76">IFERROR(INDEX($HF$4:$HF$171,AY76),"")</f>
        <v/>
      </c>
      <c r="AU76" s="2031" t="str" cm="1">
        <f t="array" ref="AU76">IFERROR(INDEX($GJ$4:$GJ$171,AY76),"")</f>
        <v/>
      </c>
      <c r="AV76" s="2031" t="str" cm="1">
        <f t="array" ref="AV76">IFERROR(INDEX($GK$4:$GK$171,AY76),"")</f>
        <v/>
      </c>
      <c r="AY76" s="2042" t="str" cm="1">
        <f t="array" ref="AY76">IFERROR(SMALL(IF($HI$4:$HI$171=1,ROW($HI$4:$HI$171)-3),ROW(W61)),IFERROR(SMALL(IF($HI$4:$HI$171=2,ROW($HI$4:$HI$171)-3),ROW(W61)-COUNTIF($HI$4:$HI$171,1)),IFERROR(SMALL(IF($HI$4:$HI$171=0,ROW($HI$4:$HI$171)-3),ROW(W61)-COUNTIF($HI$4:$HI$171,1)-COUNTIF($HI$4:$HI$171,2)),"")))</f>
        <v/>
      </c>
      <c r="AZ76" s="2042" t="str">
        <f t="shared" si="171"/>
        <v>a</v>
      </c>
      <c r="BA76" s="2053" t="e">
        <f t="shared" si="172"/>
        <v>#VALUE!</v>
      </c>
      <c r="BB76" s="2053" cm="1">
        <f t="array" ref="BB76">IFERROR(INDEX($HI$4:$HI$171,AY76),0)</f>
        <v>0</v>
      </c>
      <c r="BC76" s="2053">
        <f t="shared" si="173"/>
        <v>0</v>
      </c>
      <c r="BD76" s="2053"/>
      <c r="BE76" s="2307"/>
      <c r="BF76" s="2307"/>
      <c r="BG76" s="2307"/>
      <c r="BH76" s="2307"/>
      <c r="BI76" s="2307"/>
      <c r="BJ76" s="2307"/>
      <c r="BK76" s="2307"/>
      <c r="BL76" s="2307"/>
      <c r="BM76" s="2307"/>
      <c r="BN76" s="2307"/>
      <c r="BO76" s="2307"/>
      <c r="BP76" s="2043"/>
      <c r="BQ76" s="2042"/>
      <c r="BR76" s="2042">
        <v>1</v>
      </c>
      <c r="BS76" s="2042"/>
      <c r="BT76" s="2042"/>
      <c r="BU76" s="2044"/>
      <c r="BV76" s="2044"/>
      <c r="BW76" s="2042">
        <f t="shared" si="176"/>
        <v>12</v>
      </c>
      <c r="BX76" s="2042">
        <f t="shared" si="177"/>
        <v>0</v>
      </c>
      <c r="BY76" s="2042">
        <f t="shared" si="178"/>
        <v>12</v>
      </c>
      <c r="BZ76" s="2042"/>
      <c r="CA76" s="2053"/>
      <c r="CB76" s="2053"/>
      <c r="CC76" s="2042"/>
      <c r="CD76" s="2042"/>
      <c r="CE76" s="2042"/>
      <c r="CF76" s="2042"/>
      <c r="CG76" s="2042"/>
      <c r="CH76" s="2042">
        <f>IF(I76&gt;0,I76,F76)</f>
        <v>0</v>
      </c>
      <c r="CI76" s="2042">
        <f>IF(I76&gt;0,J76*G76*I76/F76/1000,J76*G76/1000)</f>
        <v>0</v>
      </c>
      <c r="CJ76" s="2042">
        <f>IF(I76&gt;0,J76*H76*I76/F76/1000,J76*H76/1000)</f>
        <v>0</v>
      </c>
      <c r="CK76" s="2042"/>
      <c r="CL76" s="2042"/>
      <c r="CM76" s="2042"/>
      <c r="CN76" s="2042"/>
      <c r="CO76" s="2042"/>
      <c r="CP76" s="2042">
        <f>IF(Q76&gt;0,Q76,F76)</f>
        <v>0</v>
      </c>
      <c r="CQ76" s="2042">
        <f>IF(Q76&gt;0,R76*G76*Q76/F76/BW76/1000,R76*G76/BW76/1000)</f>
        <v>0</v>
      </c>
      <c r="CR76" s="2042">
        <f>IF(Q76&gt;0,R76*G76*Q76/F76/1000,R76*G76/1000)</f>
        <v>0</v>
      </c>
      <c r="CS76" s="2042">
        <f>IF(Q76&gt;0,R76*H76*Q76/F76/BW76/1000,R76*H76/BW76/1000)</f>
        <v>0</v>
      </c>
      <c r="CT76" s="2042">
        <f>IF(Q76&gt;0,R76*H76*Q76/F76/1000,R76*H76/1000)</f>
        <v>0</v>
      </c>
      <c r="CU76" s="2042">
        <f t="shared" si="179"/>
        <v>0</v>
      </c>
      <c r="CV76" s="2042"/>
      <c r="CW76" s="609" t="str">
        <f>Pflanzen!A72</f>
        <v>Zwischenfrucht 25 - 75 % Leg.</v>
      </c>
      <c r="CX76" s="2042">
        <f>IFERROR(MATCH($CW76,Pflanzen!$C$5:$C$119,0),1)</f>
        <v>68</v>
      </c>
      <c r="CY76" s="609" cm="1">
        <f t="array" ref="CY76">INDEX(Pflanzen!$I$5:$I$119,'Lagerhaltung (freiwillig)'!CX76)</f>
        <v>1</v>
      </c>
      <c r="CZ76" s="2042">
        <f t="shared" si="169"/>
        <v>0</v>
      </c>
      <c r="DA76" s="2042">
        <f t="shared" si="169"/>
        <v>0</v>
      </c>
      <c r="DB76" s="2042">
        <f t="shared" si="169"/>
        <v>0</v>
      </c>
      <c r="DC76" s="2042">
        <f t="shared" si="169"/>
        <v>0</v>
      </c>
      <c r="DD76" s="2042">
        <f t="shared" si="169"/>
        <v>0</v>
      </c>
      <c r="DE76" s="2042">
        <f t="shared" si="169"/>
        <v>0</v>
      </c>
      <c r="DF76" s="2042">
        <f t="shared" si="169"/>
        <v>0</v>
      </c>
      <c r="DG76" s="2042">
        <f t="shared" si="169"/>
        <v>0</v>
      </c>
      <c r="DH76" s="2042">
        <f t="shared" si="169"/>
        <v>0</v>
      </c>
      <c r="DI76" s="2042">
        <f t="shared" si="169"/>
        <v>0</v>
      </c>
      <c r="DJ76" s="2042">
        <f t="shared" si="169"/>
        <v>0</v>
      </c>
      <c r="DK76" s="2042">
        <f t="shared" si="169"/>
        <v>0</v>
      </c>
      <c r="DL76" s="2042"/>
      <c r="DM76" s="2042">
        <f t="shared" si="165"/>
        <v>0</v>
      </c>
      <c r="DN76" s="2042">
        <f t="shared" ref="DN76:DX85" si="193">SUMIFS($CS$14:$CS$68,$BW$14:$BW$68,1,$BX$14:$BX$68,DN$2,$BR$14:$BR$68,$CX76)+    SUMIFS($CS$14:$CS$68,$BW$14:$BW$68,"&gt;1",$BX$14:$BX$68,"&lt;="&amp;DN$2,$BY$14:$BY$68,"&gt;="&amp;DN$2,$BR$14:$BR$68,$CX76)</f>
        <v>0</v>
      </c>
      <c r="DO76" s="2042">
        <f t="shared" si="193"/>
        <v>0</v>
      </c>
      <c r="DP76" s="2042">
        <f t="shared" si="193"/>
        <v>0</v>
      </c>
      <c r="DQ76" s="2042">
        <f t="shared" si="193"/>
        <v>0</v>
      </c>
      <c r="DR76" s="2042">
        <f t="shared" si="193"/>
        <v>0</v>
      </c>
      <c r="DS76" s="2042">
        <f t="shared" si="193"/>
        <v>0</v>
      </c>
      <c r="DT76" s="2042">
        <f t="shared" si="193"/>
        <v>0</v>
      </c>
      <c r="DU76" s="2042">
        <f t="shared" si="193"/>
        <v>0</v>
      </c>
      <c r="DV76" s="2042">
        <f t="shared" si="193"/>
        <v>0</v>
      </c>
      <c r="DW76" s="2042">
        <f t="shared" si="193"/>
        <v>0</v>
      </c>
      <c r="DX76" s="2042">
        <f t="shared" si="193"/>
        <v>0</v>
      </c>
      <c r="DY76" s="2042"/>
      <c r="DZ76" s="2042">
        <f t="shared" si="170"/>
        <v>0</v>
      </c>
      <c r="EA76" s="2042">
        <f t="shared" si="170"/>
        <v>0</v>
      </c>
      <c r="EB76" s="2042">
        <f t="shared" si="170"/>
        <v>0</v>
      </c>
      <c r="EC76" s="2042">
        <f t="shared" si="170"/>
        <v>0</v>
      </c>
      <c r="ED76" s="2042">
        <f t="shared" si="170"/>
        <v>0</v>
      </c>
      <c r="EE76" s="2042">
        <f t="shared" si="170"/>
        <v>0</v>
      </c>
      <c r="EF76" s="2042">
        <f t="shared" si="170"/>
        <v>0</v>
      </c>
      <c r="EG76" s="2042">
        <f t="shared" si="170"/>
        <v>0</v>
      </c>
      <c r="EH76" s="2042">
        <f t="shared" si="170"/>
        <v>0</v>
      </c>
      <c r="EI76" s="2042">
        <f t="shared" si="170"/>
        <v>0</v>
      </c>
      <c r="EJ76" s="2042">
        <f t="shared" si="170"/>
        <v>0</v>
      </c>
      <c r="EK76" s="2042">
        <f t="shared" si="170"/>
        <v>0</v>
      </c>
      <c r="EL76" s="2042"/>
      <c r="EM76" s="2042">
        <f t="shared" si="167"/>
        <v>0</v>
      </c>
      <c r="EN76" s="2042">
        <f t="shared" ref="EN76:EX85" si="194">SUMIFS($CN$14:$CN$68,$CC$14:$CC$68,1,$CD$14:$CD$68,EN$2,$BR$14:$BR$68,$CX76)+         SUMIFS($CN$14:$CN$68,$CC$14:$CC$68,"&gt;1",$CD$14:$CD$68,"&lt;="&amp;EN$2,$CE$14:$CE$68,"&gt;="&amp;EN$2,$BR$14:$BR$68,$CX76)</f>
        <v>0</v>
      </c>
      <c r="EO76" s="2042">
        <f t="shared" si="194"/>
        <v>0</v>
      </c>
      <c r="EP76" s="2042">
        <f t="shared" si="194"/>
        <v>0</v>
      </c>
      <c r="EQ76" s="2042">
        <f t="shared" si="194"/>
        <v>0</v>
      </c>
      <c r="ER76" s="2042">
        <f t="shared" si="194"/>
        <v>0</v>
      </c>
      <c r="ES76" s="2042">
        <f t="shared" si="194"/>
        <v>0</v>
      </c>
      <c r="ET76" s="2042">
        <f t="shared" si="194"/>
        <v>0</v>
      </c>
      <c r="EU76" s="2042">
        <f t="shared" si="194"/>
        <v>0</v>
      </c>
      <c r="EV76" s="2042">
        <f t="shared" si="194"/>
        <v>0</v>
      </c>
      <c r="EW76" s="2042">
        <f t="shared" si="194"/>
        <v>0</v>
      </c>
      <c r="EX76" s="2042">
        <f t="shared" si="194"/>
        <v>0</v>
      </c>
      <c r="EY76" s="2042"/>
      <c r="EZ76" s="2045">
        <f t="shared" ref="EZ76:EZ121" si="195">SUMIF($BR$14:$BR$68,$CX76,$CI$14:$CI$68)</f>
        <v>0</v>
      </c>
      <c r="FA76" s="2042">
        <f>EZ76+CZ76+DZ76                 -         SUMIF('Berechnung Nährstoffe und Lager'!$AX$113:$AX$155,$CX76,'Berechnung Nährstoffe und Lager'!$U$113:$U$155)/12  -$GB76*$HC76/12</f>
        <v>0</v>
      </c>
      <c r="FB76" s="2042">
        <f>FA76+DA76+EA76                 -         SUMIF('Berechnung Nährstoffe und Lager'!$AX$113:$AX$155,$CX76,'Berechnung Nährstoffe und Lager'!$U$113:$U$155)/12  -$GB76*$HC76/12</f>
        <v>0</v>
      </c>
      <c r="FC76" s="2042">
        <f>FB76+DB76+EB76                 -         SUMIF('Berechnung Nährstoffe und Lager'!$AX$113:$AX$155,$CX76,'Berechnung Nährstoffe und Lager'!$U$113:$U$155)/12  -$GB76*$HC76/12</f>
        <v>0</v>
      </c>
      <c r="FD76" s="2042">
        <f>FC76+DC76+EC76                 -         SUMIF('Berechnung Nährstoffe und Lager'!$AX$113:$AX$155,$CX76,'Berechnung Nährstoffe und Lager'!$U$113:$U$155)/12  -$GB76*$HC76/12</f>
        <v>0</v>
      </c>
      <c r="FE76" s="2042">
        <f>FD76+DD76+ED76                 -         SUMIF('Berechnung Nährstoffe und Lager'!$AX$113:$AX$155,$CX76,'Berechnung Nährstoffe und Lager'!$U$113:$U$155)/12  -$GB76*$HC76/12</f>
        <v>0</v>
      </c>
      <c r="FF76" s="2042">
        <f>FE76+DE76+EE76                 -         SUMIF('Berechnung Nährstoffe und Lager'!$AX$113:$AX$155,$CX76,'Berechnung Nährstoffe und Lager'!$U$113:$U$155)/12  -$GB76*$HC76/12</f>
        <v>0</v>
      </c>
      <c r="FG76" s="2042">
        <f>FF76+DF76+EF76                 -         SUMIF('Berechnung Nährstoffe und Lager'!$AX$113:$AX$155,$CX76,'Berechnung Nährstoffe und Lager'!$U$113:$U$155)/12  -$GB76*$HC76/12</f>
        <v>0</v>
      </c>
      <c r="FH76" s="2042">
        <f>FG76+DG76+EG76                 -         SUMIF('Berechnung Nährstoffe und Lager'!$AX$113:$AX$155,$CX76,'Berechnung Nährstoffe und Lager'!$U$113:$U$155)/12  -$GB76*$HC76/12</f>
        <v>0</v>
      </c>
      <c r="FI76" s="2042">
        <f>FH76+DH76+EH76                 -         SUMIF('Berechnung Nährstoffe und Lager'!$AX$113:$AX$155,$CX76,'Berechnung Nährstoffe und Lager'!$U$113:$U$155)/12  -$GB76*$HC76/12</f>
        <v>0</v>
      </c>
      <c r="FJ76" s="2042">
        <f>FI76+DI76+EI76                 -         SUMIF('Berechnung Nährstoffe und Lager'!$AX$113:$AX$155,$CX76,'Berechnung Nährstoffe und Lager'!$U$113:$U$155)/12  -$GB76*$HC76/12</f>
        <v>0</v>
      </c>
      <c r="FK76" s="2042">
        <f>FJ76+DJ76+EJ76                 -         SUMIF('Berechnung Nährstoffe und Lager'!$AX$113:$AX$155,$CX76,'Berechnung Nährstoffe und Lager'!$U$113:$U$155)/12  -$GB76*$HC76/12</f>
        <v>0</v>
      </c>
      <c r="FL76" s="2042">
        <f>FK76+DK76+EK76                 -         SUMIF('Berechnung Nährstoffe und Lager'!$AX$113:$AX$155,$CX76,'Berechnung Nährstoffe und Lager'!$U$113:$U$155)/12  -$GB76*$HC76/12</f>
        <v>0</v>
      </c>
      <c r="FM76" s="2042"/>
      <c r="FN76" s="2045">
        <f t="shared" ref="FN76:FN121" si="196">SUMIF($BR$14:$BR$68,$CX76,$CJ$14:$CJ$68)</f>
        <v>0</v>
      </c>
      <c r="FO76" s="2042">
        <f>FN76+DM76+EM76                 -         SUMIF('Berechnung Nährstoffe und Lager'!$AX$113:$AX$155,$CX76,'Berechnung Nährstoffe und Lager'!$V$113:$V$155)/12  -$GC76*$HC76/12</f>
        <v>0</v>
      </c>
      <c r="FP76" s="2042">
        <f>FO76+DN76+EN76                 -         SUMIF('Berechnung Nährstoffe und Lager'!$AX$113:$AX$155,$CX76,'Berechnung Nährstoffe und Lager'!$V$113:$V$155)/12  -$GC76*$HC76/12</f>
        <v>0</v>
      </c>
      <c r="FQ76" s="2042">
        <f>FP76+DO76+EO76                 -         SUMIF('Berechnung Nährstoffe und Lager'!$AX$113:$AX$155,$CX76,'Berechnung Nährstoffe und Lager'!$V$113:$V$155)/12  -$GC76*$HC76/12</f>
        <v>0</v>
      </c>
      <c r="FR76" s="2042">
        <f>FQ76+DP76+EP76                 -         SUMIF('Berechnung Nährstoffe und Lager'!$AX$113:$AX$155,$CX76,'Berechnung Nährstoffe und Lager'!$V$113:$V$155)/12  -$GC76*$HC76/12</f>
        <v>0</v>
      </c>
      <c r="FS76" s="2042">
        <f>FR76+DQ76+EQ76                 -         SUMIF('Berechnung Nährstoffe und Lager'!$AX$113:$AX$155,$CX76,'Berechnung Nährstoffe und Lager'!$V$113:$V$155)/12  -$GC76*$HC76/12</f>
        <v>0</v>
      </c>
      <c r="FT76" s="2042">
        <f>FS76+DR76+ER76                 -         SUMIF('Berechnung Nährstoffe und Lager'!$AX$113:$AX$155,$CX76,'Berechnung Nährstoffe und Lager'!$V$113:$V$155)/12  -$GC76*$HC76/12</f>
        <v>0</v>
      </c>
      <c r="FU76" s="2042">
        <f>FT76+DS76+ES76                 -         SUMIF('Berechnung Nährstoffe und Lager'!$AX$113:$AX$155,$CX76,'Berechnung Nährstoffe und Lager'!$V$113:$V$155)/12  -$GC76*$HC76/12</f>
        <v>0</v>
      </c>
      <c r="FV76" s="2042">
        <f>FU76+DT76+ET76                 -         SUMIF('Berechnung Nährstoffe und Lager'!$AX$113:$AX$155,$CX76,'Berechnung Nährstoffe und Lager'!$V$113:$V$155)/12  -$GC76*$HC76/12</f>
        <v>0</v>
      </c>
      <c r="FW76" s="2042">
        <f>FV76+DU76+EU76                 -         SUMIF('Berechnung Nährstoffe und Lager'!$AX$113:$AX$155,$CX76,'Berechnung Nährstoffe und Lager'!$V$113:$V$155)/12  -$GC76*$HC76/12</f>
        <v>0</v>
      </c>
      <c r="FX76" s="2042">
        <f>FW76+DV76+EV76                 -         SUMIF('Berechnung Nährstoffe und Lager'!$AX$113:$AX$155,$CX76,'Berechnung Nährstoffe und Lager'!$V$113:$V$155)/12  -$GC76*$HC76/12</f>
        <v>0</v>
      </c>
      <c r="FY76" s="2042">
        <f>FX76+DW76+EW76                 -         SUMIF('Berechnung Nährstoffe und Lager'!$AX$113:$AX$155,$CX76,'Berechnung Nährstoffe und Lager'!$V$113:$V$155)/12  -$GC76*$HC76/12</f>
        <v>0</v>
      </c>
      <c r="FZ76" s="2042">
        <f>FY76+DX76+EX76                 -         SUMIF('Berechnung Nährstoffe und Lager'!$AX$113:$AX$155,$CX76,'Berechnung Nährstoffe und Lager'!$V$113:$V$155)/12  -$GC76*$HC76/12</f>
        <v>0</v>
      </c>
      <c r="GA76" s="2042"/>
      <c r="GB76" s="2042">
        <f>SUMIFS($CI$14:$CI$68,$BR$14:$BR$68,$CX76)+SUMIFS($CM$14:$CM$68,$BR$14:$BR$68,$CX76)+SUMIFS($CR$14:$CR$68,$BR$14:$BR$68,$CX76)  -         SUMIF('Berechnung Nährstoffe und Lager'!$AX$113:$AX$155,$CX76,'Berechnung Nährstoffe und Lager'!$U$113:$U$155)</f>
        <v>0</v>
      </c>
      <c r="GC76" s="2042">
        <f>SUMIFS($CJ$14:$CJ$68,$BR$14:$BR$68,$CX76)+SUMIFS($CO$14:$CO$68,$BR$14:$BR$68,$CX76)+SUMIFS($CT$14:$CT$68,$BR$14:$BR$68,$CX76)  -         SUMIF('Berechnung Nährstoffe und Lager'!$AX$113:$AX$155,$CX76,'Berechnung Nährstoffe und Lager'!$V$113:$V$155)</f>
        <v>0</v>
      </c>
      <c r="GD76" s="2042"/>
      <c r="GE76" s="2042"/>
      <c r="GF76" s="2042">
        <f>SUMIF('Berechnung Nährstoffe und Lager'!$AX$113:$AX$155,$CX76,'Berechnung Nährstoffe und Lager'!$U$113:$U$155)</f>
        <v>0</v>
      </c>
      <c r="GG76" s="2042">
        <f>SUMIF('Berechnung Nährstoffe und Lager'!$AX$113:$AX$155,$CX76,'Berechnung Nährstoffe und Lager'!$V$113:$V$155)</f>
        <v>0</v>
      </c>
      <c r="GH76" s="2042">
        <f t="shared" ref="GH76:GH121" si="197">GB76+GF76</f>
        <v>0</v>
      </c>
      <c r="GI76" s="2042">
        <f t="shared" ref="GI76:GI121" si="198">GC76+GG76</f>
        <v>0</v>
      </c>
      <c r="GJ76" s="2042">
        <f t="shared" si="180"/>
        <v>0</v>
      </c>
      <c r="GK76" s="2042">
        <f t="shared" si="181"/>
        <v>0</v>
      </c>
      <c r="GL76" s="2042">
        <f t="shared" si="182"/>
        <v>0</v>
      </c>
      <c r="GM76" s="2042" cm="1">
        <f t="array" ref="GM76">IF(GL76=0,0,(IFERROR(SUMPRODUCT($J$14:$J$68,$CH$14:$CH$68,($BR$14:$BR$68=CX76)*1)+SUMPRODUCT($L$14:$L$68,$M$14:$M$68,$CK$14:$CK$68,($BR$14:$BR$68=CX76)*1,($BT$14:$BT$68=FALSE)*1)/10+SUMPRODUCT($R$14:$R$68,$CP$14:$CP$68,($BR$14:$BR$68=CX76)*1),0))/GL76)</f>
        <v>0</v>
      </c>
      <c r="GN76" s="2042">
        <f t="shared" ref="GN76:GN121" si="199">GL76*GM76/100</f>
        <v>0</v>
      </c>
      <c r="GO76" s="2042">
        <f>(SUMIF('Berechnung Nährstoffe und Lager'!$AX$113:$AX$130,'Lagerhaltung (freiwillig)'!CX76,'Berechnung Nährstoffe und Lager'!$D$113:$D$130)+SUMIF('Berechnung Nährstoffe und Lager'!$AX$137:$AX$155,'Lagerhaltung (freiwillig)'!CX76,'Berechnung Nährstoffe und Lager'!$E$137:$E$155))</f>
        <v>0</v>
      </c>
      <c r="GP76" s="2042" cm="1">
        <f t="array" ref="GP76">IF(GO76=0,0,(IFERROR(SUMPRODUCT('Berechnung Nährstoffe und Lager'!$D$113:$D$130,'Berechnung Nährstoffe und Lager'!$F$113:$F$130,('Berechnung Nährstoffe und Lager'!$AX$113:$AX$130='Lagerhaltung (freiwillig)'!CX76)*1)+SUMPRODUCT('Berechnung Nährstoffe und Lager'!$E$137:$E$155,'Berechnung Nährstoffe und Lager'!$F$137:$F$155,('Berechnung Nährstoffe und Lager'!$AX$137:$AX$155='Lagerhaltung (freiwillig)'!CX76)*1),0))/GO76)</f>
        <v>0</v>
      </c>
      <c r="GQ76" s="2042">
        <f t="shared" ref="GQ76:GQ121" si="200">GO76*GP76/100</f>
        <v>0</v>
      </c>
      <c r="GR76" s="2042">
        <f t="shared" ref="GR76:GR139" si="201">GN76-GQ76</f>
        <v>0</v>
      </c>
      <c r="GS76" s="2042">
        <f t="shared" ref="GS76:GS121" si="202">IF(AND(GM76=0,GP76=0),0,IF(GM76=0,GR76/(GP76/100),GR76/(GM76/100)))</f>
        <v>0</v>
      </c>
      <c r="GT76" s="2042">
        <f t="shared" ref="GT76:GT121" si="203">IF(OR(GM76=0,GP76=0),MAX(GM76,GP76),GM76)</f>
        <v>0</v>
      </c>
      <c r="GU76" s="2045" t="str">
        <f t="shared" si="175"/>
        <v xml:space="preserve"> </v>
      </c>
      <c r="GV76" s="2045" t="str">
        <f t="shared" si="175"/>
        <v xml:space="preserve"> </v>
      </c>
      <c r="GW76" s="2054">
        <f t="shared" si="183"/>
        <v>0</v>
      </c>
      <c r="GX76" s="2042">
        <f t="shared" si="184"/>
        <v>0</v>
      </c>
      <c r="GY76" s="2042" t="str">
        <f t="shared" si="174"/>
        <v>a</v>
      </c>
      <c r="GZ76" s="2055">
        <f t="shared" si="185"/>
        <v>0</v>
      </c>
      <c r="HA76" s="2055">
        <f t="shared" si="186"/>
        <v>0</v>
      </c>
      <c r="HB76" s="2055"/>
      <c r="HC76" s="2046">
        <f t="shared" si="187"/>
        <v>0</v>
      </c>
      <c r="HD76" s="2055">
        <f t="shared" si="188"/>
        <v>0</v>
      </c>
      <c r="HE76" s="2055">
        <f t="shared" si="189"/>
        <v>0</v>
      </c>
      <c r="HF76" s="2055">
        <f t="shared" si="190"/>
        <v>0</v>
      </c>
      <c r="HG76" s="2282" cm="1">
        <f t="array" ref="HG76">IF(AND(HE76=0,GJ76=0),0,IF(HE76=0,1,IF(OR(GJ76*1000/HE76/HF76&gt;INDEX(Pflanzen!$AD$5:$AD$109,CX76)/INDEX(Pflanzen!$M$5:$M$109,CX76)*$HG$1,GJ76*1000/HE76/HF76&lt;INDEX(Pflanzen!$AD$5:$AD$109,CX76)/INDEX(Pflanzen!$M$5:$M$109,CX76)/$HG$1),1,0)))</f>
        <v>0</v>
      </c>
      <c r="HH76" s="2282" cm="1">
        <f t="array" ref="HH76">IF(AND(GK76=0,HE76=0),0,IF(HE76=0,1,IF(OR(GK76*1000/HE76/HF76&gt;INDEX(Pflanzen!$AE$5:$AE$109,CX76)/INDEX(Pflanzen!$M$5:$M$109,CX76)*$HG$1,GK76*1000/HE76/HF76&lt;INDEX(Pflanzen!$AE$5:$AE$109,CX76)/INDEX(Pflanzen!$M$5:$M$109,CX76)/$HG$1),1,0)))</f>
        <v>0</v>
      </c>
      <c r="HI76" s="2042">
        <f t="shared" si="191"/>
        <v>3</v>
      </c>
      <c r="HJ76" s="2042"/>
      <c r="HL76" s="2042"/>
      <c r="HM76" s="2042"/>
      <c r="HN76" s="2042"/>
      <c r="HO76" s="2042"/>
      <c r="HP76" s="2042"/>
      <c r="HQ76" s="2042"/>
      <c r="HR76" s="2042"/>
      <c r="HS76" s="2042"/>
      <c r="HT76" s="2042"/>
      <c r="HU76" s="2042"/>
      <c r="HV76" s="2042"/>
      <c r="HW76" s="2042"/>
      <c r="HX76" s="2042"/>
      <c r="HY76" s="2042"/>
      <c r="HZ76" s="2042"/>
      <c r="IA76" s="2042"/>
      <c r="IB76" s="2042"/>
      <c r="IC76" s="2042"/>
      <c r="ID76" s="2042"/>
      <c r="IE76" s="2042"/>
      <c r="IF76" s="2042"/>
      <c r="IG76" s="2042"/>
      <c r="IH76" s="2042"/>
      <c r="II76" s="2042"/>
      <c r="IJ76" s="2042"/>
    </row>
    <row r="77" spans="1:244" ht="15.6" customHeight="1" x14ac:dyDescent="0.2">
      <c r="A77" s="2040"/>
      <c r="B77" s="2041"/>
      <c r="C77" s="3007"/>
      <c r="D77" s="3005"/>
      <c r="E77" s="3006"/>
      <c r="F77" s="2303" cm="1">
        <f t="array" ref="F77">INDEX(Pflanzen!$M$122:$M$160,BR77)</f>
        <v>0</v>
      </c>
      <c r="G77" s="2256" cm="1">
        <f t="array" ref="G77">INDEX(Pflanzen!$AD$122:$AD$160,BR77)</f>
        <v>0</v>
      </c>
      <c r="H77" s="2304" cm="1">
        <f t="array" ref="H77">INDEX(Pflanzen!$AE$122:$AE$160,BR77)</f>
        <v>0</v>
      </c>
      <c r="I77" s="1936"/>
      <c r="J77" s="1970"/>
      <c r="K77" s="1927"/>
      <c r="L77" s="1928"/>
      <c r="M77" s="1928"/>
      <c r="N77" s="1929"/>
      <c r="O77" s="1929"/>
      <c r="P77" s="1930"/>
      <c r="Q77" s="1938"/>
      <c r="R77" s="1246"/>
      <c r="S77" s="1938"/>
      <c r="T77" s="1970"/>
      <c r="U77" s="1159"/>
      <c r="V77" s="2316" t="str">
        <f t="shared" si="192"/>
        <v/>
      </c>
      <c r="Y77" s="2005" t="str" cm="1">
        <f t="array" ref="Y77">IFERROR(INDEX($CW$4:$CW$171,AY77),"")</f>
        <v/>
      </c>
      <c r="Z77" s="510"/>
      <c r="AA77" s="510"/>
      <c r="AB77" s="510"/>
      <c r="AC77" s="2031" t="str" cm="1">
        <f t="array" ref="AC77">IFERROR(INDEX($GL$4:$GL$171,AY77),"")</f>
        <v/>
      </c>
      <c r="AD77" s="2031" t="str" cm="1">
        <f t="array" ref="AD77">IFERROR(INDEX($GM$4:$GM$171,AY77),"")</f>
        <v/>
      </c>
      <c r="AE77" s="2031" t="str" cm="1">
        <f t="array" ref="AE77">IFERROR(INDEX($GH$4:$GH$171,AY77),"")</f>
        <v/>
      </c>
      <c r="AF77" s="2031" t="str" cm="1">
        <f t="array" ref="AF77">IFERROR(INDEX($GI$4:$GI$171,AY77),"")</f>
        <v/>
      </c>
      <c r="AG77" s="2031" t="str" cm="1">
        <f t="array" ref="AG77">IFERROR(INDEX($GO$4:$GO$171,AY77),"")</f>
        <v/>
      </c>
      <c r="AH77" s="2031" t="str" cm="1">
        <f t="array" ref="AH77">IFERROR(INDEX($GP$4:$GP$171,AY77),"")</f>
        <v/>
      </c>
      <c r="AI77" s="2031" t="str" cm="1">
        <f t="array" ref="AI77">IFERROR(INDEX($GF$4:$GF$171,AY77),"")</f>
        <v/>
      </c>
      <c r="AJ77" s="2031" t="str" cm="1">
        <f t="array" ref="AJ77">IFERROR(INDEX($GG$4:$GG$171,AY77),"")</f>
        <v/>
      </c>
      <c r="AK77" s="2031" t="str" cm="1">
        <f t="array" ref="AK77">IFERROR(INDEX($GS$4:$GS$171,AY77),"")</f>
        <v/>
      </c>
      <c r="AL77" s="2032" t="str" cm="1">
        <f t="array" ref="AL77">IFERROR(INDEX($GT$4:$GT$171,AY77),"")</f>
        <v/>
      </c>
      <c r="AM77" s="2031" t="str" cm="1">
        <f t="array" ref="AM77">IFERROR(INDEX($GB$4:$GB$171,AY77),"")</f>
        <v/>
      </c>
      <c r="AN77" s="2031" t="str" cm="1">
        <f t="array" ref="AN77">IFERROR(INDEX($GC$4:$GC$171,AY77),"")</f>
        <v/>
      </c>
      <c r="AO77" s="2031" t="str" cm="1">
        <f t="array" ref="AO77">IFERROR(INDEX($GU$4:$GU$171,AY77),"")</f>
        <v/>
      </c>
      <c r="AP77" s="2031" t="str" cm="1">
        <f t="array" ref="AP77">IFERROR(INDEX($GX$4:$GX$171,AY77),"")</f>
        <v/>
      </c>
      <c r="AQ77" s="1316"/>
      <c r="AR77" s="2031" t="str" cm="1">
        <f t="array" ref="AR77">IFERROR(INDEX($HD$4:$HD$171,AY77),"")</f>
        <v/>
      </c>
      <c r="AS77" s="2031" t="str" cm="1">
        <f t="array" ref="AS77">IFERROR(INDEX($HE$4:$HE$171,AY77),"")</f>
        <v/>
      </c>
      <c r="AT77" s="2031" t="str" cm="1">
        <f t="array" ref="AT77">IFERROR(INDEX($HF$4:$HF$171,AY77),"")</f>
        <v/>
      </c>
      <c r="AU77" s="2031" t="str" cm="1">
        <f t="array" ref="AU77">IFERROR(INDEX($GJ$4:$GJ$171,AY77),"")</f>
        <v/>
      </c>
      <c r="AV77" s="2031" t="str" cm="1">
        <f t="array" ref="AV77">IFERROR(INDEX($GK$4:$GK$171,AY77),"")</f>
        <v/>
      </c>
      <c r="AY77" s="2042" t="str" cm="1">
        <f t="array" ref="AY77">IFERROR(SMALL(IF($HI$4:$HI$171=1,ROW($HI$4:$HI$171)-3),ROW(W62)),IFERROR(SMALL(IF($HI$4:$HI$171=2,ROW($HI$4:$HI$171)-3),ROW(W62)-COUNTIF($HI$4:$HI$171,1)),IFERROR(SMALL(IF($HI$4:$HI$171=0,ROW($HI$4:$HI$171)-3),ROW(W62)-COUNTIF($HI$4:$HI$171,1)-COUNTIF($HI$4:$HI$171,2)),"")))</f>
        <v/>
      </c>
      <c r="AZ77" s="2042" t="str">
        <f t="shared" si="171"/>
        <v>a</v>
      </c>
      <c r="BA77" s="2053" t="e">
        <f t="shared" si="172"/>
        <v>#VALUE!</v>
      </c>
      <c r="BB77" s="2053" cm="1">
        <f t="array" ref="BB77">IFERROR(INDEX($HI$4:$HI$171,AY77),0)</f>
        <v>0</v>
      </c>
      <c r="BC77" s="2053">
        <f t="shared" si="173"/>
        <v>0</v>
      </c>
      <c r="BD77" s="2053"/>
      <c r="BE77" s="2307"/>
      <c r="BF77" s="2307"/>
      <c r="BG77" s="2307"/>
      <c r="BH77" s="2307"/>
      <c r="BI77" s="2307"/>
      <c r="BJ77" s="2307"/>
      <c r="BK77" s="2307"/>
      <c r="BL77" s="2307"/>
      <c r="BM77" s="2307"/>
      <c r="BN77" s="2307"/>
      <c r="BO77" s="2307"/>
      <c r="BP77" s="2043"/>
      <c r="BQ77" s="2042"/>
      <c r="BR77" s="2042">
        <v>1</v>
      </c>
      <c r="BS77" s="2042"/>
      <c r="BT77" s="2042"/>
      <c r="BU77" s="2044"/>
      <c r="BV77" s="2044"/>
      <c r="BW77" s="2042">
        <f t="shared" si="176"/>
        <v>12</v>
      </c>
      <c r="BX77" s="2042">
        <f t="shared" si="177"/>
        <v>0</v>
      </c>
      <c r="BY77" s="2042">
        <f t="shared" si="178"/>
        <v>12</v>
      </c>
      <c r="BZ77" s="2042"/>
      <c r="CA77" s="2053"/>
      <c r="CB77" s="2053"/>
      <c r="CC77" s="2042"/>
      <c r="CD77" s="2042"/>
      <c r="CE77" s="2042"/>
      <c r="CF77" s="2042"/>
      <c r="CG77" s="2042"/>
      <c r="CH77" s="2042">
        <f>IF(I77&gt;0,I77,F77)</f>
        <v>0</v>
      </c>
      <c r="CI77" s="2042">
        <f>IF(I77&gt;0,J77*G77*I77/F77/1000,J77*G77/1000)</f>
        <v>0</v>
      </c>
      <c r="CJ77" s="2042">
        <f>IF(I77&gt;0,J77*H77*I77/F77/1000,J77*H77/1000)</f>
        <v>0</v>
      </c>
      <c r="CK77" s="2042"/>
      <c r="CL77" s="2042"/>
      <c r="CM77" s="2042"/>
      <c r="CN77" s="2042"/>
      <c r="CO77" s="2042"/>
      <c r="CP77" s="2042">
        <f>IF(Q77&gt;0,Q77,F77)</f>
        <v>0</v>
      </c>
      <c r="CQ77" s="2042">
        <f>IF(Q77&gt;0,R77*G77*Q77/F77/BW77/1000,R77*G77/BW77/1000)</f>
        <v>0</v>
      </c>
      <c r="CR77" s="2042">
        <f>IF(Q77&gt;0,R77*G77*Q77/F77/1000,R77*G77/1000)</f>
        <v>0</v>
      </c>
      <c r="CS77" s="2042">
        <f>IF(Q77&gt;0,R77*H77*Q77/F77/BW77/1000,R77*H77/BW77/1000)</f>
        <v>0</v>
      </c>
      <c r="CT77" s="2042">
        <f>IF(Q77&gt;0,R77*H77*Q77/F77/1000,R77*H77/1000)</f>
        <v>0</v>
      </c>
      <c r="CU77" s="2042">
        <f t="shared" si="179"/>
        <v>0</v>
      </c>
      <c r="CV77" s="2042"/>
      <c r="CW77" s="609" t="str">
        <f>Pflanzen!A73</f>
        <v>Zwischenfrucht über 75 % Leg.</v>
      </c>
      <c r="CX77" s="2042">
        <f>IFERROR(MATCH($CW77,Pflanzen!$C$5:$C$119,0),1)</f>
        <v>69</v>
      </c>
      <c r="CY77" s="609" cm="1">
        <f t="array" ref="CY77">INDEX(Pflanzen!$I$5:$I$119,'Lagerhaltung (freiwillig)'!CX77)</f>
        <v>1</v>
      </c>
      <c r="CZ77" s="2042">
        <f t="shared" si="169"/>
        <v>0</v>
      </c>
      <c r="DA77" s="2042">
        <f t="shared" si="169"/>
        <v>0</v>
      </c>
      <c r="DB77" s="2042">
        <f t="shared" si="169"/>
        <v>0</v>
      </c>
      <c r="DC77" s="2042">
        <f t="shared" si="169"/>
        <v>0</v>
      </c>
      <c r="DD77" s="2042">
        <f t="shared" si="169"/>
        <v>0</v>
      </c>
      <c r="DE77" s="2042">
        <f t="shared" si="169"/>
        <v>0</v>
      </c>
      <c r="DF77" s="2042">
        <f t="shared" si="169"/>
        <v>0</v>
      </c>
      <c r="DG77" s="2042">
        <f t="shared" si="169"/>
        <v>0</v>
      </c>
      <c r="DH77" s="2042">
        <f t="shared" si="169"/>
        <v>0</v>
      </c>
      <c r="DI77" s="2042">
        <f t="shared" si="169"/>
        <v>0</v>
      </c>
      <c r="DJ77" s="2042">
        <f t="shared" si="169"/>
        <v>0</v>
      </c>
      <c r="DK77" s="2042">
        <f t="shared" si="169"/>
        <v>0</v>
      </c>
      <c r="DL77" s="2042"/>
      <c r="DM77" s="2042">
        <f t="shared" si="165"/>
        <v>0</v>
      </c>
      <c r="DN77" s="2042">
        <f t="shared" si="193"/>
        <v>0</v>
      </c>
      <c r="DO77" s="2042">
        <f t="shared" si="193"/>
        <v>0</v>
      </c>
      <c r="DP77" s="2042">
        <f t="shared" si="193"/>
        <v>0</v>
      </c>
      <c r="DQ77" s="2042">
        <f t="shared" si="193"/>
        <v>0</v>
      </c>
      <c r="DR77" s="2042">
        <f t="shared" si="193"/>
        <v>0</v>
      </c>
      <c r="DS77" s="2042">
        <f t="shared" si="193"/>
        <v>0</v>
      </c>
      <c r="DT77" s="2042">
        <f t="shared" si="193"/>
        <v>0</v>
      </c>
      <c r="DU77" s="2042">
        <f t="shared" si="193"/>
        <v>0</v>
      </c>
      <c r="DV77" s="2042">
        <f t="shared" si="193"/>
        <v>0</v>
      </c>
      <c r="DW77" s="2042">
        <f t="shared" si="193"/>
        <v>0</v>
      </c>
      <c r="DX77" s="2042">
        <f t="shared" si="193"/>
        <v>0</v>
      </c>
      <c r="DY77" s="2042"/>
      <c r="DZ77" s="2042">
        <f t="shared" si="170"/>
        <v>0</v>
      </c>
      <c r="EA77" s="2042">
        <f t="shared" si="170"/>
        <v>0</v>
      </c>
      <c r="EB77" s="2042">
        <f t="shared" si="170"/>
        <v>0</v>
      </c>
      <c r="EC77" s="2042">
        <f t="shared" si="170"/>
        <v>0</v>
      </c>
      <c r="ED77" s="2042">
        <f t="shared" si="170"/>
        <v>0</v>
      </c>
      <c r="EE77" s="2042">
        <f t="shared" si="170"/>
        <v>0</v>
      </c>
      <c r="EF77" s="2042">
        <f t="shared" si="170"/>
        <v>0</v>
      </c>
      <c r="EG77" s="2042">
        <f t="shared" si="170"/>
        <v>0</v>
      </c>
      <c r="EH77" s="2042">
        <f t="shared" si="170"/>
        <v>0</v>
      </c>
      <c r="EI77" s="2042">
        <f t="shared" si="170"/>
        <v>0</v>
      </c>
      <c r="EJ77" s="2042">
        <f t="shared" si="170"/>
        <v>0</v>
      </c>
      <c r="EK77" s="2042">
        <f t="shared" si="170"/>
        <v>0</v>
      </c>
      <c r="EL77" s="2042"/>
      <c r="EM77" s="2042">
        <f t="shared" si="167"/>
        <v>0</v>
      </c>
      <c r="EN77" s="2042">
        <f t="shared" si="194"/>
        <v>0</v>
      </c>
      <c r="EO77" s="2042">
        <f t="shared" si="194"/>
        <v>0</v>
      </c>
      <c r="EP77" s="2042">
        <f t="shared" si="194"/>
        <v>0</v>
      </c>
      <c r="EQ77" s="2042">
        <f t="shared" si="194"/>
        <v>0</v>
      </c>
      <c r="ER77" s="2042">
        <f t="shared" si="194"/>
        <v>0</v>
      </c>
      <c r="ES77" s="2042">
        <f t="shared" si="194"/>
        <v>0</v>
      </c>
      <c r="ET77" s="2042">
        <f t="shared" si="194"/>
        <v>0</v>
      </c>
      <c r="EU77" s="2042">
        <f t="shared" si="194"/>
        <v>0</v>
      </c>
      <c r="EV77" s="2042">
        <f t="shared" si="194"/>
        <v>0</v>
      </c>
      <c r="EW77" s="2042">
        <f t="shared" si="194"/>
        <v>0</v>
      </c>
      <c r="EX77" s="2042">
        <f t="shared" si="194"/>
        <v>0</v>
      </c>
      <c r="EY77" s="2042"/>
      <c r="EZ77" s="2045">
        <f t="shared" si="195"/>
        <v>0</v>
      </c>
      <c r="FA77" s="2042">
        <f>EZ77+CZ77+DZ77                 -         SUMIF('Berechnung Nährstoffe und Lager'!$AX$113:$AX$155,$CX77,'Berechnung Nährstoffe und Lager'!$U$113:$U$155)/12  -$GB77*$HC77/12</f>
        <v>0</v>
      </c>
      <c r="FB77" s="2042">
        <f>FA77+DA77+EA77                 -         SUMIF('Berechnung Nährstoffe und Lager'!$AX$113:$AX$155,$CX77,'Berechnung Nährstoffe und Lager'!$U$113:$U$155)/12  -$GB77*$HC77/12</f>
        <v>0</v>
      </c>
      <c r="FC77" s="2042">
        <f>FB77+DB77+EB77                 -         SUMIF('Berechnung Nährstoffe und Lager'!$AX$113:$AX$155,$CX77,'Berechnung Nährstoffe und Lager'!$U$113:$U$155)/12  -$GB77*$HC77/12</f>
        <v>0</v>
      </c>
      <c r="FD77" s="2042">
        <f>FC77+DC77+EC77                 -         SUMIF('Berechnung Nährstoffe und Lager'!$AX$113:$AX$155,$CX77,'Berechnung Nährstoffe und Lager'!$U$113:$U$155)/12  -$GB77*$HC77/12</f>
        <v>0</v>
      </c>
      <c r="FE77" s="2042">
        <f>FD77+DD77+ED77                 -         SUMIF('Berechnung Nährstoffe und Lager'!$AX$113:$AX$155,$CX77,'Berechnung Nährstoffe und Lager'!$U$113:$U$155)/12  -$GB77*$HC77/12</f>
        <v>0</v>
      </c>
      <c r="FF77" s="2042">
        <f>FE77+DE77+EE77                 -         SUMIF('Berechnung Nährstoffe und Lager'!$AX$113:$AX$155,$CX77,'Berechnung Nährstoffe und Lager'!$U$113:$U$155)/12  -$GB77*$HC77/12</f>
        <v>0</v>
      </c>
      <c r="FG77" s="2042">
        <f>FF77+DF77+EF77                 -         SUMIF('Berechnung Nährstoffe und Lager'!$AX$113:$AX$155,$CX77,'Berechnung Nährstoffe und Lager'!$U$113:$U$155)/12  -$GB77*$HC77/12</f>
        <v>0</v>
      </c>
      <c r="FH77" s="2042">
        <f>FG77+DG77+EG77                 -         SUMIF('Berechnung Nährstoffe und Lager'!$AX$113:$AX$155,$CX77,'Berechnung Nährstoffe und Lager'!$U$113:$U$155)/12  -$GB77*$HC77/12</f>
        <v>0</v>
      </c>
      <c r="FI77" s="2042">
        <f>FH77+DH77+EH77                 -         SUMIF('Berechnung Nährstoffe und Lager'!$AX$113:$AX$155,$CX77,'Berechnung Nährstoffe und Lager'!$U$113:$U$155)/12  -$GB77*$HC77/12</f>
        <v>0</v>
      </c>
      <c r="FJ77" s="2042">
        <f>FI77+DI77+EI77                 -         SUMIF('Berechnung Nährstoffe und Lager'!$AX$113:$AX$155,$CX77,'Berechnung Nährstoffe und Lager'!$U$113:$U$155)/12  -$GB77*$HC77/12</f>
        <v>0</v>
      </c>
      <c r="FK77" s="2042">
        <f>FJ77+DJ77+EJ77                 -         SUMIF('Berechnung Nährstoffe und Lager'!$AX$113:$AX$155,$CX77,'Berechnung Nährstoffe und Lager'!$U$113:$U$155)/12  -$GB77*$HC77/12</f>
        <v>0</v>
      </c>
      <c r="FL77" s="2042">
        <f>FK77+DK77+EK77                 -         SUMIF('Berechnung Nährstoffe und Lager'!$AX$113:$AX$155,$CX77,'Berechnung Nährstoffe und Lager'!$U$113:$U$155)/12  -$GB77*$HC77/12</f>
        <v>0</v>
      </c>
      <c r="FM77" s="2042"/>
      <c r="FN77" s="2045">
        <f t="shared" si="196"/>
        <v>0</v>
      </c>
      <c r="FO77" s="2042">
        <f>FN77+DM77+EM77                 -         SUMIF('Berechnung Nährstoffe und Lager'!$AX$113:$AX$155,$CX77,'Berechnung Nährstoffe und Lager'!$V$113:$V$155)/12  -$GC77*$HC77/12</f>
        <v>0</v>
      </c>
      <c r="FP77" s="2042">
        <f>FO77+DN77+EN77                 -         SUMIF('Berechnung Nährstoffe und Lager'!$AX$113:$AX$155,$CX77,'Berechnung Nährstoffe und Lager'!$V$113:$V$155)/12  -$GC77*$HC77/12</f>
        <v>0</v>
      </c>
      <c r="FQ77" s="2042">
        <f>FP77+DO77+EO77                 -         SUMIF('Berechnung Nährstoffe und Lager'!$AX$113:$AX$155,$CX77,'Berechnung Nährstoffe und Lager'!$V$113:$V$155)/12  -$GC77*$HC77/12</f>
        <v>0</v>
      </c>
      <c r="FR77" s="2042">
        <f>FQ77+DP77+EP77                 -         SUMIF('Berechnung Nährstoffe und Lager'!$AX$113:$AX$155,$CX77,'Berechnung Nährstoffe und Lager'!$V$113:$V$155)/12  -$GC77*$HC77/12</f>
        <v>0</v>
      </c>
      <c r="FS77" s="2042">
        <f>FR77+DQ77+EQ77                 -         SUMIF('Berechnung Nährstoffe und Lager'!$AX$113:$AX$155,$CX77,'Berechnung Nährstoffe und Lager'!$V$113:$V$155)/12  -$GC77*$HC77/12</f>
        <v>0</v>
      </c>
      <c r="FT77" s="2042">
        <f>FS77+DR77+ER77                 -         SUMIF('Berechnung Nährstoffe und Lager'!$AX$113:$AX$155,$CX77,'Berechnung Nährstoffe und Lager'!$V$113:$V$155)/12  -$GC77*$HC77/12</f>
        <v>0</v>
      </c>
      <c r="FU77" s="2042">
        <f>FT77+DS77+ES77                 -         SUMIF('Berechnung Nährstoffe und Lager'!$AX$113:$AX$155,$CX77,'Berechnung Nährstoffe und Lager'!$V$113:$V$155)/12  -$GC77*$HC77/12</f>
        <v>0</v>
      </c>
      <c r="FV77" s="2042">
        <f>FU77+DT77+ET77                 -         SUMIF('Berechnung Nährstoffe und Lager'!$AX$113:$AX$155,$CX77,'Berechnung Nährstoffe und Lager'!$V$113:$V$155)/12  -$GC77*$HC77/12</f>
        <v>0</v>
      </c>
      <c r="FW77" s="2042">
        <f>FV77+DU77+EU77                 -         SUMIF('Berechnung Nährstoffe und Lager'!$AX$113:$AX$155,$CX77,'Berechnung Nährstoffe und Lager'!$V$113:$V$155)/12  -$GC77*$HC77/12</f>
        <v>0</v>
      </c>
      <c r="FX77" s="2042">
        <f>FW77+DV77+EV77                 -         SUMIF('Berechnung Nährstoffe und Lager'!$AX$113:$AX$155,$CX77,'Berechnung Nährstoffe und Lager'!$V$113:$V$155)/12  -$GC77*$HC77/12</f>
        <v>0</v>
      </c>
      <c r="FY77" s="2042">
        <f>FX77+DW77+EW77                 -         SUMIF('Berechnung Nährstoffe und Lager'!$AX$113:$AX$155,$CX77,'Berechnung Nährstoffe und Lager'!$V$113:$V$155)/12  -$GC77*$HC77/12</f>
        <v>0</v>
      </c>
      <c r="FZ77" s="2042">
        <f>FY77+DX77+EX77                 -         SUMIF('Berechnung Nährstoffe und Lager'!$AX$113:$AX$155,$CX77,'Berechnung Nährstoffe und Lager'!$V$113:$V$155)/12  -$GC77*$HC77/12</f>
        <v>0</v>
      </c>
      <c r="GA77" s="2042"/>
      <c r="GB77" s="2042">
        <f>SUMIFS($CI$14:$CI$68,$BR$14:$BR$68,$CX77)+SUMIFS($CM$14:$CM$68,$BR$14:$BR$68,$CX77)+SUMIFS($CR$14:$CR$68,$BR$14:$BR$68,$CX77)  -         SUMIF('Berechnung Nährstoffe und Lager'!$AX$113:$AX$155,$CX77,'Berechnung Nährstoffe und Lager'!$U$113:$U$155)</f>
        <v>0</v>
      </c>
      <c r="GC77" s="2042">
        <f>SUMIFS($CJ$14:$CJ$68,$BR$14:$BR$68,$CX77)+SUMIFS($CO$14:$CO$68,$BR$14:$BR$68,$CX77)+SUMIFS($CT$14:$CT$68,$BR$14:$BR$68,$CX77)  -         SUMIF('Berechnung Nährstoffe und Lager'!$AX$113:$AX$155,$CX77,'Berechnung Nährstoffe und Lager'!$V$113:$V$155)</f>
        <v>0</v>
      </c>
      <c r="GD77" s="2042"/>
      <c r="GE77" s="2042"/>
      <c r="GF77" s="2042">
        <f>SUMIF('Berechnung Nährstoffe und Lager'!$AX$113:$AX$155,$CX77,'Berechnung Nährstoffe und Lager'!$U$113:$U$155)</f>
        <v>0</v>
      </c>
      <c r="GG77" s="2042">
        <f>SUMIF('Berechnung Nährstoffe und Lager'!$AX$113:$AX$155,$CX77,'Berechnung Nährstoffe und Lager'!$V$113:$V$155)</f>
        <v>0</v>
      </c>
      <c r="GH77" s="2042">
        <f t="shared" si="197"/>
        <v>0</v>
      </c>
      <c r="GI77" s="2042">
        <f t="shared" si="198"/>
        <v>0</v>
      </c>
      <c r="GJ77" s="2042">
        <f t="shared" si="180"/>
        <v>0</v>
      </c>
      <c r="GK77" s="2042">
        <f t="shared" si="181"/>
        <v>0</v>
      </c>
      <c r="GL77" s="2042">
        <f t="shared" si="182"/>
        <v>0</v>
      </c>
      <c r="GM77" s="2042" cm="1">
        <f t="array" ref="GM77">IF(GL77=0,0,(IFERROR(SUMPRODUCT($J$14:$J$68,$CH$14:$CH$68,($BR$14:$BR$68=CX77)*1)+SUMPRODUCT($L$14:$L$68,$M$14:$M$68,$CK$14:$CK$68,($BR$14:$BR$68=CX77)*1,($BT$14:$BT$68=FALSE)*1)/10+SUMPRODUCT($R$14:$R$68,$CP$14:$CP$68,($BR$14:$BR$68=CX77)*1),0))/GL77)</f>
        <v>0</v>
      </c>
      <c r="GN77" s="2042">
        <f t="shared" si="199"/>
        <v>0</v>
      </c>
      <c r="GO77" s="2042">
        <f>(SUMIF('Berechnung Nährstoffe und Lager'!$AX$113:$AX$130,'Lagerhaltung (freiwillig)'!CX77,'Berechnung Nährstoffe und Lager'!$D$113:$D$130)+SUMIF('Berechnung Nährstoffe und Lager'!$AX$137:$AX$155,'Lagerhaltung (freiwillig)'!CX77,'Berechnung Nährstoffe und Lager'!$E$137:$E$155))</f>
        <v>0</v>
      </c>
      <c r="GP77" s="2042" cm="1">
        <f t="array" ref="GP77">IF(GO77=0,0,(IFERROR(SUMPRODUCT('Berechnung Nährstoffe und Lager'!$D$113:$D$130,'Berechnung Nährstoffe und Lager'!$F$113:$F$130,('Berechnung Nährstoffe und Lager'!$AX$113:$AX$130='Lagerhaltung (freiwillig)'!CX77)*1)+SUMPRODUCT('Berechnung Nährstoffe und Lager'!$E$137:$E$155,'Berechnung Nährstoffe und Lager'!$F$137:$F$155,('Berechnung Nährstoffe und Lager'!$AX$137:$AX$155='Lagerhaltung (freiwillig)'!CX77)*1),0))/GO77)</f>
        <v>0</v>
      </c>
      <c r="GQ77" s="2042">
        <f t="shared" si="200"/>
        <v>0</v>
      </c>
      <c r="GR77" s="2042">
        <f t="shared" si="201"/>
        <v>0</v>
      </c>
      <c r="GS77" s="2042">
        <f t="shared" si="202"/>
        <v>0</v>
      </c>
      <c r="GT77" s="2042">
        <f t="shared" si="203"/>
        <v>0</v>
      </c>
      <c r="GU77" s="2045" t="str">
        <f t="shared" si="175"/>
        <v xml:space="preserve"> </v>
      </c>
      <c r="GV77" s="2045" t="str">
        <f t="shared" si="175"/>
        <v xml:space="preserve"> </v>
      </c>
      <c r="GW77" s="2054">
        <f t="shared" si="183"/>
        <v>0</v>
      </c>
      <c r="GX77" s="2042">
        <f t="shared" si="184"/>
        <v>0</v>
      </c>
      <c r="GY77" s="2042" t="str">
        <f t="shared" si="174"/>
        <v>a</v>
      </c>
      <c r="GZ77" s="2055">
        <f t="shared" si="185"/>
        <v>0</v>
      </c>
      <c r="HA77" s="2055">
        <f t="shared" si="186"/>
        <v>0</v>
      </c>
      <c r="HB77" s="2055"/>
      <c r="HC77" s="2046">
        <f t="shared" si="187"/>
        <v>0</v>
      </c>
      <c r="HD77" s="2055">
        <f t="shared" si="188"/>
        <v>0</v>
      </c>
      <c r="HE77" s="2055">
        <f t="shared" si="189"/>
        <v>0</v>
      </c>
      <c r="HF77" s="2055">
        <f t="shared" si="190"/>
        <v>0</v>
      </c>
      <c r="HG77" s="2282" cm="1">
        <f t="array" ref="HG77">IF(AND(HE77=0,GJ77=0),0,IF(HE77=0,1,IF(OR(GJ77*1000/HE77/HF77&gt;INDEX(Pflanzen!$AD$5:$AD$109,CX77)/INDEX(Pflanzen!$M$5:$M$109,CX77)*$HG$1,GJ77*1000/HE77/HF77&lt;INDEX(Pflanzen!$AD$5:$AD$109,CX77)/INDEX(Pflanzen!$M$5:$M$109,CX77)/$HG$1),1,0)))</f>
        <v>0</v>
      </c>
      <c r="HH77" s="2282" cm="1">
        <f t="array" ref="HH77">IF(AND(GK77=0,HE77=0),0,IF(HE77=0,1,IF(OR(GK77*1000/HE77/HF77&gt;INDEX(Pflanzen!$AE$5:$AE$109,CX77)/INDEX(Pflanzen!$M$5:$M$109,CX77)*$HG$1,GK77*1000/HE77/HF77&lt;INDEX(Pflanzen!$AE$5:$AE$109,CX77)/INDEX(Pflanzen!$M$5:$M$109,CX77)/$HG$1),1,0)))</f>
        <v>0</v>
      </c>
      <c r="HI77" s="2042">
        <f t="shared" si="191"/>
        <v>3</v>
      </c>
      <c r="HJ77" s="2042"/>
      <c r="HL77" s="2042"/>
      <c r="HM77" s="2042"/>
      <c r="HN77" s="2042"/>
      <c r="HO77" s="2042"/>
      <c r="HP77" s="2042"/>
      <c r="HQ77" s="2042"/>
      <c r="HR77" s="2042"/>
      <c r="HS77" s="2042"/>
      <c r="HT77" s="2042"/>
      <c r="HU77" s="2042"/>
      <c r="HV77" s="2042"/>
      <c r="HW77" s="2042"/>
      <c r="HX77" s="2042"/>
      <c r="HY77" s="2042"/>
      <c r="HZ77" s="2042"/>
      <c r="IA77" s="2042"/>
      <c r="IB77" s="2042"/>
      <c r="IC77" s="2042"/>
      <c r="ID77" s="2042"/>
      <c r="IE77" s="2042"/>
      <c r="IF77" s="2042"/>
      <c r="IG77" s="2042"/>
      <c r="IH77" s="2042"/>
      <c r="II77" s="2042"/>
      <c r="IJ77" s="2042"/>
    </row>
    <row r="78" spans="1:244" ht="15.6" customHeight="1" x14ac:dyDescent="0.2">
      <c r="A78" s="2040"/>
      <c r="B78" s="2041"/>
      <c r="C78" s="3007"/>
      <c r="D78" s="3005"/>
      <c r="E78" s="3006"/>
      <c r="F78" s="2303" cm="1">
        <f t="array" ref="F78">INDEX(Pflanzen!$M$122:$M$160,BR78)</f>
        <v>0</v>
      </c>
      <c r="G78" s="2256" cm="1">
        <f t="array" ref="G78">INDEX(Pflanzen!$AD$122:$AD$160,BR78)</f>
        <v>0</v>
      </c>
      <c r="H78" s="2256" cm="1">
        <f t="array" ref="H78">INDEX(Pflanzen!$AE$122:$AE$160,BR78)</f>
        <v>0</v>
      </c>
      <c r="I78" s="1936"/>
      <c r="J78" s="1970"/>
      <c r="K78" s="1927"/>
      <c r="L78" s="1928"/>
      <c r="M78" s="1928"/>
      <c r="N78" s="1929"/>
      <c r="O78" s="1929"/>
      <c r="P78" s="1930"/>
      <c r="Q78" s="1938"/>
      <c r="R78" s="1246"/>
      <c r="S78" s="1938"/>
      <c r="T78" s="1970"/>
      <c r="U78" s="1159"/>
      <c r="V78" s="2316" t="str">
        <f t="shared" si="192"/>
        <v/>
      </c>
      <c r="Y78" s="2005" t="str" cm="1">
        <f t="array" ref="Y78">IFERROR(INDEX($CW$4:$CW$171,AY78),"")</f>
        <v/>
      </c>
      <c r="Z78" s="510"/>
      <c r="AA78" s="510"/>
      <c r="AB78" s="510"/>
      <c r="AC78" s="2031" t="str" cm="1">
        <f t="array" ref="AC78">IFERROR(INDEX($GL$4:$GL$171,AY78),"")</f>
        <v/>
      </c>
      <c r="AD78" s="2031" t="str" cm="1">
        <f t="array" ref="AD78">IFERROR(INDEX($GM$4:$GM$171,AY78),"")</f>
        <v/>
      </c>
      <c r="AE78" s="2031" t="str" cm="1">
        <f t="array" ref="AE78">IFERROR(INDEX($GH$4:$GH$171,AY78),"")</f>
        <v/>
      </c>
      <c r="AF78" s="2031" t="str" cm="1">
        <f t="array" ref="AF78">IFERROR(INDEX($GI$4:$GI$171,AY78),"")</f>
        <v/>
      </c>
      <c r="AG78" s="2031" t="str" cm="1">
        <f t="array" ref="AG78">IFERROR(INDEX($GO$4:$GO$171,AY78),"")</f>
        <v/>
      </c>
      <c r="AH78" s="2031" t="str" cm="1">
        <f t="array" ref="AH78">IFERROR(INDEX($GP$4:$GP$171,AY78),"")</f>
        <v/>
      </c>
      <c r="AI78" s="2031" t="str" cm="1">
        <f t="array" ref="AI78">IFERROR(INDEX($GF$4:$GF$171,AY78),"")</f>
        <v/>
      </c>
      <c r="AJ78" s="2031" t="str" cm="1">
        <f t="array" ref="AJ78">IFERROR(INDEX($GG$4:$GG$171,AY78),"")</f>
        <v/>
      </c>
      <c r="AK78" s="2031" t="str" cm="1">
        <f t="array" ref="AK78">IFERROR(INDEX($GS$4:$GS$171,AY78),"")</f>
        <v/>
      </c>
      <c r="AL78" s="2032" t="str" cm="1">
        <f t="array" ref="AL78">IFERROR(INDEX($GT$4:$GT$171,AY78),"")</f>
        <v/>
      </c>
      <c r="AM78" s="2031" t="str" cm="1">
        <f t="array" ref="AM78">IFERROR(INDEX($GB$4:$GB$171,AY78),"")</f>
        <v/>
      </c>
      <c r="AN78" s="2031" t="str" cm="1">
        <f t="array" ref="AN78">IFERROR(INDEX($GC$4:$GC$171,AY78),"")</f>
        <v/>
      </c>
      <c r="AO78" s="2031" t="str" cm="1">
        <f t="array" ref="AO78">IFERROR(INDEX($GU$4:$GU$171,AY78),"")</f>
        <v/>
      </c>
      <c r="AP78" s="2031" t="str" cm="1">
        <f t="array" ref="AP78">IFERROR(INDEX($GX$4:$GX$171,AY78),"")</f>
        <v/>
      </c>
      <c r="AQ78" s="1316"/>
      <c r="AR78" s="2031" t="str" cm="1">
        <f t="array" ref="AR78">IFERROR(INDEX($HD$4:$HD$171,AY78),"")</f>
        <v/>
      </c>
      <c r="AS78" s="2031" t="str" cm="1">
        <f t="array" ref="AS78">IFERROR(INDEX($HE$4:$HE$171,AY78),"")</f>
        <v/>
      </c>
      <c r="AT78" s="2031" t="str" cm="1">
        <f t="array" ref="AT78">IFERROR(INDEX($HF$4:$HF$171,AY78),"")</f>
        <v/>
      </c>
      <c r="AU78" s="2031" t="str" cm="1">
        <f t="array" ref="AU78">IFERROR(INDEX($GJ$4:$GJ$171,AY78),"")</f>
        <v/>
      </c>
      <c r="AV78" s="2031" t="str" cm="1">
        <f t="array" ref="AV78">IFERROR(INDEX($GK$4:$GK$171,AY78),"")</f>
        <v/>
      </c>
      <c r="AY78" s="2042" t="str" cm="1">
        <f t="array" ref="AY78">IFERROR(SMALL(IF($HI$4:$HI$171=1,ROW($HI$4:$HI$171)-3),ROW(W63)),IFERROR(SMALL(IF($HI$4:$HI$171=2,ROW($HI$4:$HI$171)-3),ROW(W63)-COUNTIF($HI$4:$HI$171,1)),IFERROR(SMALL(IF($HI$4:$HI$171=0,ROW($HI$4:$HI$171)-3),ROW(W63)-COUNTIF($HI$4:$HI$171,1)-COUNTIF($HI$4:$HI$171,2)),"")))</f>
        <v/>
      </c>
      <c r="AZ78" s="2042" t="str">
        <f t="shared" si="171"/>
        <v>a</v>
      </c>
      <c r="BA78" s="2053" t="e">
        <f t="shared" si="172"/>
        <v>#VALUE!</v>
      </c>
      <c r="BB78" s="2053" cm="1">
        <f t="array" ref="BB78">IFERROR(INDEX($HI$4:$HI$171,AY78),0)</f>
        <v>0</v>
      </c>
      <c r="BC78" s="2053">
        <f t="shared" si="173"/>
        <v>0</v>
      </c>
      <c r="BD78" s="2053"/>
      <c r="BE78" s="2307"/>
      <c r="BF78" s="2307"/>
      <c r="BG78" s="2307"/>
      <c r="BH78" s="2307"/>
      <c r="BI78" s="2307"/>
      <c r="BJ78" s="2307"/>
      <c r="BK78" s="2307"/>
      <c r="BL78" s="2307"/>
      <c r="BM78" s="2307"/>
      <c r="BN78" s="2307"/>
      <c r="BO78" s="2307"/>
      <c r="BP78" s="2043"/>
      <c r="BQ78" s="2042"/>
      <c r="BR78" s="2042">
        <v>1</v>
      </c>
      <c r="BS78" s="2042"/>
      <c r="BT78" s="2042"/>
      <c r="BU78" s="2044"/>
      <c r="BV78" s="2044"/>
      <c r="BW78" s="2042">
        <f t="shared" si="176"/>
        <v>12</v>
      </c>
      <c r="BX78" s="2042">
        <f t="shared" si="177"/>
        <v>0</v>
      </c>
      <c r="BY78" s="2042">
        <f t="shared" si="178"/>
        <v>12</v>
      </c>
      <c r="BZ78" s="2042"/>
      <c r="CA78" s="2053"/>
      <c r="CB78" s="2053"/>
      <c r="CC78" s="2042"/>
      <c r="CD78" s="2042"/>
      <c r="CE78" s="2042"/>
      <c r="CF78" s="2042"/>
      <c r="CG78" s="2042"/>
      <c r="CH78" s="2042">
        <f>IF(I78&gt;0,I78,F78)</f>
        <v>0</v>
      </c>
      <c r="CI78" s="2042">
        <f>IF(I78&gt;0,J78*G78*I78/F78/1000,J78*G78/1000)</f>
        <v>0</v>
      </c>
      <c r="CJ78" s="2042">
        <f>IF(I78&gt;0,J78*H78*I78/F78/1000,J78*H78/1000)</f>
        <v>0</v>
      </c>
      <c r="CK78" s="2042"/>
      <c r="CL78" s="2042"/>
      <c r="CM78" s="2042"/>
      <c r="CN78" s="2042"/>
      <c r="CO78" s="2042"/>
      <c r="CP78" s="2042">
        <f>IF(Q78&gt;0,Q78,F78)</f>
        <v>0</v>
      </c>
      <c r="CQ78" s="2042">
        <f>IF(Q78&gt;0,R78*G78*Q78/F78/BW78/1000,R78*G78/BW78/1000)</f>
        <v>0</v>
      </c>
      <c r="CR78" s="2042">
        <f>IF(Q78&gt;0,R78*G78*Q78/F78/1000,R78*G78/1000)</f>
        <v>0</v>
      </c>
      <c r="CS78" s="2042">
        <f>IF(Q78&gt;0,R78*H78*Q78/F78/BW78/1000,R78*H78/BW78/1000)</f>
        <v>0</v>
      </c>
      <c r="CT78" s="2042">
        <f>IF(Q78&gt;0,R78*H78*Q78/F78/1000,R78*H78/1000)</f>
        <v>0</v>
      </c>
      <c r="CU78" s="2042">
        <f t="shared" si="179"/>
        <v>0</v>
      </c>
      <c r="CV78" s="2042"/>
      <c r="CW78" s="609" t="str">
        <f>Pflanzen!A74</f>
        <v xml:space="preserve"> +++Grünland+++</v>
      </c>
      <c r="CX78" s="2042">
        <f>IFERROR(MATCH($CW78,Pflanzen!$C$5:$C$119,0),1)</f>
        <v>70</v>
      </c>
      <c r="CY78" s="609" cm="1">
        <f t="array" ref="CY78">INDEX(Pflanzen!$I$5:$I$119,'Lagerhaltung (freiwillig)'!CX78)</f>
        <v>0</v>
      </c>
      <c r="CZ78" s="2042">
        <f t="shared" si="169"/>
        <v>0</v>
      </c>
      <c r="DA78" s="2042">
        <f t="shared" si="169"/>
        <v>0</v>
      </c>
      <c r="DB78" s="2042">
        <f t="shared" si="169"/>
        <v>0</v>
      </c>
      <c r="DC78" s="2042">
        <f t="shared" si="169"/>
        <v>0</v>
      </c>
      <c r="DD78" s="2042">
        <f t="shared" si="169"/>
        <v>0</v>
      </c>
      <c r="DE78" s="2042">
        <f t="shared" si="169"/>
        <v>0</v>
      </c>
      <c r="DF78" s="2042">
        <f t="shared" si="169"/>
        <v>0</v>
      </c>
      <c r="DG78" s="2042">
        <f t="shared" si="169"/>
        <v>0</v>
      </c>
      <c r="DH78" s="2042">
        <f t="shared" si="169"/>
        <v>0</v>
      </c>
      <c r="DI78" s="2042">
        <f t="shared" si="169"/>
        <v>0</v>
      </c>
      <c r="DJ78" s="2042">
        <f t="shared" si="169"/>
        <v>0</v>
      </c>
      <c r="DK78" s="2042">
        <f t="shared" si="169"/>
        <v>0</v>
      </c>
      <c r="DL78" s="2042"/>
      <c r="DM78" s="2042">
        <f t="shared" si="165"/>
        <v>0</v>
      </c>
      <c r="DN78" s="2042">
        <f t="shared" si="193"/>
        <v>0</v>
      </c>
      <c r="DO78" s="2042">
        <f t="shared" si="193"/>
        <v>0</v>
      </c>
      <c r="DP78" s="2042">
        <f t="shared" si="193"/>
        <v>0</v>
      </c>
      <c r="DQ78" s="2042">
        <f t="shared" si="193"/>
        <v>0</v>
      </c>
      <c r="DR78" s="2042">
        <f t="shared" si="193"/>
        <v>0</v>
      </c>
      <c r="DS78" s="2042">
        <f t="shared" si="193"/>
        <v>0</v>
      </c>
      <c r="DT78" s="2042">
        <f t="shared" si="193"/>
        <v>0</v>
      </c>
      <c r="DU78" s="2042">
        <f t="shared" si="193"/>
        <v>0</v>
      </c>
      <c r="DV78" s="2042">
        <f t="shared" si="193"/>
        <v>0</v>
      </c>
      <c r="DW78" s="2042">
        <f t="shared" si="193"/>
        <v>0</v>
      </c>
      <c r="DX78" s="2042">
        <f t="shared" si="193"/>
        <v>0</v>
      </c>
      <c r="DY78" s="2042"/>
      <c r="DZ78" s="2042">
        <f t="shared" si="170"/>
        <v>0</v>
      </c>
      <c r="EA78" s="2042">
        <f t="shared" si="170"/>
        <v>0</v>
      </c>
      <c r="EB78" s="2042">
        <f t="shared" si="170"/>
        <v>0</v>
      </c>
      <c r="EC78" s="2042">
        <f t="shared" si="170"/>
        <v>0</v>
      </c>
      <c r="ED78" s="2042">
        <f t="shared" si="170"/>
        <v>0</v>
      </c>
      <c r="EE78" s="2042">
        <f t="shared" si="170"/>
        <v>0</v>
      </c>
      <c r="EF78" s="2042">
        <f t="shared" si="170"/>
        <v>0</v>
      </c>
      <c r="EG78" s="2042">
        <f t="shared" si="170"/>
        <v>0</v>
      </c>
      <c r="EH78" s="2042">
        <f t="shared" si="170"/>
        <v>0</v>
      </c>
      <c r="EI78" s="2042">
        <f t="shared" si="170"/>
        <v>0</v>
      </c>
      <c r="EJ78" s="2042">
        <f t="shared" si="170"/>
        <v>0</v>
      </c>
      <c r="EK78" s="2042">
        <f t="shared" si="170"/>
        <v>0</v>
      </c>
      <c r="EL78" s="2042"/>
      <c r="EM78" s="2042">
        <f t="shared" si="167"/>
        <v>0</v>
      </c>
      <c r="EN78" s="2042">
        <f t="shared" si="194"/>
        <v>0</v>
      </c>
      <c r="EO78" s="2042">
        <f t="shared" si="194"/>
        <v>0</v>
      </c>
      <c r="EP78" s="2042">
        <f t="shared" si="194"/>
        <v>0</v>
      </c>
      <c r="EQ78" s="2042">
        <f t="shared" si="194"/>
        <v>0</v>
      </c>
      <c r="ER78" s="2042">
        <f t="shared" si="194"/>
        <v>0</v>
      </c>
      <c r="ES78" s="2042">
        <f t="shared" si="194"/>
        <v>0</v>
      </c>
      <c r="ET78" s="2042">
        <f t="shared" si="194"/>
        <v>0</v>
      </c>
      <c r="EU78" s="2042">
        <f t="shared" si="194"/>
        <v>0</v>
      </c>
      <c r="EV78" s="2042">
        <f t="shared" si="194"/>
        <v>0</v>
      </c>
      <c r="EW78" s="2042">
        <f t="shared" si="194"/>
        <v>0</v>
      </c>
      <c r="EX78" s="2042">
        <f t="shared" si="194"/>
        <v>0</v>
      </c>
      <c r="EY78" s="2042"/>
      <c r="EZ78" s="2045">
        <f t="shared" si="195"/>
        <v>0</v>
      </c>
      <c r="FA78" s="2042">
        <f>EZ78+CZ78+DZ78                 -         SUMIF('Berechnung Nährstoffe und Lager'!$AX$113:$AX$155,$CX78,'Berechnung Nährstoffe und Lager'!$U$113:$U$155)/12  -$GB78*$HC78/12</f>
        <v>0</v>
      </c>
      <c r="FB78" s="2042">
        <f>FA78+DA78+EA78                 -         SUMIF('Berechnung Nährstoffe und Lager'!$AX$113:$AX$155,$CX78,'Berechnung Nährstoffe und Lager'!$U$113:$U$155)/12  -$GB78*$HC78/12</f>
        <v>0</v>
      </c>
      <c r="FC78" s="2042">
        <f>FB78+DB78+EB78                 -         SUMIF('Berechnung Nährstoffe und Lager'!$AX$113:$AX$155,$CX78,'Berechnung Nährstoffe und Lager'!$U$113:$U$155)/12  -$GB78*$HC78/12</f>
        <v>0</v>
      </c>
      <c r="FD78" s="2042">
        <f>FC78+DC78+EC78                 -         SUMIF('Berechnung Nährstoffe und Lager'!$AX$113:$AX$155,$CX78,'Berechnung Nährstoffe und Lager'!$U$113:$U$155)/12  -$GB78*$HC78/12</f>
        <v>0</v>
      </c>
      <c r="FE78" s="2042">
        <f>FD78+DD78+ED78                 -         SUMIF('Berechnung Nährstoffe und Lager'!$AX$113:$AX$155,$CX78,'Berechnung Nährstoffe und Lager'!$U$113:$U$155)/12  -$GB78*$HC78/12</f>
        <v>0</v>
      </c>
      <c r="FF78" s="2042">
        <f>FE78+DE78+EE78                 -         SUMIF('Berechnung Nährstoffe und Lager'!$AX$113:$AX$155,$CX78,'Berechnung Nährstoffe und Lager'!$U$113:$U$155)/12  -$GB78*$HC78/12</f>
        <v>0</v>
      </c>
      <c r="FG78" s="2042">
        <f>FF78+DF78+EF78                 -         SUMIF('Berechnung Nährstoffe und Lager'!$AX$113:$AX$155,$CX78,'Berechnung Nährstoffe und Lager'!$U$113:$U$155)/12  -$GB78*$HC78/12</f>
        <v>0</v>
      </c>
      <c r="FH78" s="2042">
        <f>FG78+DG78+EG78                 -         SUMIF('Berechnung Nährstoffe und Lager'!$AX$113:$AX$155,$CX78,'Berechnung Nährstoffe und Lager'!$U$113:$U$155)/12  -$GB78*$HC78/12</f>
        <v>0</v>
      </c>
      <c r="FI78" s="2042">
        <f>FH78+DH78+EH78                 -         SUMIF('Berechnung Nährstoffe und Lager'!$AX$113:$AX$155,$CX78,'Berechnung Nährstoffe und Lager'!$U$113:$U$155)/12  -$GB78*$HC78/12</f>
        <v>0</v>
      </c>
      <c r="FJ78" s="2042">
        <f>FI78+DI78+EI78                 -         SUMIF('Berechnung Nährstoffe und Lager'!$AX$113:$AX$155,$CX78,'Berechnung Nährstoffe und Lager'!$U$113:$U$155)/12  -$GB78*$HC78/12</f>
        <v>0</v>
      </c>
      <c r="FK78" s="2042">
        <f>FJ78+DJ78+EJ78                 -         SUMIF('Berechnung Nährstoffe und Lager'!$AX$113:$AX$155,$CX78,'Berechnung Nährstoffe und Lager'!$U$113:$U$155)/12  -$GB78*$HC78/12</f>
        <v>0</v>
      </c>
      <c r="FL78" s="2042">
        <f>FK78+DK78+EK78                 -         SUMIF('Berechnung Nährstoffe und Lager'!$AX$113:$AX$155,$CX78,'Berechnung Nährstoffe und Lager'!$U$113:$U$155)/12  -$GB78*$HC78/12</f>
        <v>0</v>
      </c>
      <c r="FM78" s="2042"/>
      <c r="FN78" s="2045">
        <f t="shared" si="196"/>
        <v>0</v>
      </c>
      <c r="FO78" s="2042">
        <f>FN78+DM78+EM78                 -         SUMIF('Berechnung Nährstoffe und Lager'!$AX$113:$AX$155,$CX78,'Berechnung Nährstoffe und Lager'!$V$113:$V$155)/12  -$GC78*$HC78/12</f>
        <v>0</v>
      </c>
      <c r="FP78" s="2042">
        <f>FO78+DN78+EN78                 -         SUMIF('Berechnung Nährstoffe und Lager'!$AX$113:$AX$155,$CX78,'Berechnung Nährstoffe und Lager'!$V$113:$V$155)/12  -$GC78*$HC78/12</f>
        <v>0</v>
      </c>
      <c r="FQ78" s="2042">
        <f>FP78+DO78+EO78                 -         SUMIF('Berechnung Nährstoffe und Lager'!$AX$113:$AX$155,$CX78,'Berechnung Nährstoffe und Lager'!$V$113:$V$155)/12  -$GC78*$HC78/12</f>
        <v>0</v>
      </c>
      <c r="FR78" s="2042">
        <f>FQ78+DP78+EP78                 -         SUMIF('Berechnung Nährstoffe und Lager'!$AX$113:$AX$155,$CX78,'Berechnung Nährstoffe und Lager'!$V$113:$V$155)/12  -$GC78*$HC78/12</f>
        <v>0</v>
      </c>
      <c r="FS78" s="2042">
        <f>FR78+DQ78+EQ78                 -         SUMIF('Berechnung Nährstoffe und Lager'!$AX$113:$AX$155,$CX78,'Berechnung Nährstoffe und Lager'!$V$113:$V$155)/12  -$GC78*$HC78/12</f>
        <v>0</v>
      </c>
      <c r="FT78" s="2042">
        <f>FS78+DR78+ER78                 -         SUMIF('Berechnung Nährstoffe und Lager'!$AX$113:$AX$155,$CX78,'Berechnung Nährstoffe und Lager'!$V$113:$V$155)/12  -$GC78*$HC78/12</f>
        <v>0</v>
      </c>
      <c r="FU78" s="2042">
        <f>FT78+DS78+ES78                 -         SUMIF('Berechnung Nährstoffe und Lager'!$AX$113:$AX$155,$CX78,'Berechnung Nährstoffe und Lager'!$V$113:$V$155)/12  -$GC78*$HC78/12</f>
        <v>0</v>
      </c>
      <c r="FV78" s="2042">
        <f>FU78+DT78+ET78                 -         SUMIF('Berechnung Nährstoffe und Lager'!$AX$113:$AX$155,$CX78,'Berechnung Nährstoffe und Lager'!$V$113:$V$155)/12  -$GC78*$HC78/12</f>
        <v>0</v>
      </c>
      <c r="FW78" s="2042">
        <f>FV78+DU78+EU78                 -         SUMIF('Berechnung Nährstoffe und Lager'!$AX$113:$AX$155,$CX78,'Berechnung Nährstoffe und Lager'!$V$113:$V$155)/12  -$GC78*$HC78/12</f>
        <v>0</v>
      </c>
      <c r="FX78" s="2042">
        <f>FW78+DV78+EV78                 -         SUMIF('Berechnung Nährstoffe und Lager'!$AX$113:$AX$155,$CX78,'Berechnung Nährstoffe und Lager'!$V$113:$V$155)/12  -$GC78*$HC78/12</f>
        <v>0</v>
      </c>
      <c r="FY78" s="2042">
        <f>FX78+DW78+EW78                 -         SUMIF('Berechnung Nährstoffe und Lager'!$AX$113:$AX$155,$CX78,'Berechnung Nährstoffe und Lager'!$V$113:$V$155)/12  -$GC78*$HC78/12</f>
        <v>0</v>
      </c>
      <c r="FZ78" s="2042">
        <f>FY78+DX78+EX78                 -         SUMIF('Berechnung Nährstoffe und Lager'!$AX$113:$AX$155,$CX78,'Berechnung Nährstoffe und Lager'!$V$113:$V$155)/12  -$GC78*$HC78/12</f>
        <v>0</v>
      </c>
      <c r="GA78" s="2042"/>
      <c r="GB78" s="2042">
        <f>SUMIFS($CI$14:$CI$68,$BR$14:$BR$68,$CX78)+SUMIFS($CM$14:$CM$68,$BR$14:$BR$68,$CX78)+SUMIFS($CR$14:$CR$68,$BR$14:$BR$68,$CX78)  -         SUMIF('Berechnung Nährstoffe und Lager'!$AX$113:$AX$155,$CX78,'Berechnung Nährstoffe und Lager'!$U$113:$U$155)</f>
        <v>0</v>
      </c>
      <c r="GC78" s="2042">
        <f>SUMIFS($CJ$14:$CJ$68,$BR$14:$BR$68,$CX78)+SUMIFS($CO$14:$CO$68,$BR$14:$BR$68,$CX78)+SUMIFS($CT$14:$CT$68,$BR$14:$BR$68,$CX78)  -         SUMIF('Berechnung Nährstoffe und Lager'!$AX$113:$AX$155,$CX78,'Berechnung Nährstoffe und Lager'!$V$113:$V$155)</f>
        <v>0</v>
      </c>
      <c r="GD78" s="2042"/>
      <c r="GE78" s="2042"/>
      <c r="GF78" s="2042">
        <f>SUMIF('Berechnung Nährstoffe und Lager'!$AX$113:$AX$155,$CX78,'Berechnung Nährstoffe und Lager'!$U$113:$U$155)</f>
        <v>0</v>
      </c>
      <c r="GG78" s="2042">
        <f>SUMIF('Berechnung Nährstoffe und Lager'!$AX$113:$AX$155,$CX78,'Berechnung Nährstoffe und Lager'!$V$113:$V$155)</f>
        <v>0</v>
      </c>
      <c r="GH78" s="2042">
        <f t="shared" si="197"/>
        <v>0</v>
      </c>
      <c r="GI78" s="2042">
        <f t="shared" si="198"/>
        <v>0</v>
      </c>
      <c r="GJ78" s="2042">
        <f t="shared" si="180"/>
        <v>0</v>
      </c>
      <c r="GK78" s="2042">
        <f t="shared" si="181"/>
        <v>0</v>
      </c>
      <c r="GL78" s="2042">
        <f t="shared" si="182"/>
        <v>0</v>
      </c>
      <c r="GM78" s="2042" cm="1">
        <f t="array" ref="GM78">IF(GL78=0,0,(IFERROR(SUMPRODUCT($J$14:$J$68,$CH$14:$CH$68,($BR$14:$BR$68=CX78)*1)+SUMPRODUCT($L$14:$L$68,$M$14:$M$68,$CK$14:$CK$68,($BR$14:$BR$68=CX78)*1,($BT$14:$BT$68=FALSE)*1)/10+SUMPRODUCT($R$14:$R$68,$CP$14:$CP$68,($BR$14:$BR$68=CX78)*1),0))/GL78)</f>
        <v>0</v>
      </c>
      <c r="GN78" s="2042">
        <f t="shared" si="199"/>
        <v>0</v>
      </c>
      <c r="GO78" s="2042">
        <f>(SUMIF('Berechnung Nährstoffe und Lager'!$AX$113:$AX$130,'Lagerhaltung (freiwillig)'!CX78,'Berechnung Nährstoffe und Lager'!$D$113:$D$130)+SUMIF('Berechnung Nährstoffe und Lager'!$AX$137:$AX$155,'Lagerhaltung (freiwillig)'!CX78,'Berechnung Nährstoffe und Lager'!$E$137:$E$155))</f>
        <v>0</v>
      </c>
      <c r="GP78" s="2042" cm="1">
        <f t="array" ref="GP78">IF(GO78=0,0,(IFERROR(SUMPRODUCT('Berechnung Nährstoffe und Lager'!$D$113:$D$130,'Berechnung Nährstoffe und Lager'!$F$113:$F$130,('Berechnung Nährstoffe und Lager'!$AX$113:$AX$130='Lagerhaltung (freiwillig)'!CX78)*1)+SUMPRODUCT('Berechnung Nährstoffe und Lager'!$E$137:$E$155,'Berechnung Nährstoffe und Lager'!$F$137:$F$155,('Berechnung Nährstoffe und Lager'!$AX$137:$AX$155='Lagerhaltung (freiwillig)'!CX78)*1),0))/GO78)</f>
        <v>0</v>
      </c>
      <c r="GQ78" s="2042">
        <f t="shared" si="200"/>
        <v>0</v>
      </c>
      <c r="GR78" s="2042">
        <f t="shared" si="201"/>
        <v>0</v>
      </c>
      <c r="GS78" s="2042">
        <f t="shared" si="202"/>
        <v>0</v>
      </c>
      <c r="GT78" s="2042">
        <f t="shared" si="203"/>
        <v>0</v>
      </c>
      <c r="GU78" s="2045" t="str">
        <f t="shared" si="175"/>
        <v xml:space="preserve"> </v>
      </c>
      <c r="GV78" s="2045" t="str">
        <f t="shared" si="175"/>
        <v xml:space="preserve"> </v>
      </c>
      <c r="GW78" s="2054">
        <f t="shared" si="183"/>
        <v>0</v>
      </c>
      <c r="GX78" s="2042">
        <f t="shared" si="184"/>
        <v>0</v>
      </c>
      <c r="GY78" s="2042" t="str">
        <f t="shared" si="174"/>
        <v>a</v>
      </c>
      <c r="GZ78" s="2055">
        <f t="shared" si="185"/>
        <v>0</v>
      </c>
      <c r="HA78" s="2055">
        <f t="shared" si="186"/>
        <v>0</v>
      </c>
      <c r="HB78" s="2055"/>
      <c r="HC78" s="2046">
        <f t="shared" si="187"/>
        <v>0</v>
      </c>
      <c r="HD78" s="2055">
        <f t="shared" si="188"/>
        <v>0</v>
      </c>
      <c r="HE78" s="2055">
        <f t="shared" si="189"/>
        <v>0</v>
      </c>
      <c r="HF78" s="2055">
        <f t="shared" si="190"/>
        <v>0</v>
      </c>
      <c r="HG78" s="2282" cm="1">
        <f t="array" ref="HG78">IF(AND(HE78=0,GJ78=0),0,IF(HE78=0,1,IF(OR(GJ78*1000/HE78/HF78&gt;INDEX(Pflanzen!$AD$5:$AD$109,CX78)/INDEX(Pflanzen!$M$5:$M$109,CX78)*$HG$1,GJ78*1000/HE78/HF78&lt;INDEX(Pflanzen!$AD$5:$AD$109,CX78)/INDEX(Pflanzen!$M$5:$M$109,CX78)/$HG$1),1,0)))</f>
        <v>0</v>
      </c>
      <c r="HH78" s="2282" cm="1">
        <f t="array" ref="HH78">IF(AND(GK78=0,HE78=0),0,IF(HE78=0,1,IF(OR(GK78*1000/HE78/HF78&gt;INDEX(Pflanzen!$AE$5:$AE$109,CX78)/INDEX(Pflanzen!$M$5:$M$109,CX78)*$HG$1,GK78*1000/HE78/HF78&lt;INDEX(Pflanzen!$AE$5:$AE$109,CX78)/INDEX(Pflanzen!$M$5:$M$109,CX78)/$HG$1),1,0)))</f>
        <v>0</v>
      </c>
      <c r="HI78" s="2042">
        <f t="shared" si="191"/>
        <v>3</v>
      </c>
      <c r="HJ78" s="2042"/>
      <c r="HL78" s="2042"/>
      <c r="HM78" s="2042"/>
      <c r="HN78" s="2042"/>
      <c r="HO78" s="2042"/>
      <c r="HP78" s="2042"/>
      <c r="HQ78" s="2042"/>
      <c r="HR78" s="2042"/>
      <c r="HS78" s="2042"/>
      <c r="HT78" s="2042"/>
      <c r="HU78" s="2042"/>
      <c r="HV78" s="2042"/>
      <c r="HW78" s="2042"/>
      <c r="HX78" s="2042"/>
      <c r="HY78" s="2042"/>
      <c r="HZ78" s="2042"/>
      <c r="IA78" s="2042"/>
      <c r="IB78" s="2042"/>
      <c r="IC78" s="2042"/>
      <c r="ID78" s="2042"/>
      <c r="IE78" s="2042"/>
      <c r="IF78" s="2042"/>
      <c r="IG78" s="2042"/>
      <c r="IH78" s="2042"/>
      <c r="II78" s="2042"/>
      <c r="IJ78" s="2042"/>
    </row>
    <row r="79" spans="1:244" ht="15.6" customHeight="1" x14ac:dyDescent="0.2">
      <c r="A79" s="2040"/>
      <c r="B79" s="2041"/>
      <c r="C79" s="3007"/>
      <c r="D79" s="3005"/>
      <c r="E79" s="3006"/>
      <c r="F79" s="2303" cm="1">
        <f t="array" ref="F79">INDEX(Pflanzen!$M$122:$M$160,BR79)</f>
        <v>0</v>
      </c>
      <c r="G79" s="2256" cm="1">
        <f t="array" ref="G79">INDEX(Pflanzen!$AD$122:$AD$160,BR79)</f>
        <v>0</v>
      </c>
      <c r="H79" s="2257" cm="1">
        <f t="array" ref="H79">INDEX(Pflanzen!$AE$122:$AE$160,BR79)</f>
        <v>0</v>
      </c>
      <c r="I79" s="1936"/>
      <c r="J79" s="1970"/>
      <c r="K79" s="1927"/>
      <c r="L79" s="1928"/>
      <c r="M79" s="1928"/>
      <c r="N79" s="1929"/>
      <c r="O79" s="1929"/>
      <c r="P79" s="1930"/>
      <c r="Q79" s="1938"/>
      <c r="R79" s="1246"/>
      <c r="S79" s="1938"/>
      <c r="T79" s="1970"/>
      <c r="U79" s="1159"/>
      <c r="V79" s="2316" t="str">
        <f t="shared" si="192"/>
        <v/>
      </c>
      <c r="Y79" s="2005" t="str" cm="1">
        <f t="array" ref="Y79">IFERROR(INDEX($CW$4:$CW$171,AY79),"")</f>
        <v/>
      </c>
      <c r="Z79" s="510"/>
      <c r="AA79" s="510"/>
      <c r="AB79" s="510"/>
      <c r="AC79" s="2031" t="str" cm="1">
        <f t="array" ref="AC79">IFERROR(INDEX($GL$4:$GL$171,AY79),"")</f>
        <v/>
      </c>
      <c r="AD79" s="2031" t="str" cm="1">
        <f t="array" ref="AD79">IFERROR(INDEX($GM$4:$GM$171,AY79),"")</f>
        <v/>
      </c>
      <c r="AE79" s="2031" t="str" cm="1">
        <f t="array" ref="AE79">IFERROR(INDEX($GH$4:$GH$171,AY79),"")</f>
        <v/>
      </c>
      <c r="AF79" s="2031" t="str" cm="1">
        <f t="array" ref="AF79">IFERROR(INDEX($GI$4:$GI$171,AY79),"")</f>
        <v/>
      </c>
      <c r="AG79" s="2031" t="str" cm="1">
        <f t="array" ref="AG79">IFERROR(INDEX($GO$4:$GO$171,AY79),"")</f>
        <v/>
      </c>
      <c r="AH79" s="2031" t="str" cm="1">
        <f t="array" ref="AH79">IFERROR(INDEX($GP$4:$GP$171,AY79),"")</f>
        <v/>
      </c>
      <c r="AI79" s="2031" t="str" cm="1">
        <f t="array" ref="AI79">IFERROR(INDEX($GF$4:$GF$171,AY79),"")</f>
        <v/>
      </c>
      <c r="AJ79" s="2031" t="str" cm="1">
        <f t="array" ref="AJ79">IFERROR(INDEX($GG$4:$GG$171,AY79),"")</f>
        <v/>
      </c>
      <c r="AK79" s="2031" t="str" cm="1">
        <f t="array" ref="AK79">IFERROR(INDEX($GS$4:$GS$171,AY79),"")</f>
        <v/>
      </c>
      <c r="AL79" s="2032" t="str" cm="1">
        <f t="array" ref="AL79">IFERROR(INDEX($GT$4:$GT$171,AY79),"")</f>
        <v/>
      </c>
      <c r="AM79" s="2031" t="str" cm="1">
        <f t="array" ref="AM79">IFERROR(INDEX($GB$4:$GB$171,AY79),"")</f>
        <v/>
      </c>
      <c r="AN79" s="2031" t="str" cm="1">
        <f t="array" ref="AN79">IFERROR(INDEX($GC$4:$GC$171,AY79),"")</f>
        <v/>
      </c>
      <c r="AO79" s="2031" t="str" cm="1">
        <f t="array" ref="AO79">IFERROR(INDEX($GU$4:$GU$171,AY79),"")</f>
        <v/>
      </c>
      <c r="AP79" s="2031" t="str" cm="1">
        <f t="array" ref="AP79">IFERROR(INDEX($GX$4:$GX$171,AY79),"")</f>
        <v/>
      </c>
      <c r="AQ79" s="1316"/>
      <c r="AR79" s="2031" t="str" cm="1">
        <f t="array" ref="AR79">IFERROR(INDEX($HD$4:$HD$171,AY79),"")</f>
        <v/>
      </c>
      <c r="AS79" s="2031" t="str" cm="1">
        <f t="array" ref="AS79">IFERROR(INDEX($HE$4:$HE$171,AY79),"")</f>
        <v/>
      </c>
      <c r="AT79" s="2031" t="str" cm="1">
        <f t="array" ref="AT79">IFERROR(INDEX($HF$4:$HF$171,AY79),"")</f>
        <v/>
      </c>
      <c r="AU79" s="2031" t="str" cm="1">
        <f t="array" ref="AU79">IFERROR(INDEX($GJ$4:$GJ$171,AY79),"")</f>
        <v/>
      </c>
      <c r="AV79" s="2031" t="str" cm="1">
        <f t="array" ref="AV79">IFERROR(INDEX($GK$4:$GK$171,AY79),"")</f>
        <v/>
      </c>
      <c r="AY79" s="2042" t="str" cm="1">
        <f t="array" ref="AY79">IFERROR(SMALL(IF($HI$4:$HI$171=1,ROW($HI$4:$HI$171)-3),ROW(W64)),IFERROR(SMALL(IF($HI$4:$HI$171=2,ROW($HI$4:$HI$171)-3),ROW(W64)-COUNTIF($HI$4:$HI$171,1)),IFERROR(SMALL(IF($HI$4:$HI$171=0,ROW($HI$4:$HI$171)-3),ROW(W64)-COUNTIF($HI$4:$HI$171,1)-COUNTIF($HI$4:$HI$171,2)),"")))</f>
        <v/>
      </c>
      <c r="AZ79" s="2042" t="str">
        <f t="shared" si="171"/>
        <v>a</v>
      </c>
      <c r="BA79" s="2053" t="e">
        <f t="shared" si="172"/>
        <v>#VALUE!</v>
      </c>
      <c r="BB79" s="2053" cm="1">
        <f t="array" ref="BB79">IFERROR(INDEX($HI$4:$HI$171,AY79),0)</f>
        <v>0</v>
      </c>
      <c r="BC79" s="2053">
        <f t="shared" si="173"/>
        <v>0</v>
      </c>
      <c r="BD79" s="2053"/>
      <c r="BE79" s="2307"/>
      <c r="BF79" s="2307"/>
      <c r="BG79" s="2307"/>
      <c r="BH79" s="2307"/>
      <c r="BI79" s="2307"/>
      <c r="BJ79" s="2307"/>
      <c r="BK79" s="2307"/>
      <c r="BL79" s="2307"/>
      <c r="BM79" s="2307"/>
      <c r="BN79" s="2307"/>
      <c r="BO79" s="2307"/>
      <c r="BP79" s="2043"/>
      <c r="BQ79" s="2042"/>
      <c r="BR79" s="2042">
        <v>1</v>
      </c>
      <c r="BS79" s="2042"/>
      <c r="BT79" s="2062"/>
      <c r="BU79" s="2063"/>
      <c r="BV79" s="2063"/>
      <c r="BW79" s="2062">
        <f t="shared" si="176"/>
        <v>12</v>
      </c>
      <c r="BX79" s="2062">
        <f t="shared" si="177"/>
        <v>0</v>
      </c>
      <c r="BY79" s="2062">
        <f t="shared" si="178"/>
        <v>12</v>
      </c>
      <c r="BZ79" s="2062"/>
      <c r="CA79" s="2064"/>
      <c r="CB79" s="2064"/>
      <c r="CC79" s="2062"/>
      <c r="CD79" s="2062"/>
      <c r="CE79" s="2062"/>
      <c r="CF79" s="2062"/>
      <c r="CG79" s="2062"/>
      <c r="CH79" s="2062">
        <f>IF(I79&gt;0,I79,F79)</f>
        <v>0</v>
      </c>
      <c r="CI79" s="2042">
        <f>IF(I79&gt;0,J79*G79*I79/F79/1000,J79*G79/1000)</f>
        <v>0</v>
      </c>
      <c r="CJ79" s="2042">
        <f>IF(I79&gt;0,J79*H79*I79/F79/1000,J79*H79/1000)</f>
        <v>0</v>
      </c>
      <c r="CK79" s="2062"/>
      <c r="CL79" s="2062"/>
      <c r="CM79" s="2062"/>
      <c r="CN79" s="2062"/>
      <c r="CO79" s="2062"/>
      <c r="CP79" s="2062">
        <f>IF(Q79&gt;0,Q79,F79)</f>
        <v>0</v>
      </c>
      <c r="CQ79" s="2042">
        <f>IF(Q79&gt;0,R79*G79*Q79/F79/BW79/1000,R79*G79/BW79/1000)</f>
        <v>0</v>
      </c>
      <c r="CR79" s="2042">
        <f>IF(Q79&gt;0,R79*G79*Q79/F79/1000,R79*G79/1000)</f>
        <v>0</v>
      </c>
      <c r="CS79" s="2042">
        <f>IF(Q79&gt;0,R79*H79*Q79/F79/BW79/1000,R79*H79/BW79/1000)</f>
        <v>0</v>
      </c>
      <c r="CT79" s="2042">
        <f>IF(Q79&gt;0,R79*H79*Q79/F79/1000,R79*H79/1000)</f>
        <v>0</v>
      </c>
      <c r="CU79" s="2042">
        <f t="shared" si="179"/>
        <v>0</v>
      </c>
      <c r="CV79" s="2042"/>
      <c r="CW79" s="609" t="str">
        <f>Pflanzen!A75</f>
        <v>1 Schnittnutzung</v>
      </c>
      <c r="CX79" s="2042">
        <f>IFERROR(MATCH($CW79,Pflanzen!$C$5:$C$119,0),1)</f>
        <v>71</v>
      </c>
      <c r="CY79" s="609" cm="1">
        <f t="array" ref="CY79">INDEX(Pflanzen!$I$5:$I$119,'Lagerhaltung (freiwillig)'!CX79)</f>
        <v>1</v>
      </c>
      <c r="CZ79" s="2042">
        <f t="shared" ref="CZ79:DK88" si="204">SUMIFS($CQ$14:$CQ$68,$BW$14:$BW$68,1,$BX$14:$BX$68,CZ$2,$BR$14:$BR$68,$CX79)+    SUMIFS($CQ$14:$CQ$68,$BW$14:$BW$68,"&gt;1",$BX$14:$BX$68,"&lt;="&amp;CZ$2,$BY$14:$BY$68,"&gt;="&amp;CZ$2,$BR$14:$BR$68,$CX79)</f>
        <v>0</v>
      </c>
      <c r="DA79" s="2042">
        <f t="shared" si="204"/>
        <v>0</v>
      </c>
      <c r="DB79" s="2042">
        <f t="shared" si="204"/>
        <v>0</v>
      </c>
      <c r="DC79" s="2042">
        <f t="shared" si="204"/>
        <v>0</v>
      </c>
      <c r="DD79" s="2042">
        <f t="shared" si="204"/>
        <v>0</v>
      </c>
      <c r="DE79" s="2042">
        <f t="shared" si="204"/>
        <v>0</v>
      </c>
      <c r="DF79" s="2042">
        <f t="shared" si="204"/>
        <v>0</v>
      </c>
      <c r="DG79" s="2042">
        <f t="shared" si="204"/>
        <v>0</v>
      </c>
      <c r="DH79" s="2042">
        <f t="shared" si="204"/>
        <v>0</v>
      </c>
      <c r="DI79" s="2042">
        <f t="shared" si="204"/>
        <v>0</v>
      </c>
      <c r="DJ79" s="2042">
        <f t="shared" si="204"/>
        <v>0</v>
      </c>
      <c r="DK79" s="2042">
        <f t="shared" si="204"/>
        <v>0</v>
      </c>
      <c r="DL79" s="2042"/>
      <c r="DM79" s="2042">
        <f t="shared" si="165"/>
        <v>0</v>
      </c>
      <c r="DN79" s="2042">
        <f t="shared" si="193"/>
        <v>0</v>
      </c>
      <c r="DO79" s="2042">
        <f t="shared" si="193"/>
        <v>0</v>
      </c>
      <c r="DP79" s="2042">
        <f t="shared" si="193"/>
        <v>0</v>
      </c>
      <c r="DQ79" s="2042">
        <f t="shared" si="193"/>
        <v>0</v>
      </c>
      <c r="DR79" s="2042">
        <f t="shared" si="193"/>
        <v>0</v>
      </c>
      <c r="DS79" s="2042">
        <f t="shared" si="193"/>
        <v>0</v>
      </c>
      <c r="DT79" s="2042">
        <f t="shared" si="193"/>
        <v>0</v>
      </c>
      <c r="DU79" s="2042">
        <f t="shared" si="193"/>
        <v>0</v>
      </c>
      <c r="DV79" s="2042">
        <f t="shared" si="193"/>
        <v>0</v>
      </c>
      <c r="DW79" s="2042">
        <f t="shared" si="193"/>
        <v>0</v>
      </c>
      <c r="DX79" s="2042">
        <f t="shared" si="193"/>
        <v>0</v>
      </c>
      <c r="DY79" s="2042"/>
      <c r="DZ79" s="2042">
        <f t="shared" ref="DZ79:EK88" si="205">SUMIFS($CL$14:$CL$68,$CC$14:$CC$68,1,$CD$14:$CD$68,DZ$2,$BR$14:$BR$68,$CX79)+         SUMIFS($CL$14:$CL$68,$CC$14:$CC$68,"&gt;1",$CD$14:$CD$68,"&lt;="&amp;DZ$2,$CE$14:$CE$68,"&gt;="&amp;DZ$2,$BR$14:$BR$68,$CX79)</f>
        <v>0</v>
      </c>
      <c r="EA79" s="2042">
        <f t="shared" si="205"/>
        <v>0</v>
      </c>
      <c r="EB79" s="2042">
        <f t="shared" si="205"/>
        <v>0</v>
      </c>
      <c r="EC79" s="2042">
        <f t="shared" si="205"/>
        <v>0</v>
      </c>
      <c r="ED79" s="2042">
        <f t="shared" si="205"/>
        <v>0</v>
      </c>
      <c r="EE79" s="2042">
        <f t="shared" si="205"/>
        <v>0</v>
      </c>
      <c r="EF79" s="2042">
        <f t="shared" si="205"/>
        <v>0</v>
      </c>
      <c r="EG79" s="2042">
        <f t="shared" si="205"/>
        <v>0</v>
      </c>
      <c r="EH79" s="2042">
        <f t="shared" si="205"/>
        <v>0</v>
      </c>
      <c r="EI79" s="2042">
        <f t="shared" si="205"/>
        <v>0</v>
      </c>
      <c r="EJ79" s="2042">
        <f t="shared" si="205"/>
        <v>0</v>
      </c>
      <c r="EK79" s="2042">
        <f t="shared" si="205"/>
        <v>0</v>
      </c>
      <c r="EL79" s="2042"/>
      <c r="EM79" s="2042">
        <f t="shared" si="167"/>
        <v>0</v>
      </c>
      <c r="EN79" s="2042">
        <f t="shared" si="194"/>
        <v>0</v>
      </c>
      <c r="EO79" s="2042">
        <f t="shared" si="194"/>
        <v>0</v>
      </c>
      <c r="EP79" s="2042">
        <f t="shared" si="194"/>
        <v>0</v>
      </c>
      <c r="EQ79" s="2042">
        <f t="shared" si="194"/>
        <v>0</v>
      </c>
      <c r="ER79" s="2042">
        <f t="shared" si="194"/>
        <v>0</v>
      </c>
      <c r="ES79" s="2042">
        <f t="shared" si="194"/>
        <v>0</v>
      </c>
      <c r="ET79" s="2042">
        <f t="shared" si="194"/>
        <v>0</v>
      </c>
      <c r="EU79" s="2042">
        <f t="shared" si="194"/>
        <v>0</v>
      </c>
      <c r="EV79" s="2042">
        <f t="shared" si="194"/>
        <v>0</v>
      </c>
      <c r="EW79" s="2042">
        <f t="shared" si="194"/>
        <v>0</v>
      </c>
      <c r="EX79" s="2042">
        <f t="shared" si="194"/>
        <v>0</v>
      </c>
      <c r="EY79" s="2042"/>
      <c r="EZ79" s="2045">
        <f t="shared" si="195"/>
        <v>0</v>
      </c>
      <c r="FA79" s="2042">
        <f>EZ79+CZ79+DZ79                 -         SUMIF('Berechnung Nährstoffe und Lager'!$AX$113:$AX$155,$CX79,'Berechnung Nährstoffe und Lager'!$U$113:$U$155)/12  -$GB79*$HC79/12</f>
        <v>0</v>
      </c>
      <c r="FB79" s="2042">
        <f>FA79+DA79+EA79                 -         SUMIF('Berechnung Nährstoffe und Lager'!$AX$113:$AX$155,$CX79,'Berechnung Nährstoffe und Lager'!$U$113:$U$155)/12  -$GB79*$HC79/12</f>
        <v>0</v>
      </c>
      <c r="FC79" s="2042">
        <f>FB79+DB79+EB79                 -         SUMIF('Berechnung Nährstoffe und Lager'!$AX$113:$AX$155,$CX79,'Berechnung Nährstoffe und Lager'!$U$113:$U$155)/12  -$GB79*$HC79/12</f>
        <v>0</v>
      </c>
      <c r="FD79" s="2042">
        <f>FC79+DC79+EC79                 -         SUMIF('Berechnung Nährstoffe und Lager'!$AX$113:$AX$155,$CX79,'Berechnung Nährstoffe und Lager'!$U$113:$U$155)/12  -$GB79*$HC79/12</f>
        <v>0</v>
      </c>
      <c r="FE79" s="2042">
        <f>FD79+DD79+ED79                 -         SUMIF('Berechnung Nährstoffe und Lager'!$AX$113:$AX$155,$CX79,'Berechnung Nährstoffe und Lager'!$U$113:$U$155)/12  -$GB79*$HC79/12</f>
        <v>0</v>
      </c>
      <c r="FF79" s="2042">
        <f>FE79+DE79+EE79                 -         SUMIF('Berechnung Nährstoffe und Lager'!$AX$113:$AX$155,$CX79,'Berechnung Nährstoffe und Lager'!$U$113:$U$155)/12  -$GB79*$HC79/12</f>
        <v>0</v>
      </c>
      <c r="FG79" s="2042">
        <f>FF79+DF79+EF79                 -         SUMIF('Berechnung Nährstoffe und Lager'!$AX$113:$AX$155,$CX79,'Berechnung Nährstoffe und Lager'!$U$113:$U$155)/12  -$GB79*$HC79/12</f>
        <v>0</v>
      </c>
      <c r="FH79" s="2042">
        <f>FG79+DG79+EG79                 -         SUMIF('Berechnung Nährstoffe und Lager'!$AX$113:$AX$155,$CX79,'Berechnung Nährstoffe und Lager'!$U$113:$U$155)/12  -$GB79*$HC79/12</f>
        <v>0</v>
      </c>
      <c r="FI79" s="2042">
        <f>FH79+DH79+EH79                 -         SUMIF('Berechnung Nährstoffe und Lager'!$AX$113:$AX$155,$CX79,'Berechnung Nährstoffe und Lager'!$U$113:$U$155)/12  -$GB79*$HC79/12</f>
        <v>0</v>
      </c>
      <c r="FJ79" s="2042">
        <f>FI79+DI79+EI79                 -         SUMIF('Berechnung Nährstoffe und Lager'!$AX$113:$AX$155,$CX79,'Berechnung Nährstoffe und Lager'!$U$113:$U$155)/12  -$GB79*$HC79/12</f>
        <v>0</v>
      </c>
      <c r="FK79" s="2042">
        <f>FJ79+DJ79+EJ79                 -         SUMIF('Berechnung Nährstoffe und Lager'!$AX$113:$AX$155,$CX79,'Berechnung Nährstoffe und Lager'!$U$113:$U$155)/12  -$GB79*$HC79/12</f>
        <v>0</v>
      </c>
      <c r="FL79" s="2042">
        <f>FK79+DK79+EK79                 -         SUMIF('Berechnung Nährstoffe und Lager'!$AX$113:$AX$155,$CX79,'Berechnung Nährstoffe und Lager'!$U$113:$U$155)/12  -$GB79*$HC79/12</f>
        <v>0</v>
      </c>
      <c r="FM79" s="2042"/>
      <c r="FN79" s="2045">
        <f t="shared" si="196"/>
        <v>0</v>
      </c>
      <c r="FO79" s="2042">
        <f>FN79+DM79+EM79                 -         SUMIF('Berechnung Nährstoffe und Lager'!$AX$113:$AX$155,$CX79,'Berechnung Nährstoffe und Lager'!$V$113:$V$155)/12  -$GC79*$HC79/12</f>
        <v>0</v>
      </c>
      <c r="FP79" s="2042">
        <f>FO79+DN79+EN79                 -         SUMIF('Berechnung Nährstoffe und Lager'!$AX$113:$AX$155,$CX79,'Berechnung Nährstoffe und Lager'!$V$113:$V$155)/12  -$GC79*$HC79/12</f>
        <v>0</v>
      </c>
      <c r="FQ79" s="2042">
        <f>FP79+DO79+EO79                 -         SUMIF('Berechnung Nährstoffe und Lager'!$AX$113:$AX$155,$CX79,'Berechnung Nährstoffe und Lager'!$V$113:$V$155)/12  -$GC79*$HC79/12</f>
        <v>0</v>
      </c>
      <c r="FR79" s="2042">
        <f>FQ79+DP79+EP79                 -         SUMIF('Berechnung Nährstoffe und Lager'!$AX$113:$AX$155,$CX79,'Berechnung Nährstoffe und Lager'!$V$113:$V$155)/12  -$GC79*$HC79/12</f>
        <v>0</v>
      </c>
      <c r="FS79" s="2042">
        <f>FR79+DQ79+EQ79                 -         SUMIF('Berechnung Nährstoffe und Lager'!$AX$113:$AX$155,$CX79,'Berechnung Nährstoffe und Lager'!$V$113:$V$155)/12  -$GC79*$HC79/12</f>
        <v>0</v>
      </c>
      <c r="FT79" s="2042">
        <f>FS79+DR79+ER79                 -         SUMIF('Berechnung Nährstoffe und Lager'!$AX$113:$AX$155,$CX79,'Berechnung Nährstoffe und Lager'!$V$113:$V$155)/12  -$GC79*$HC79/12</f>
        <v>0</v>
      </c>
      <c r="FU79" s="2042">
        <f>FT79+DS79+ES79                 -         SUMIF('Berechnung Nährstoffe und Lager'!$AX$113:$AX$155,$CX79,'Berechnung Nährstoffe und Lager'!$V$113:$V$155)/12  -$GC79*$HC79/12</f>
        <v>0</v>
      </c>
      <c r="FV79" s="2042">
        <f>FU79+DT79+ET79                 -         SUMIF('Berechnung Nährstoffe und Lager'!$AX$113:$AX$155,$CX79,'Berechnung Nährstoffe und Lager'!$V$113:$V$155)/12  -$GC79*$HC79/12</f>
        <v>0</v>
      </c>
      <c r="FW79" s="2042">
        <f>FV79+DU79+EU79                 -         SUMIF('Berechnung Nährstoffe und Lager'!$AX$113:$AX$155,$CX79,'Berechnung Nährstoffe und Lager'!$V$113:$V$155)/12  -$GC79*$HC79/12</f>
        <v>0</v>
      </c>
      <c r="FX79" s="2042">
        <f>FW79+DV79+EV79                 -         SUMIF('Berechnung Nährstoffe und Lager'!$AX$113:$AX$155,$CX79,'Berechnung Nährstoffe und Lager'!$V$113:$V$155)/12  -$GC79*$HC79/12</f>
        <v>0</v>
      </c>
      <c r="FY79" s="2042">
        <f>FX79+DW79+EW79                 -         SUMIF('Berechnung Nährstoffe und Lager'!$AX$113:$AX$155,$CX79,'Berechnung Nährstoffe und Lager'!$V$113:$V$155)/12  -$GC79*$HC79/12</f>
        <v>0</v>
      </c>
      <c r="FZ79" s="2042">
        <f>FY79+DX79+EX79                 -         SUMIF('Berechnung Nährstoffe und Lager'!$AX$113:$AX$155,$CX79,'Berechnung Nährstoffe und Lager'!$V$113:$V$155)/12  -$GC79*$HC79/12</f>
        <v>0</v>
      </c>
      <c r="GA79" s="2042"/>
      <c r="GB79" s="2042">
        <f>SUMIFS($CI$14:$CI$68,$BR$14:$BR$68,$CX79)+SUMIFS($CM$14:$CM$68,$BR$14:$BR$68,$CX79)+SUMIFS($CR$14:$CR$68,$BR$14:$BR$68,$CX79)  -         SUMIF('Berechnung Nährstoffe und Lager'!$AX$113:$AX$155,$CX79,'Berechnung Nährstoffe und Lager'!$U$113:$U$155)</f>
        <v>0</v>
      </c>
      <c r="GC79" s="2042">
        <f>SUMIFS($CJ$14:$CJ$68,$BR$14:$BR$68,$CX79)+SUMIFS($CO$14:$CO$68,$BR$14:$BR$68,$CX79)+SUMIFS($CT$14:$CT$68,$BR$14:$BR$68,$CX79)  -         SUMIF('Berechnung Nährstoffe und Lager'!$AX$113:$AX$155,$CX79,'Berechnung Nährstoffe und Lager'!$V$113:$V$155)</f>
        <v>0</v>
      </c>
      <c r="GD79" s="2042"/>
      <c r="GE79" s="2042"/>
      <c r="GF79" s="2042">
        <f>SUMIF('Berechnung Nährstoffe und Lager'!$AX$113:$AX$155,$CX79,'Berechnung Nährstoffe und Lager'!$U$113:$U$155)</f>
        <v>0</v>
      </c>
      <c r="GG79" s="2042">
        <f>SUMIF('Berechnung Nährstoffe und Lager'!$AX$113:$AX$155,$CX79,'Berechnung Nährstoffe und Lager'!$V$113:$V$155)</f>
        <v>0</v>
      </c>
      <c r="GH79" s="2042">
        <f t="shared" si="197"/>
        <v>0</v>
      </c>
      <c r="GI79" s="2042">
        <f t="shared" si="198"/>
        <v>0</v>
      </c>
      <c r="GJ79" s="2042">
        <f t="shared" si="180"/>
        <v>0</v>
      </c>
      <c r="GK79" s="2042">
        <f t="shared" si="181"/>
        <v>0</v>
      </c>
      <c r="GL79" s="2042">
        <f t="shared" si="182"/>
        <v>0</v>
      </c>
      <c r="GM79" s="2042" cm="1">
        <f t="array" ref="GM79">IF(GL79=0,0,(IFERROR(SUMPRODUCT($J$14:$J$68,$CH$14:$CH$68,($BR$14:$BR$68=CX79)*1)+SUMPRODUCT($L$14:$L$68,$M$14:$M$68,$CK$14:$CK$68,($BR$14:$BR$68=CX79)*1,($BT$14:$BT$68=FALSE)*1)/10+SUMPRODUCT($R$14:$R$68,$CP$14:$CP$68,($BR$14:$BR$68=CX79)*1),0))/GL79)</f>
        <v>0</v>
      </c>
      <c r="GN79" s="2042">
        <f t="shared" si="199"/>
        <v>0</v>
      </c>
      <c r="GO79" s="2042">
        <f>(SUMIF('Berechnung Nährstoffe und Lager'!$AX$113:$AX$130,'Lagerhaltung (freiwillig)'!CX79,'Berechnung Nährstoffe und Lager'!$D$113:$D$130)+SUMIF('Berechnung Nährstoffe und Lager'!$AX$137:$AX$155,'Lagerhaltung (freiwillig)'!CX79,'Berechnung Nährstoffe und Lager'!$E$137:$E$155))</f>
        <v>0</v>
      </c>
      <c r="GP79" s="2042" cm="1">
        <f t="array" ref="GP79">IF(GO79=0,0,(IFERROR(SUMPRODUCT('Berechnung Nährstoffe und Lager'!$D$113:$D$130,'Berechnung Nährstoffe und Lager'!$F$113:$F$130,('Berechnung Nährstoffe und Lager'!$AX$113:$AX$130='Lagerhaltung (freiwillig)'!CX79)*1)+SUMPRODUCT('Berechnung Nährstoffe und Lager'!$E$137:$E$155,'Berechnung Nährstoffe und Lager'!$F$137:$F$155,('Berechnung Nährstoffe und Lager'!$AX$137:$AX$155='Lagerhaltung (freiwillig)'!CX79)*1),0))/GO79)</f>
        <v>0</v>
      </c>
      <c r="GQ79" s="2042">
        <f t="shared" si="200"/>
        <v>0</v>
      </c>
      <c r="GR79" s="2042">
        <f t="shared" si="201"/>
        <v>0</v>
      </c>
      <c r="GS79" s="2042">
        <f t="shared" si="202"/>
        <v>0</v>
      </c>
      <c r="GT79" s="2042">
        <f t="shared" si="203"/>
        <v>0</v>
      </c>
      <c r="GU79" s="2045" t="str">
        <f t="shared" si="175"/>
        <v xml:space="preserve"> </v>
      </c>
      <c r="GV79" s="2045" t="str">
        <f t="shared" si="175"/>
        <v xml:space="preserve"> </v>
      </c>
      <c r="GW79" s="2054">
        <f t="shared" si="183"/>
        <v>0</v>
      </c>
      <c r="GX79" s="2042">
        <f t="shared" si="184"/>
        <v>0</v>
      </c>
      <c r="GY79" s="2042" t="str">
        <f t="shared" si="174"/>
        <v>a</v>
      </c>
      <c r="GZ79" s="2055">
        <f t="shared" si="185"/>
        <v>0</v>
      </c>
      <c r="HA79" s="2055">
        <f t="shared" si="186"/>
        <v>0</v>
      </c>
      <c r="HB79" s="2055"/>
      <c r="HC79" s="2046">
        <f t="shared" si="187"/>
        <v>0</v>
      </c>
      <c r="HD79" s="2055">
        <f t="shared" si="188"/>
        <v>0</v>
      </c>
      <c r="HE79" s="2055">
        <f t="shared" si="189"/>
        <v>0</v>
      </c>
      <c r="HF79" s="2055">
        <f t="shared" si="190"/>
        <v>0</v>
      </c>
      <c r="HG79" s="2282" cm="1">
        <f t="array" ref="HG79">IF(AND(HE79=0,GJ79=0),0,IF(HE79=0,1,IF(OR(GJ79*1000/HE79/HF79&gt;INDEX(Pflanzen!$AD$5:$AD$109,CX79)/INDEX(Pflanzen!$M$5:$M$109,CX79)*$HG$1,GJ79*1000/HE79/HF79&lt;INDEX(Pflanzen!$AD$5:$AD$109,CX79)/INDEX(Pflanzen!$M$5:$M$109,CX79)/$HG$1),1,0)))</f>
        <v>0</v>
      </c>
      <c r="HH79" s="2282" cm="1">
        <f t="array" ref="HH79">IF(AND(GK79=0,HE79=0),0,IF(HE79=0,1,IF(OR(GK79*1000/HE79/HF79&gt;INDEX(Pflanzen!$AE$5:$AE$109,CX79)/INDEX(Pflanzen!$M$5:$M$109,CX79)*$HG$1,GK79*1000/HE79/HF79&lt;INDEX(Pflanzen!$AE$5:$AE$109,CX79)/INDEX(Pflanzen!$M$5:$M$109,CX79)/$HG$1),1,0)))</f>
        <v>0</v>
      </c>
      <c r="HI79" s="2042">
        <f t="shared" si="191"/>
        <v>3</v>
      </c>
      <c r="HJ79" s="2042"/>
      <c r="HL79" s="2042"/>
      <c r="HM79" s="2042"/>
      <c r="HN79" s="2042"/>
      <c r="HO79" s="2042"/>
      <c r="HP79" s="2042"/>
      <c r="HQ79" s="2042"/>
      <c r="HR79" s="2042"/>
      <c r="HS79" s="2042"/>
      <c r="HT79" s="2042"/>
      <c r="HU79" s="2042"/>
      <c r="HV79" s="2042"/>
      <c r="HW79" s="2042"/>
      <c r="HX79" s="2042"/>
      <c r="HY79" s="2042"/>
      <c r="HZ79" s="2042"/>
      <c r="IA79" s="2042"/>
      <c r="IB79" s="2042"/>
      <c r="IC79" s="2042"/>
      <c r="ID79" s="2042"/>
      <c r="IE79" s="2042"/>
      <c r="IF79" s="2042"/>
      <c r="IG79" s="2042"/>
      <c r="IH79" s="2042"/>
      <c r="II79" s="2042"/>
      <c r="IJ79" s="2042"/>
    </row>
    <row r="80" spans="1:244" ht="15.6" customHeight="1" x14ac:dyDescent="0.2">
      <c r="A80" s="3067"/>
      <c r="B80" s="3123"/>
      <c r="C80" s="3123"/>
      <c r="D80" s="3123"/>
      <c r="E80" s="3124"/>
      <c r="F80" s="1259"/>
      <c r="G80" s="2314"/>
      <c r="H80" s="2293"/>
      <c r="I80" s="2310">
        <f>IF($F80="",0,$F80)</f>
        <v>0</v>
      </c>
      <c r="J80" s="1970"/>
      <c r="K80" s="1927"/>
      <c r="L80" s="1928"/>
      <c r="M80" s="1928"/>
      <c r="N80" s="1929"/>
      <c r="O80" s="1929"/>
      <c r="P80" s="1930"/>
      <c r="Q80" s="2310">
        <f>IF($F80="",0,$F80)</f>
        <v>0</v>
      </c>
      <c r="R80" s="1246"/>
      <c r="S80" s="1938"/>
      <c r="T80" s="1970"/>
      <c r="U80" s="1159"/>
      <c r="V80" s="2316" t="str">
        <f>IF(OR(L80&gt;0,M80&gt;0,AND(OR(J80&gt;0,R80&gt;0),OR(G80="",H80="",F80=""))),"Fehler","")</f>
        <v/>
      </c>
      <c r="Y80" s="2005" t="str" cm="1">
        <f t="array" ref="Y80">IFERROR(INDEX($CW$4:$CW$171,AY80),"")</f>
        <v/>
      </c>
      <c r="Z80" s="510"/>
      <c r="AA80" s="510"/>
      <c r="AB80" s="510"/>
      <c r="AC80" s="2031" t="str" cm="1">
        <f t="array" ref="AC80">IFERROR(INDEX($GL$4:$GL$171,AY80),"")</f>
        <v/>
      </c>
      <c r="AD80" s="2031" t="str" cm="1">
        <f t="array" ref="AD80">IFERROR(INDEX($GM$4:$GM$171,AY80),"")</f>
        <v/>
      </c>
      <c r="AE80" s="2031" t="str" cm="1">
        <f t="array" ref="AE80">IFERROR(INDEX($GH$4:$GH$171,AY80),"")</f>
        <v/>
      </c>
      <c r="AF80" s="2031" t="str" cm="1">
        <f t="array" ref="AF80">IFERROR(INDEX($GI$4:$GI$171,AY80),"")</f>
        <v/>
      </c>
      <c r="AG80" s="2031" t="str" cm="1">
        <f t="array" ref="AG80">IFERROR(INDEX($GO$4:$GO$171,AY80),"")</f>
        <v/>
      </c>
      <c r="AH80" s="2031" t="str" cm="1">
        <f t="array" ref="AH80">IFERROR(INDEX($GP$4:$GP$171,AY80),"")</f>
        <v/>
      </c>
      <c r="AI80" s="2031" t="str" cm="1">
        <f t="array" ref="AI80">IFERROR(INDEX($GF$4:$GF$171,AY80),"")</f>
        <v/>
      </c>
      <c r="AJ80" s="2031" t="str" cm="1">
        <f t="array" ref="AJ80">IFERROR(INDEX($GG$4:$GG$171,AY80),"")</f>
        <v/>
      </c>
      <c r="AK80" s="2031" t="str" cm="1">
        <f t="array" ref="AK80">IFERROR(INDEX($GS$4:$GS$171,AY80),"")</f>
        <v/>
      </c>
      <c r="AL80" s="2032" t="str" cm="1">
        <f t="array" ref="AL80">IFERROR(INDEX($GT$4:$GT$171,AY80),"")</f>
        <v/>
      </c>
      <c r="AM80" s="2031" t="str" cm="1">
        <f t="array" ref="AM80">IFERROR(INDEX($GB$4:$GB$171,AY80),"")</f>
        <v/>
      </c>
      <c r="AN80" s="2031" t="str" cm="1">
        <f t="array" ref="AN80">IFERROR(INDEX($GC$4:$GC$171,AY80),"")</f>
        <v/>
      </c>
      <c r="AO80" s="2031" t="str" cm="1">
        <f t="array" ref="AO80">IFERROR(INDEX($GU$4:$GU$171,AY80),"")</f>
        <v/>
      </c>
      <c r="AP80" s="2031" t="str" cm="1">
        <f t="array" ref="AP80">IFERROR(INDEX($GX$4:$GX$171,AY80),"")</f>
        <v/>
      </c>
      <c r="AQ80" s="1316"/>
      <c r="AR80" s="2031" t="str" cm="1">
        <f t="array" ref="AR80">IFERROR(INDEX($HD$4:$HD$171,AY80),"")</f>
        <v/>
      </c>
      <c r="AS80" s="2031" t="str" cm="1">
        <f t="array" ref="AS80">IFERROR(INDEX($HE$4:$HE$171,AY80),"")</f>
        <v/>
      </c>
      <c r="AT80" s="2031" t="str" cm="1">
        <f t="array" ref="AT80">IFERROR(INDEX($HF$4:$HF$171,AY80),"")</f>
        <v/>
      </c>
      <c r="AU80" s="2031" t="str" cm="1">
        <f t="array" ref="AU80">IFERROR(INDEX($GJ$4:$GJ$171,AY80),"")</f>
        <v/>
      </c>
      <c r="AV80" s="2031" t="str" cm="1">
        <f t="array" ref="AV80">IFERROR(INDEX($GK$4:$GK$171,AY80),"")</f>
        <v/>
      </c>
      <c r="AY80" s="2042" t="str" cm="1">
        <f t="array" ref="AY80">IFERROR(SMALL(IF($HI$4:$HI$171=1,ROW($HI$4:$HI$171)-3),ROW(W65)),IFERROR(SMALL(IF($HI$4:$HI$171=2,ROW($HI$4:$HI$171)-3),ROW(W65)-COUNTIF($HI$4:$HI$171,1)),IFERROR(SMALL(IF($HI$4:$HI$171=0,ROW($HI$4:$HI$171)-3),ROW(W65)-COUNTIF($HI$4:$HI$171,1)-COUNTIF($HI$4:$HI$171,2)),"")))</f>
        <v/>
      </c>
      <c r="AZ80" s="2042" t="str">
        <f t="shared" si="171"/>
        <v>a</v>
      </c>
      <c r="BA80" s="2053" t="e">
        <f t="shared" si="172"/>
        <v>#VALUE!</v>
      </c>
      <c r="BB80" s="2053" cm="1">
        <f t="array" ref="BB80">IFERROR(INDEX($HI$4:$HI$171,AY80),0)</f>
        <v>0</v>
      </c>
      <c r="BC80" s="2053">
        <f t="shared" si="173"/>
        <v>0</v>
      </c>
      <c r="BD80" s="2053"/>
      <c r="BE80" s="2307"/>
      <c r="BF80" s="2307"/>
      <c r="BG80" s="2307"/>
      <c r="BH80" s="2307"/>
      <c r="BI80" s="2307"/>
      <c r="BJ80" s="2307"/>
      <c r="BK80" s="2307"/>
      <c r="BL80" s="2307"/>
      <c r="BM80" s="2307"/>
      <c r="BN80" s="2307"/>
      <c r="BO80" s="2307"/>
      <c r="BP80" s="2043"/>
      <c r="BQ80" s="2042"/>
      <c r="BR80" s="2042"/>
      <c r="BS80" s="2042"/>
      <c r="BT80" s="2042"/>
      <c r="BU80" s="2044"/>
      <c r="BV80" s="2044"/>
      <c r="BW80" s="2042">
        <f t="shared" si="176"/>
        <v>12</v>
      </c>
      <c r="BX80" s="2042">
        <f t="shared" si="177"/>
        <v>0</v>
      </c>
      <c r="BY80" s="2042">
        <f t="shared" si="178"/>
        <v>12</v>
      </c>
      <c r="BZ80" s="2042"/>
      <c r="CA80" s="2053"/>
      <c r="CB80" s="2053"/>
      <c r="CC80" s="2042"/>
      <c r="CD80" s="2042"/>
      <c r="CE80" s="2042"/>
      <c r="CF80" s="2042"/>
      <c r="CG80" s="2042"/>
      <c r="CH80" s="2042"/>
      <c r="CI80" s="2042">
        <f t="shared" ref="CI80:CI89" si="206">J80*G80/1000</f>
        <v>0</v>
      </c>
      <c r="CJ80" s="2042">
        <f t="shared" ref="CJ80:CJ89" si="207">J80*H80/1000</f>
        <v>0</v>
      </c>
      <c r="CK80" s="2042"/>
      <c r="CL80" s="2042"/>
      <c r="CM80" s="2042"/>
      <c r="CN80" s="2042"/>
      <c r="CO80" s="2042"/>
      <c r="CP80" s="2042"/>
      <c r="CQ80" s="2042">
        <f t="shared" ref="CQ80:CQ89" si="208">R80*G80/BW80/1000</f>
        <v>0</v>
      </c>
      <c r="CR80" s="2042">
        <f t="shared" ref="CR80:CR89" si="209">R80*G80/1000</f>
        <v>0</v>
      </c>
      <c r="CS80" s="2042">
        <f t="shared" ref="CS80:CS89" si="210">R80*H80/BW80/1000</f>
        <v>0</v>
      </c>
      <c r="CT80" s="2042">
        <f t="shared" ref="CT80:CT89" si="211">R80*H80/1000</f>
        <v>0</v>
      </c>
      <c r="CU80" s="2042">
        <f t="shared" si="179"/>
        <v>0</v>
      </c>
      <c r="CV80" s="2042"/>
      <c r="CW80" s="609" t="str">
        <f>Pflanzen!A76</f>
        <v>2 Schnittnutzungen</v>
      </c>
      <c r="CX80" s="2042">
        <f>IFERROR(MATCH($CW80,Pflanzen!$C$5:$C$119,0),1)</f>
        <v>72</v>
      </c>
      <c r="CY80" s="609" cm="1">
        <f t="array" ref="CY80">INDEX(Pflanzen!$I$5:$I$119,'Lagerhaltung (freiwillig)'!CX80)</f>
        <v>1</v>
      </c>
      <c r="CZ80" s="2042">
        <f t="shared" si="204"/>
        <v>0</v>
      </c>
      <c r="DA80" s="2042">
        <f t="shared" si="204"/>
        <v>0</v>
      </c>
      <c r="DB80" s="2042">
        <f t="shared" si="204"/>
        <v>0</v>
      </c>
      <c r="DC80" s="2042">
        <f t="shared" si="204"/>
        <v>0</v>
      </c>
      <c r="DD80" s="2042">
        <f t="shared" si="204"/>
        <v>0</v>
      </c>
      <c r="DE80" s="2042">
        <f t="shared" si="204"/>
        <v>0</v>
      </c>
      <c r="DF80" s="2042">
        <f t="shared" si="204"/>
        <v>0</v>
      </c>
      <c r="DG80" s="2042">
        <f t="shared" si="204"/>
        <v>0</v>
      </c>
      <c r="DH80" s="2042">
        <f t="shared" si="204"/>
        <v>0</v>
      </c>
      <c r="DI80" s="2042">
        <f t="shared" si="204"/>
        <v>0</v>
      </c>
      <c r="DJ80" s="2042">
        <f t="shared" si="204"/>
        <v>0</v>
      </c>
      <c r="DK80" s="2042">
        <f t="shared" si="204"/>
        <v>0</v>
      </c>
      <c r="DL80" s="2042"/>
      <c r="DM80" s="2042">
        <f t="shared" si="165"/>
        <v>0</v>
      </c>
      <c r="DN80" s="2042">
        <f t="shared" si="193"/>
        <v>0</v>
      </c>
      <c r="DO80" s="2042">
        <f t="shared" si="193"/>
        <v>0</v>
      </c>
      <c r="DP80" s="2042">
        <f t="shared" si="193"/>
        <v>0</v>
      </c>
      <c r="DQ80" s="2042">
        <f t="shared" si="193"/>
        <v>0</v>
      </c>
      <c r="DR80" s="2042">
        <f t="shared" si="193"/>
        <v>0</v>
      </c>
      <c r="DS80" s="2042">
        <f t="shared" si="193"/>
        <v>0</v>
      </c>
      <c r="DT80" s="2042">
        <f t="shared" si="193"/>
        <v>0</v>
      </c>
      <c r="DU80" s="2042">
        <f t="shared" si="193"/>
        <v>0</v>
      </c>
      <c r="DV80" s="2042">
        <f t="shared" si="193"/>
        <v>0</v>
      </c>
      <c r="DW80" s="2042">
        <f t="shared" si="193"/>
        <v>0</v>
      </c>
      <c r="DX80" s="2042">
        <f t="shared" si="193"/>
        <v>0</v>
      </c>
      <c r="DY80" s="2042"/>
      <c r="DZ80" s="2042">
        <f t="shared" si="205"/>
        <v>0</v>
      </c>
      <c r="EA80" s="2042">
        <f t="shared" si="205"/>
        <v>0</v>
      </c>
      <c r="EB80" s="2042">
        <f t="shared" si="205"/>
        <v>0</v>
      </c>
      <c r="EC80" s="2042">
        <f t="shared" si="205"/>
        <v>0</v>
      </c>
      <c r="ED80" s="2042">
        <f t="shared" si="205"/>
        <v>0</v>
      </c>
      <c r="EE80" s="2042">
        <f t="shared" si="205"/>
        <v>0</v>
      </c>
      <c r="EF80" s="2042">
        <f t="shared" si="205"/>
        <v>0</v>
      </c>
      <c r="EG80" s="2042">
        <f t="shared" si="205"/>
        <v>0</v>
      </c>
      <c r="EH80" s="2042">
        <f t="shared" si="205"/>
        <v>0</v>
      </c>
      <c r="EI80" s="2042">
        <f t="shared" si="205"/>
        <v>0</v>
      </c>
      <c r="EJ80" s="2042">
        <f t="shared" si="205"/>
        <v>0</v>
      </c>
      <c r="EK80" s="2042">
        <f t="shared" si="205"/>
        <v>0</v>
      </c>
      <c r="EL80" s="2042"/>
      <c r="EM80" s="2042">
        <f t="shared" si="167"/>
        <v>0</v>
      </c>
      <c r="EN80" s="2042">
        <f t="shared" si="194"/>
        <v>0</v>
      </c>
      <c r="EO80" s="2042">
        <f t="shared" si="194"/>
        <v>0</v>
      </c>
      <c r="EP80" s="2042">
        <f t="shared" si="194"/>
        <v>0</v>
      </c>
      <c r="EQ80" s="2042">
        <f t="shared" si="194"/>
        <v>0</v>
      </c>
      <c r="ER80" s="2042">
        <f t="shared" si="194"/>
        <v>0</v>
      </c>
      <c r="ES80" s="2042">
        <f t="shared" si="194"/>
        <v>0</v>
      </c>
      <c r="ET80" s="2042">
        <f t="shared" si="194"/>
        <v>0</v>
      </c>
      <c r="EU80" s="2042">
        <f t="shared" si="194"/>
        <v>0</v>
      </c>
      <c r="EV80" s="2042">
        <f t="shared" si="194"/>
        <v>0</v>
      </c>
      <c r="EW80" s="2042">
        <f t="shared" si="194"/>
        <v>0</v>
      </c>
      <c r="EX80" s="2042">
        <f t="shared" si="194"/>
        <v>0</v>
      </c>
      <c r="EY80" s="2042"/>
      <c r="EZ80" s="2045">
        <f t="shared" si="195"/>
        <v>0</v>
      </c>
      <c r="FA80" s="2042">
        <f>EZ80+CZ80+DZ80                 -         SUMIF('Berechnung Nährstoffe und Lager'!$AX$113:$AX$155,$CX80,'Berechnung Nährstoffe und Lager'!$U$113:$U$155)/12  -$GB80*$HC80/12</f>
        <v>0</v>
      </c>
      <c r="FB80" s="2042">
        <f>FA80+DA80+EA80                 -         SUMIF('Berechnung Nährstoffe und Lager'!$AX$113:$AX$155,$CX80,'Berechnung Nährstoffe und Lager'!$U$113:$U$155)/12  -$GB80*$HC80/12</f>
        <v>0</v>
      </c>
      <c r="FC80" s="2042">
        <f>FB80+DB80+EB80                 -         SUMIF('Berechnung Nährstoffe und Lager'!$AX$113:$AX$155,$CX80,'Berechnung Nährstoffe und Lager'!$U$113:$U$155)/12  -$GB80*$HC80/12</f>
        <v>0</v>
      </c>
      <c r="FD80" s="2042">
        <f>FC80+DC80+EC80                 -         SUMIF('Berechnung Nährstoffe und Lager'!$AX$113:$AX$155,$CX80,'Berechnung Nährstoffe und Lager'!$U$113:$U$155)/12  -$GB80*$HC80/12</f>
        <v>0</v>
      </c>
      <c r="FE80" s="2042">
        <f>FD80+DD80+ED80                 -         SUMIF('Berechnung Nährstoffe und Lager'!$AX$113:$AX$155,$CX80,'Berechnung Nährstoffe und Lager'!$U$113:$U$155)/12  -$GB80*$HC80/12</f>
        <v>0</v>
      </c>
      <c r="FF80" s="2042">
        <f>FE80+DE80+EE80                 -         SUMIF('Berechnung Nährstoffe und Lager'!$AX$113:$AX$155,$CX80,'Berechnung Nährstoffe und Lager'!$U$113:$U$155)/12  -$GB80*$HC80/12</f>
        <v>0</v>
      </c>
      <c r="FG80" s="2042">
        <f>FF80+DF80+EF80                 -         SUMIF('Berechnung Nährstoffe und Lager'!$AX$113:$AX$155,$CX80,'Berechnung Nährstoffe und Lager'!$U$113:$U$155)/12  -$GB80*$HC80/12</f>
        <v>0</v>
      </c>
      <c r="FH80" s="2042">
        <f>FG80+DG80+EG80                 -         SUMIF('Berechnung Nährstoffe und Lager'!$AX$113:$AX$155,$CX80,'Berechnung Nährstoffe und Lager'!$U$113:$U$155)/12  -$GB80*$HC80/12</f>
        <v>0</v>
      </c>
      <c r="FI80" s="2042">
        <f>FH80+DH80+EH80                 -         SUMIF('Berechnung Nährstoffe und Lager'!$AX$113:$AX$155,$CX80,'Berechnung Nährstoffe und Lager'!$U$113:$U$155)/12  -$GB80*$HC80/12</f>
        <v>0</v>
      </c>
      <c r="FJ80" s="2042">
        <f>FI80+DI80+EI80                 -         SUMIF('Berechnung Nährstoffe und Lager'!$AX$113:$AX$155,$CX80,'Berechnung Nährstoffe und Lager'!$U$113:$U$155)/12  -$GB80*$HC80/12</f>
        <v>0</v>
      </c>
      <c r="FK80" s="2042">
        <f>FJ80+DJ80+EJ80                 -         SUMIF('Berechnung Nährstoffe und Lager'!$AX$113:$AX$155,$CX80,'Berechnung Nährstoffe und Lager'!$U$113:$U$155)/12  -$GB80*$HC80/12</f>
        <v>0</v>
      </c>
      <c r="FL80" s="2042">
        <f>FK80+DK80+EK80                 -         SUMIF('Berechnung Nährstoffe und Lager'!$AX$113:$AX$155,$CX80,'Berechnung Nährstoffe und Lager'!$U$113:$U$155)/12  -$GB80*$HC80/12</f>
        <v>0</v>
      </c>
      <c r="FM80" s="2042"/>
      <c r="FN80" s="2045">
        <f t="shared" si="196"/>
        <v>0</v>
      </c>
      <c r="FO80" s="2042">
        <f>FN80+DM80+EM80                 -         SUMIF('Berechnung Nährstoffe und Lager'!$AX$113:$AX$155,$CX80,'Berechnung Nährstoffe und Lager'!$V$113:$V$155)/12  -$GC80*$HC80/12</f>
        <v>0</v>
      </c>
      <c r="FP80" s="2042">
        <f>FO80+DN80+EN80                 -         SUMIF('Berechnung Nährstoffe und Lager'!$AX$113:$AX$155,$CX80,'Berechnung Nährstoffe und Lager'!$V$113:$V$155)/12  -$GC80*$HC80/12</f>
        <v>0</v>
      </c>
      <c r="FQ80" s="2042">
        <f>FP80+DO80+EO80                 -         SUMIF('Berechnung Nährstoffe und Lager'!$AX$113:$AX$155,$CX80,'Berechnung Nährstoffe und Lager'!$V$113:$V$155)/12  -$GC80*$HC80/12</f>
        <v>0</v>
      </c>
      <c r="FR80" s="2042">
        <f>FQ80+DP80+EP80                 -         SUMIF('Berechnung Nährstoffe und Lager'!$AX$113:$AX$155,$CX80,'Berechnung Nährstoffe und Lager'!$V$113:$V$155)/12  -$GC80*$HC80/12</f>
        <v>0</v>
      </c>
      <c r="FS80" s="2042">
        <f>FR80+DQ80+EQ80                 -         SUMIF('Berechnung Nährstoffe und Lager'!$AX$113:$AX$155,$CX80,'Berechnung Nährstoffe und Lager'!$V$113:$V$155)/12  -$GC80*$HC80/12</f>
        <v>0</v>
      </c>
      <c r="FT80" s="2042">
        <f>FS80+DR80+ER80                 -         SUMIF('Berechnung Nährstoffe und Lager'!$AX$113:$AX$155,$CX80,'Berechnung Nährstoffe und Lager'!$V$113:$V$155)/12  -$GC80*$HC80/12</f>
        <v>0</v>
      </c>
      <c r="FU80" s="2042">
        <f>FT80+DS80+ES80                 -         SUMIF('Berechnung Nährstoffe und Lager'!$AX$113:$AX$155,$CX80,'Berechnung Nährstoffe und Lager'!$V$113:$V$155)/12  -$GC80*$HC80/12</f>
        <v>0</v>
      </c>
      <c r="FV80" s="2042">
        <f>FU80+DT80+ET80                 -         SUMIF('Berechnung Nährstoffe und Lager'!$AX$113:$AX$155,$CX80,'Berechnung Nährstoffe und Lager'!$V$113:$V$155)/12  -$GC80*$HC80/12</f>
        <v>0</v>
      </c>
      <c r="FW80" s="2042">
        <f>FV80+DU80+EU80                 -         SUMIF('Berechnung Nährstoffe und Lager'!$AX$113:$AX$155,$CX80,'Berechnung Nährstoffe und Lager'!$V$113:$V$155)/12  -$GC80*$HC80/12</f>
        <v>0</v>
      </c>
      <c r="FX80" s="2042">
        <f>FW80+DV80+EV80                 -         SUMIF('Berechnung Nährstoffe und Lager'!$AX$113:$AX$155,$CX80,'Berechnung Nährstoffe und Lager'!$V$113:$V$155)/12  -$GC80*$HC80/12</f>
        <v>0</v>
      </c>
      <c r="FY80" s="2042">
        <f>FX80+DW80+EW80                 -         SUMIF('Berechnung Nährstoffe und Lager'!$AX$113:$AX$155,$CX80,'Berechnung Nährstoffe und Lager'!$V$113:$V$155)/12  -$GC80*$HC80/12</f>
        <v>0</v>
      </c>
      <c r="FZ80" s="2042">
        <f>FY80+DX80+EX80                 -         SUMIF('Berechnung Nährstoffe und Lager'!$AX$113:$AX$155,$CX80,'Berechnung Nährstoffe und Lager'!$V$113:$V$155)/12  -$GC80*$HC80/12</f>
        <v>0</v>
      </c>
      <c r="GA80" s="2042"/>
      <c r="GB80" s="2042">
        <f>SUMIFS($CI$14:$CI$68,$BR$14:$BR$68,$CX80)+SUMIFS($CM$14:$CM$68,$BR$14:$BR$68,$CX80)+SUMIFS($CR$14:$CR$68,$BR$14:$BR$68,$CX80)  -         SUMIF('Berechnung Nährstoffe und Lager'!$AX$113:$AX$155,$CX80,'Berechnung Nährstoffe und Lager'!$U$113:$U$155)</f>
        <v>0</v>
      </c>
      <c r="GC80" s="2042">
        <f>SUMIFS($CJ$14:$CJ$68,$BR$14:$BR$68,$CX80)+SUMIFS($CO$14:$CO$68,$BR$14:$BR$68,$CX80)+SUMIFS($CT$14:$CT$68,$BR$14:$BR$68,$CX80)  -         SUMIF('Berechnung Nährstoffe und Lager'!$AX$113:$AX$155,$CX80,'Berechnung Nährstoffe und Lager'!$V$113:$V$155)</f>
        <v>0</v>
      </c>
      <c r="GD80" s="2042"/>
      <c r="GE80" s="2042"/>
      <c r="GF80" s="2042">
        <f>SUMIF('Berechnung Nährstoffe und Lager'!$AX$113:$AX$155,$CX80,'Berechnung Nährstoffe und Lager'!$U$113:$U$155)</f>
        <v>0</v>
      </c>
      <c r="GG80" s="2042">
        <f>SUMIF('Berechnung Nährstoffe und Lager'!$AX$113:$AX$155,$CX80,'Berechnung Nährstoffe und Lager'!$V$113:$V$155)</f>
        <v>0</v>
      </c>
      <c r="GH80" s="2042">
        <f t="shared" si="197"/>
        <v>0</v>
      </c>
      <c r="GI80" s="2042">
        <f t="shared" si="198"/>
        <v>0</v>
      </c>
      <c r="GJ80" s="2042">
        <f t="shared" si="180"/>
        <v>0</v>
      </c>
      <c r="GK80" s="2042">
        <f t="shared" si="181"/>
        <v>0</v>
      </c>
      <c r="GL80" s="2042">
        <f t="shared" si="182"/>
        <v>0</v>
      </c>
      <c r="GM80" s="2042" cm="1">
        <f t="array" ref="GM80">IF(GL80=0,0,(IFERROR(SUMPRODUCT($J$14:$J$68,$CH$14:$CH$68,($BR$14:$BR$68=CX80)*1)+SUMPRODUCT($L$14:$L$68,$M$14:$M$68,$CK$14:$CK$68,($BR$14:$BR$68=CX80)*1,($BT$14:$BT$68=FALSE)*1)/10+SUMPRODUCT($R$14:$R$68,$CP$14:$CP$68,($BR$14:$BR$68=CX80)*1),0))/GL80)</f>
        <v>0</v>
      </c>
      <c r="GN80" s="2042">
        <f t="shared" si="199"/>
        <v>0</v>
      </c>
      <c r="GO80" s="2042">
        <f>(SUMIF('Berechnung Nährstoffe und Lager'!$AX$113:$AX$130,'Lagerhaltung (freiwillig)'!CX80,'Berechnung Nährstoffe und Lager'!$D$113:$D$130)+SUMIF('Berechnung Nährstoffe und Lager'!$AX$137:$AX$155,'Lagerhaltung (freiwillig)'!CX80,'Berechnung Nährstoffe und Lager'!$E$137:$E$155))</f>
        <v>0</v>
      </c>
      <c r="GP80" s="2042" cm="1">
        <f t="array" ref="GP80">IF(GO80=0,0,(IFERROR(SUMPRODUCT('Berechnung Nährstoffe und Lager'!$D$113:$D$130,'Berechnung Nährstoffe und Lager'!$F$113:$F$130,('Berechnung Nährstoffe und Lager'!$AX$113:$AX$130='Lagerhaltung (freiwillig)'!CX80)*1)+SUMPRODUCT('Berechnung Nährstoffe und Lager'!$E$137:$E$155,'Berechnung Nährstoffe und Lager'!$F$137:$F$155,('Berechnung Nährstoffe und Lager'!$AX$137:$AX$155='Lagerhaltung (freiwillig)'!CX80)*1),0))/GO80)</f>
        <v>0</v>
      </c>
      <c r="GQ80" s="2042">
        <f t="shared" si="200"/>
        <v>0</v>
      </c>
      <c r="GR80" s="2042">
        <f t="shared" si="201"/>
        <v>0</v>
      </c>
      <c r="GS80" s="2042">
        <f t="shared" si="202"/>
        <v>0</v>
      </c>
      <c r="GT80" s="2042">
        <f t="shared" si="203"/>
        <v>0</v>
      </c>
      <c r="GU80" s="2045" t="str">
        <f t="shared" si="175"/>
        <v xml:space="preserve"> </v>
      </c>
      <c r="GV80" s="2045" t="str">
        <f t="shared" si="175"/>
        <v xml:space="preserve"> </v>
      </c>
      <c r="GW80" s="2054">
        <f t="shared" si="183"/>
        <v>0</v>
      </c>
      <c r="GX80" s="2042">
        <f t="shared" si="184"/>
        <v>0</v>
      </c>
      <c r="GY80" s="2042" t="str">
        <f t="shared" si="174"/>
        <v>a</v>
      </c>
      <c r="GZ80" s="2055">
        <f t="shared" si="185"/>
        <v>0</v>
      </c>
      <c r="HA80" s="2055">
        <f t="shared" si="186"/>
        <v>0</v>
      </c>
      <c r="HB80" s="2055"/>
      <c r="HC80" s="2046">
        <f t="shared" si="187"/>
        <v>0</v>
      </c>
      <c r="HD80" s="2055">
        <f t="shared" si="188"/>
        <v>0</v>
      </c>
      <c r="HE80" s="2055">
        <f t="shared" si="189"/>
        <v>0</v>
      </c>
      <c r="HF80" s="2055">
        <f t="shared" si="190"/>
        <v>0</v>
      </c>
      <c r="HG80" s="2282" cm="1">
        <f t="array" ref="HG80">IF(AND(HE80=0,GJ80=0),0,IF(HE80=0,1,IF(OR(GJ80*1000/HE80/HF80&gt;INDEX(Pflanzen!$AD$5:$AD$109,CX80)/INDEX(Pflanzen!$M$5:$M$109,CX80)*$HG$1,GJ80*1000/HE80/HF80&lt;INDEX(Pflanzen!$AD$5:$AD$109,CX80)/INDEX(Pflanzen!$M$5:$M$109,CX80)/$HG$1),1,0)))</f>
        <v>0</v>
      </c>
      <c r="HH80" s="2282" cm="1">
        <f t="array" ref="HH80">IF(AND(GK80=0,HE80=0),0,IF(HE80=0,1,IF(OR(GK80*1000/HE80/HF80&gt;INDEX(Pflanzen!$AE$5:$AE$109,CX80)/INDEX(Pflanzen!$M$5:$M$109,CX80)*$HG$1,GK80*1000/HE80/HF80&lt;INDEX(Pflanzen!$AE$5:$AE$109,CX80)/INDEX(Pflanzen!$M$5:$M$109,CX80)/$HG$1),1,0)))</f>
        <v>0</v>
      </c>
      <c r="HI80" s="2042">
        <f t="shared" si="191"/>
        <v>3</v>
      </c>
      <c r="HJ80" s="2042"/>
      <c r="HL80" s="2042"/>
      <c r="HM80" s="2042"/>
      <c r="HN80" s="2042"/>
      <c r="HO80" s="2042"/>
      <c r="HP80" s="2042"/>
      <c r="HQ80" s="2042"/>
      <c r="HR80" s="2042"/>
      <c r="HS80" s="2042"/>
      <c r="HT80" s="2042"/>
      <c r="HU80" s="2042"/>
      <c r="HV80" s="2042"/>
      <c r="HW80" s="2042"/>
      <c r="HX80" s="2042"/>
      <c r="HY80" s="2042"/>
      <c r="HZ80" s="2042"/>
      <c r="IA80" s="2042"/>
      <c r="IB80" s="2042"/>
      <c r="IC80" s="2042"/>
      <c r="ID80" s="2042"/>
      <c r="IE80" s="2042"/>
      <c r="IF80" s="2042"/>
      <c r="IG80" s="2042"/>
      <c r="IH80" s="2042"/>
      <c r="II80" s="2042"/>
      <c r="IJ80" s="2042"/>
    </row>
    <row r="81" spans="1:244" ht="15.6" customHeight="1" x14ac:dyDescent="0.2">
      <c r="A81" s="3067"/>
      <c r="B81" s="3123"/>
      <c r="C81" s="3123"/>
      <c r="D81" s="3123"/>
      <c r="E81" s="3124"/>
      <c r="F81" s="1259"/>
      <c r="G81" s="2314"/>
      <c r="H81" s="2293"/>
      <c r="I81" s="2310">
        <f t="shared" ref="I81:I89" si="212">IF($F81="",0,$F81)</f>
        <v>0</v>
      </c>
      <c r="J81" s="1970"/>
      <c r="K81" s="1927"/>
      <c r="L81" s="1928"/>
      <c r="M81" s="1928"/>
      <c r="N81" s="1929"/>
      <c r="O81" s="1929"/>
      <c r="P81" s="1930"/>
      <c r="Q81" s="2310">
        <f t="shared" ref="Q81:Q89" si="213">IF($F81="",0,$F81)</f>
        <v>0</v>
      </c>
      <c r="R81" s="1246"/>
      <c r="S81" s="1938"/>
      <c r="T81" s="1970"/>
      <c r="U81" s="1159"/>
      <c r="V81" s="2316" t="str">
        <f t="shared" ref="V81:V89" si="214">IF(OR(L81&gt;0,M81&gt;0,AND(OR(J81&gt;0,R81&gt;0),OR(G81="",H81="",F81=""))),"Fehler","")</f>
        <v/>
      </c>
      <c r="Y81" s="2005" t="str" cm="1">
        <f t="array" ref="Y81">IFERROR(INDEX($CW$4:$CW$171,AY81),"")</f>
        <v/>
      </c>
      <c r="Z81" s="510"/>
      <c r="AA81" s="510"/>
      <c r="AB81" s="510"/>
      <c r="AC81" s="2031" t="str" cm="1">
        <f t="array" ref="AC81">IFERROR(INDEX($GL$4:$GL$171,AY81),"")</f>
        <v/>
      </c>
      <c r="AD81" s="2031" t="str" cm="1">
        <f t="array" ref="AD81">IFERROR(INDEX($GM$4:$GM$171,AY81),"")</f>
        <v/>
      </c>
      <c r="AE81" s="2031" t="str" cm="1">
        <f t="array" ref="AE81">IFERROR(INDEX($GH$4:$GH$171,AY81),"")</f>
        <v/>
      </c>
      <c r="AF81" s="2031" t="str" cm="1">
        <f t="array" ref="AF81">IFERROR(INDEX($GI$4:$GI$171,AY81),"")</f>
        <v/>
      </c>
      <c r="AG81" s="2031" t="str" cm="1">
        <f t="array" ref="AG81">IFERROR(INDEX($GO$4:$GO$171,AY81),"")</f>
        <v/>
      </c>
      <c r="AH81" s="2031" t="str" cm="1">
        <f t="array" ref="AH81">IFERROR(INDEX($GP$4:$GP$171,AY81),"")</f>
        <v/>
      </c>
      <c r="AI81" s="2031" t="str" cm="1">
        <f t="array" ref="AI81">IFERROR(INDEX($GF$4:$GF$171,AY81),"")</f>
        <v/>
      </c>
      <c r="AJ81" s="2031" t="str" cm="1">
        <f t="array" ref="AJ81">IFERROR(INDEX($GG$4:$GG$171,AY81),"")</f>
        <v/>
      </c>
      <c r="AK81" s="2031" t="str" cm="1">
        <f t="array" ref="AK81">IFERROR(INDEX($GS$4:$GS$171,AY81),"")</f>
        <v/>
      </c>
      <c r="AL81" s="2032" t="str" cm="1">
        <f t="array" ref="AL81">IFERROR(INDEX($GT$4:$GT$171,AY81),"")</f>
        <v/>
      </c>
      <c r="AM81" s="2031" t="str" cm="1">
        <f t="array" ref="AM81">IFERROR(INDEX($GB$4:$GB$171,AY81),"")</f>
        <v/>
      </c>
      <c r="AN81" s="2031" t="str" cm="1">
        <f t="array" ref="AN81">IFERROR(INDEX($GC$4:$GC$171,AY81),"")</f>
        <v/>
      </c>
      <c r="AO81" s="2031" t="str" cm="1">
        <f t="array" ref="AO81">IFERROR(INDEX($GU$4:$GU$171,AY81),"")</f>
        <v/>
      </c>
      <c r="AP81" s="2031" t="str" cm="1">
        <f t="array" ref="AP81">IFERROR(INDEX($GX$4:$GX$171,AY81),"")</f>
        <v/>
      </c>
      <c r="AQ81" s="1316"/>
      <c r="AR81" s="2031" t="str" cm="1">
        <f t="array" ref="AR81">IFERROR(INDEX($HD$4:$HD$171,AY81),"")</f>
        <v/>
      </c>
      <c r="AS81" s="2031" t="str" cm="1">
        <f t="array" ref="AS81">IFERROR(INDEX($HE$4:$HE$171,AY81),"")</f>
        <v/>
      </c>
      <c r="AT81" s="2031" t="str" cm="1">
        <f t="array" ref="AT81">IFERROR(INDEX($HF$4:$HF$171,AY81),"")</f>
        <v/>
      </c>
      <c r="AU81" s="2031" t="str" cm="1">
        <f t="array" ref="AU81">IFERROR(INDEX($GJ$4:$GJ$171,AY81),"")</f>
        <v/>
      </c>
      <c r="AV81" s="2031" t="str" cm="1">
        <f t="array" ref="AV81">IFERROR(INDEX($GK$4:$GK$171,AY81),"")</f>
        <v/>
      </c>
      <c r="AY81" s="2042" t="str" cm="1">
        <f t="array" ref="AY81">IFERROR(SMALL(IF($HI$4:$HI$171=1,ROW($HI$4:$HI$171)-3),ROW(W66)),IFERROR(SMALL(IF($HI$4:$HI$171=2,ROW($HI$4:$HI$171)-3),ROW(W66)-COUNTIF($HI$4:$HI$171,1)),IFERROR(SMALL(IF($HI$4:$HI$171=0,ROW($HI$4:$HI$171)-3),ROW(W66)-COUNTIF($HI$4:$HI$171,1)-COUNTIF($HI$4:$HI$171,2)),"")))</f>
        <v/>
      </c>
      <c r="AZ81" s="2042" t="str">
        <f t="shared" si="171"/>
        <v>a</v>
      </c>
      <c r="BA81" s="2053" t="e">
        <f t="shared" si="172"/>
        <v>#VALUE!</v>
      </c>
      <c r="BB81" s="2053" cm="1">
        <f t="array" ref="BB81">IFERROR(INDEX($HI$4:$HI$171,AY81),0)</f>
        <v>0</v>
      </c>
      <c r="BC81" s="2053">
        <f t="shared" si="173"/>
        <v>0</v>
      </c>
      <c r="BD81" s="2053"/>
      <c r="BE81" s="2307"/>
      <c r="BF81" s="2307"/>
      <c r="BG81" s="2307"/>
      <c r="BH81" s="2307"/>
      <c r="BI81" s="2307"/>
      <c r="BJ81" s="2307"/>
      <c r="BK81" s="2307"/>
      <c r="BL81" s="2307"/>
      <c r="BM81" s="2307"/>
      <c r="BN81" s="2307"/>
      <c r="BO81" s="2307"/>
      <c r="BP81" s="2043"/>
      <c r="BQ81" s="2042"/>
      <c r="BR81" s="2042"/>
      <c r="BS81" s="2042"/>
      <c r="BT81" s="2042"/>
      <c r="BU81" s="2044"/>
      <c r="BV81" s="2044"/>
      <c r="BW81" s="2042">
        <f t="shared" si="176"/>
        <v>12</v>
      </c>
      <c r="BX81" s="2042">
        <f t="shared" si="177"/>
        <v>0</v>
      </c>
      <c r="BY81" s="2042">
        <f t="shared" si="178"/>
        <v>12</v>
      </c>
      <c r="BZ81" s="2042"/>
      <c r="CA81" s="2053"/>
      <c r="CB81" s="2053"/>
      <c r="CC81" s="2042"/>
      <c r="CD81" s="2042"/>
      <c r="CE81" s="2042"/>
      <c r="CF81" s="2042"/>
      <c r="CG81" s="2042"/>
      <c r="CH81" s="2042"/>
      <c r="CI81" s="2042">
        <f t="shared" si="206"/>
        <v>0</v>
      </c>
      <c r="CJ81" s="2042">
        <f t="shared" si="207"/>
        <v>0</v>
      </c>
      <c r="CK81" s="2042"/>
      <c r="CL81" s="2042"/>
      <c r="CM81" s="2042"/>
      <c r="CN81" s="2042"/>
      <c r="CO81" s="2042"/>
      <c r="CP81" s="2042"/>
      <c r="CQ81" s="2042">
        <f t="shared" si="208"/>
        <v>0</v>
      </c>
      <c r="CR81" s="2042">
        <f t="shared" si="209"/>
        <v>0</v>
      </c>
      <c r="CS81" s="2042">
        <f t="shared" si="210"/>
        <v>0</v>
      </c>
      <c r="CT81" s="2042">
        <f t="shared" si="211"/>
        <v>0</v>
      </c>
      <c r="CU81" s="2042">
        <f t="shared" si="179"/>
        <v>0</v>
      </c>
      <c r="CV81" s="2042"/>
      <c r="CW81" s="609" t="str">
        <f>Pflanzen!A77</f>
        <v>3 Schnittnutzungen</v>
      </c>
      <c r="CX81" s="2042">
        <f>IFERROR(MATCH($CW81,Pflanzen!$C$5:$C$119,0),1)</f>
        <v>73</v>
      </c>
      <c r="CY81" s="609" cm="1">
        <f t="array" ref="CY81">INDEX(Pflanzen!$I$5:$I$119,'Lagerhaltung (freiwillig)'!CX81)</f>
        <v>1</v>
      </c>
      <c r="CZ81" s="2042">
        <f t="shared" si="204"/>
        <v>0</v>
      </c>
      <c r="DA81" s="2042">
        <f t="shared" si="204"/>
        <v>0</v>
      </c>
      <c r="DB81" s="2042">
        <f t="shared" si="204"/>
        <v>0</v>
      </c>
      <c r="DC81" s="2042">
        <f t="shared" si="204"/>
        <v>0</v>
      </c>
      <c r="DD81" s="2042">
        <f t="shared" si="204"/>
        <v>0</v>
      </c>
      <c r="DE81" s="2042">
        <f t="shared" si="204"/>
        <v>0</v>
      </c>
      <c r="DF81" s="2042">
        <f t="shared" si="204"/>
        <v>0</v>
      </c>
      <c r="DG81" s="2042">
        <f t="shared" si="204"/>
        <v>0</v>
      </c>
      <c r="DH81" s="2042">
        <f t="shared" si="204"/>
        <v>0</v>
      </c>
      <c r="DI81" s="2042">
        <f t="shared" si="204"/>
        <v>0</v>
      </c>
      <c r="DJ81" s="2042">
        <f t="shared" si="204"/>
        <v>0</v>
      </c>
      <c r="DK81" s="2042">
        <f t="shared" si="204"/>
        <v>0</v>
      </c>
      <c r="DL81" s="2042"/>
      <c r="DM81" s="2042">
        <f t="shared" si="165"/>
        <v>0</v>
      </c>
      <c r="DN81" s="2042">
        <f t="shared" si="193"/>
        <v>0</v>
      </c>
      <c r="DO81" s="2042">
        <f t="shared" si="193"/>
        <v>0</v>
      </c>
      <c r="DP81" s="2042">
        <f t="shared" si="193"/>
        <v>0</v>
      </c>
      <c r="DQ81" s="2042">
        <f t="shared" si="193"/>
        <v>0</v>
      </c>
      <c r="DR81" s="2042">
        <f t="shared" si="193"/>
        <v>0</v>
      </c>
      <c r="DS81" s="2042">
        <f t="shared" si="193"/>
        <v>0</v>
      </c>
      <c r="DT81" s="2042">
        <f t="shared" si="193"/>
        <v>0</v>
      </c>
      <c r="DU81" s="2042">
        <f t="shared" si="193"/>
        <v>0</v>
      </c>
      <c r="DV81" s="2042">
        <f t="shared" si="193"/>
        <v>0</v>
      </c>
      <c r="DW81" s="2042">
        <f t="shared" si="193"/>
        <v>0</v>
      </c>
      <c r="DX81" s="2042">
        <f t="shared" si="193"/>
        <v>0</v>
      </c>
      <c r="DY81" s="2042"/>
      <c r="DZ81" s="2042">
        <f t="shared" si="205"/>
        <v>0</v>
      </c>
      <c r="EA81" s="2042">
        <f t="shared" si="205"/>
        <v>0</v>
      </c>
      <c r="EB81" s="2042">
        <f t="shared" si="205"/>
        <v>0</v>
      </c>
      <c r="EC81" s="2042">
        <f t="shared" si="205"/>
        <v>0</v>
      </c>
      <c r="ED81" s="2042">
        <f t="shared" si="205"/>
        <v>0</v>
      </c>
      <c r="EE81" s="2042">
        <f t="shared" si="205"/>
        <v>0</v>
      </c>
      <c r="EF81" s="2042">
        <f t="shared" si="205"/>
        <v>0</v>
      </c>
      <c r="EG81" s="2042">
        <f t="shared" si="205"/>
        <v>0</v>
      </c>
      <c r="EH81" s="2042">
        <f t="shared" si="205"/>
        <v>0</v>
      </c>
      <c r="EI81" s="2042">
        <f t="shared" si="205"/>
        <v>0</v>
      </c>
      <c r="EJ81" s="2042">
        <f t="shared" si="205"/>
        <v>0</v>
      </c>
      <c r="EK81" s="2042">
        <f t="shared" si="205"/>
        <v>0</v>
      </c>
      <c r="EL81" s="2042"/>
      <c r="EM81" s="2042">
        <f t="shared" si="167"/>
        <v>0</v>
      </c>
      <c r="EN81" s="2042">
        <f t="shared" si="194"/>
        <v>0</v>
      </c>
      <c r="EO81" s="2042">
        <f t="shared" si="194"/>
        <v>0</v>
      </c>
      <c r="EP81" s="2042">
        <f t="shared" si="194"/>
        <v>0</v>
      </c>
      <c r="EQ81" s="2042">
        <f t="shared" si="194"/>
        <v>0</v>
      </c>
      <c r="ER81" s="2042">
        <f t="shared" si="194"/>
        <v>0</v>
      </c>
      <c r="ES81" s="2042">
        <f t="shared" si="194"/>
        <v>0</v>
      </c>
      <c r="ET81" s="2042">
        <f t="shared" si="194"/>
        <v>0</v>
      </c>
      <c r="EU81" s="2042">
        <f t="shared" si="194"/>
        <v>0</v>
      </c>
      <c r="EV81" s="2042">
        <f t="shared" si="194"/>
        <v>0</v>
      </c>
      <c r="EW81" s="2042">
        <f t="shared" si="194"/>
        <v>0</v>
      </c>
      <c r="EX81" s="2042">
        <f t="shared" si="194"/>
        <v>0</v>
      </c>
      <c r="EY81" s="2042"/>
      <c r="EZ81" s="2045">
        <f t="shared" si="195"/>
        <v>0</v>
      </c>
      <c r="FA81" s="2042">
        <f>EZ81+CZ81+DZ81                 -         SUMIF('Berechnung Nährstoffe und Lager'!$AX$113:$AX$155,$CX81,'Berechnung Nährstoffe und Lager'!$U$113:$U$155)/12  -$GB81*$HC81/12</f>
        <v>0</v>
      </c>
      <c r="FB81" s="2042">
        <f>FA81+DA81+EA81                 -         SUMIF('Berechnung Nährstoffe und Lager'!$AX$113:$AX$155,$CX81,'Berechnung Nährstoffe und Lager'!$U$113:$U$155)/12  -$GB81*$HC81/12</f>
        <v>0</v>
      </c>
      <c r="FC81" s="2042">
        <f>FB81+DB81+EB81                 -         SUMIF('Berechnung Nährstoffe und Lager'!$AX$113:$AX$155,$CX81,'Berechnung Nährstoffe und Lager'!$U$113:$U$155)/12  -$GB81*$HC81/12</f>
        <v>0</v>
      </c>
      <c r="FD81" s="2042">
        <f>FC81+DC81+EC81                 -         SUMIF('Berechnung Nährstoffe und Lager'!$AX$113:$AX$155,$CX81,'Berechnung Nährstoffe und Lager'!$U$113:$U$155)/12  -$GB81*$HC81/12</f>
        <v>0</v>
      </c>
      <c r="FE81" s="2042">
        <f>FD81+DD81+ED81                 -         SUMIF('Berechnung Nährstoffe und Lager'!$AX$113:$AX$155,$CX81,'Berechnung Nährstoffe und Lager'!$U$113:$U$155)/12  -$GB81*$HC81/12</f>
        <v>0</v>
      </c>
      <c r="FF81" s="2042">
        <f>FE81+DE81+EE81                 -         SUMIF('Berechnung Nährstoffe und Lager'!$AX$113:$AX$155,$CX81,'Berechnung Nährstoffe und Lager'!$U$113:$U$155)/12  -$GB81*$HC81/12</f>
        <v>0</v>
      </c>
      <c r="FG81" s="2042">
        <f>FF81+DF81+EF81                 -         SUMIF('Berechnung Nährstoffe und Lager'!$AX$113:$AX$155,$CX81,'Berechnung Nährstoffe und Lager'!$U$113:$U$155)/12  -$GB81*$HC81/12</f>
        <v>0</v>
      </c>
      <c r="FH81" s="2042">
        <f>FG81+DG81+EG81                 -         SUMIF('Berechnung Nährstoffe und Lager'!$AX$113:$AX$155,$CX81,'Berechnung Nährstoffe und Lager'!$U$113:$U$155)/12  -$GB81*$HC81/12</f>
        <v>0</v>
      </c>
      <c r="FI81" s="2042">
        <f>FH81+DH81+EH81                 -         SUMIF('Berechnung Nährstoffe und Lager'!$AX$113:$AX$155,$CX81,'Berechnung Nährstoffe und Lager'!$U$113:$U$155)/12  -$GB81*$HC81/12</f>
        <v>0</v>
      </c>
      <c r="FJ81" s="2042">
        <f>FI81+DI81+EI81                 -         SUMIF('Berechnung Nährstoffe und Lager'!$AX$113:$AX$155,$CX81,'Berechnung Nährstoffe und Lager'!$U$113:$U$155)/12  -$GB81*$HC81/12</f>
        <v>0</v>
      </c>
      <c r="FK81" s="2042">
        <f>FJ81+DJ81+EJ81                 -         SUMIF('Berechnung Nährstoffe und Lager'!$AX$113:$AX$155,$CX81,'Berechnung Nährstoffe und Lager'!$U$113:$U$155)/12  -$GB81*$HC81/12</f>
        <v>0</v>
      </c>
      <c r="FL81" s="2042">
        <f>FK81+DK81+EK81                 -         SUMIF('Berechnung Nährstoffe und Lager'!$AX$113:$AX$155,$CX81,'Berechnung Nährstoffe und Lager'!$U$113:$U$155)/12  -$GB81*$HC81/12</f>
        <v>0</v>
      </c>
      <c r="FM81" s="2042"/>
      <c r="FN81" s="2045">
        <f t="shared" si="196"/>
        <v>0</v>
      </c>
      <c r="FO81" s="2042">
        <f>FN81+DM81+EM81                 -         SUMIF('Berechnung Nährstoffe und Lager'!$AX$113:$AX$155,$CX81,'Berechnung Nährstoffe und Lager'!$V$113:$V$155)/12  -$GC81*$HC81/12</f>
        <v>0</v>
      </c>
      <c r="FP81" s="2042">
        <f>FO81+DN81+EN81                 -         SUMIF('Berechnung Nährstoffe und Lager'!$AX$113:$AX$155,$CX81,'Berechnung Nährstoffe und Lager'!$V$113:$V$155)/12  -$GC81*$HC81/12</f>
        <v>0</v>
      </c>
      <c r="FQ81" s="2042">
        <f>FP81+DO81+EO81                 -         SUMIF('Berechnung Nährstoffe und Lager'!$AX$113:$AX$155,$CX81,'Berechnung Nährstoffe und Lager'!$V$113:$V$155)/12  -$GC81*$HC81/12</f>
        <v>0</v>
      </c>
      <c r="FR81" s="2042">
        <f>FQ81+DP81+EP81                 -         SUMIF('Berechnung Nährstoffe und Lager'!$AX$113:$AX$155,$CX81,'Berechnung Nährstoffe und Lager'!$V$113:$V$155)/12  -$GC81*$HC81/12</f>
        <v>0</v>
      </c>
      <c r="FS81" s="2042">
        <f>FR81+DQ81+EQ81                 -         SUMIF('Berechnung Nährstoffe und Lager'!$AX$113:$AX$155,$CX81,'Berechnung Nährstoffe und Lager'!$V$113:$V$155)/12  -$GC81*$HC81/12</f>
        <v>0</v>
      </c>
      <c r="FT81" s="2042">
        <f>FS81+DR81+ER81                 -         SUMIF('Berechnung Nährstoffe und Lager'!$AX$113:$AX$155,$CX81,'Berechnung Nährstoffe und Lager'!$V$113:$V$155)/12  -$GC81*$HC81/12</f>
        <v>0</v>
      </c>
      <c r="FU81" s="2042">
        <f>FT81+DS81+ES81                 -         SUMIF('Berechnung Nährstoffe und Lager'!$AX$113:$AX$155,$CX81,'Berechnung Nährstoffe und Lager'!$V$113:$V$155)/12  -$GC81*$HC81/12</f>
        <v>0</v>
      </c>
      <c r="FV81" s="2042">
        <f>FU81+DT81+ET81                 -         SUMIF('Berechnung Nährstoffe und Lager'!$AX$113:$AX$155,$CX81,'Berechnung Nährstoffe und Lager'!$V$113:$V$155)/12  -$GC81*$HC81/12</f>
        <v>0</v>
      </c>
      <c r="FW81" s="2042">
        <f>FV81+DU81+EU81                 -         SUMIF('Berechnung Nährstoffe und Lager'!$AX$113:$AX$155,$CX81,'Berechnung Nährstoffe und Lager'!$V$113:$V$155)/12  -$GC81*$HC81/12</f>
        <v>0</v>
      </c>
      <c r="FX81" s="2042">
        <f>FW81+DV81+EV81                 -         SUMIF('Berechnung Nährstoffe und Lager'!$AX$113:$AX$155,$CX81,'Berechnung Nährstoffe und Lager'!$V$113:$V$155)/12  -$GC81*$HC81/12</f>
        <v>0</v>
      </c>
      <c r="FY81" s="2042">
        <f>FX81+DW81+EW81                 -         SUMIF('Berechnung Nährstoffe und Lager'!$AX$113:$AX$155,$CX81,'Berechnung Nährstoffe und Lager'!$V$113:$V$155)/12  -$GC81*$HC81/12</f>
        <v>0</v>
      </c>
      <c r="FZ81" s="2042">
        <f>FY81+DX81+EX81                 -         SUMIF('Berechnung Nährstoffe und Lager'!$AX$113:$AX$155,$CX81,'Berechnung Nährstoffe und Lager'!$V$113:$V$155)/12  -$GC81*$HC81/12</f>
        <v>0</v>
      </c>
      <c r="GA81" s="2042"/>
      <c r="GB81" s="2042">
        <f>SUMIFS($CI$14:$CI$68,$BR$14:$BR$68,$CX81)+SUMIFS($CM$14:$CM$68,$BR$14:$BR$68,$CX81)+SUMIFS($CR$14:$CR$68,$BR$14:$BR$68,$CX81)  -         SUMIF('Berechnung Nährstoffe und Lager'!$AX$113:$AX$155,$CX81,'Berechnung Nährstoffe und Lager'!$U$113:$U$155)</f>
        <v>0</v>
      </c>
      <c r="GC81" s="2042">
        <f>SUMIFS($CJ$14:$CJ$68,$BR$14:$BR$68,$CX81)+SUMIFS($CO$14:$CO$68,$BR$14:$BR$68,$CX81)+SUMIFS($CT$14:$CT$68,$BR$14:$BR$68,$CX81)  -         SUMIF('Berechnung Nährstoffe und Lager'!$AX$113:$AX$155,$CX81,'Berechnung Nährstoffe und Lager'!$V$113:$V$155)</f>
        <v>0</v>
      </c>
      <c r="GD81" s="2042"/>
      <c r="GE81" s="2042"/>
      <c r="GF81" s="2042">
        <f>SUMIF('Berechnung Nährstoffe und Lager'!$AX$113:$AX$155,$CX81,'Berechnung Nährstoffe und Lager'!$U$113:$U$155)</f>
        <v>0</v>
      </c>
      <c r="GG81" s="2042">
        <f>SUMIF('Berechnung Nährstoffe und Lager'!$AX$113:$AX$155,$CX81,'Berechnung Nährstoffe und Lager'!$V$113:$V$155)</f>
        <v>0</v>
      </c>
      <c r="GH81" s="2042">
        <f t="shared" si="197"/>
        <v>0</v>
      </c>
      <c r="GI81" s="2042">
        <f t="shared" si="198"/>
        <v>0</v>
      </c>
      <c r="GJ81" s="2042">
        <f t="shared" si="180"/>
        <v>0</v>
      </c>
      <c r="GK81" s="2042">
        <f t="shared" si="181"/>
        <v>0</v>
      </c>
      <c r="GL81" s="2042">
        <f t="shared" si="182"/>
        <v>0</v>
      </c>
      <c r="GM81" s="2042" cm="1">
        <f t="array" ref="GM81">IF(GL81=0,0,(IFERROR(SUMPRODUCT($J$14:$J$68,$CH$14:$CH$68,($BR$14:$BR$68=CX81)*1)+SUMPRODUCT($L$14:$L$68,$M$14:$M$68,$CK$14:$CK$68,($BR$14:$BR$68=CX81)*1,($BT$14:$BT$68=FALSE)*1)/10+SUMPRODUCT($R$14:$R$68,$CP$14:$CP$68,($BR$14:$BR$68=CX81)*1),0))/GL81)</f>
        <v>0</v>
      </c>
      <c r="GN81" s="2042">
        <f t="shared" si="199"/>
        <v>0</v>
      </c>
      <c r="GO81" s="2042">
        <f>(SUMIF('Berechnung Nährstoffe und Lager'!$AX$113:$AX$130,'Lagerhaltung (freiwillig)'!CX81,'Berechnung Nährstoffe und Lager'!$D$113:$D$130)+SUMIF('Berechnung Nährstoffe und Lager'!$AX$137:$AX$155,'Lagerhaltung (freiwillig)'!CX81,'Berechnung Nährstoffe und Lager'!$E$137:$E$155))</f>
        <v>0</v>
      </c>
      <c r="GP81" s="2042" cm="1">
        <f t="array" ref="GP81">IF(GO81=0,0,(IFERROR(SUMPRODUCT('Berechnung Nährstoffe und Lager'!$D$113:$D$130,'Berechnung Nährstoffe und Lager'!$F$113:$F$130,('Berechnung Nährstoffe und Lager'!$AX$113:$AX$130='Lagerhaltung (freiwillig)'!CX81)*1)+SUMPRODUCT('Berechnung Nährstoffe und Lager'!$E$137:$E$155,'Berechnung Nährstoffe und Lager'!$F$137:$F$155,('Berechnung Nährstoffe und Lager'!$AX$137:$AX$155='Lagerhaltung (freiwillig)'!CX81)*1),0))/GO81)</f>
        <v>0</v>
      </c>
      <c r="GQ81" s="2042">
        <f t="shared" si="200"/>
        <v>0</v>
      </c>
      <c r="GR81" s="2042">
        <f t="shared" si="201"/>
        <v>0</v>
      </c>
      <c r="GS81" s="2042">
        <f t="shared" si="202"/>
        <v>0</v>
      </c>
      <c r="GT81" s="2042">
        <f t="shared" si="203"/>
        <v>0</v>
      </c>
      <c r="GU81" s="2045" t="str">
        <f t="shared" si="175"/>
        <v xml:space="preserve"> </v>
      </c>
      <c r="GV81" s="2045" t="str">
        <f t="shared" si="175"/>
        <v xml:space="preserve"> </v>
      </c>
      <c r="GW81" s="2054">
        <f t="shared" si="183"/>
        <v>0</v>
      </c>
      <c r="GX81" s="2042">
        <f t="shared" si="184"/>
        <v>0</v>
      </c>
      <c r="GY81" s="2042" t="str">
        <f t="shared" si="174"/>
        <v>a</v>
      </c>
      <c r="GZ81" s="2055">
        <f t="shared" si="185"/>
        <v>0</v>
      </c>
      <c r="HA81" s="2055">
        <f t="shared" si="186"/>
        <v>0</v>
      </c>
      <c r="HB81" s="2055"/>
      <c r="HC81" s="2046">
        <f t="shared" si="187"/>
        <v>0</v>
      </c>
      <c r="HD81" s="2055">
        <f t="shared" si="188"/>
        <v>0</v>
      </c>
      <c r="HE81" s="2055">
        <f t="shared" si="189"/>
        <v>0</v>
      </c>
      <c r="HF81" s="2055">
        <f t="shared" si="190"/>
        <v>0</v>
      </c>
      <c r="HG81" s="2282" cm="1">
        <f t="array" ref="HG81">IF(AND(HE81=0,GJ81=0),0,IF(HE81=0,1,IF(OR(GJ81*1000/HE81/HF81&gt;INDEX(Pflanzen!$AD$5:$AD$109,CX81)/INDEX(Pflanzen!$M$5:$M$109,CX81)*$HG$1,GJ81*1000/HE81/HF81&lt;INDEX(Pflanzen!$AD$5:$AD$109,CX81)/INDEX(Pflanzen!$M$5:$M$109,CX81)/$HG$1),1,0)))</f>
        <v>0</v>
      </c>
      <c r="HH81" s="2282" cm="1">
        <f t="array" ref="HH81">IF(AND(GK81=0,HE81=0),0,IF(HE81=0,1,IF(OR(GK81*1000/HE81/HF81&gt;INDEX(Pflanzen!$AE$5:$AE$109,CX81)/INDEX(Pflanzen!$M$5:$M$109,CX81)*$HG$1,GK81*1000/HE81/HF81&lt;INDEX(Pflanzen!$AE$5:$AE$109,CX81)/INDEX(Pflanzen!$M$5:$M$109,CX81)/$HG$1),1,0)))</f>
        <v>0</v>
      </c>
      <c r="HI81" s="2042">
        <f t="shared" si="191"/>
        <v>3</v>
      </c>
      <c r="HJ81" s="2042"/>
      <c r="HL81" s="2042"/>
      <c r="HM81" s="2042"/>
      <c r="HN81" s="2042"/>
      <c r="HO81" s="2042"/>
      <c r="HP81" s="2042"/>
      <c r="HQ81" s="2042"/>
      <c r="HR81" s="2042"/>
      <c r="HS81" s="2042"/>
      <c r="HT81" s="2042"/>
      <c r="HU81" s="2042"/>
      <c r="HV81" s="2042"/>
      <c r="HW81" s="2042"/>
      <c r="HX81" s="2042"/>
      <c r="HY81" s="2042"/>
      <c r="HZ81" s="2042"/>
      <c r="IA81" s="2042"/>
      <c r="IB81" s="2042"/>
      <c r="IC81" s="2042"/>
      <c r="ID81" s="2042"/>
      <c r="IE81" s="2042"/>
      <c r="IF81" s="2042"/>
      <c r="IG81" s="2042"/>
      <c r="IH81" s="2042"/>
      <c r="II81" s="2042"/>
      <c r="IJ81" s="2042"/>
    </row>
    <row r="82" spans="1:244" ht="15.6" customHeight="1" x14ac:dyDescent="0.2">
      <c r="A82" s="3067"/>
      <c r="B82" s="3123"/>
      <c r="C82" s="3123"/>
      <c r="D82" s="3123"/>
      <c r="E82" s="3124"/>
      <c r="F82" s="1259"/>
      <c r="G82" s="2314"/>
      <c r="H82" s="2293"/>
      <c r="I82" s="2310">
        <f t="shared" si="212"/>
        <v>0</v>
      </c>
      <c r="J82" s="1970"/>
      <c r="K82" s="1927"/>
      <c r="L82" s="1928"/>
      <c r="M82" s="1928"/>
      <c r="N82" s="1929"/>
      <c r="O82" s="1929"/>
      <c r="P82" s="1930"/>
      <c r="Q82" s="2310">
        <f t="shared" si="213"/>
        <v>0</v>
      </c>
      <c r="R82" s="1246"/>
      <c r="S82" s="1938"/>
      <c r="T82" s="1970"/>
      <c r="U82" s="1159"/>
      <c r="V82" s="2316" t="str">
        <f t="shared" si="214"/>
        <v/>
      </c>
      <c r="Y82" s="2005" t="str" cm="1">
        <f t="array" ref="Y82">IFERROR(INDEX($CW$4:$CW$171,AY82),"")</f>
        <v/>
      </c>
      <c r="Z82" s="510"/>
      <c r="AA82" s="510"/>
      <c r="AB82" s="510"/>
      <c r="AC82" s="2031" t="str" cm="1">
        <f t="array" ref="AC82">IFERROR(INDEX($GL$4:$GL$171,AY82),"")</f>
        <v/>
      </c>
      <c r="AD82" s="2031" t="str" cm="1">
        <f t="array" ref="AD82">IFERROR(INDEX($GM$4:$GM$171,AY82),"")</f>
        <v/>
      </c>
      <c r="AE82" s="2031" t="str" cm="1">
        <f t="array" ref="AE82">IFERROR(INDEX($GH$4:$GH$171,AY82),"")</f>
        <v/>
      </c>
      <c r="AF82" s="2031" t="str" cm="1">
        <f t="array" ref="AF82">IFERROR(INDEX($GI$4:$GI$171,AY82),"")</f>
        <v/>
      </c>
      <c r="AG82" s="2031" t="str" cm="1">
        <f t="array" ref="AG82">IFERROR(INDEX($GO$4:$GO$171,AY82),"")</f>
        <v/>
      </c>
      <c r="AH82" s="2031" t="str" cm="1">
        <f t="array" ref="AH82">IFERROR(INDEX($GP$4:$GP$171,AY82),"")</f>
        <v/>
      </c>
      <c r="AI82" s="2031" t="str" cm="1">
        <f t="array" ref="AI82">IFERROR(INDEX($GF$4:$GF$171,AY82),"")</f>
        <v/>
      </c>
      <c r="AJ82" s="2031" t="str" cm="1">
        <f t="array" ref="AJ82">IFERROR(INDEX($GG$4:$GG$171,AY82),"")</f>
        <v/>
      </c>
      <c r="AK82" s="2031" t="str" cm="1">
        <f t="array" ref="AK82">IFERROR(INDEX($GS$4:$GS$171,AY82),"")</f>
        <v/>
      </c>
      <c r="AL82" s="2032" t="str" cm="1">
        <f t="array" ref="AL82">IFERROR(INDEX($GT$4:$GT$171,AY82),"")</f>
        <v/>
      </c>
      <c r="AM82" s="2031" t="str" cm="1">
        <f t="array" ref="AM82">IFERROR(INDEX($GB$4:$GB$171,AY82),"")</f>
        <v/>
      </c>
      <c r="AN82" s="2031" t="str" cm="1">
        <f t="array" ref="AN82">IFERROR(INDEX($GC$4:$GC$171,AY82),"")</f>
        <v/>
      </c>
      <c r="AO82" s="2031" t="str" cm="1">
        <f t="array" ref="AO82">IFERROR(INDEX($GU$4:$GU$171,AY82),"")</f>
        <v/>
      </c>
      <c r="AP82" s="2031" t="str" cm="1">
        <f t="array" ref="AP82">IFERROR(INDEX($GX$4:$GX$171,AY82),"")</f>
        <v/>
      </c>
      <c r="AQ82" s="1316"/>
      <c r="AR82" s="2031" t="str" cm="1">
        <f t="array" ref="AR82">IFERROR(INDEX($HD$4:$HD$171,AY82),"")</f>
        <v/>
      </c>
      <c r="AS82" s="2031" t="str" cm="1">
        <f t="array" ref="AS82">IFERROR(INDEX($HE$4:$HE$171,AY82),"")</f>
        <v/>
      </c>
      <c r="AT82" s="2031" t="str" cm="1">
        <f t="array" ref="AT82">IFERROR(INDEX($HF$4:$HF$171,AY82),"")</f>
        <v/>
      </c>
      <c r="AU82" s="2031" t="str" cm="1">
        <f t="array" ref="AU82">IFERROR(INDEX($GJ$4:$GJ$171,AY82),"")</f>
        <v/>
      </c>
      <c r="AV82" s="2031" t="str" cm="1">
        <f t="array" ref="AV82">IFERROR(INDEX($GK$4:$GK$171,AY82),"")</f>
        <v/>
      </c>
      <c r="AY82" s="2042" t="str" cm="1">
        <f t="array" ref="AY82">IFERROR(SMALL(IF($HI$4:$HI$171=1,ROW($HI$4:$HI$171)-3),ROW(W67)),IFERROR(SMALL(IF($HI$4:$HI$171=2,ROW($HI$4:$HI$171)-3),ROW(W67)-COUNTIF($HI$4:$HI$171,1)),IFERROR(SMALL(IF($HI$4:$HI$171=0,ROW($HI$4:$HI$171)-3),ROW(W67)-COUNTIF($HI$4:$HI$171,1)-COUNTIF($HI$4:$HI$171,2)),"")))</f>
        <v/>
      </c>
      <c r="AZ82" s="2042" t="str">
        <f t="shared" si="171"/>
        <v>a</v>
      </c>
      <c r="BA82" s="2053" t="e">
        <f t="shared" si="172"/>
        <v>#VALUE!</v>
      </c>
      <c r="BB82" s="2053" cm="1">
        <f t="array" ref="BB82">IFERROR(INDEX($HI$4:$HI$171,AY82),0)</f>
        <v>0</v>
      </c>
      <c r="BC82" s="2053">
        <f t="shared" si="173"/>
        <v>0</v>
      </c>
      <c r="BD82" s="2053"/>
      <c r="BE82" s="2307"/>
      <c r="BF82" s="2307"/>
      <c r="BG82" s="2307"/>
      <c r="BH82" s="2307"/>
      <c r="BI82" s="2307"/>
      <c r="BJ82" s="2307"/>
      <c r="BK82" s="2307"/>
      <c r="BL82" s="2307"/>
      <c r="BM82" s="2307"/>
      <c r="BN82" s="2307"/>
      <c r="BO82" s="2307"/>
      <c r="BP82" s="2043"/>
      <c r="BQ82" s="2042"/>
      <c r="BR82" s="2042"/>
      <c r="BS82" s="2042"/>
      <c r="BT82" s="2042"/>
      <c r="BU82" s="2044"/>
      <c r="BV82" s="2044"/>
      <c r="BW82" s="2042">
        <f t="shared" si="176"/>
        <v>12</v>
      </c>
      <c r="BX82" s="2042">
        <f t="shared" si="177"/>
        <v>0</v>
      </c>
      <c r="BY82" s="2042">
        <f t="shared" si="178"/>
        <v>12</v>
      </c>
      <c r="BZ82" s="2042"/>
      <c r="CA82" s="2053"/>
      <c r="CB82" s="2053"/>
      <c r="CC82" s="2042"/>
      <c r="CD82" s="2042"/>
      <c r="CE82" s="2042"/>
      <c r="CF82" s="2042"/>
      <c r="CG82" s="2042"/>
      <c r="CH82" s="2042"/>
      <c r="CI82" s="2042">
        <f t="shared" si="206"/>
        <v>0</v>
      </c>
      <c r="CJ82" s="2042">
        <f t="shared" si="207"/>
        <v>0</v>
      </c>
      <c r="CK82" s="2042"/>
      <c r="CL82" s="2042"/>
      <c r="CM82" s="2042"/>
      <c r="CN82" s="2042"/>
      <c r="CO82" s="2042"/>
      <c r="CP82" s="2042"/>
      <c r="CQ82" s="2042">
        <f t="shared" si="208"/>
        <v>0</v>
      </c>
      <c r="CR82" s="2042">
        <f t="shared" si="209"/>
        <v>0</v>
      </c>
      <c r="CS82" s="2042">
        <f t="shared" si="210"/>
        <v>0</v>
      </c>
      <c r="CT82" s="2042">
        <f t="shared" si="211"/>
        <v>0</v>
      </c>
      <c r="CU82" s="2042">
        <f t="shared" si="179"/>
        <v>0</v>
      </c>
      <c r="CV82" s="2042"/>
      <c r="CW82" s="609" t="str">
        <f>Pflanzen!A78</f>
        <v>4 Schnittnutzungen</v>
      </c>
      <c r="CX82" s="2042">
        <f>IFERROR(MATCH($CW82,Pflanzen!$C$5:$C$119,0),1)</f>
        <v>74</v>
      </c>
      <c r="CY82" s="609" cm="1">
        <f t="array" ref="CY82">INDEX(Pflanzen!$I$5:$I$119,'Lagerhaltung (freiwillig)'!CX82)</f>
        <v>1</v>
      </c>
      <c r="CZ82" s="2042">
        <f t="shared" si="204"/>
        <v>0</v>
      </c>
      <c r="DA82" s="2042">
        <f t="shared" si="204"/>
        <v>0</v>
      </c>
      <c r="DB82" s="2042">
        <f t="shared" si="204"/>
        <v>0</v>
      </c>
      <c r="DC82" s="2042">
        <f t="shared" si="204"/>
        <v>0</v>
      </c>
      <c r="DD82" s="2042">
        <f t="shared" si="204"/>
        <v>0</v>
      </c>
      <c r="DE82" s="2042">
        <f t="shared" si="204"/>
        <v>0</v>
      </c>
      <c r="DF82" s="2042">
        <f t="shared" si="204"/>
        <v>0</v>
      </c>
      <c r="DG82" s="2042">
        <f t="shared" si="204"/>
        <v>0</v>
      </c>
      <c r="DH82" s="2042">
        <f t="shared" si="204"/>
        <v>0</v>
      </c>
      <c r="DI82" s="2042">
        <f t="shared" si="204"/>
        <v>0</v>
      </c>
      <c r="DJ82" s="2042">
        <f t="shared" si="204"/>
        <v>0</v>
      </c>
      <c r="DK82" s="2042">
        <f t="shared" si="204"/>
        <v>0</v>
      </c>
      <c r="DL82" s="2042"/>
      <c r="DM82" s="2042">
        <f t="shared" si="165"/>
        <v>0</v>
      </c>
      <c r="DN82" s="2042">
        <f t="shared" si="193"/>
        <v>0</v>
      </c>
      <c r="DO82" s="2042">
        <f t="shared" si="193"/>
        <v>0</v>
      </c>
      <c r="DP82" s="2042">
        <f t="shared" si="193"/>
        <v>0</v>
      </c>
      <c r="DQ82" s="2042">
        <f t="shared" si="193"/>
        <v>0</v>
      </c>
      <c r="DR82" s="2042">
        <f t="shared" si="193"/>
        <v>0</v>
      </c>
      <c r="DS82" s="2042">
        <f t="shared" si="193"/>
        <v>0</v>
      </c>
      <c r="DT82" s="2042">
        <f t="shared" si="193"/>
        <v>0</v>
      </c>
      <c r="DU82" s="2042">
        <f t="shared" si="193"/>
        <v>0</v>
      </c>
      <c r="DV82" s="2042">
        <f t="shared" si="193"/>
        <v>0</v>
      </c>
      <c r="DW82" s="2042">
        <f t="shared" si="193"/>
        <v>0</v>
      </c>
      <c r="DX82" s="2042">
        <f t="shared" si="193"/>
        <v>0</v>
      </c>
      <c r="DY82" s="2042"/>
      <c r="DZ82" s="2042">
        <f t="shared" si="205"/>
        <v>0</v>
      </c>
      <c r="EA82" s="2042">
        <f t="shared" si="205"/>
        <v>0</v>
      </c>
      <c r="EB82" s="2042">
        <f t="shared" si="205"/>
        <v>0</v>
      </c>
      <c r="EC82" s="2042">
        <f t="shared" si="205"/>
        <v>0</v>
      </c>
      <c r="ED82" s="2042">
        <f t="shared" si="205"/>
        <v>0</v>
      </c>
      <c r="EE82" s="2042">
        <f t="shared" si="205"/>
        <v>0</v>
      </c>
      <c r="EF82" s="2042">
        <f t="shared" si="205"/>
        <v>0</v>
      </c>
      <c r="EG82" s="2042">
        <f t="shared" si="205"/>
        <v>0</v>
      </c>
      <c r="EH82" s="2042">
        <f t="shared" si="205"/>
        <v>0</v>
      </c>
      <c r="EI82" s="2042">
        <f t="shared" si="205"/>
        <v>0</v>
      </c>
      <c r="EJ82" s="2042">
        <f t="shared" si="205"/>
        <v>0</v>
      </c>
      <c r="EK82" s="2042">
        <f t="shared" si="205"/>
        <v>0</v>
      </c>
      <c r="EL82" s="2042"/>
      <c r="EM82" s="2042">
        <f t="shared" si="167"/>
        <v>0</v>
      </c>
      <c r="EN82" s="2042">
        <f t="shared" si="194"/>
        <v>0</v>
      </c>
      <c r="EO82" s="2042">
        <f t="shared" si="194"/>
        <v>0</v>
      </c>
      <c r="EP82" s="2042">
        <f t="shared" si="194"/>
        <v>0</v>
      </c>
      <c r="EQ82" s="2042">
        <f t="shared" si="194"/>
        <v>0</v>
      </c>
      <c r="ER82" s="2042">
        <f t="shared" si="194"/>
        <v>0</v>
      </c>
      <c r="ES82" s="2042">
        <f t="shared" si="194"/>
        <v>0</v>
      </c>
      <c r="ET82" s="2042">
        <f t="shared" si="194"/>
        <v>0</v>
      </c>
      <c r="EU82" s="2042">
        <f t="shared" si="194"/>
        <v>0</v>
      </c>
      <c r="EV82" s="2042">
        <f t="shared" si="194"/>
        <v>0</v>
      </c>
      <c r="EW82" s="2042">
        <f t="shared" si="194"/>
        <v>0</v>
      </c>
      <c r="EX82" s="2042">
        <f t="shared" si="194"/>
        <v>0</v>
      </c>
      <c r="EY82" s="2042"/>
      <c r="EZ82" s="2045">
        <f t="shared" si="195"/>
        <v>0</v>
      </c>
      <c r="FA82" s="2042">
        <f>EZ82+CZ82+DZ82                 -         SUMIF('Berechnung Nährstoffe und Lager'!$AX$113:$AX$155,$CX82,'Berechnung Nährstoffe und Lager'!$U$113:$U$155)/12  -$GB82*$HC82/12</f>
        <v>0</v>
      </c>
      <c r="FB82" s="2042">
        <f>FA82+DA82+EA82                 -         SUMIF('Berechnung Nährstoffe und Lager'!$AX$113:$AX$155,$CX82,'Berechnung Nährstoffe und Lager'!$U$113:$U$155)/12  -$GB82*$HC82/12</f>
        <v>0</v>
      </c>
      <c r="FC82" s="2042">
        <f>FB82+DB82+EB82                 -         SUMIF('Berechnung Nährstoffe und Lager'!$AX$113:$AX$155,$CX82,'Berechnung Nährstoffe und Lager'!$U$113:$U$155)/12  -$GB82*$HC82/12</f>
        <v>0</v>
      </c>
      <c r="FD82" s="2042">
        <f>FC82+DC82+EC82                 -         SUMIF('Berechnung Nährstoffe und Lager'!$AX$113:$AX$155,$CX82,'Berechnung Nährstoffe und Lager'!$U$113:$U$155)/12  -$GB82*$HC82/12</f>
        <v>0</v>
      </c>
      <c r="FE82" s="2042">
        <f>FD82+DD82+ED82                 -         SUMIF('Berechnung Nährstoffe und Lager'!$AX$113:$AX$155,$CX82,'Berechnung Nährstoffe und Lager'!$U$113:$U$155)/12  -$GB82*$HC82/12</f>
        <v>0</v>
      </c>
      <c r="FF82" s="2042">
        <f>FE82+DE82+EE82                 -         SUMIF('Berechnung Nährstoffe und Lager'!$AX$113:$AX$155,$CX82,'Berechnung Nährstoffe und Lager'!$U$113:$U$155)/12  -$GB82*$HC82/12</f>
        <v>0</v>
      </c>
      <c r="FG82" s="2042">
        <f>FF82+DF82+EF82                 -         SUMIF('Berechnung Nährstoffe und Lager'!$AX$113:$AX$155,$CX82,'Berechnung Nährstoffe und Lager'!$U$113:$U$155)/12  -$GB82*$HC82/12</f>
        <v>0</v>
      </c>
      <c r="FH82" s="2042">
        <f>FG82+DG82+EG82                 -         SUMIF('Berechnung Nährstoffe und Lager'!$AX$113:$AX$155,$CX82,'Berechnung Nährstoffe und Lager'!$U$113:$U$155)/12  -$GB82*$HC82/12</f>
        <v>0</v>
      </c>
      <c r="FI82" s="2042">
        <f>FH82+DH82+EH82                 -         SUMIF('Berechnung Nährstoffe und Lager'!$AX$113:$AX$155,$CX82,'Berechnung Nährstoffe und Lager'!$U$113:$U$155)/12  -$GB82*$HC82/12</f>
        <v>0</v>
      </c>
      <c r="FJ82" s="2042">
        <f>FI82+DI82+EI82                 -         SUMIF('Berechnung Nährstoffe und Lager'!$AX$113:$AX$155,$CX82,'Berechnung Nährstoffe und Lager'!$U$113:$U$155)/12  -$GB82*$HC82/12</f>
        <v>0</v>
      </c>
      <c r="FK82" s="2042">
        <f>FJ82+DJ82+EJ82                 -         SUMIF('Berechnung Nährstoffe und Lager'!$AX$113:$AX$155,$CX82,'Berechnung Nährstoffe und Lager'!$U$113:$U$155)/12  -$GB82*$HC82/12</f>
        <v>0</v>
      </c>
      <c r="FL82" s="2042">
        <f>FK82+DK82+EK82                 -         SUMIF('Berechnung Nährstoffe und Lager'!$AX$113:$AX$155,$CX82,'Berechnung Nährstoffe und Lager'!$U$113:$U$155)/12  -$GB82*$HC82/12</f>
        <v>0</v>
      </c>
      <c r="FM82" s="2042"/>
      <c r="FN82" s="2045">
        <f t="shared" si="196"/>
        <v>0</v>
      </c>
      <c r="FO82" s="2042">
        <f>FN82+DM82+EM82                 -         SUMIF('Berechnung Nährstoffe und Lager'!$AX$113:$AX$155,$CX82,'Berechnung Nährstoffe und Lager'!$V$113:$V$155)/12  -$GC82*$HC82/12</f>
        <v>0</v>
      </c>
      <c r="FP82" s="2042">
        <f>FO82+DN82+EN82                 -         SUMIF('Berechnung Nährstoffe und Lager'!$AX$113:$AX$155,$CX82,'Berechnung Nährstoffe und Lager'!$V$113:$V$155)/12  -$GC82*$HC82/12</f>
        <v>0</v>
      </c>
      <c r="FQ82" s="2042">
        <f>FP82+DO82+EO82                 -         SUMIF('Berechnung Nährstoffe und Lager'!$AX$113:$AX$155,$CX82,'Berechnung Nährstoffe und Lager'!$V$113:$V$155)/12  -$GC82*$HC82/12</f>
        <v>0</v>
      </c>
      <c r="FR82" s="2042">
        <f>FQ82+DP82+EP82                 -         SUMIF('Berechnung Nährstoffe und Lager'!$AX$113:$AX$155,$CX82,'Berechnung Nährstoffe und Lager'!$V$113:$V$155)/12  -$GC82*$HC82/12</f>
        <v>0</v>
      </c>
      <c r="FS82" s="2042">
        <f>FR82+DQ82+EQ82                 -         SUMIF('Berechnung Nährstoffe und Lager'!$AX$113:$AX$155,$CX82,'Berechnung Nährstoffe und Lager'!$V$113:$V$155)/12  -$GC82*$HC82/12</f>
        <v>0</v>
      </c>
      <c r="FT82" s="2042">
        <f>FS82+DR82+ER82                 -         SUMIF('Berechnung Nährstoffe und Lager'!$AX$113:$AX$155,$CX82,'Berechnung Nährstoffe und Lager'!$V$113:$V$155)/12  -$GC82*$HC82/12</f>
        <v>0</v>
      </c>
      <c r="FU82" s="2042">
        <f>FT82+DS82+ES82                 -         SUMIF('Berechnung Nährstoffe und Lager'!$AX$113:$AX$155,$CX82,'Berechnung Nährstoffe und Lager'!$V$113:$V$155)/12  -$GC82*$HC82/12</f>
        <v>0</v>
      </c>
      <c r="FV82" s="2042">
        <f>FU82+DT82+ET82                 -         SUMIF('Berechnung Nährstoffe und Lager'!$AX$113:$AX$155,$CX82,'Berechnung Nährstoffe und Lager'!$V$113:$V$155)/12  -$GC82*$HC82/12</f>
        <v>0</v>
      </c>
      <c r="FW82" s="2042">
        <f>FV82+DU82+EU82                 -         SUMIF('Berechnung Nährstoffe und Lager'!$AX$113:$AX$155,$CX82,'Berechnung Nährstoffe und Lager'!$V$113:$V$155)/12  -$GC82*$HC82/12</f>
        <v>0</v>
      </c>
      <c r="FX82" s="2042">
        <f>FW82+DV82+EV82                 -         SUMIF('Berechnung Nährstoffe und Lager'!$AX$113:$AX$155,$CX82,'Berechnung Nährstoffe und Lager'!$V$113:$V$155)/12  -$GC82*$HC82/12</f>
        <v>0</v>
      </c>
      <c r="FY82" s="2042">
        <f>FX82+DW82+EW82                 -         SUMIF('Berechnung Nährstoffe und Lager'!$AX$113:$AX$155,$CX82,'Berechnung Nährstoffe und Lager'!$V$113:$V$155)/12  -$GC82*$HC82/12</f>
        <v>0</v>
      </c>
      <c r="FZ82" s="2042">
        <f>FY82+DX82+EX82                 -         SUMIF('Berechnung Nährstoffe und Lager'!$AX$113:$AX$155,$CX82,'Berechnung Nährstoffe und Lager'!$V$113:$V$155)/12  -$GC82*$HC82/12</f>
        <v>0</v>
      </c>
      <c r="GA82" s="2042"/>
      <c r="GB82" s="2042">
        <f>SUMIFS($CI$14:$CI$68,$BR$14:$BR$68,$CX82)+SUMIFS($CM$14:$CM$68,$BR$14:$BR$68,$CX82)+SUMIFS($CR$14:$CR$68,$BR$14:$BR$68,$CX82)  -         SUMIF('Berechnung Nährstoffe und Lager'!$AX$113:$AX$155,$CX82,'Berechnung Nährstoffe und Lager'!$U$113:$U$155)</f>
        <v>0</v>
      </c>
      <c r="GC82" s="2042">
        <f>SUMIFS($CJ$14:$CJ$68,$BR$14:$BR$68,$CX82)+SUMIFS($CO$14:$CO$68,$BR$14:$BR$68,$CX82)+SUMIFS($CT$14:$CT$68,$BR$14:$BR$68,$CX82)  -         SUMIF('Berechnung Nährstoffe und Lager'!$AX$113:$AX$155,$CX82,'Berechnung Nährstoffe und Lager'!$V$113:$V$155)</f>
        <v>0</v>
      </c>
      <c r="GD82" s="2042"/>
      <c r="GE82" s="2042"/>
      <c r="GF82" s="2042">
        <f>SUMIF('Berechnung Nährstoffe und Lager'!$AX$113:$AX$155,$CX82,'Berechnung Nährstoffe und Lager'!$U$113:$U$155)</f>
        <v>0</v>
      </c>
      <c r="GG82" s="2042">
        <f>SUMIF('Berechnung Nährstoffe und Lager'!$AX$113:$AX$155,$CX82,'Berechnung Nährstoffe und Lager'!$V$113:$V$155)</f>
        <v>0</v>
      </c>
      <c r="GH82" s="2042">
        <f t="shared" si="197"/>
        <v>0</v>
      </c>
      <c r="GI82" s="2042">
        <f t="shared" si="198"/>
        <v>0</v>
      </c>
      <c r="GJ82" s="2042">
        <f t="shared" si="180"/>
        <v>0</v>
      </c>
      <c r="GK82" s="2042">
        <f t="shared" si="181"/>
        <v>0</v>
      </c>
      <c r="GL82" s="2042">
        <f t="shared" si="182"/>
        <v>0</v>
      </c>
      <c r="GM82" s="2042" cm="1">
        <f t="array" ref="GM82">IF(GL82=0,0,(IFERROR(SUMPRODUCT($J$14:$J$68,$CH$14:$CH$68,($BR$14:$BR$68=CX82)*1)+SUMPRODUCT($L$14:$L$68,$M$14:$M$68,$CK$14:$CK$68,($BR$14:$BR$68=CX82)*1,($BT$14:$BT$68=FALSE)*1)/10+SUMPRODUCT($R$14:$R$68,$CP$14:$CP$68,($BR$14:$BR$68=CX82)*1),0))/GL82)</f>
        <v>0</v>
      </c>
      <c r="GN82" s="2042">
        <f t="shared" si="199"/>
        <v>0</v>
      </c>
      <c r="GO82" s="2042">
        <f>(SUMIF('Berechnung Nährstoffe und Lager'!$AX$113:$AX$130,'Lagerhaltung (freiwillig)'!CX82,'Berechnung Nährstoffe und Lager'!$D$113:$D$130)+SUMIF('Berechnung Nährstoffe und Lager'!$AX$137:$AX$155,'Lagerhaltung (freiwillig)'!CX82,'Berechnung Nährstoffe und Lager'!$E$137:$E$155))</f>
        <v>0</v>
      </c>
      <c r="GP82" s="2042" cm="1">
        <f t="array" ref="GP82">IF(GO82=0,0,(IFERROR(SUMPRODUCT('Berechnung Nährstoffe und Lager'!$D$113:$D$130,'Berechnung Nährstoffe und Lager'!$F$113:$F$130,('Berechnung Nährstoffe und Lager'!$AX$113:$AX$130='Lagerhaltung (freiwillig)'!CX82)*1)+SUMPRODUCT('Berechnung Nährstoffe und Lager'!$E$137:$E$155,'Berechnung Nährstoffe und Lager'!$F$137:$F$155,('Berechnung Nährstoffe und Lager'!$AX$137:$AX$155='Lagerhaltung (freiwillig)'!CX82)*1),0))/GO82)</f>
        <v>0</v>
      </c>
      <c r="GQ82" s="2042">
        <f t="shared" si="200"/>
        <v>0</v>
      </c>
      <c r="GR82" s="2042">
        <f t="shared" si="201"/>
        <v>0</v>
      </c>
      <c r="GS82" s="2042">
        <f t="shared" si="202"/>
        <v>0</v>
      </c>
      <c r="GT82" s="2042">
        <f t="shared" si="203"/>
        <v>0</v>
      </c>
      <c r="GU82" s="2045" t="str">
        <f t="shared" si="175"/>
        <v xml:space="preserve"> </v>
      </c>
      <c r="GV82" s="2045" t="str">
        <f t="shared" si="175"/>
        <v xml:space="preserve"> </v>
      </c>
      <c r="GW82" s="2054">
        <f t="shared" si="183"/>
        <v>0</v>
      </c>
      <c r="GX82" s="2042">
        <f t="shared" si="184"/>
        <v>0</v>
      </c>
      <c r="GY82" s="2042" t="str">
        <f t="shared" si="174"/>
        <v>a</v>
      </c>
      <c r="GZ82" s="2055">
        <f t="shared" si="185"/>
        <v>0</v>
      </c>
      <c r="HA82" s="2055">
        <f t="shared" si="186"/>
        <v>0</v>
      </c>
      <c r="HB82" s="2055"/>
      <c r="HC82" s="2046">
        <f t="shared" si="187"/>
        <v>0</v>
      </c>
      <c r="HD82" s="2055">
        <f t="shared" si="188"/>
        <v>0</v>
      </c>
      <c r="HE82" s="2055">
        <f t="shared" si="189"/>
        <v>0</v>
      </c>
      <c r="HF82" s="2055">
        <f t="shared" si="190"/>
        <v>0</v>
      </c>
      <c r="HG82" s="2282" cm="1">
        <f t="array" ref="HG82">IF(AND(HE82=0,GJ82=0),0,IF(HE82=0,1,IF(OR(GJ82*1000/HE82/HF82&gt;INDEX(Pflanzen!$AD$5:$AD$109,CX82)/INDEX(Pflanzen!$M$5:$M$109,CX82)*$HG$1,GJ82*1000/HE82/HF82&lt;INDEX(Pflanzen!$AD$5:$AD$109,CX82)/INDEX(Pflanzen!$M$5:$M$109,CX82)/$HG$1),1,0)))</f>
        <v>0</v>
      </c>
      <c r="HH82" s="2282" cm="1">
        <f t="array" ref="HH82">IF(AND(GK82=0,HE82=0),0,IF(HE82=0,1,IF(OR(GK82*1000/HE82/HF82&gt;INDEX(Pflanzen!$AE$5:$AE$109,CX82)/INDEX(Pflanzen!$M$5:$M$109,CX82)*$HG$1,GK82*1000/HE82/HF82&lt;INDEX(Pflanzen!$AE$5:$AE$109,CX82)/INDEX(Pflanzen!$M$5:$M$109,CX82)/$HG$1),1,0)))</f>
        <v>0</v>
      </c>
      <c r="HI82" s="2042">
        <f t="shared" si="191"/>
        <v>3</v>
      </c>
      <c r="HJ82" s="2042"/>
      <c r="HL82" s="2042"/>
      <c r="HM82" s="2042"/>
      <c r="HN82" s="2042"/>
      <c r="HO82" s="2042"/>
      <c r="HP82" s="2042"/>
      <c r="HQ82" s="2042"/>
      <c r="HR82" s="2042"/>
      <c r="HS82" s="2042"/>
      <c r="HT82" s="2042"/>
      <c r="HU82" s="2042"/>
      <c r="HV82" s="2042"/>
      <c r="HW82" s="2042"/>
      <c r="HX82" s="2042"/>
      <c r="HY82" s="2042"/>
      <c r="HZ82" s="2042"/>
      <c r="IA82" s="2042"/>
      <c r="IB82" s="2042"/>
      <c r="IC82" s="2042"/>
      <c r="ID82" s="2042"/>
      <c r="IE82" s="2042"/>
      <c r="IF82" s="2042"/>
      <c r="IG82" s="2042"/>
      <c r="IH82" s="2042"/>
      <c r="II82" s="2042"/>
      <c r="IJ82" s="2042"/>
    </row>
    <row r="83" spans="1:244" ht="15.6" customHeight="1" x14ac:dyDescent="0.2">
      <c r="A83" s="3067"/>
      <c r="B83" s="3123"/>
      <c r="C83" s="3123"/>
      <c r="D83" s="3123"/>
      <c r="E83" s="3124"/>
      <c r="F83" s="1259"/>
      <c r="G83" s="2314"/>
      <c r="H83" s="2293"/>
      <c r="I83" s="2310">
        <f t="shared" si="212"/>
        <v>0</v>
      </c>
      <c r="J83" s="1970"/>
      <c r="K83" s="1927"/>
      <c r="L83" s="1928"/>
      <c r="M83" s="1928"/>
      <c r="N83" s="1929"/>
      <c r="O83" s="1929"/>
      <c r="P83" s="1930"/>
      <c r="Q83" s="2310">
        <f t="shared" si="213"/>
        <v>0</v>
      </c>
      <c r="R83" s="1246"/>
      <c r="S83" s="1938"/>
      <c r="T83" s="1970"/>
      <c r="U83" s="1159"/>
      <c r="V83" s="2316" t="str">
        <f t="shared" si="214"/>
        <v/>
      </c>
      <c r="Y83" s="2005" t="str" cm="1">
        <f t="array" ref="Y83">IFERROR(INDEX($CW$4:$CW$171,AY83),"")</f>
        <v/>
      </c>
      <c r="Z83" s="510"/>
      <c r="AA83" s="510"/>
      <c r="AB83" s="510"/>
      <c r="AC83" s="2031" t="str" cm="1">
        <f t="array" ref="AC83">IFERROR(INDEX($GL$4:$GL$171,AY83),"")</f>
        <v/>
      </c>
      <c r="AD83" s="2031" t="str" cm="1">
        <f t="array" ref="AD83">IFERROR(INDEX($GM$4:$GM$171,AY83),"")</f>
        <v/>
      </c>
      <c r="AE83" s="2031" t="str" cm="1">
        <f t="array" ref="AE83">IFERROR(INDEX($GH$4:$GH$171,AY83),"")</f>
        <v/>
      </c>
      <c r="AF83" s="2031" t="str" cm="1">
        <f t="array" ref="AF83">IFERROR(INDEX($GI$4:$GI$171,AY83),"")</f>
        <v/>
      </c>
      <c r="AG83" s="2031" t="str" cm="1">
        <f t="array" ref="AG83">IFERROR(INDEX($GO$4:$GO$171,AY83),"")</f>
        <v/>
      </c>
      <c r="AH83" s="2031" t="str" cm="1">
        <f t="array" ref="AH83">IFERROR(INDEX($GP$4:$GP$171,AY83),"")</f>
        <v/>
      </c>
      <c r="AI83" s="2031" t="str" cm="1">
        <f t="array" ref="AI83">IFERROR(INDEX($GF$4:$GF$171,AY83),"")</f>
        <v/>
      </c>
      <c r="AJ83" s="2031" t="str" cm="1">
        <f t="array" ref="AJ83">IFERROR(INDEX($GG$4:$GG$171,AY83),"")</f>
        <v/>
      </c>
      <c r="AK83" s="2031" t="str" cm="1">
        <f t="array" ref="AK83">IFERROR(INDEX($GS$4:$GS$171,AY83),"")</f>
        <v/>
      </c>
      <c r="AL83" s="2032" t="str" cm="1">
        <f t="array" ref="AL83">IFERROR(INDEX($GT$4:$GT$171,AY83),"")</f>
        <v/>
      </c>
      <c r="AM83" s="2031" t="str" cm="1">
        <f t="array" ref="AM83">IFERROR(INDEX($GB$4:$GB$171,AY83),"")</f>
        <v/>
      </c>
      <c r="AN83" s="2031" t="str" cm="1">
        <f t="array" ref="AN83">IFERROR(INDEX($GC$4:$GC$171,AY83),"")</f>
        <v/>
      </c>
      <c r="AO83" s="2031" t="str" cm="1">
        <f t="array" ref="AO83">IFERROR(INDEX($GU$4:$GU$171,AY83),"")</f>
        <v/>
      </c>
      <c r="AP83" s="2031" t="str" cm="1">
        <f t="array" ref="AP83">IFERROR(INDEX($GX$4:$GX$171,AY83),"")</f>
        <v/>
      </c>
      <c r="AQ83" s="1316"/>
      <c r="AR83" s="2031" t="str" cm="1">
        <f t="array" ref="AR83">IFERROR(INDEX($HD$4:$HD$171,AY83),"")</f>
        <v/>
      </c>
      <c r="AS83" s="2031" t="str" cm="1">
        <f t="array" ref="AS83">IFERROR(INDEX($HE$4:$HE$171,AY83),"")</f>
        <v/>
      </c>
      <c r="AT83" s="2031" t="str" cm="1">
        <f t="array" ref="AT83">IFERROR(INDEX($HF$4:$HF$171,AY83),"")</f>
        <v/>
      </c>
      <c r="AU83" s="2031" t="str" cm="1">
        <f t="array" ref="AU83">IFERROR(INDEX($GJ$4:$GJ$171,AY83),"")</f>
        <v/>
      </c>
      <c r="AV83" s="2031" t="str" cm="1">
        <f t="array" ref="AV83">IFERROR(INDEX($GK$4:$GK$171,AY83),"")</f>
        <v/>
      </c>
      <c r="AY83" s="2042" t="str" cm="1">
        <f t="array" ref="AY83">IFERROR(SMALL(IF($HI$4:$HI$171=1,ROW($HI$4:$HI$171)-3),ROW(W68)),IFERROR(SMALL(IF($HI$4:$HI$171=2,ROW($HI$4:$HI$171)-3),ROW(W68)-COUNTIF($HI$4:$HI$171,1)),IFERROR(SMALL(IF($HI$4:$HI$171=0,ROW($HI$4:$HI$171)-3),ROW(W68)-COUNTIF($HI$4:$HI$171,1)-COUNTIF($HI$4:$HI$171,2)),"")))</f>
        <v/>
      </c>
      <c r="AZ83" s="2042" t="str">
        <f t="shared" si="171"/>
        <v>a</v>
      </c>
      <c r="BA83" s="2053" t="e">
        <f t="shared" si="172"/>
        <v>#VALUE!</v>
      </c>
      <c r="BB83" s="2053" cm="1">
        <f t="array" ref="BB83">IFERROR(INDEX($HI$4:$HI$171,AY83),0)</f>
        <v>0</v>
      </c>
      <c r="BC83" s="2053">
        <f t="shared" si="173"/>
        <v>0</v>
      </c>
      <c r="BD83" s="2053"/>
      <c r="BE83" s="2307"/>
      <c r="BF83" s="2307"/>
      <c r="BG83" s="2307"/>
      <c r="BH83" s="2307"/>
      <c r="BI83" s="2307"/>
      <c r="BJ83" s="2307"/>
      <c r="BK83" s="2307"/>
      <c r="BL83" s="2307"/>
      <c r="BM83" s="2307"/>
      <c r="BN83" s="2307"/>
      <c r="BO83" s="2307"/>
      <c r="BP83" s="2043"/>
      <c r="BQ83" s="2042"/>
      <c r="BR83" s="2042"/>
      <c r="BS83" s="2042"/>
      <c r="BT83" s="2042"/>
      <c r="BU83" s="2044"/>
      <c r="BV83" s="2044"/>
      <c r="BW83" s="2042">
        <f t="shared" si="176"/>
        <v>12</v>
      </c>
      <c r="BX83" s="2042">
        <f t="shared" si="177"/>
        <v>0</v>
      </c>
      <c r="BY83" s="2042">
        <f t="shared" si="178"/>
        <v>12</v>
      </c>
      <c r="BZ83" s="2042"/>
      <c r="CA83" s="2053"/>
      <c r="CB83" s="2053"/>
      <c r="CC83" s="2042"/>
      <c r="CD83" s="2042"/>
      <c r="CE83" s="2042"/>
      <c r="CF83" s="2042"/>
      <c r="CG83" s="2042"/>
      <c r="CH83" s="2042"/>
      <c r="CI83" s="2042">
        <f t="shared" si="206"/>
        <v>0</v>
      </c>
      <c r="CJ83" s="2042">
        <f t="shared" si="207"/>
        <v>0</v>
      </c>
      <c r="CK83" s="2042"/>
      <c r="CL83" s="2042"/>
      <c r="CM83" s="2042"/>
      <c r="CN83" s="2042"/>
      <c r="CO83" s="2042"/>
      <c r="CP83" s="2042"/>
      <c r="CQ83" s="2042">
        <f t="shared" si="208"/>
        <v>0</v>
      </c>
      <c r="CR83" s="2042">
        <f t="shared" si="209"/>
        <v>0</v>
      </c>
      <c r="CS83" s="2042">
        <f t="shared" si="210"/>
        <v>0</v>
      </c>
      <c r="CT83" s="2042">
        <f t="shared" si="211"/>
        <v>0</v>
      </c>
      <c r="CU83" s="2042">
        <f t="shared" si="179"/>
        <v>0</v>
      </c>
      <c r="CV83" s="2042"/>
      <c r="CW83" s="609" t="str">
        <f>Pflanzen!A79</f>
        <v>5 Schnittnutzungen</v>
      </c>
      <c r="CX83" s="2042">
        <f>IFERROR(MATCH($CW83,Pflanzen!$C$5:$C$119,0),1)</f>
        <v>75</v>
      </c>
      <c r="CY83" s="609" cm="1">
        <f t="array" ref="CY83">INDEX(Pflanzen!$I$5:$I$119,'Lagerhaltung (freiwillig)'!CX83)</f>
        <v>1</v>
      </c>
      <c r="CZ83" s="2042">
        <f t="shared" si="204"/>
        <v>0</v>
      </c>
      <c r="DA83" s="2042">
        <f t="shared" si="204"/>
        <v>0</v>
      </c>
      <c r="DB83" s="2042">
        <f t="shared" si="204"/>
        <v>0</v>
      </c>
      <c r="DC83" s="2042">
        <f t="shared" si="204"/>
        <v>0</v>
      </c>
      <c r="DD83" s="2042">
        <f t="shared" si="204"/>
        <v>0</v>
      </c>
      <c r="DE83" s="2042">
        <f t="shared" si="204"/>
        <v>0</v>
      </c>
      <c r="DF83" s="2042">
        <f t="shared" si="204"/>
        <v>0</v>
      </c>
      <c r="DG83" s="2042">
        <f t="shared" si="204"/>
        <v>0</v>
      </c>
      <c r="DH83" s="2042">
        <f t="shared" si="204"/>
        <v>0</v>
      </c>
      <c r="DI83" s="2042">
        <f t="shared" si="204"/>
        <v>0</v>
      </c>
      <c r="DJ83" s="2042">
        <f t="shared" si="204"/>
        <v>0</v>
      </c>
      <c r="DK83" s="2042">
        <f t="shared" si="204"/>
        <v>0</v>
      </c>
      <c r="DL83" s="2042"/>
      <c r="DM83" s="2042">
        <f t="shared" si="165"/>
        <v>0</v>
      </c>
      <c r="DN83" s="2042">
        <f t="shared" si="193"/>
        <v>0</v>
      </c>
      <c r="DO83" s="2042">
        <f t="shared" si="193"/>
        <v>0</v>
      </c>
      <c r="DP83" s="2042">
        <f t="shared" si="193"/>
        <v>0</v>
      </c>
      <c r="DQ83" s="2042">
        <f t="shared" si="193"/>
        <v>0</v>
      </c>
      <c r="DR83" s="2042">
        <f t="shared" si="193"/>
        <v>0</v>
      </c>
      <c r="DS83" s="2042">
        <f t="shared" si="193"/>
        <v>0</v>
      </c>
      <c r="DT83" s="2042">
        <f t="shared" si="193"/>
        <v>0</v>
      </c>
      <c r="DU83" s="2042">
        <f t="shared" si="193"/>
        <v>0</v>
      </c>
      <c r="DV83" s="2042">
        <f t="shared" si="193"/>
        <v>0</v>
      </c>
      <c r="DW83" s="2042">
        <f t="shared" si="193"/>
        <v>0</v>
      </c>
      <c r="DX83" s="2042">
        <f t="shared" si="193"/>
        <v>0</v>
      </c>
      <c r="DY83" s="2042"/>
      <c r="DZ83" s="2042">
        <f t="shared" si="205"/>
        <v>0</v>
      </c>
      <c r="EA83" s="2042">
        <f t="shared" si="205"/>
        <v>0</v>
      </c>
      <c r="EB83" s="2042">
        <f t="shared" si="205"/>
        <v>0</v>
      </c>
      <c r="EC83" s="2042">
        <f t="shared" si="205"/>
        <v>0</v>
      </c>
      <c r="ED83" s="2042">
        <f t="shared" si="205"/>
        <v>0</v>
      </c>
      <c r="EE83" s="2042">
        <f t="shared" si="205"/>
        <v>0</v>
      </c>
      <c r="EF83" s="2042">
        <f t="shared" si="205"/>
        <v>0</v>
      </c>
      <c r="EG83" s="2042">
        <f t="shared" si="205"/>
        <v>0</v>
      </c>
      <c r="EH83" s="2042">
        <f t="shared" si="205"/>
        <v>0</v>
      </c>
      <c r="EI83" s="2042">
        <f t="shared" si="205"/>
        <v>0</v>
      </c>
      <c r="EJ83" s="2042">
        <f t="shared" si="205"/>
        <v>0</v>
      </c>
      <c r="EK83" s="2042">
        <f t="shared" si="205"/>
        <v>0</v>
      </c>
      <c r="EL83" s="2042"/>
      <c r="EM83" s="2042">
        <f t="shared" si="167"/>
        <v>0</v>
      </c>
      <c r="EN83" s="2042">
        <f t="shared" si="194"/>
        <v>0</v>
      </c>
      <c r="EO83" s="2042">
        <f t="shared" si="194"/>
        <v>0</v>
      </c>
      <c r="EP83" s="2042">
        <f t="shared" si="194"/>
        <v>0</v>
      </c>
      <c r="EQ83" s="2042">
        <f t="shared" si="194"/>
        <v>0</v>
      </c>
      <c r="ER83" s="2042">
        <f t="shared" si="194"/>
        <v>0</v>
      </c>
      <c r="ES83" s="2042">
        <f t="shared" si="194"/>
        <v>0</v>
      </c>
      <c r="ET83" s="2042">
        <f t="shared" si="194"/>
        <v>0</v>
      </c>
      <c r="EU83" s="2042">
        <f t="shared" si="194"/>
        <v>0</v>
      </c>
      <c r="EV83" s="2042">
        <f t="shared" si="194"/>
        <v>0</v>
      </c>
      <c r="EW83" s="2042">
        <f t="shared" si="194"/>
        <v>0</v>
      </c>
      <c r="EX83" s="2042">
        <f t="shared" si="194"/>
        <v>0</v>
      </c>
      <c r="EY83" s="2042"/>
      <c r="EZ83" s="2045">
        <f t="shared" si="195"/>
        <v>0</v>
      </c>
      <c r="FA83" s="2042">
        <f>EZ83+CZ83+DZ83                 -         SUMIF('Berechnung Nährstoffe und Lager'!$AX$113:$AX$155,$CX83,'Berechnung Nährstoffe und Lager'!$U$113:$U$155)/12  -$GB83*$HC83/12</f>
        <v>0</v>
      </c>
      <c r="FB83" s="2042">
        <f>FA83+DA83+EA83                 -         SUMIF('Berechnung Nährstoffe und Lager'!$AX$113:$AX$155,$CX83,'Berechnung Nährstoffe und Lager'!$U$113:$U$155)/12  -$GB83*$HC83/12</f>
        <v>0</v>
      </c>
      <c r="FC83" s="2042">
        <f>FB83+DB83+EB83                 -         SUMIF('Berechnung Nährstoffe und Lager'!$AX$113:$AX$155,$CX83,'Berechnung Nährstoffe und Lager'!$U$113:$U$155)/12  -$GB83*$HC83/12</f>
        <v>0</v>
      </c>
      <c r="FD83" s="2042">
        <f>FC83+DC83+EC83                 -         SUMIF('Berechnung Nährstoffe und Lager'!$AX$113:$AX$155,$CX83,'Berechnung Nährstoffe und Lager'!$U$113:$U$155)/12  -$GB83*$HC83/12</f>
        <v>0</v>
      </c>
      <c r="FE83" s="2042">
        <f>FD83+DD83+ED83                 -         SUMIF('Berechnung Nährstoffe und Lager'!$AX$113:$AX$155,$CX83,'Berechnung Nährstoffe und Lager'!$U$113:$U$155)/12  -$GB83*$HC83/12</f>
        <v>0</v>
      </c>
      <c r="FF83" s="2042">
        <f>FE83+DE83+EE83                 -         SUMIF('Berechnung Nährstoffe und Lager'!$AX$113:$AX$155,$CX83,'Berechnung Nährstoffe und Lager'!$U$113:$U$155)/12  -$GB83*$HC83/12</f>
        <v>0</v>
      </c>
      <c r="FG83" s="2042">
        <f>FF83+DF83+EF83                 -         SUMIF('Berechnung Nährstoffe und Lager'!$AX$113:$AX$155,$CX83,'Berechnung Nährstoffe und Lager'!$U$113:$U$155)/12  -$GB83*$HC83/12</f>
        <v>0</v>
      </c>
      <c r="FH83" s="2042">
        <f>FG83+DG83+EG83                 -         SUMIF('Berechnung Nährstoffe und Lager'!$AX$113:$AX$155,$CX83,'Berechnung Nährstoffe und Lager'!$U$113:$U$155)/12  -$GB83*$HC83/12</f>
        <v>0</v>
      </c>
      <c r="FI83" s="2042">
        <f>FH83+DH83+EH83                 -         SUMIF('Berechnung Nährstoffe und Lager'!$AX$113:$AX$155,$CX83,'Berechnung Nährstoffe und Lager'!$U$113:$U$155)/12  -$GB83*$HC83/12</f>
        <v>0</v>
      </c>
      <c r="FJ83" s="2042">
        <f>FI83+DI83+EI83                 -         SUMIF('Berechnung Nährstoffe und Lager'!$AX$113:$AX$155,$CX83,'Berechnung Nährstoffe und Lager'!$U$113:$U$155)/12  -$GB83*$HC83/12</f>
        <v>0</v>
      </c>
      <c r="FK83" s="2042">
        <f>FJ83+DJ83+EJ83                 -         SUMIF('Berechnung Nährstoffe und Lager'!$AX$113:$AX$155,$CX83,'Berechnung Nährstoffe und Lager'!$U$113:$U$155)/12  -$GB83*$HC83/12</f>
        <v>0</v>
      </c>
      <c r="FL83" s="2042">
        <f>FK83+DK83+EK83                 -         SUMIF('Berechnung Nährstoffe und Lager'!$AX$113:$AX$155,$CX83,'Berechnung Nährstoffe und Lager'!$U$113:$U$155)/12  -$GB83*$HC83/12</f>
        <v>0</v>
      </c>
      <c r="FM83" s="2042"/>
      <c r="FN83" s="2045">
        <f t="shared" si="196"/>
        <v>0</v>
      </c>
      <c r="FO83" s="2042">
        <f>FN83+DM83+EM83                 -         SUMIF('Berechnung Nährstoffe und Lager'!$AX$113:$AX$155,$CX83,'Berechnung Nährstoffe und Lager'!$V$113:$V$155)/12  -$GC83*$HC83/12</f>
        <v>0</v>
      </c>
      <c r="FP83" s="2042">
        <f>FO83+DN83+EN83                 -         SUMIF('Berechnung Nährstoffe und Lager'!$AX$113:$AX$155,$CX83,'Berechnung Nährstoffe und Lager'!$V$113:$V$155)/12  -$GC83*$HC83/12</f>
        <v>0</v>
      </c>
      <c r="FQ83" s="2042">
        <f>FP83+DO83+EO83                 -         SUMIF('Berechnung Nährstoffe und Lager'!$AX$113:$AX$155,$CX83,'Berechnung Nährstoffe und Lager'!$V$113:$V$155)/12  -$GC83*$HC83/12</f>
        <v>0</v>
      </c>
      <c r="FR83" s="2042">
        <f>FQ83+DP83+EP83                 -         SUMIF('Berechnung Nährstoffe und Lager'!$AX$113:$AX$155,$CX83,'Berechnung Nährstoffe und Lager'!$V$113:$V$155)/12  -$GC83*$HC83/12</f>
        <v>0</v>
      </c>
      <c r="FS83" s="2042">
        <f>FR83+DQ83+EQ83                 -         SUMIF('Berechnung Nährstoffe und Lager'!$AX$113:$AX$155,$CX83,'Berechnung Nährstoffe und Lager'!$V$113:$V$155)/12  -$GC83*$HC83/12</f>
        <v>0</v>
      </c>
      <c r="FT83" s="2042">
        <f>FS83+DR83+ER83                 -         SUMIF('Berechnung Nährstoffe und Lager'!$AX$113:$AX$155,$CX83,'Berechnung Nährstoffe und Lager'!$V$113:$V$155)/12  -$GC83*$HC83/12</f>
        <v>0</v>
      </c>
      <c r="FU83" s="2042">
        <f>FT83+DS83+ES83                 -         SUMIF('Berechnung Nährstoffe und Lager'!$AX$113:$AX$155,$CX83,'Berechnung Nährstoffe und Lager'!$V$113:$V$155)/12  -$GC83*$HC83/12</f>
        <v>0</v>
      </c>
      <c r="FV83" s="2042">
        <f>FU83+DT83+ET83                 -         SUMIF('Berechnung Nährstoffe und Lager'!$AX$113:$AX$155,$CX83,'Berechnung Nährstoffe und Lager'!$V$113:$V$155)/12  -$GC83*$HC83/12</f>
        <v>0</v>
      </c>
      <c r="FW83" s="2042">
        <f>FV83+DU83+EU83                 -         SUMIF('Berechnung Nährstoffe und Lager'!$AX$113:$AX$155,$CX83,'Berechnung Nährstoffe und Lager'!$V$113:$V$155)/12  -$GC83*$HC83/12</f>
        <v>0</v>
      </c>
      <c r="FX83" s="2042">
        <f>FW83+DV83+EV83                 -         SUMIF('Berechnung Nährstoffe und Lager'!$AX$113:$AX$155,$CX83,'Berechnung Nährstoffe und Lager'!$V$113:$V$155)/12  -$GC83*$HC83/12</f>
        <v>0</v>
      </c>
      <c r="FY83" s="2042">
        <f>FX83+DW83+EW83                 -         SUMIF('Berechnung Nährstoffe und Lager'!$AX$113:$AX$155,$CX83,'Berechnung Nährstoffe und Lager'!$V$113:$V$155)/12  -$GC83*$HC83/12</f>
        <v>0</v>
      </c>
      <c r="FZ83" s="2042">
        <f>FY83+DX83+EX83                 -         SUMIF('Berechnung Nährstoffe und Lager'!$AX$113:$AX$155,$CX83,'Berechnung Nährstoffe und Lager'!$V$113:$V$155)/12  -$GC83*$HC83/12</f>
        <v>0</v>
      </c>
      <c r="GA83" s="2042"/>
      <c r="GB83" s="2042">
        <f>SUMIFS($CI$14:$CI$68,$BR$14:$BR$68,$CX83)+SUMIFS($CM$14:$CM$68,$BR$14:$BR$68,$CX83)+SUMIFS($CR$14:$CR$68,$BR$14:$BR$68,$CX83)  -         SUMIF('Berechnung Nährstoffe und Lager'!$AX$113:$AX$155,$CX83,'Berechnung Nährstoffe und Lager'!$U$113:$U$155)</f>
        <v>0</v>
      </c>
      <c r="GC83" s="2042">
        <f>SUMIFS($CJ$14:$CJ$68,$BR$14:$BR$68,$CX83)+SUMIFS($CO$14:$CO$68,$BR$14:$BR$68,$CX83)+SUMIFS($CT$14:$CT$68,$BR$14:$BR$68,$CX83)  -         SUMIF('Berechnung Nährstoffe und Lager'!$AX$113:$AX$155,$CX83,'Berechnung Nährstoffe und Lager'!$V$113:$V$155)</f>
        <v>0</v>
      </c>
      <c r="GD83" s="2042"/>
      <c r="GE83" s="2042"/>
      <c r="GF83" s="2042">
        <f>SUMIF('Berechnung Nährstoffe und Lager'!$AX$113:$AX$155,$CX83,'Berechnung Nährstoffe und Lager'!$U$113:$U$155)</f>
        <v>0</v>
      </c>
      <c r="GG83" s="2042">
        <f>SUMIF('Berechnung Nährstoffe und Lager'!$AX$113:$AX$155,$CX83,'Berechnung Nährstoffe und Lager'!$V$113:$V$155)</f>
        <v>0</v>
      </c>
      <c r="GH83" s="2042">
        <f t="shared" si="197"/>
        <v>0</v>
      </c>
      <c r="GI83" s="2042">
        <f t="shared" si="198"/>
        <v>0</v>
      </c>
      <c r="GJ83" s="2042">
        <f t="shared" si="180"/>
        <v>0</v>
      </c>
      <c r="GK83" s="2042">
        <f t="shared" si="181"/>
        <v>0</v>
      </c>
      <c r="GL83" s="2042">
        <f t="shared" si="182"/>
        <v>0</v>
      </c>
      <c r="GM83" s="2042" cm="1">
        <f t="array" ref="GM83">IF(GL83=0,0,(IFERROR(SUMPRODUCT($J$14:$J$68,$CH$14:$CH$68,($BR$14:$BR$68=CX83)*1)+SUMPRODUCT($L$14:$L$68,$M$14:$M$68,$CK$14:$CK$68,($BR$14:$BR$68=CX83)*1,($BT$14:$BT$68=FALSE)*1)/10+SUMPRODUCT($R$14:$R$68,$CP$14:$CP$68,($BR$14:$BR$68=CX83)*1),0))/GL83)</f>
        <v>0</v>
      </c>
      <c r="GN83" s="2042">
        <f t="shared" si="199"/>
        <v>0</v>
      </c>
      <c r="GO83" s="2042">
        <f>(SUMIF('Berechnung Nährstoffe und Lager'!$AX$113:$AX$130,'Lagerhaltung (freiwillig)'!CX83,'Berechnung Nährstoffe und Lager'!$D$113:$D$130)+SUMIF('Berechnung Nährstoffe und Lager'!$AX$137:$AX$155,'Lagerhaltung (freiwillig)'!CX83,'Berechnung Nährstoffe und Lager'!$E$137:$E$155))</f>
        <v>0</v>
      </c>
      <c r="GP83" s="2042" cm="1">
        <f t="array" ref="GP83">IF(GO83=0,0,(IFERROR(SUMPRODUCT('Berechnung Nährstoffe und Lager'!$D$113:$D$130,'Berechnung Nährstoffe und Lager'!$F$113:$F$130,('Berechnung Nährstoffe und Lager'!$AX$113:$AX$130='Lagerhaltung (freiwillig)'!CX83)*1)+SUMPRODUCT('Berechnung Nährstoffe und Lager'!$E$137:$E$155,'Berechnung Nährstoffe und Lager'!$F$137:$F$155,('Berechnung Nährstoffe und Lager'!$AX$137:$AX$155='Lagerhaltung (freiwillig)'!CX83)*1),0))/GO83)</f>
        <v>0</v>
      </c>
      <c r="GQ83" s="2042">
        <f t="shared" si="200"/>
        <v>0</v>
      </c>
      <c r="GR83" s="2042">
        <f t="shared" si="201"/>
        <v>0</v>
      </c>
      <c r="GS83" s="2042">
        <f t="shared" si="202"/>
        <v>0</v>
      </c>
      <c r="GT83" s="2042">
        <f t="shared" si="203"/>
        <v>0</v>
      </c>
      <c r="GU83" s="2045" t="str">
        <f t="shared" si="175"/>
        <v xml:space="preserve"> </v>
      </c>
      <c r="GV83" s="2045" t="str">
        <f t="shared" si="175"/>
        <v xml:space="preserve"> </v>
      </c>
      <c r="GW83" s="2054">
        <f t="shared" si="183"/>
        <v>0</v>
      </c>
      <c r="GX83" s="2042">
        <f t="shared" si="184"/>
        <v>0</v>
      </c>
      <c r="GY83" s="2042" t="str">
        <f t="shared" si="174"/>
        <v>a</v>
      </c>
      <c r="GZ83" s="2055">
        <f t="shared" si="185"/>
        <v>0</v>
      </c>
      <c r="HA83" s="2055">
        <f t="shared" si="186"/>
        <v>0</v>
      </c>
      <c r="HB83" s="2055"/>
      <c r="HC83" s="2046">
        <f t="shared" si="187"/>
        <v>0</v>
      </c>
      <c r="HD83" s="2055">
        <f t="shared" si="188"/>
        <v>0</v>
      </c>
      <c r="HE83" s="2055">
        <f t="shared" si="189"/>
        <v>0</v>
      </c>
      <c r="HF83" s="2055">
        <f t="shared" si="190"/>
        <v>0</v>
      </c>
      <c r="HG83" s="2282" cm="1">
        <f t="array" ref="HG83">IF(AND(HE83=0,GJ83=0),0,IF(HE83=0,1,IF(OR(GJ83*1000/HE83/HF83&gt;INDEX(Pflanzen!$AD$5:$AD$109,CX83)/INDEX(Pflanzen!$M$5:$M$109,CX83)*$HG$1,GJ83*1000/HE83/HF83&lt;INDEX(Pflanzen!$AD$5:$AD$109,CX83)/INDEX(Pflanzen!$M$5:$M$109,CX83)/$HG$1),1,0)))</f>
        <v>0</v>
      </c>
      <c r="HH83" s="2282" cm="1">
        <f t="array" ref="HH83">IF(AND(GK83=0,HE83=0),0,IF(HE83=0,1,IF(OR(GK83*1000/HE83/HF83&gt;INDEX(Pflanzen!$AE$5:$AE$109,CX83)/INDEX(Pflanzen!$M$5:$M$109,CX83)*$HG$1,GK83*1000/HE83/HF83&lt;INDEX(Pflanzen!$AE$5:$AE$109,CX83)/INDEX(Pflanzen!$M$5:$M$109,CX83)/$HG$1),1,0)))</f>
        <v>0</v>
      </c>
      <c r="HI83" s="2042">
        <f t="shared" si="191"/>
        <v>3</v>
      </c>
      <c r="HJ83" s="2042"/>
      <c r="HL83" s="2042"/>
      <c r="HM83" s="2042"/>
      <c r="HN83" s="2042"/>
      <c r="HO83" s="2042"/>
      <c r="HP83" s="2042"/>
      <c r="HQ83" s="2042"/>
      <c r="HR83" s="2042"/>
      <c r="HS83" s="2042"/>
      <c r="HT83" s="2042"/>
      <c r="HU83" s="2042"/>
      <c r="HV83" s="2042"/>
      <c r="HW83" s="2042"/>
      <c r="HX83" s="2042"/>
      <c r="HY83" s="2042"/>
      <c r="HZ83" s="2042"/>
      <c r="IA83" s="2042"/>
      <c r="IB83" s="2042"/>
      <c r="IC83" s="2042"/>
      <c r="ID83" s="2042"/>
      <c r="IE83" s="2042"/>
      <c r="IF83" s="2042"/>
      <c r="IG83" s="2042"/>
      <c r="IH83" s="2042"/>
      <c r="II83" s="2042"/>
      <c r="IJ83" s="2042"/>
    </row>
    <row r="84" spans="1:244" ht="15.6" customHeight="1" x14ac:dyDescent="0.2">
      <c r="A84" s="3067"/>
      <c r="B84" s="3123"/>
      <c r="C84" s="3123"/>
      <c r="D84" s="3123"/>
      <c r="E84" s="3124"/>
      <c r="F84" s="1259"/>
      <c r="G84" s="2314"/>
      <c r="H84" s="2293"/>
      <c r="I84" s="2310">
        <f t="shared" si="212"/>
        <v>0</v>
      </c>
      <c r="J84" s="1970"/>
      <c r="K84" s="1927"/>
      <c r="L84" s="1928"/>
      <c r="M84" s="1928"/>
      <c r="N84" s="1929"/>
      <c r="O84" s="1929"/>
      <c r="P84" s="1930"/>
      <c r="Q84" s="2310">
        <f t="shared" si="213"/>
        <v>0</v>
      </c>
      <c r="R84" s="1246"/>
      <c r="S84" s="1938"/>
      <c r="T84" s="1970"/>
      <c r="U84" s="1159"/>
      <c r="V84" s="2316" t="str">
        <f t="shared" si="214"/>
        <v/>
      </c>
      <c r="X84" s="1129"/>
      <c r="Y84" s="2005" t="str" cm="1">
        <f t="array" ref="Y84">IFERROR(INDEX($CW$4:$CW$171,AY84),"")</f>
        <v/>
      </c>
      <c r="Z84" s="510"/>
      <c r="AA84" s="510"/>
      <c r="AB84" s="510"/>
      <c r="AC84" s="2031" t="str" cm="1">
        <f t="array" ref="AC84">IFERROR(INDEX($GL$4:$GL$171,AY84),"")</f>
        <v/>
      </c>
      <c r="AD84" s="2031" t="str" cm="1">
        <f t="array" ref="AD84">IFERROR(INDEX($GM$4:$GM$171,AY84),"")</f>
        <v/>
      </c>
      <c r="AE84" s="2031" t="str" cm="1">
        <f t="array" ref="AE84">IFERROR(INDEX($GH$4:$GH$171,AY84),"")</f>
        <v/>
      </c>
      <c r="AF84" s="2031" t="str" cm="1">
        <f t="array" ref="AF84">IFERROR(INDEX($GI$4:$GI$171,AY84),"")</f>
        <v/>
      </c>
      <c r="AG84" s="2031" t="str" cm="1">
        <f t="array" ref="AG84">IFERROR(INDEX($GO$4:$GO$171,AY84),"")</f>
        <v/>
      </c>
      <c r="AH84" s="2031" t="str" cm="1">
        <f t="array" ref="AH84">IFERROR(INDEX($GP$4:$GP$171,AY84),"")</f>
        <v/>
      </c>
      <c r="AI84" s="2031" t="str" cm="1">
        <f t="array" ref="AI84">IFERROR(INDEX($GF$4:$GF$171,AY84),"")</f>
        <v/>
      </c>
      <c r="AJ84" s="2031" t="str" cm="1">
        <f t="array" ref="AJ84">IFERROR(INDEX($GG$4:$GG$171,AY84),"")</f>
        <v/>
      </c>
      <c r="AK84" s="2031" t="str" cm="1">
        <f t="array" ref="AK84">IFERROR(INDEX($GS$4:$GS$171,AY84),"")</f>
        <v/>
      </c>
      <c r="AL84" s="2032" t="str" cm="1">
        <f t="array" ref="AL84">IFERROR(INDEX($GT$4:$GT$171,AY84),"")</f>
        <v/>
      </c>
      <c r="AM84" s="2031" t="str" cm="1">
        <f t="array" ref="AM84">IFERROR(INDEX($GB$4:$GB$171,AY84),"")</f>
        <v/>
      </c>
      <c r="AN84" s="2031" t="str" cm="1">
        <f t="array" ref="AN84">IFERROR(INDEX($GC$4:$GC$171,AY84),"")</f>
        <v/>
      </c>
      <c r="AO84" s="2031" t="str" cm="1">
        <f t="array" ref="AO84">IFERROR(INDEX($GU$4:$GU$171,AY84),"")</f>
        <v/>
      </c>
      <c r="AP84" s="2031" t="str" cm="1">
        <f t="array" ref="AP84">IFERROR(INDEX($GX$4:$GX$171,AY84),"")</f>
        <v/>
      </c>
      <c r="AQ84" s="1316"/>
      <c r="AR84" s="2031" t="str" cm="1">
        <f t="array" ref="AR84">IFERROR(INDEX($HD$4:$HD$171,AY84),"")</f>
        <v/>
      </c>
      <c r="AS84" s="2031" t="str" cm="1">
        <f t="array" ref="AS84">IFERROR(INDEX($HE$4:$HE$171,AY84),"")</f>
        <v/>
      </c>
      <c r="AT84" s="2031" t="str" cm="1">
        <f t="array" ref="AT84">IFERROR(INDEX($HF$4:$HF$171,AY84),"")</f>
        <v/>
      </c>
      <c r="AU84" s="2031" t="str" cm="1">
        <f t="array" ref="AU84">IFERROR(INDEX($GJ$4:$GJ$171,AY84),"")</f>
        <v/>
      </c>
      <c r="AV84" s="2031" t="str" cm="1">
        <f t="array" ref="AV84">IFERROR(INDEX($GK$4:$GK$171,AY84),"")</f>
        <v/>
      </c>
      <c r="AY84" s="2042" t="str" cm="1">
        <f t="array" ref="AY84">IFERROR(SMALL(IF($HI$4:$HI$171=1,ROW($HI$4:$HI$171)-3),ROW(W69)),IFERROR(SMALL(IF($HI$4:$HI$171=2,ROW($HI$4:$HI$171)-3),ROW(W69)-COUNTIF($HI$4:$HI$171,1)),IFERROR(SMALL(IF($HI$4:$HI$171=0,ROW($HI$4:$HI$171)-3),ROW(W69)-COUNTIF($HI$4:$HI$171,1)-COUNTIF($HI$4:$HI$171,2)),"")))</f>
        <v/>
      </c>
      <c r="AZ84" s="2042" t="str">
        <f t="shared" si="171"/>
        <v>a</v>
      </c>
      <c r="BA84" s="2053" t="e">
        <f t="shared" si="172"/>
        <v>#VALUE!</v>
      </c>
      <c r="BB84" s="2053" cm="1">
        <f t="array" ref="BB84">IFERROR(INDEX($HI$4:$HI$171,AY84),0)</f>
        <v>0</v>
      </c>
      <c r="BC84" s="2053">
        <f t="shared" si="173"/>
        <v>0</v>
      </c>
      <c r="BD84" s="2053"/>
      <c r="BE84" s="2307"/>
      <c r="BF84" s="2307"/>
      <c r="BG84" s="2307"/>
      <c r="BH84" s="2307"/>
      <c r="BI84" s="2307"/>
      <c r="BJ84" s="2307"/>
      <c r="BK84" s="2307"/>
      <c r="BL84" s="2307"/>
      <c r="BM84" s="2307"/>
      <c r="BN84" s="2307"/>
      <c r="BO84" s="2307"/>
      <c r="BP84" s="2043"/>
      <c r="BQ84" s="2042"/>
      <c r="BR84" s="2042"/>
      <c r="BS84" s="2042"/>
      <c r="BT84" s="2042"/>
      <c r="BU84" s="2044"/>
      <c r="BV84" s="2044"/>
      <c r="BW84" s="2042">
        <f t="shared" si="176"/>
        <v>12</v>
      </c>
      <c r="BX84" s="2042">
        <f t="shared" si="177"/>
        <v>0</v>
      </c>
      <c r="BY84" s="2042">
        <f t="shared" si="178"/>
        <v>12</v>
      </c>
      <c r="BZ84" s="2042"/>
      <c r="CA84" s="2053"/>
      <c r="CB84" s="2053"/>
      <c r="CC84" s="2042"/>
      <c r="CD84" s="2042"/>
      <c r="CE84" s="2042"/>
      <c r="CF84" s="2042"/>
      <c r="CG84" s="2042"/>
      <c r="CH84" s="2042"/>
      <c r="CI84" s="2042">
        <f t="shared" si="206"/>
        <v>0</v>
      </c>
      <c r="CJ84" s="2042">
        <f t="shared" si="207"/>
        <v>0</v>
      </c>
      <c r="CK84" s="2042"/>
      <c r="CL84" s="2042"/>
      <c r="CM84" s="2042"/>
      <c r="CN84" s="2042"/>
      <c r="CO84" s="2042"/>
      <c r="CP84" s="2042"/>
      <c r="CQ84" s="2042">
        <f t="shared" si="208"/>
        <v>0</v>
      </c>
      <c r="CR84" s="2042">
        <f t="shared" si="209"/>
        <v>0</v>
      </c>
      <c r="CS84" s="2042">
        <f t="shared" si="210"/>
        <v>0</v>
      </c>
      <c r="CT84" s="2042">
        <f t="shared" si="211"/>
        <v>0</v>
      </c>
      <c r="CU84" s="2042">
        <f t="shared" si="179"/>
        <v>0</v>
      </c>
      <c r="CV84" s="2042"/>
      <c r="CW84" s="609" t="str">
        <f>Pflanzen!A80</f>
        <v>6 Schnittnutzungen</v>
      </c>
      <c r="CX84" s="2042">
        <f>IFERROR(MATCH($CW84,Pflanzen!$C$5:$C$119,0),1)</f>
        <v>76</v>
      </c>
      <c r="CY84" s="609" cm="1">
        <f t="array" ref="CY84">INDEX(Pflanzen!$I$5:$I$119,'Lagerhaltung (freiwillig)'!CX84)</f>
        <v>1</v>
      </c>
      <c r="CZ84" s="2042">
        <f t="shared" si="204"/>
        <v>0</v>
      </c>
      <c r="DA84" s="2042">
        <f t="shared" si="204"/>
        <v>0</v>
      </c>
      <c r="DB84" s="2042">
        <f t="shared" si="204"/>
        <v>0</v>
      </c>
      <c r="DC84" s="2042">
        <f t="shared" si="204"/>
        <v>0</v>
      </c>
      <c r="DD84" s="2042">
        <f t="shared" si="204"/>
        <v>0</v>
      </c>
      <c r="DE84" s="2042">
        <f t="shared" si="204"/>
        <v>0</v>
      </c>
      <c r="DF84" s="2042">
        <f t="shared" si="204"/>
        <v>0</v>
      </c>
      <c r="DG84" s="2042">
        <f t="shared" si="204"/>
        <v>0</v>
      </c>
      <c r="DH84" s="2042">
        <f t="shared" si="204"/>
        <v>0</v>
      </c>
      <c r="DI84" s="2042">
        <f t="shared" si="204"/>
        <v>0</v>
      </c>
      <c r="DJ84" s="2042">
        <f t="shared" si="204"/>
        <v>0</v>
      </c>
      <c r="DK84" s="2042">
        <f t="shared" si="204"/>
        <v>0</v>
      </c>
      <c r="DL84" s="2042"/>
      <c r="DM84" s="2042">
        <f t="shared" si="165"/>
        <v>0</v>
      </c>
      <c r="DN84" s="2042">
        <f t="shared" si="193"/>
        <v>0</v>
      </c>
      <c r="DO84" s="2042">
        <f t="shared" si="193"/>
        <v>0</v>
      </c>
      <c r="DP84" s="2042">
        <f t="shared" si="193"/>
        <v>0</v>
      </c>
      <c r="DQ84" s="2042">
        <f t="shared" si="193"/>
        <v>0</v>
      </c>
      <c r="DR84" s="2042">
        <f t="shared" si="193"/>
        <v>0</v>
      </c>
      <c r="DS84" s="2042">
        <f t="shared" si="193"/>
        <v>0</v>
      </c>
      <c r="DT84" s="2042">
        <f t="shared" si="193"/>
        <v>0</v>
      </c>
      <c r="DU84" s="2042">
        <f t="shared" si="193"/>
        <v>0</v>
      </c>
      <c r="DV84" s="2042">
        <f t="shared" si="193"/>
        <v>0</v>
      </c>
      <c r="DW84" s="2042">
        <f t="shared" si="193"/>
        <v>0</v>
      </c>
      <c r="DX84" s="2042">
        <f t="shared" si="193"/>
        <v>0</v>
      </c>
      <c r="DY84" s="2042"/>
      <c r="DZ84" s="2042">
        <f t="shared" si="205"/>
        <v>0</v>
      </c>
      <c r="EA84" s="2042">
        <f t="shared" si="205"/>
        <v>0</v>
      </c>
      <c r="EB84" s="2042">
        <f t="shared" si="205"/>
        <v>0</v>
      </c>
      <c r="EC84" s="2042">
        <f t="shared" si="205"/>
        <v>0</v>
      </c>
      <c r="ED84" s="2042">
        <f t="shared" si="205"/>
        <v>0</v>
      </c>
      <c r="EE84" s="2042">
        <f t="shared" si="205"/>
        <v>0</v>
      </c>
      <c r="EF84" s="2042">
        <f t="shared" si="205"/>
        <v>0</v>
      </c>
      <c r="EG84" s="2042">
        <f t="shared" si="205"/>
        <v>0</v>
      </c>
      <c r="EH84" s="2042">
        <f t="shared" si="205"/>
        <v>0</v>
      </c>
      <c r="EI84" s="2042">
        <f t="shared" si="205"/>
        <v>0</v>
      </c>
      <c r="EJ84" s="2042">
        <f t="shared" si="205"/>
        <v>0</v>
      </c>
      <c r="EK84" s="2042">
        <f t="shared" si="205"/>
        <v>0</v>
      </c>
      <c r="EL84" s="2042"/>
      <c r="EM84" s="2042">
        <f t="shared" si="167"/>
        <v>0</v>
      </c>
      <c r="EN84" s="2042">
        <f t="shared" si="194"/>
        <v>0</v>
      </c>
      <c r="EO84" s="2042">
        <f t="shared" si="194"/>
        <v>0</v>
      </c>
      <c r="EP84" s="2042">
        <f t="shared" si="194"/>
        <v>0</v>
      </c>
      <c r="EQ84" s="2042">
        <f t="shared" si="194"/>
        <v>0</v>
      </c>
      <c r="ER84" s="2042">
        <f t="shared" si="194"/>
        <v>0</v>
      </c>
      <c r="ES84" s="2042">
        <f t="shared" si="194"/>
        <v>0</v>
      </c>
      <c r="ET84" s="2042">
        <f t="shared" si="194"/>
        <v>0</v>
      </c>
      <c r="EU84" s="2042">
        <f t="shared" si="194"/>
        <v>0</v>
      </c>
      <c r="EV84" s="2042">
        <f t="shared" si="194"/>
        <v>0</v>
      </c>
      <c r="EW84" s="2042">
        <f t="shared" si="194"/>
        <v>0</v>
      </c>
      <c r="EX84" s="2042">
        <f t="shared" si="194"/>
        <v>0</v>
      </c>
      <c r="EY84" s="2042"/>
      <c r="EZ84" s="2045">
        <f t="shared" si="195"/>
        <v>0</v>
      </c>
      <c r="FA84" s="2042">
        <f>EZ84+CZ84+DZ84                 -         SUMIF('Berechnung Nährstoffe und Lager'!$AX$113:$AX$155,$CX84,'Berechnung Nährstoffe und Lager'!$U$113:$U$155)/12  -$GB84*$HC84/12</f>
        <v>0</v>
      </c>
      <c r="FB84" s="2042">
        <f>FA84+DA84+EA84                 -         SUMIF('Berechnung Nährstoffe und Lager'!$AX$113:$AX$155,$CX84,'Berechnung Nährstoffe und Lager'!$U$113:$U$155)/12  -$GB84*$HC84/12</f>
        <v>0</v>
      </c>
      <c r="FC84" s="2042">
        <f>FB84+DB84+EB84                 -         SUMIF('Berechnung Nährstoffe und Lager'!$AX$113:$AX$155,$CX84,'Berechnung Nährstoffe und Lager'!$U$113:$U$155)/12  -$GB84*$HC84/12</f>
        <v>0</v>
      </c>
      <c r="FD84" s="2042">
        <f>FC84+DC84+EC84                 -         SUMIF('Berechnung Nährstoffe und Lager'!$AX$113:$AX$155,$CX84,'Berechnung Nährstoffe und Lager'!$U$113:$U$155)/12  -$GB84*$HC84/12</f>
        <v>0</v>
      </c>
      <c r="FE84" s="2042">
        <f>FD84+DD84+ED84                 -         SUMIF('Berechnung Nährstoffe und Lager'!$AX$113:$AX$155,$CX84,'Berechnung Nährstoffe und Lager'!$U$113:$U$155)/12  -$GB84*$HC84/12</f>
        <v>0</v>
      </c>
      <c r="FF84" s="2042">
        <f>FE84+DE84+EE84                 -         SUMIF('Berechnung Nährstoffe und Lager'!$AX$113:$AX$155,$CX84,'Berechnung Nährstoffe und Lager'!$U$113:$U$155)/12  -$GB84*$HC84/12</f>
        <v>0</v>
      </c>
      <c r="FG84" s="2042">
        <f>FF84+DF84+EF84                 -         SUMIF('Berechnung Nährstoffe und Lager'!$AX$113:$AX$155,$CX84,'Berechnung Nährstoffe und Lager'!$U$113:$U$155)/12  -$GB84*$HC84/12</f>
        <v>0</v>
      </c>
      <c r="FH84" s="2042">
        <f>FG84+DG84+EG84                 -         SUMIF('Berechnung Nährstoffe und Lager'!$AX$113:$AX$155,$CX84,'Berechnung Nährstoffe und Lager'!$U$113:$U$155)/12  -$GB84*$HC84/12</f>
        <v>0</v>
      </c>
      <c r="FI84" s="2042">
        <f>FH84+DH84+EH84                 -         SUMIF('Berechnung Nährstoffe und Lager'!$AX$113:$AX$155,$CX84,'Berechnung Nährstoffe und Lager'!$U$113:$U$155)/12  -$GB84*$HC84/12</f>
        <v>0</v>
      </c>
      <c r="FJ84" s="2042">
        <f>FI84+DI84+EI84                 -         SUMIF('Berechnung Nährstoffe und Lager'!$AX$113:$AX$155,$CX84,'Berechnung Nährstoffe und Lager'!$U$113:$U$155)/12  -$GB84*$HC84/12</f>
        <v>0</v>
      </c>
      <c r="FK84" s="2042">
        <f>FJ84+DJ84+EJ84                 -         SUMIF('Berechnung Nährstoffe und Lager'!$AX$113:$AX$155,$CX84,'Berechnung Nährstoffe und Lager'!$U$113:$U$155)/12  -$GB84*$HC84/12</f>
        <v>0</v>
      </c>
      <c r="FL84" s="2042">
        <f>FK84+DK84+EK84                 -         SUMIF('Berechnung Nährstoffe und Lager'!$AX$113:$AX$155,$CX84,'Berechnung Nährstoffe und Lager'!$U$113:$U$155)/12  -$GB84*$HC84/12</f>
        <v>0</v>
      </c>
      <c r="FM84" s="2042"/>
      <c r="FN84" s="2045">
        <f t="shared" si="196"/>
        <v>0</v>
      </c>
      <c r="FO84" s="2042">
        <f>FN84+DM84+EM84                 -         SUMIF('Berechnung Nährstoffe und Lager'!$AX$113:$AX$155,$CX84,'Berechnung Nährstoffe und Lager'!$V$113:$V$155)/12  -$GC84*$HC84/12</f>
        <v>0</v>
      </c>
      <c r="FP84" s="2042">
        <f>FO84+DN84+EN84                 -         SUMIF('Berechnung Nährstoffe und Lager'!$AX$113:$AX$155,$CX84,'Berechnung Nährstoffe und Lager'!$V$113:$V$155)/12  -$GC84*$HC84/12</f>
        <v>0</v>
      </c>
      <c r="FQ84" s="2042">
        <f>FP84+DO84+EO84                 -         SUMIF('Berechnung Nährstoffe und Lager'!$AX$113:$AX$155,$CX84,'Berechnung Nährstoffe und Lager'!$V$113:$V$155)/12  -$GC84*$HC84/12</f>
        <v>0</v>
      </c>
      <c r="FR84" s="2042">
        <f>FQ84+DP84+EP84                 -         SUMIF('Berechnung Nährstoffe und Lager'!$AX$113:$AX$155,$CX84,'Berechnung Nährstoffe und Lager'!$V$113:$V$155)/12  -$GC84*$HC84/12</f>
        <v>0</v>
      </c>
      <c r="FS84" s="2042">
        <f>FR84+DQ84+EQ84                 -         SUMIF('Berechnung Nährstoffe und Lager'!$AX$113:$AX$155,$CX84,'Berechnung Nährstoffe und Lager'!$V$113:$V$155)/12  -$GC84*$HC84/12</f>
        <v>0</v>
      </c>
      <c r="FT84" s="2042">
        <f>FS84+DR84+ER84                 -         SUMIF('Berechnung Nährstoffe und Lager'!$AX$113:$AX$155,$CX84,'Berechnung Nährstoffe und Lager'!$V$113:$V$155)/12  -$GC84*$HC84/12</f>
        <v>0</v>
      </c>
      <c r="FU84" s="2042">
        <f>FT84+DS84+ES84                 -         SUMIF('Berechnung Nährstoffe und Lager'!$AX$113:$AX$155,$CX84,'Berechnung Nährstoffe und Lager'!$V$113:$V$155)/12  -$GC84*$HC84/12</f>
        <v>0</v>
      </c>
      <c r="FV84" s="2042">
        <f>FU84+DT84+ET84                 -         SUMIF('Berechnung Nährstoffe und Lager'!$AX$113:$AX$155,$CX84,'Berechnung Nährstoffe und Lager'!$V$113:$V$155)/12  -$GC84*$HC84/12</f>
        <v>0</v>
      </c>
      <c r="FW84" s="2042">
        <f>FV84+DU84+EU84                 -         SUMIF('Berechnung Nährstoffe und Lager'!$AX$113:$AX$155,$CX84,'Berechnung Nährstoffe und Lager'!$V$113:$V$155)/12  -$GC84*$HC84/12</f>
        <v>0</v>
      </c>
      <c r="FX84" s="2042">
        <f>FW84+DV84+EV84                 -         SUMIF('Berechnung Nährstoffe und Lager'!$AX$113:$AX$155,$CX84,'Berechnung Nährstoffe und Lager'!$V$113:$V$155)/12  -$GC84*$HC84/12</f>
        <v>0</v>
      </c>
      <c r="FY84" s="2042">
        <f>FX84+DW84+EW84                 -         SUMIF('Berechnung Nährstoffe und Lager'!$AX$113:$AX$155,$CX84,'Berechnung Nährstoffe und Lager'!$V$113:$V$155)/12  -$GC84*$HC84/12</f>
        <v>0</v>
      </c>
      <c r="FZ84" s="2042">
        <f>FY84+DX84+EX84                 -         SUMIF('Berechnung Nährstoffe und Lager'!$AX$113:$AX$155,$CX84,'Berechnung Nährstoffe und Lager'!$V$113:$V$155)/12  -$GC84*$HC84/12</f>
        <v>0</v>
      </c>
      <c r="GA84" s="2042"/>
      <c r="GB84" s="2042">
        <f>SUMIFS($CI$14:$CI$68,$BR$14:$BR$68,$CX84)+SUMIFS($CM$14:$CM$68,$BR$14:$BR$68,$CX84)+SUMIFS($CR$14:$CR$68,$BR$14:$BR$68,$CX84)  -         SUMIF('Berechnung Nährstoffe und Lager'!$AX$113:$AX$155,$CX84,'Berechnung Nährstoffe und Lager'!$U$113:$U$155)</f>
        <v>0</v>
      </c>
      <c r="GC84" s="2042">
        <f>SUMIFS($CJ$14:$CJ$68,$BR$14:$BR$68,$CX84)+SUMIFS($CO$14:$CO$68,$BR$14:$BR$68,$CX84)+SUMIFS($CT$14:$CT$68,$BR$14:$BR$68,$CX84)  -         SUMIF('Berechnung Nährstoffe und Lager'!$AX$113:$AX$155,$CX84,'Berechnung Nährstoffe und Lager'!$V$113:$V$155)</f>
        <v>0</v>
      </c>
      <c r="GD84" s="2042"/>
      <c r="GE84" s="2042"/>
      <c r="GF84" s="2042">
        <f>SUMIF('Berechnung Nährstoffe und Lager'!$AX$113:$AX$155,$CX84,'Berechnung Nährstoffe und Lager'!$U$113:$U$155)</f>
        <v>0</v>
      </c>
      <c r="GG84" s="2042">
        <f>SUMIF('Berechnung Nährstoffe und Lager'!$AX$113:$AX$155,$CX84,'Berechnung Nährstoffe und Lager'!$V$113:$V$155)</f>
        <v>0</v>
      </c>
      <c r="GH84" s="2042">
        <f t="shared" si="197"/>
        <v>0</v>
      </c>
      <c r="GI84" s="2042">
        <f t="shared" si="198"/>
        <v>0</v>
      </c>
      <c r="GJ84" s="2042">
        <f t="shared" si="180"/>
        <v>0</v>
      </c>
      <c r="GK84" s="2042">
        <f t="shared" si="181"/>
        <v>0</v>
      </c>
      <c r="GL84" s="2042">
        <f t="shared" si="182"/>
        <v>0</v>
      </c>
      <c r="GM84" s="2042" cm="1">
        <f t="array" ref="GM84">IF(GL84=0,0,(IFERROR(SUMPRODUCT($J$14:$J$68,$CH$14:$CH$68,($BR$14:$BR$68=CX84)*1)+SUMPRODUCT($L$14:$L$68,$M$14:$M$68,$CK$14:$CK$68,($BR$14:$BR$68=CX84)*1,($BT$14:$BT$68=FALSE)*1)/10+SUMPRODUCT($R$14:$R$68,$CP$14:$CP$68,($BR$14:$BR$68=CX84)*1),0))/GL84)</f>
        <v>0</v>
      </c>
      <c r="GN84" s="2042">
        <f t="shared" si="199"/>
        <v>0</v>
      </c>
      <c r="GO84" s="2042">
        <f>(SUMIF('Berechnung Nährstoffe und Lager'!$AX$113:$AX$130,'Lagerhaltung (freiwillig)'!CX84,'Berechnung Nährstoffe und Lager'!$D$113:$D$130)+SUMIF('Berechnung Nährstoffe und Lager'!$AX$137:$AX$155,'Lagerhaltung (freiwillig)'!CX84,'Berechnung Nährstoffe und Lager'!$E$137:$E$155))</f>
        <v>0</v>
      </c>
      <c r="GP84" s="2042" cm="1">
        <f t="array" ref="GP84">IF(GO84=0,0,(IFERROR(SUMPRODUCT('Berechnung Nährstoffe und Lager'!$D$113:$D$130,'Berechnung Nährstoffe und Lager'!$F$113:$F$130,('Berechnung Nährstoffe und Lager'!$AX$113:$AX$130='Lagerhaltung (freiwillig)'!CX84)*1)+SUMPRODUCT('Berechnung Nährstoffe und Lager'!$E$137:$E$155,'Berechnung Nährstoffe und Lager'!$F$137:$F$155,('Berechnung Nährstoffe und Lager'!$AX$137:$AX$155='Lagerhaltung (freiwillig)'!CX84)*1),0))/GO84)</f>
        <v>0</v>
      </c>
      <c r="GQ84" s="2042">
        <f t="shared" si="200"/>
        <v>0</v>
      </c>
      <c r="GR84" s="2042">
        <f t="shared" si="201"/>
        <v>0</v>
      </c>
      <c r="GS84" s="2042">
        <f t="shared" si="202"/>
        <v>0</v>
      </c>
      <c r="GT84" s="2042">
        <f t="shared" si="203"/>
        <v>0</v>
      </c>
      <c r="GU84" s="2045" t="str">
        <f t="shared" si="175"/>
        <v xml:space="preserve"> </v>
      </c>
      <c r="GV84" s="2045" t="str">
        <f t="shared" si="175"/>
        <v xml:space="preserve"> </v>
      </c>
      <c r="GW84" s="2054">
        <f t="shared" si="183"/>
        <v>0</v>
      </c>
      <c r="GX84" s="2042">
        <f t="shared" si="184"/>
        <v>0</v>
      </c>
      <c r="GY84" s="2042" t="str">
        <f t="shared" si="174"/>
        <v>a</v>
      </c>
      <c r="GZ84" s="2055">
        <f t="shared" si="185"/>
        <v>0</v>
      </c>
      <c r="HA84" s="2055">
        <f t="shared" si="186"/>
        <v>0</v>
      </c>
      <c r="HB84" s="2055"/>
      <c r="HC84" s="2046">
        <f t="shared" si="187"/>
        <v>0</v>
      </c>
      <c r="HD84" s="2055">
        <f t="shared" si="188"/>
        <v>0</v>
      </c>
      <c r="HE84" s="2055">
        <f t="shared" si="189"/>
        <v>0</v>
      </c>
      <c r="HF84" s="2055">
        <f t="shared" si="190"/>
        <v>0</v>
      </c>
      <c r="HG84" s="2282" cm="1">
        <f t="array" ref="HG84">IF(AND(HE84=0,GJ84=0),0,IF(HE84=0,1,IF(OR(GJ84*1000/HE84/HF84&gt;INDEX(Pflanzen!$AD$5:$AD$109,CX84)/INDEX(Pflanzen!$M$5:$M$109,CX84)*$HG$1,GJ84*1000/HE84/HF84&lt;INDEX(Pflanzen!$AD$5:$AD$109,CX84)/INDEX(Pflanzen!$M$5:$M$109,CX84)/$HG$1),1,0)))</f>
        <v>0</v>
      </c>
      <c r="HH84" s="2282" cm="1">
        <f t="array" ref="HH84">IF(AND(GK84=0,HE84=0),0,IF(HE84=0,1,IF(OR(GK84*1000/HE84/HF84&gt;INDEX(Pflanzen!$AE$5:$AE$109,CX84)/INDEX(Pflanzen!$M$5:$M$109,CX84)*$HG$1,GK84*1000/HE84/HF84&lt;INDEX(Pflanzen!$AE$5:$AE$109,CX84)/INDEX(Pflanzen!$M$5:$M$109,CX84)/$HG$1),1,0)))</f>
        <v>0</v>
      </c>
      <c r="HI84" s="2042">
        <f t="shared" si="191"/>
        <v>3</v>
      </c>
      <c r="HJ84" s="2042"/>
      <c r="HL84" s="2042"/>
      <c r="HM84" s="2042"/>
      <c r="HN84" s="2042"/>
      <c r="HO84" s="2042"/>
      <c r="HP84" s="2042"/>
      <c r="HQ84" s="2042"/>
      <c r="HR84" s="2042"/>
      <c r="HS84" s="2042"/>
      <c r="HT84" s="2042"/>
      <c r="HU84" s="2042"/>
      <c r="HV84" s="2042"/>
      <c r="HW84" s="2042"/>
      <c r="HX84" s="2042"/>
      <c r="HY84" s="2042"/>
      <c r="HZ84" s="2042"/>
      <c r="IA84" s="2042"/>
      <c r="IB84" s="2042"/>
      <c r="IC84" s="2042"/>
      <c r="ID84" s="2042"/>
      <c r="IE84" s="2042"/>
      <c r="IF84" s="2042"/>
      <c r="IG84" s="2042"/>
      <c r="IH84" s="2042"/>
      <c r="II84" s="2042"/>
      <c r="IJ84" s="2042"/>
    </row>
    <row r="85" spans="1:244" ht="15.6" customHeight="1" x14ac:dyDescent="0.2">
      <c r="A85" s="3067"/>
      <c r="B85" s="3123"/>
      <c r="C85" s="3123"/>
      <c r="D85" s="3123"/>
      <c r="E85" s="3124"/>
      <c r="F85" s="1259"/>
      <c r="G85" s="2314"/>
      <c r="H85" s="2293"/>
      <c r="I85" s="2310">
        <f t="shared" si="212"/>
        <v>0</v>
      </c>
      <c r="J85" s="1970"/>
      <c r="K85" s="1927"/>
      <c r="L85" s="1928"/>
      <c r="M85" s="1928"/>
      <c r="N85" s="1929"/>
      <c r="O85" s="1929"/>
      <c r="P85" s="1930"/>
      <c r="Q85" s="2310">
        <f t="shared" si="213"/>
        <v>0</v>
      </c>
      <c r="R85" s="1246"/>
      <c r="S85" s="1938"/>
      <c r="T85" s="1970"/>
      <c r="U85" s="1159"/>
      <c r="V85" s="2316" t="str">
        <f t="shared" si="214"/>
        <v/>
      </c>
      <c r="X85" s="1129"/>
      <c r="Y85" s="2005" t="str" cm="1">
        <f t="array" ref="Y85">IFERROR(INDEX($CW$4:$CW$171,AY85),"")</f>
        <v/>
      </c>
      <c r="Z85" s="510"/>
      <c r="AA85" s="510"/>
      <c r="AB85" s="510"/>
      <c r="AC85" s="2031" t="str" cm="1">
        <f t="array" ref="AC85">IFERROR(INDEX($GL$4:$GL$171,AY85),"")</f>
        <v/>
      </c>
      <c r="AD85" s="2031" t="str" cm="1">
        <f t="array" ref="AD85">IFERROR(INDEX($GM$4:$GM$171,AY85),"")</f>
        <v/>
      </c>
      <c r="AE85" s="2031" t="str" cm="1">
        <f t="array" ref="AE85">IFERROR(INDEX($GH$4:$GH$171,AY85),"")</f>
        <v/>
      </c>
      <c r="AF85" s="2031" t="str" cm="1">
        <f t="array" ref="AF85">IFERROR(INDEX($GI$4:$GI$171,AY85),"")</f>
        <v/>
      </c>
      <c r="AG85" s="2031" t="str" cm="1">
        <f t="array" ref="AG85">IFERROR(INDEX($GO$4:$GO$171,AY85),"")</f>
        <v/>
      </c>
      <c r="AH85" s="2031" t="str" cm="1">
        <f t="array" ref="AH85">IFERROR(INDEX($GP$4:$GP$171,AY85),"")</f>
        <v/>
      </c>
      <c r="AI85" s="2031" t="str" cm="1">
        <f t="array" ref="AI85">IFERROR(INDEX($GF$4:$GF$171,AY85),"")</f>
        <v/>
      </c>
      <c r="AJ85" s="2031" t="str" cm="1">
        <f t="array" ref="AJ85">IFERROR(INDEX($GG$4:$GG$171,AY85),"")</f>
        <v/>
      </c>
      <c r="AK85" s="2031" t="str" cm="1">
        <f t="array" ref="AK85">IFERROR(INDEX($GS$4:$GS$171,AY85),"")</f>
        <v/>
      </c>
      <c r="AL85" s="2032" t="str" cm="1">
        <f t="array" ref="AL85">IFERROR(INDEX($GT$4:$GT$171,AY85),"")</f>
        <v/>
      </c>
      <c r="AM85" s="2031" t="str" cm="1">
        <f t="array" ref="AM85">IFERROR(INDEX($GB$4:$GB$171,AY85),"")</f>
        <v/>
      </c>
      <c r="AN85" s="2031" t="str" cm="1">
        <f t="array" ref="AN85">IFERROR(INDEX($GC$4:$GC$171,AY85),"")</f>
        <v/>
      </c>
      <c r="AO85" s="2031" t="str" cm="1">
        <f t="array" ref="AO85">IFERROR(INDEX($GU$4:$GU$171,AY85),"")</f>
        <v/>
      </c>
      <c r="AP85" s="2031" t="str" cm="1">
        <f t="array" ref="AP85">IFERROR(INDEX($GX$4:$GX$171,AY85),"")</f>
        <v/>
      </c>
      <c r="AQ85" s="1316"/>
      <c r="AR85" s="2031" t="str" cm="1">
        <f t="array" ref="AR85">IFERROR(INDEX($HD$4:$HD$171,AY85),"")</f>
        <v/>
      </c>
      <c r="AS85" s="2031" t="str" cm="1">
        <f t="array" ref="AS85">IFERROR(INDEX($HE$4:$HE$171,AY85),"")</f>
        <v/>
      </c>
      <c r="AT85" s="2031" t="str" cm="1">
        <f t="array" ref="AT85">IFERROR(INDEX($HF$4:$HF$171,AY85),"")</f>
        <v/>
      </c>
      <c r="AU85" s="2031" t="str" cm="1">
        <f t="array" ref="AU85">IFERROR(INDEX($GJ$4:$GJ$171,AY85),"")</f>
        <v/>
      </c>
      <c r="AV85" s="2031" t="str" cm="1">
        <f t="array" ref="AV85">IFERROR(INDEX($GK$4:$GK$171,AY85),"")</f>
        <v/>
      </c>
      <c r="AY85" s="2042" t="str" cm="1">
        <f t="array" ref="AY85">IFERROR(SMALL(IF($HI$4:$HI$171=1,ROW($HI$4:$HI$171)-3),ROW(W70)),IFERROR(SMALL(IF($HI$4:$HI$171=2,ROW($HI$4:$HI$171)-3),ROW(W70)-COUNTIF($HI$4:$HI$171,1)),IFERROR(SMALL(IF($HI$4:$HI$171=0,ROW($HI$4:$HI$171)-3),ROW(W70)-COUNTIF($HI$4:$HI$171,1)-COUNTIF($HI$4:$HI$171,2)),"")))</f>
        <v/>
      </c>
      <c r="AZ85" s="2042" t="str">
        <f t="shared" ref="AZ85:AZ132" si="215">IF(AQ85="","a",AQ85)</f>
        <v>a</v>
      </c>
      <c r="BA85" s="2053" t="e">
        <f t="shared" si="172"/>
        <v>#VALUE!</v>
      </c>
      <c r="BB85" s="2053" cm="1">
        <f t="array" ref="BB85">IFERROR(INDEX($HI$4:$HI$171,AY85),0)</f>
        <v>0</v>
      </c>
      <c r="BC85" s="2053">
        <f t="shared" si="173"/>
        <v>0</v>
      </c>
      <c r="BD85" s="2053"/>
      <c r="BE85" s="2307"/>
      <c r="BF85" s="2307"/>
      <c r="BG85" s="2307"/>
      <c r="BH85" s="2307"/>
      <c r="BI85" s="2307"/>
      <c r="BJ85" s="2307"/>
      <c r="BK85" s="2307"/>
      <c r="BL85" s="2307"/>
      <c r="BM85" s="2307"/>
      <c r="BN85" s="2307"/>
      <c r="BO85" s="2307"/>
      <c r="BP85" s="2043"/>
      <c r="BQ85" s="2042"/>
      <c r="BR85" s="2042"/>
      <c r="BS85" s="2042"/>
      <c r="BT85" s="2042"/>
      <c r="BU85" s="2044"/>
      <c r="BV85" s="2044"/>
      <c r="BW85" s="2042">
        <f t="shared" si="176"/>
        <v>12</v>
      </c>
      <c r="BX85" s="2042">
        <f t="shared" si="177"/>
        <v>0</v>
      </c>
      <c r="BY85" s="2042">
        <f t="shared" si="178"/>
        <v>12</v>
      </c>
      <c r="BZ85" s="2042"/>
      <c r="CA85" s="2042"/>
      <c r="CB85" s="2042"/>
      <c r="CC85" s="2042"/>
      <c r="CD85" s="2042"/>
      <c r="CE85" s="2042"/>
      <c r="CF85" s="2042"/>
      <c r="CG85" s="2042"/>
      <c r="CH85" s="2042"/>
      <c r="CI85" s="2042">
        <f t="shared" si="206"/>
        <v>0</v>
      </c>
      <c r="CJ85" s="2042">
        <f t="shared" si="207"/>
        <v>0</v>
      </c>
      <c r="CK85" s="2042"/>
      <c r="CL85" s="2042"/>
      <c r="CM85" s="2042"/>
      <c r="CN85" s="2042"/>
      <c r="CO85" s="2042"/>
      <c r="CP85" s="2042"/>
      <c r="CQ85" s="2042">
        <f t="shared" si="208"/>
        <v>0</v>
      </c>
      <c r="CR85" s="2042">
        <f t="shared" si="209"/>
        <v>0</v>
      </c>
      <c r="CS85" s="2042">
        <f t="shared" si="210"/>
        <v>0</v>
      </c>
      <c r="CT85" s="2042">
        <f t="shared" si="211"/>
        <v>0</v>
      </c>
      <c r="CU85" s="2042">
        <f t="shared" si="179"/>
        <v>0</v>
      </c>
      <c r="CV85" s="2042"/>
      <c r="CW85" s="609" t="str">
        <f>Pflanzen!A81</f>
        <v xml:space="preserve"> +++Weitere Einsatzstoffe+++</v>
      </c>
      <c r="CX85" s="2042">
        <f>IFERROR(MATCH($CW85,Pflanzen!$C$5:$C$119,0),1)</f>
        <v>108</v>
      </c>
      <c r="CY85" s="609" cm="1">
        <f t="array" ref="CY85">INDEX(Pflanzen!$I$5:$I$119,'Lagerhaltung (freiwillig)'!CX85)</f>
        <v>0</v>
      </c>
      <c r="CZ85" s="2042">
        <f t="shared" si="204"/>
        <v>0</v>
      </c>
      <c r="DA85" s="2042">
        <f t="shared" si="204"/>
        <v>0</v>
      </c>
      <c r="DB85" s="2042">
        <f t="shared" si="204"/>
        <v>0</v>
      </c>
      <c r="DC85" s="2042">
        <f t="shared" si="204"/>
        <v>0</v>
      </c>
      <c r="DD85" s="2042">
        <f t="shared" si="204"/>
        <v>0</v>
      </c>
      <c r="DE85" s="2042">
        <f t="shared" si="204"/>
        <v>0</v>
      </c>
      <c r="DF85" s="2042">
        <f t="shared" si="204"/>
        <v>0</v>
      </c>
      <c r="DG85" s="2042">
        <f t="shared" si="204"/>
        <v>0</v>
      </c>
      <c r="DH85" s="2042">
        <f t="shared" si="204"/>
        <v>0</v>
      </c>
      <c r="DI85" s="2042">
        <f t="shared" si="204"/>
        <v>0</v>
      </c>
      <c r="DJ85" s="2042">
        <f t="shared" si="204"/>
        <v>0</v>
      </c>
      <c r="DK85" s="2042">
        <f t="shared" si="204"/>
        <v>0</v>
      </c>
      <c r="DL85" s="2042"/>
      <c r="DM85" s="2042">
        <f t="shared" si="165"/>
        <v>0</v>
      </c>
      <c r="DN85" s="2042">
        <f t="shared" si="193"/>
        <v>0</v>
      </c>
      <c r="DO85" s="2042">
        <f t="shared" si="193"/>
        <v>0</v>
      </c>
      <c r="DP85" s="2042">
        <f t="shared" si="193"/>
        <v>0</v>
      </c>
      <c r="DQ85" s="2042">
        <f t="shared" si="193"/>
        <v>0</v>
      </c>
      <c r="DR85" s="2042">
        <f t="shared" si="193"/>
        <v>0</v>
      </c>
      <c r="DS85" s="2042">
        <f t="shared" si="193"/>
        <v>0</v>
      </c>
      <c r="DT85" s="2042">
        <f t="shared" si="193"/>
        <v>0</v>
      </c>
      <c r="DU85" s="2042">
        <f t="shared" si="193"/>
        <v>0</v>
      </c>
      <c r="DV85" s="2042">
        <f t="shared" si="193"/>
        <v>0</v>
      </c>
      <c r="DW85" s="2042">
        <f t="shared" si="193"/>
        <v>0</v>
      </c>
      <c r="DX85" s="2042">
        <f t="shared" si="193"/>
        <v>0</v>
      </c>
      <c r="DY85" s="2042"/>
      <c r="DZ85" s="2042">
        <f t="shared" si="205"/>
        <v>0</v>
      </c>
      <c r="EA85" s="2042">
        <f t="shared" si="205"/>
        <v>0</v>
      </c>
      <c r="EB85" s="2042">
        <f t="shared" si="205"/>
        <v>0</v>
      </c>
      <c r="EC85" s="2042">
        <f t="shared" si="205"/>
        <v>0</v>
      </c>
      <c r="ED85" s="2042">
        <f t="shared" si="205"/>
        <v>0</v>
      </c>
      <c r="EE85" s="2042">
        <f t="shared" si="205"/>
        <v>0</v>
      </c>
      <c r="EF85" s="2042">
        <f t="shared" si="205"/>
        <v>0</v>
      </c>
      <c r="EG85" s="2042">
        <f t="shared" si="205"/>
        <v>0</v>
      </c>
      <c r="EH85" s="2042">
        <f t="shared" si="205"/>
        <v>0</v>
      </c>
      <c r="EI85" s="2042">
        <f t="shared" si="205"/>
        <v>0</v>
      </c>
      <c r="EJ85" s="2042">
        <f t="shared" si="205"/>
        <v>0</v>
      </c>
      <c r="EK85" s="2042">
        <f t="shared" si="205"/>
        <v>0</v>
      </c>
      <c r="EL85" s="2042"/>
      <c r="EM85" s="2042">
        <f t="shared" si="167"/>
        <v>0</v>
      </c>
      <c r="EN85" s="2042">
        <f t="shared" si="194"/>
        <v>0</v>
      </c>
      <c r="EO85" s="2042">
        <f t="shared" si="194"/>
        <v>0</v>
      </c>
      <c r="EP85" s="2042">
        <f t="shared" si="194"/>
        <v>0</v>
      </c>
      <c r="EQ85" s="2042">
        <f t="shared" si="194"/>
        <v>0</v>
      </c>
      <c r="ER85" s="2042">
        <f t="shared" si="194"/>
        <v>0</v>
      </c>
      <c r="ES85" s="2042">
        <f t="shared" si="194"/>
        <v>0</v>
      </c>
      <c r="ET85" s="2042">
        <f t="shared" si="194"/>
        <v>0</v>
      </c>
      <c r="EU85" s="2042">
        <f t="shared" si="194"/>
        <v>0</v>
      </c>
      <c r="EV85" s="2042">
        <f t="shared" si="194"/>
        <v>0</v>
      </c>
      <c r="EW85" s="2042">
        <f t="shared" si="194"/>
        <v>0</v>
      </c>
      <c r="EX85" s="2042">
        <f t="shared" si="194"/>
        <v>0</v>
      </c>
      <c r="EY85" s="2042"/>
      <c r="EZ85" s="2045">
        <f t="shared" si="195"/>
        <v>0</v>
      </c>
      <c r="FA85" s="2042">
        <f>EZ85+CZ85+DZ85                 -         SUMIF('Berechnung Nährstoffe und Lager'!$AX$113:$AX$155,$CX85,'Berechnung Nährstoffe und Lager'!$U$113:$U$155)/12  -$GB85*$HC85/12</f>
        <v>0</v>
      </c>
      <c r="FB85" s="2042">
        <f>FA85+DA85+EA85                 -         SUMIF('Berechnung Nährstoffe und Lager'!$AX$113:$AX$155,$CX85,'Berechnung Nährstoffe und Lager'!$U$113:$U$155)/12  -$GB85*$HC85/12</f>
        <v>0</v>
      </c>
      <c r="FC85" s="2042">
        <f>FB85+DB85+EB85                 -         SUMIF('Berechnung Nährstoffe und Lager'!$AX$113:$AX$155,$CX85,'Berechnung Nährstoffe und Lager'!$U$113:$U$155)/12  -$GB85*$HC85/12</f>
        <v>0</v>
      </c>
      <c r="FD85" s="2042">
        <f>FC85+DC85+EC85                 -         SUMIF('Berechnung Nährstoffe und Lager'!$AX$113:$AX$155,$CX85,'Berechnung Nährstoffe und Lager'!$U$113:$U$155)/12  -$GB85*$HC85/12</f>
        <v>0</v>
      </c>
      <c r="FE85" s="2042">
        <f>FD85+DD85+ED85                 -         SUMIF('Berechnung Nährstoffe und Lager'!$AX$113:$AX$155,$CX85,'Berechnung Nährstoffe und Lager'!$U$113:$U$155)/12  -$GB85*$HC85/12</f>
        <v>0</v>
      </c>
      <c r="FF85" s="2042">
        <f>FE85+DE85+EE85                 -         SUMIF('Berechnung Nährstoffe und Lager'!$AX$113:$AX$155,$CX85,'Berechnung Nährstoffe und Lager'!$U$113:$U$155)/12  -$GB85*$HC85/12</f>
        <v>0</v>
      </c>
      <c r="FG85" s="2042">
        <f>FF85+DF85+EF85                 -         SUMIF('Berechnung Nährstoffe und Lager'!$AX$113:$AX$155,$CX85,'Berechnung Nährstoffe und Lager'!$U$113:$U$155)/12  -$GB85*$HC85/12</f>
        <v>0</v>
      </c>
      <c r="FH85" s="2042">
        <f>FG85+DG85+EG85                 -         SUMIF('Berechnung Nährstoffe und Lager'!$AX$113:$AX$155,$CX85,'Berechnung Nährstoffe und Lager'!$U$113:$U$155)/12  -$GB85*$HC85/12</f>
        <v>0</v>
      </c>
      <c r="FI85" s="2042">
        <f>FH85+DH85+EH85                 -         SUMIF('Berechnung Nährstoffe und Lager'!$AX$113:$AX$155,$CX85,'Berechnung Nährstoffe und Lager'!$U$113:$U$155)/12  -$GB85*$HC85/12</f>
        <v>0</v>
      </c>
      <c r="FJ85" s="2042">
        <f>FI85+DI85+EI85                 -         SUMIF('Berechnung Nährstoffe und Lager'!$AX$113:$AX$155,$CX85,'Berechnung Nährstoffe und Lager'!$U$113:$U$155)/12  -$GB85*$HC85/12</f>
        <v>0</v>
      </c>
      <c r="FK85" s="2042">
        <f>FJ85+DJ85+EJ85                 -         SUMIF('Berechnung Nährstoffe und Lager'!$AX$113:$AX$155,$CX85,'Berechnung Nährstoffe und Lager'!$U$113:$U$155)/12  -$GB85*$HC85/12</f>
        <v>0</v>
      </c>
      <c r="FL85" s="2042">
        <f>FK85+DK85+EK85                 -         SUMIF('Berechnung Nährstoffe und Lager'!$AX$113:$AX$155,$CX85,'Berechnung Nährstoffe und Lager'!$U$113:$U$155)/12  -$GB85*$HC85/12</f>
        <v>0</v>
      </c>
      <c r="FM85" s="2042"/>
      <c r="FN85" s="2045">
        <f t="shared" si="196"/>
        <v>0</v>
      </c>
      <c r="FO85" s="2042">
        <f>FN85+DM85+EM85                 -         SUMIF('Berechnung Nährstoffe und Lager'!$AX$113:$AX$155,$CX85,'Berechnung Nährstoffe und Lager'!$V$113:$V$155)/12  -$GC85*$HC85/12</f>
        <v>0</v>
      </c>
      <c r="FP85" s="2042">
        <f>FO85+DN85+EN85                 -         SUMIF('Berechnung Nährstoffe und Lager'!$AX$113:$AX$155,$CX85,'Berechnung Nährstoffe und Lager'!$V$113:$V$155)/12  -$GC85*$HC85/12</f>
        <v>0</v>
      </c>
      <c r="FQ85" s="2042">
        <f>FP85+DO85+EO85                 -         SUMIF('Berechnung Nährstoffe und Lager'!$AX$113:$AX$155,$CX85,'Berechnung Nährstoffe und Lager'!$V$113:$V$155)/12  -$GC85*$HC85/12</f>
        <v>0</v>
      </c>
      <c r="FR85" s="2042">
        <f>FQ85+DP85+EP85                 -         SUMIF('Berechnung Nährstoffe und Lager'!$AX$113:$AX$155,$CX85,'Berechnung Nährstoffe und Lager'!$V$113:$V$155)/12  -$GC85*$HC85/12</f>
        <v>0</v>
      </c>
      <c r="FS85" s="2042">
        <f>FR85+DQ85+EQ85                 -         SUMIF('Berechnung Nährstoffe und Lager'!$AX$113:$AX$155,$CX85,'Berechnung Nährstoffe und Lager'!$V$113:$V$155)/12  -$GC85*$HC85/12</f>
        <v>0</v>
      </c>
      <c r="FT85" s="2042">
        <f>FS85+DR85+ER85                 -         SUMIF('Berechnung Nährstoffe und Lager'!$AX$113:$AX$155,$CX85,'Berechnung Nährstoffe und Lager'!$V$113:$V$155)/12  -$GC85*$HC85/12</f>
        <v>0</v>
      </c>
      <c r="FU85" s="2042">
        <f>FT85+DS85+ES85                 -         SUMIF('Berechnung Nährstoffe und Lager'!$AX$113:$AX$155,$CX85,'Berechnung Nährstoffe und Lager'!$V$113:$V$155)/12  -$GC85*$HC85/12</f>
        <v>0</v>
      </c>
      <c r="FV85" s="2042">
        <f>FU85+DT85+ET85                 -         SUMIF('Berechnung Nährstoffe und Lager'!$AX$113:$AX$155,$CX85,'Berechnung Nährstoffe und Lager'!$V$113:$V$155)/12  -$GC85*$HC85/12</f>
        <v>0</v>
      </c>
      <c r="FW85" s="2042">
        <f>FV85+DU85+EU85                 -         SUMIF('Berechnung Nährstoffe und Lager'!$AX$113:$AX$155,$CX85,'Berechnung Nährstoffe und Lager'!$V$113:$V$155)/12  -$GC85*$HC85/12</f>
        <v>0</v>
      </c>
      <c r="FX85" s="2042">
        <f>FW85+DV85+EV85                 -         SUMIF('Berechnung Nährstoffe und Lager'!$AX$113:$AX$155,$CX85,'Berechnung Nährstoffe und Lager'!$V$113:$V$155)/12  -$GC85*$HC85/12</f>
        <v>0</v>
      </c>
      <c r="FY85" s="2042">
        <f>FX85+DW85+EW85                 -         SUMIF('Berechnung Nährstoffe und Lager'!$AX$113:$AX$155,$CX85,'Berechnung Nährstoffe und Lager'!$V$113:$V$155)/12  -$GC85*$HC85/12</f>
        <v>0</v>
      </c>
      <c r="FZ85" s="2042">
        <f>FY85+DX85+EX85                 -         SUMIF('Berechnung Nährstoffe und Lager'!$AX$113:$AX$155,$CX85,'Berechnung Nährstoffe und Lager'!$V$113:$V$155)/12  -$GC85*$HC85/12</f>
        <v>0</v>
      </c>
      <c r="GA85" s="2042"/>
      <c r="GB85" s="2042">
        <f>SUMIFS($CI$14:$CI$68,$BR$14:$BR$68,$CX85)+SUMIFS($CM$14:$CM$68,$BR$14:$BR$68,$CX85)+SUMIFS($CR$14:$CR$68,$BR$14:$BR$68,$CX85)  -         SUMIF('Berechnung Nährstoffe und Lager'!$AX$113:$AX$155,$CX85,'Berechnung Nährstoffe und Lager'!$U$113:$U$155)</f>
        <v>0</v>
      </c>
      <c r="GC85" s="2042">
        <f>SUMIFS($CJ$14:$CJ$68,$BR$14:$BR$68,$CX85)+SUMIFS($CO$14:$CO$68,$BR$14:$BR$68,$CX85)+SUMIFS($CT$14:$CT$68,$BR$14:$BR$68,$CX85)  -         SUMIF('Berechnung Nährstoffe und Lager'!$AX$113:$AX$155,$CX85,'Berechnung Nährstoffe und Lager'!$V$113:$V$155)</f>
        <v>0</v>
      </c>
      <c r="GD85" s="2042"/>
      <c r="GE85" s="2042"/>
      <c r="GF85" s="2042">
        <f>SUMIF('Berechnung Nährstoffe und Lager'!$AX$113:$AX$155,$CX85,'Berechnung Nährstoffe und Lager'!$U$113:$U$155)</f>
        <v>0</v>
      </c>
      <c r="GG85" s="2042">
        <f>SUMIF('Berechnung Nährstoffe und Lager'!$AX$113:$AX$155,$CX85,'Berechnung Nährstoffe und Lager'!$V$113:$V$155)</f>
        <v>0</v>
      </c>
      <c r="GH85" s="2042">
        <f t="shared" si="197"/>
        <v>0</v>
      </c>
      <c r="GI85" s="2042">
        <f t="shared" si="198"/>
        <v>0</v>
      </c>
      <c r="GJ85" s="2042">
        <f t="shared" si="180"/>
        <v>0</v>
      </c>
      <c r="GK85" s="2042">
        <f t="shared" si="181"/>
        <v>0</v>
      </c>
      <c r="GL85" s="2042">
        <f t="shared" si="182"/>
        <v>0</v>
      </c>
      <c r="GM85" s="2042" cm="1">
        <f t="array" ref="GM85">IF(GL85=0,0,(IFERROR(SUMPRODUCT($J$14:$J$68,$CH$14:$CH$68,($BR$14:$BR$68=CX85)*1)+SUMPRODUCT($L$14:$L$68,$M$14:$M$68,$CK$14:$CK$68,($BR$14:$BR$68=CX85)*1,($BT$14:$BT$68=FALSE)*1)/10+SUMPRODUCT($R$14:$R$68,$CP$14:$CP$68,($BR$14:$BR$68=CX85)*1),0))/GL85)</f>
        <v>0</v>
      </c>
      <c r="GN85" s="2042">
        <f t="shared" si="199"/>
        <v>0</v>
      </c>
      <c r="GO85" s="2042">
        <f>(SUMIF('Berechnung Nährstoffe und Lager'!$AX$113:$AX$130,'Lagerhaltung (freiwillig)'!CX85,'Berechnung Nährstoffe und Lager'!$D$113:$D$130)+SUMIF('Berechnung Nährstoffe und Lager'!$AX$137:$AX$155,'Lagerhaltung (freiwillig)'!CX85,'Berechnung Nährstoffe und Lager'!$E$137:$E$155))</f>
        <v>0</v>
      </c>
      <c r="GP85" s="2042" cm="1">
        <f t="array" ref="GP85">IF(GO85=0,0,(IFERROR(SUMPRODUCT('Berechnung Nährstoffe und Lager'!$D$113:$D$130,'Berechnung Nährstoffe und Lager'!$F$113:$F$130,('Berechnung Nährstoffe und Lager'!$AX$113:$AX$130='Lagerhaltung (freiwillig)'!CX85)*1)+SUMPRODUCT('Berechnung Nährstoffe und Lager'!$E$137:$E$155,'Berechnung Nährstoffe und Lager'!$F$137:$F$155,('Berechnung Nährstoffe und Lager'!$AX$137:$AX$155='Lagerhaltung (freiwillig)'!CX85)*1),0))/GO85)</f>
        <v>0</v>
      </c>
      <c r="GQ85" s="2042">
        <f t="shared" si="200"/>
        <v>0</v>
      </c>
      <c r="GR85" s="2042">
        <f t="shared" si="201"/>
        <v>0</v>
      </c>
      <c r="GS85" s="2042">
        <f t="shared" si="202"/>
        <v>0</v>
      </c>
      <c r="GT85" s="2042">
        <f t="shared" si="203"/>
        <v>0</v>
      </c>
      <c r="GU85" s="2045" t="str">
        <f t="shared" si="175"/>
        <v xml:space="preserve"> </v>
      </c>
      <c r="GV85" s="2045" t="str">
        <f t="shared" si="175"/>
        <v xml:space="preserve"> </v>
      </c>
      <c r="GW85" s="2054">
        <f t="shared" si="183"/>
        <v>0</v>
      </c>
      <c r="GX85" s="2042">
        <f t="shared" si="184"/>
        <v>0</v>
      </c>
      <c r="GY85" s="2042" t="str">
        <f t="shared" si="174"/>
        <v>a</v>
      </c>
      <c r="GZ85" s="2055">
        <f t="shared" si="185"/>
        <v>0</v>
      </c>
      <c r="HA85" s="2055">
        <f t="shared" si="186"/>
        <v>0</v>
      </c>
      <c r="HB85" s="2055"/>
      <c r="HC85" s="2046">
        <f t="shared" si="187"/>
        <v>0</v>
      </c>
      <c r="HD85" s="2055">
        <f t="shared" si="188"/>
        <v>0</v>
      </c>
      <c r="HE85" s="2055">
        <f t="shared" si="189"/>
        <v>0</v>
      </c>
      <c r="HF85" s="2055">
        <f t="shared" si="190"/>
        <v>0</v>
      </c>
      <c r="HG85" s="2282" cm="1">
        <f t="array" ref="HG85">IF(AND(HE85=0,GJ85=0),0,IF(HE85=0,1,IF(OR(GJ85*1000/HE85/HF85&gt;INDEX(Pflanzen!$AD$5:$AD$109,CX85)/INDEX(Pflanzen!$M$5:$M$109,CX85)*$HG$1,GJ85*1000/HE85/HF85&lt;INDEX(Pflanzen!$AD$5:$AD$109,CX85)/INDEX(Pflanzen!$M$5:$M$109,CX85)/$HG$1),1,0)))</f>
        <v>0</v>
      </c>
      <c r="HH85" s="2282" cm="1">
        <f t="array" ref="HH85">IF(AND(GK85=0,HE85=0),0,IF(HE85=0,1,IF(OR(GK85*1000/HE85/HF85&gt;INDEX(Pflanzen!$AE$5:$AE$109,CX85)/INDEX(Pflanzen!$M$5:$M$109,CX85)*$HG$1,GK85*1000/HE85/HF85&lt;INDEX(Pflanzen!$AE$5:$AE$109,CX85)/INDEX(Pflanzen!$M$5:$M$109,CX85)/$HG$1),1,0)))</f>
        <v>0</v>
      </c>
      <c r="HI85" s="2042">
        <f t="shared" si="191"/>
        <v>3</v>
      </c>
      <c r="HJ85" s="2042"/>
      <c r="HL85" s="2042"/>
      <c r="HM85" s="2042"/>
      <c r="HN85" s="2042"/>
      <c r="HO85" s="2042"/>
      <c r="HP85" s="2042"/>
      <c r="HQ85" s="2042"/>
      <c r="HR85" s="2042"/>
      <c r="HS85" s="2042"/>
      <c r="HT85" s="2042"/>
      <c r="HU85" s="2042"/>
      <c r="HV85" s="2042"/>
      <c r="HW85" s="2042"/>
      <c r="HX85" s="2042"/>
      <c r="HY85" s="2042"/>
      <c r="HZ85" s="2042"/>
      <c r="IA85" s="2042"/>
      <c r="IB85" s="2042"/>
      <c r="IC85" s="2042"/>
      <c r="ID85" s="2042"/>
      <c r="IE85" s="2042"/>
      <c r="IF85" s="2042"/>
      <c r="IG85" s="2042"/>
      <c r="IH85" s="2042"/>
      <c r="II85" s="2042"/>
      <c r="IJ85" s="2042"/>
    </row>
    <row r="86" spans="1:244" ht="15.6" customHeight="1" x14ac:dyDescent="0.2">
      <c r="A86" s="3067"/>
      <c r="B86" s="3123"/>
      <c r="C86" s="3123"/>
      <c r="D86" s="3123"/>
      <c r="E86" s="3124"/>
      <c r="F86" s="1259"/>
      <c r="G86" s="2314"/>
      <c r="H86" s="2293"/>
      <c r="I86" s="2310">
        <f t="shared" si="212"/>
        <v>0</v>
      </c>
      <c r="J86" s="1970"/>
      <c r="K86" s="1927"/>
      <c r="L86" s="1928"/>
      <c r="M86" s="1928"/>
      <c r="N86" s="1929"/>
      <c r="O86" s="1929"/>
      <c r="P86" s="1930"/>
      <c r="Q86" s="2310">
        <f t="shared" si="213"/>
        <v>0</v>
      </c>
      <c r="R86" s="1246"/>
      <c r="S86" s="1938"/>
      <c r="T86" s="1970"/>
      <c r="U86" s="1159"/>
      <c r="V86" s="2316" t="str">
        <f t="shared" si="214"/>
        <v/>
      </c>
      <c r="X86" s="1129"/>
      <c r="Y86" s="2005" t="str" cm="1">
        <f t="array" ref="Y86">IFERROR(INDEX($CW$4:$CW$171,AY86),"")</f>
        <v/>
      </c>
      <c r="Z86" s="510"/>
      <c r="AA86" s="510"/>
      <c r="AB86" s="510"/>
      <c r="AC86" s="2031" t="str" cm="1">
        <f t="array" ref="AC86">IFERROR(INDEX($GL$4:$GL$171,AY86),"")</f>
        <v/>
      </c>
      <c r="AD86" s="2031" t="str" cm="1">
        <f t="array" ref="AD86">IFERROR(INDEX($GM$4:$GM$171,AY86),"")</f>
        <v/>
      </c>
      <c r="AE86" s="2031" t="str" cm="1">
        <f t="array" ref="AE86">IFERROR(INDEX($GH$4:$GH$171,AY86),"")</f>
        <v/>
      </c>
      <c r="AF86" s="2031" t="str" cm="1">
        <f t="array" ref="AF86">IFERROR(INDEX($GI$4:$GI$171,AY86),"")</f>
        <v/>
      </c>
      <c r="AG86" s="2031" t="str" cm="1">
        <f t="array" ref="AG86">IFERROR(INDEX($GO$4:$GO$171,AY86),"")</f>
        <v/>
      </c>
      <c r="AH86" s="2031" t="str" cm="1">
        <f t="array" ref="AH86">IFERROR(INDEX($GP$4:$GP$171,AY86),"")</f>
        <v/>
      </c>
      <c r="AI86" s="2031" t="str" cm="1">
        <f t="array" ref="AI86">IFERROR(INDEX($GF$4:$GF$171,AY86),"")</f>
        <v/>
      </c>
      <c r="AJ86" s="2031" t="str" cm="1">
        <f t="array" ref="AJ86">IFERROR(INDEX($GG$4:$GG$171,AY86),"")</f>
        <v/>
      </c>
      <c r="AK86" s="2031" t="str" cm="1">
        <f t="array" ref="AK86">IFERROR(INDEX($GS$4:$GS$171,AY86),"")</f>
        <v/>
      </c>
      <c r="AL86" s="2032" t="str" cm="1">
        <f t="array" ref="AL86">IFERROR(INDEX($GT$4:$GT$171,AY86),"")</f>
        <v/>
      </c>
      <c r="AM86" s="2031" t="str" cm="1">
        <f t="array" ref="AM86">IFERROR(INDEX($GB$4:$GB$171,AY86),"")</f>
        <v/>
      </c>
      <c r="AN86" s="2031" t="str" cm="1">
        <f t="array" ref="AN86">IFERROR(INDEX($GC$4:$GC$171,AY86),"")</f>
        <v/>
      </c>
      <c r="AO86" s="2031" t="str" cm="1">
        <f t="array" ref="AO86">IFERROR(INDEX($GU$4:$GU$171,AY86),"")</f>
        <v/>
      </c>
      <c r="AP86" s="2031" t="str" cm="1">
        <f t="array" ref="AP86">IFERROR(INDEX($GX$4:$GX$171,AY86),"")</f>
        <v/>
      </c>
      <c r="AQ86" s="1316"/>
      <c r="AR86" s="2031" t="str" cm="1">
        <f t="array" ref="AR86">IFERROR(INDEX($HD$4:$HD$171,AY86),"")</f>
        <v/>
      </c>
      <c r="AS86" s="2031" t="str" cm="1">
        <f t="array" ref="AS86">IFERROR(INDEX($HE$4:$HE$171,AY86),"")</f>
        <v/>
      </c>
      <c r="AT86" s="2031" t="str" cm="1">
        <f t="array" ref="AT86">IFERROR(INDEX($HF$4:$HF$171,AY86),"")</f>
        <v/>
      </c>
      <c r="AU86" s="2031" t="str" cm="1">
        <f t="array" ref="AU86">IFERROR(INDEX($GJ$4:$GJ$171,AY86),"")</f>
        <v/>
      </c>
      <c r="AV86" s="2031" t="str" cm="1">
        <f t="array" ref="AV86">IFERROR(INDEX($GK$4:$GK$171,AY86),"")</f>
        <v/>
      </c>
      <c r="AY86" s="2042" t="str" cm="1">
        <f t="array" ref="AY86">IFERROR(SMALL(IF($HI$4:$HI$171=1,ROW($HI$4:$HI$171)-3),ROW(W71)),IFERROR(SMALL(IF($HI$4:$HI$171=2,ROW($HI$4:$HI$171)-3),ROW(W71)-COUNTIF($HI$4:$HI$171,1)),IFERROR(SMALL(IF($HI$4:$HI$171=0,ROW($HI$4:$HI$171)-3),ROW(W71)-COUNTIF($HI$4:$HI$171,1)-COUNTIF($HI$4:$HI$171,2)),"")))</f>
        <v/>
      </c>
      <c r="AZ86" s="2042" t="str">
        <f t="shared" si="215"/>
        <v>a</v>
      </c>
      <c r="BA86" s="2053" t="e">
        <f t="shared" si="172"/>
        <v>#VALUE!</v>
      </c>
      <c r="BB86" s="2053" cm="1">
        <f t="array" ref="BB86">IFERROR(INDEX($HI$4:$HI$171,AY86),0)</f>
        <v>0</v>
      </c>
      <c r="BC86" s="2053">
        <f t="shared" si="173"/>
        <v>0</v>
      </c>
      <c r="BD86" s="2053"/>
      <c r="BE86" s="2307"/>
      <c r="BF86" s="2307"/>
      <c r="BG86" s="2307"/>
      <c r="BH86" s="2307"/>
      <c r="BI86" s="2307"/>
      <c r="BJ86" s="2307"/>
      <c r="BK86" s="2307"/>
      <c r="BL86" s="2307"/>
      <c r="BM86" s="2307"/>
      <c r="BN86" s="2307"/>
      <c r="BO86" s="2307"/>
      <c r="BP86" s="2043"/>
      <c r="BQ86" s="2042"/>
      <c r="BR86" s="2042"/>
      <c r="BS86" s="2042"/>
      <c r="BT86" s="2042"/>
      <c r="BU86" s="2044"/>
      <c r="BV86" s="2044"/>
      <c r="BW86" s="2042">
        <f t="shared" si="176"/>
        <v>12</v>
      </c>
      <c r="BX86" s="2042">
        <f t="shared" si="177"/>
        <v>0</v>
      </c>
      <c r="BY86" s="2042">
        <f t="shared" si="178"/>
        <v>12</v>
      </c>
      <c r="BZ86" s="2042"/>
      <c r="CA86" s="2042"/>
      <c r="CB86" s="2042"/>
      <c r="CC86" s="2042"/>
      <c r="CD86" s="2042"/>
      <c r="CE86" s="2042"/>
      <c r="CF86" s="2042"/>
      <c r="CG86" s="2042"/>
      <c r="CH86" s="2042"/>
      <c r="CI86" s="2042">
        <f t="shared" si="206"/>
        <v>0</v>
      </c>
      <c r="CJ86" s="2042">
        <f t="shared" si="207"/>
        <v>0</v>
      </c>
      <c r="CK86" s="2042"/>
      <c r="CL86" s="2042"/>
      <c r="CM86" s="2042"/>
      <c r="CN86" s="2042"/>
      <c r="CO86" s="2042"/>
      <c r="CP86" s="2042"/>
      <c r="CQ86" s="2042">
        <f t="shared" si="208"/>
        <v>0</v>
      </c>
      <c r="CR86" s="2042">
        <f t="shared" si="209"/>
        <v>0</v>
      </c>
      <c r="CS86" s="2042">
        <f t="shared" si="210"/>
        <v>0</v>
      </c>
      <c r="CT86" s="2042">
        <f t="shared" si="211"/>
        <v>0</v>
      </c>
      <c r="CU86" s="2042">
        <f t="shared" si="179"/>
        <v>0</v>
      </c>
      <c r="CV86" s="2042"/>
      <c r="CW86" s="609" t="str">
        <f>Pflanzen!A82</f>
        <v>sonst. Ganzpflanzenernte</v>
      </c>
      <c r="CX86" s="2042">
        <f>IFERROR(MATCH($CW86,Pflanzen!$C$5:$C$119,0),1)</f>
        <v>109</v>
      </c>
      <c r="CY86" s="609" cm="1">
        <f t="array" ref="CY86">INDEX(Pflanzen!$I$5:$I$119,'Lagerhaltung (freiwillig)'!CX86)</f>
        <v>1</v>
      </c>
      <c r="CZ86" s="2042">
        <f t="shared" si="204"/>
        <v>0</v>
      </c>
      <c r="DA86" s="2042">
        <f t="shared" si="204"/>
        <v>0</v>
      </c>
      <c r="DB86" s="2042">
        <f t="shared" si="204"/>
        <v>0</v>
      </c>
      <c r="DC86" s="2042">
        <f t="shared" si="204"/>
        <v>0</v>
      </c>
      <c r="DD86" s="2042">
        <f t="shared" si="204"/>
        <v>0</v>
      </c>
      <c r="DE86" s="2042">
        <f t="shared" si="204"/>
        <v>0</v>
      </c>
      <c r="DF86" s="2042">
        <f t="shared" si="204"/>
        <v>0</v>
      </c>
      <c r="DG86" s="2042">
        <f t="shared" si="204"/>
        <v>0</v>
      </c>
      <c r="DH86" s="2042">
        <f t="shared" si="204"/>
        <v>0</v>
      </c>
      <c r="DI86" s="2042">
        <f t="shared" si="204"/>
        <v>0</v>
      </c>
      <c r="DJ86" s="2042">
        <f t="shared" si="204"/>
        <v>0</v>
      </c>
      <c r="DK86" s="2042">
        <f t="shared" si="204"/>
        <v>0</v>
      </c>
      <c r="DL86" s="2042"/>
      <c r="DM86" s="2042">
        <f t="shared" si="165"/>
        <v>0</v>
      </c>
      <c r="DN86" s="2042">
        <f t="shared" ref="DN86:DX95" si="216">SUMIFS($CS$14:$CS$68,$BW$14:$BW$68,1,$BX$14:$BX$68,DN$2,$BR$14:$BR$68,$CX86)+    SUMIFS($CS$14:$CS$68,$BW$14:$BW$68,"&gt;1",$BX$14:$BX$68,"&lt;="&amp;DN$2,$BY$14:$BY$68,"&gt;="&amp;DN$2,$BR$14:$BR$68,$CX86)</f>
        <v>0</v>
      </c>
      <c r="DO86" s="2042">
        <f t="shared" si="216"/>
        <v>0</v>
      </c>
      <c r="DP86" s="2042">
        <f t="shared" si="216"/>
        <v>0</v>
      </c>
      <c r="DQ86" s="2042">
        <f t="shared" si="216"/>
        <v>0</v>
      </c>
      <c r="DR86" s="2042">
        <f t="shared" si="216"/>
        <v>0</v>
      </c>
      <c r="DS86" s="2042">
        <f t="shared" si="216"/>
        <v>0</v>
      </c>
      <c r="DT86" s="2042">
        <f t="shared" si="216"/>
        <v>0</v>
      </c>
      <c r="DU86" s="2042">
        <f t="shared" si="216"/>
        <v>0</v>
      </c>
      <c r="DV86" s="2042">
        <f t="shared" si="216"/>
        <v>0</v>
      </c>
      <c r="DW86" s="2042">
        <f t="shared" si="216"/>
        <v>0</v>
      </c>
      <c r="DX86" s="2042">
        <f t="shared" si="216"/>
        <v>0</v>
      </c>
      <c r="DY86" s="2042"/>
      <c r="DZ86" s="2042">
        <f t="shared" si="205"/>
        <v>0</v>
      </c>
      <c r="EA86" s="2042">
        <f t="shared" si="205"/>
        <v>0</v>
      </c>
      <c r="EB86" s="2042">
        <f t="shared" si="205"/>
        <v>0</v>
      </c>
      <c r="EC86" s="2042">
        <f t="shared" si="205"/>
        <v>0</v>
      </c>
      <c r="ED86" s="2042">
        <f t="shared" si="205"/>
        <v>0</v>
      </c>
      <c r="EE86" s="2042">
        <f t="shared" si="205"/>
        <v>0</v>
      </c>
      <c r="EF86" s="2042">
        <f t="shared" si="205"/>
        <v>0</v>
      </c>
      <c r="EG86" s="2042">
        <f t="shared" si="205"/>
        <v>0</v>
      </c>
      <c r="EH86" s="2042">
        <f t="shared" si="205"/>
        <v>0</v>
      </c>
      <c r="EI86" s="2042">
        <f t="shared" si="205"/>
        <v>0</v>
      </c>
      <c r="EJ86" s="2042">
        <f t="shared" si="205"/>
        <v>0</v>
      </c>
      <c r="EK86" s="2042">
        <f t="shared" si="205"/>
        <v>0</v>
      </c>
      <c r="EL86" s="2042"/>
      <c r="EM86" s="2042">
        <f t="shared" si="167"/>
        <v>0</v>
      </c>
      <c r="EN86" s="2042">
        <f t="shared" ref="EN86:EX95" si="217">SUMIFS($CN$14:$CN$68,$CC$14:$CC$68,1,$CD$14:$CD$68,EN$2,$BR$14:$BR$68,$CX86)+         SUMIFS($CN$14:$CN$68,$CC$14:$CC$68,"&gt;1",$CD$14:$CD$68,"&lt;="&amp;EN$2,$CE$14:$CE$68,"&gt;="&amp;EN$2,$BR$14:$BR$68,$CX86)</f>
        <v>0</v>
      </c>
      <c r="EO86" s="2042">
        <f t="shared" si="217"/>
        <v>0</v>
      </c>
      <c r="EP86" s="2042">
        <f t="shared" si="217"/>
        <v>0</v>
      </c>
      <c r="EQ86" s="2042">
        <f t="shared" si="217"/>
        <v>0</v>
      </c>
      <c r="ER86" s="2042">
        <f t="shared" si="217"/>
        <v>0</v>
      </c>
      <c r="ES86" s="2042">
        <f t="shared" si="217"/>
        <v>0</v>
      </c>
      <c r="ET86" s="2042">
        <f t="shared" si="217"/>
        <v>0</v>
      </c>
      <c r="EU86" s="2042">
        <f t="shared" si="217"/>
        <v>0</v>
      </c>
      <c r="EV86" s="2042">
        <f t="shared" si="217"/>
        <v>0</v>
      </c>
      <c r="EW86" s="2042">
        <f t="shared" si="217"/>
        <v>0</v>
      </c>
      <c r="EX86" s="2042">
        <f t="shared" si="217"/>
        <v>0</v>
      </c>
      <c r="EY86" s="2042"/>
      <c r="EZ86" s="2045">
        <f t="shared" si="195"/>
        <v>0</v>
      </c>
      <c r="FA86" s="2042">
        <f>EZ86+CZ86+DZ86                 -         SUMIF('Berechnung Nährstoffe und Lager'!$AX$113:$AX$155,$CX86,'Berechnung Nährstoffe und Lager'!$U$113:$U$155)/12  -$GB86*$HC86/12</f>
        <v>0</v>
      </c>
      <c r="FB86" s="2042">
        <f>FA86+DA86+EA86                 -         SUMIF('Berechnung Nährstoffe und Lager'!$AX$113:$AX$155,$CX86,'Berechnung Nährstoffe und Lager'!$U$113:$U$155)/12  -$GB86*$HC86/12</f>
        <v>0</v>
      </c>
      <c r="FC86" s="2042">
        <f>FB86+DB86+EB86                 -         SUMIF('Berechnung Nährstoffe und Lager'!$AX$113:$AX$155,$CX86,'Berechnung Nährstoffe und Lager'!$U$113:$U$155)/12  -$GB86*$HC86/12</f>
        <v>0</v>
      </c>
      <c r="FD86" s="2042">
        <f>FC86+DC86+EC86                 -         SUMIF('Berechnung Nährstoffe und Lager'!$AX$113:$AX$155,$CX86,'Berechnung Nährstoffe und Lager'!$U$113:$U$155)/12  -$GB86*$HC86/12</f>
        <v>0</v>
      </c>
      <c r="FE86" s="2042">
        <f>FD86+DD86+ED86                 -         SUMIF('Berechnung Nährstoffe und Lager'!$AX$113:$AX$155,$CX86,'Berechnung Nährstoffe und Lager'!$U$113:$U$155)/12  -$GB86*$HC86/12</f>
        <v>0</v>
      </c>
      <c r="FF86" s="2042">
        <f>FE86+DE86+EE86                 -         SUMIF('Berechnung Nährstoffe und Lager'!$AX$113:$AX$155,$CX86,'Berechnung Nährstoffe und Lager'!$U$113:$U$155)/12  -$GB86*$HC86/12</f>
        <v>0</v>
      </c>
      <c r="FG86" s="2042">
        <f>FF86+DF86+EF86                 -         SUMIF('Berechnung Nährstoffe und Lager'!$AX$113:$AX$155,$CX86,'Berechnung Nährstoffe und Lager'!$U$113:$U$155)/12  -$GB86*$HC86/12</f>
        <v>0</v>
      </c>
      <c r="FH86" s="2042">
        <f>FG86+DG86+EG86                 -         SUMIF('Berechnung Nährstoffe und Lager'!$AX$113:$AX$155,$CX86,'Berechnung Nährstoffe und Lager'!$U$113:$U$155)/12  -$GB86*$HC86/12</f>
        <v>0</v>
      </c>
      <c r="FI86" s="2042">
        <f>FH86+DH86+EH86                 -         SUMIF('Berechnung Nährstoffe und Lager'!$AX$113:$AX$155,$CX86,'Berechnung Nährstoffe und Lager'!$U$113:$U$155)/12  -$GB86*$HC86/12</f>
        <v>0</v>
      </c>
      <c r="FJ86" s="2042">
        <f>FI86+DI86+EI86                 -         SUMIF('Berechnung Nährstoffe und Lager'!$AX$113:$AX$155,$CX86,'Berechnung Nährstoffe und Lager'!$U$113:$U$155)/12  -$GB86*$HC86/12</f>
        <v>0</v>
      </c>
      <c r="FK86" s="2042">
        <f>FJ86+DJ86+EJ86                 -         SUMIF('Berechnung Nährstoffe und Lager'!$AX$113:$AX$155,$CX86,'Berechnung Nährstoffe und Lager'!$U$113:$U$155)/12  -$GB86*$HC86/12</f>
        <v>0</v>
      </c>
      <c r="FL86" s="2042">
        <f>FK86+DK86+EK86                 -         SUMIF('Berechnung Nährstoffe und Lager'!$AX$113:$AX$155,$CX86,'Berechnung Nährstoffe und Lager'!$U$113:$U$155)/12  -$GB86*$HC86/12</f>
        <v>0</v>
      </c>
      <c r="FM86" s="2042"/>
      <c r="FN86" s="2045">
        <f t="shared" si="196"/>
        <v>0</v>
      </c>
      <c r="FO86" s="2042">
        <f>FN86+DM86+EM86                 -         SUMIF('Berechnung Nährstoffe und Lager'!$AX$113:$AX$155,$CX86,'Berechnung Nährstoffe und Lager'!$V$113:$V$155)/12  -$GC86*$HC86/12</f>
        <v>0</v>
      </c>
      <c r="FP86" s="2042">
        <f>FO86+DN86+EN86                 -         SUMIF('Berechnung Nährstoffe und Lager'!$AX$113:$AX$155,$CX86,'Berechnung Nährstoffe und Lager'!$V$113:$V$155)/12  -$GC86*$HC86/12</f>
        <v>0</v>
      </c>
      <c r="FQ86" s="2042">
        <f>FP86+DO86+EO86                 -         SUMIF('Berechnung Nährstoffe und Lager'!$AX$113:$AX$155,$CX86,'Berechnung Nährstoffe und Lager'!$V$113:$V$155)/12  -$GC86*$HC86/12</f>
        <v>0</v>
      </c>
      <c r="FR86" s="2042">
        <f>FQ86+DP86+EP86                 -         SUMIF('Berechnung Nährstoffe und Lager'!$AX$113:$AX$155,$CX86,'Berechnung Nährstoffe und Lager'!$V$113:$V$155)/12  -$GC86*$HC86/12</f>
        <v>0</v>
      </c>
      <c r="FS86" s="2042">
        <f>FR86+DQ86+EQ86                 -         SUMIF('Berechnung Nährstoffe und Lager'!$AX$113:$AX$155,$CX86,'Berechnung Nährstoffe und Lager'!$V$113:$V$155)/12  -$GC86*$HC86/12</f>
        <v>0</v>
      </c>
      <c r="FT86" s="2042">
        <f>FS86+DR86+ER86                 -         SUMIF('Berechnung Nährstoffe und Lager'!$AX$113:$AX$155,$CX86,'Berechnung Nährstoffe und Lager'!$V$113:$V$155)/12  -$GC86*$HC86/12</f>
        <v>0</v>
      </c>
      <c r="FU86" s="2042">
        <f>FT86+DS86+ES86                 -         SUMIF('Berechnung Nährstoffe und Lager'!$AX$113:$AX$155,$CX86,'Berechnung Nährstoffe und Lager'!$V$113:$V$155)/12  -$GC86*$HC86/12</f>
        <v>0</v>
      </c>
      <c r="FV86" s="2042">
        <f>FU86+DT86+ET86                 -         SUMIF('Berechnung Nährstoffe und Lager'!$AX$113:$AX$155,$CX86,'Berechnung Nährstoffe und Lager'!$V$113:$V$155)/12  -$GC86*$HC86/12</f>
        <v>0</v>
      </c>
      <c r="FW86" s="2042">
        <f>FV86+DU86+EU86                 -         SUMIF('Berechnung Nährstoffe und Lager'!$AX$113:$AX$155,$CX86,'Berechnung Nährstoffe und Lager'!$V$113:$V$155)/12  -$GC86*$HC86/12</f>
        <v>0</v>
      </c>
      <c r="FX86" s="2042">
        <f>FW86+DV86+EV86                 -         SUMIF('Berechnung Nährstoffe und Lager'!$AX$113:$AX$155,$CX86,'Berechnung Nährstoffe und Lager'!$V$113:$V$155)/12  -$GC86*$HC86/12</f>
        <v>0</v>
      </c>
      <c r="FY86" s="2042">
        <f>FX86+DW86+EW86                 -         SUMIF('Berechnung Nährstoffe und Lager'!$AX$113:$AX$155,$CX86,'Berechnung Nährstoffe und Lager'!$V$113:$V$155)/12  -$GC86*$HC86/12</f>
        <v>0</v>
      </c>
      <c r="FZ86" s="2042">
        <f>FY86+DX86+EX86                 -         SUMIF('Berechnung Nährstoffe und Lager'!$AX$113:$AX$155,$CX86,'Berechnung Nährstoffe und Lager'!$V$113:$V$155)/12  -$GC86*$HC86/12</f>
        <v>0</v>
      </c>
      <c r="GA86" s="2042"/>
      <c r="GB86" s="2042">
        <f>SUMIFS($CI$14:$CI$68,$BR$14:$BR$68,$CX86)+SUMIFS($CM$14:$CM$68,$BR$14:$BR$68,$CX86)+SUMIFS($CR$14:$CR$68,$BR$14:$BR$68,$CX86)  -         SUMIF('Berechnung Nährstoffe und Lager'!$AX$113:$AX$155,$CX86,'Berechnung Nährstoffe und Lager'!$U$113:$U$155)</f>
        <v>0</v>
      </c>
      <c r="GC86" s="2042">
        <f>SUMIFS($CJ$14:$CJ$68,$BR$14:$BR$68,$CX86)+SUMIFS($CO$14:$CO$68,$BR$14:$BR$68,$CX86)+SUMIFS($CT$14:$CT$68,$BR$14:$BR$68,$CX86)  -         SUMIF('Berechnung Nährstoffe und Lager'!$AX$113:$AX$155,$CX86,'Berechnung Nährstoffe und Lager'!$V$113:$V$155)</f>
        <v>0</v>
      </c>
      <c r="GD86" s="2042"/>
      <c r="GE86" s="2042"/>
      <c r="GF86" s="2042">
        <f>SUMIF('Berechnung Nährstoffe und Lager'!$AX$113:$AX$155,$CX86,'Berechnung Nährstoffe und Lager'!$U$113:$U$155)</f>
        <v>0</v>
      </c>
      <c r="GG86" s="2042">
        <f>SUMIF('Berechnung Nährstoffe und Lager'!$AX$113:$AX$155,$CX86,'Berechnung Nährstoffe und Lager'!$V$113:$V$155)</f>
        <v>0</v>
      </c>
      <c r="GH86" s="2042">
        <f t="shared" si="197"/>
        <v>0</v>
      </c>
      <c r="GI86" s="2042">
        <f t="shared" si="198"/>
        <v>0</v>
      </c>
      <c r="GJ86" s="2042">
        <f t="shared" si="180"/>
        <v>0</v>
      </c>
      <c r="GK86" s="2042">
        <f t="shared" si="181"/>
        <v>0</v>
      </c>
      <c r="GL86" s="2042">
        <f t="shared" si="182"/>
        <v>0</v>
      </c>
      <c r="GM86" s="2042" cm="1">
        <f t="array" ref="GM86">IF(GL86=0,0,(IFERROR(SUMPRODUCT($J$14:$J$68,$CH$14:$CH$68,($BR$14:$BR$68=CX86)*1)+SUMPRODUCT($L$14:$L$68,$M$14:$M$68,$CK$14:$CK$68,($BR$14:$BR$68=CX86)*1,($BT$14:$BT$68=FALSE)*1)/10+SUMPRODUCT($R$14:$R$68,$CP$14:$CP$68,($BR$14:$BR$68=CX86)*1),0))/GL86)</f>
        <v>0</v>
      </c>
      <c r="GN86" s="2042">
        <f t="shared" si="199"/>
        <v>0</v>
      </c>
      <c r="GO86" s="2042">
        <f>(SUMIF('Berechnung Nährstoffe und Lager'!$AX$113:$AX$130,'Lagerhaltung (freiwillig)'!CX86,'Berechnung Nährstoffe und Lager'!$D$113:$D$130)+SUMIF('Berechnung Nährstoffe und Lager'!$AX$137:$AX$155,'Lagerhaltung (freiwillig)'!CX86,'Berechnung Nährstoffe und Lager'!$E$137:$E$155))</f>
        <v>0</v>
      </c>
      <c r="GP86" s="2042" cm="1">
        <f t="array" ref="GP86">IF(GO86=0,0,(IFERROR(SUMPRODUCT('Berechnung Nährstoffe und Lager'!$D$113:$D$130,'Berechnung Nährstoffe und Lager'!$F$113:$F$130,('Berechnung Nährstoffe und Lager'!$AX$113:$AX$130='Lagerhaltung (freiwillig)'!CX86)*1)+SUMPRODUCT('Berechnung Nährstoffe und Lager'!$E$137:$E$155,'Berechnung Nährstoffe und Lager'!$F$137:$F$155,('Berechnung Nährstoffe und Lager'!$AX$137:$AX$155='Lagerhaltung (freiwillig)'!CX86)*1),0))/GO86)</f>
        <v>0</v>
      </c>
      <c r="GQ86" s="2042">
        <f t="shared" si="200"/>
        <v>0</v>
      </c>
      <c r="GR86" s="2042">
        <f t="shared" si="201"/>
        <v>0</v>
      </c>
      <c r="GS86" s="2042">
        <f t="shared" si="202"/>
        <v>0</v>
      </c>
      <c r="GT86" s="2042">
        <f t="shared" si="203"/>
        <v>0</v>
      </c>
      <c r="GU86" s="2045" t="str">
        <f t="shared" si="175"/>
        <v xml:space="preserve"> </v>
      </c>
      <c r="GV86" s="2045" t="str">
        <f t="shared" si="175"/>
        <v xml:space="preserve"> </v>
      </c>
      <c r="GW86" s="2054">
        <f t="shared" si="183"/>
        <v>0</v>
      </c>
      <c r="GX86" s="2042">
        <f t="shared" si="184"/>
        <v>0</v>
      </c>
      <c r="GY86" s="2042" t="str">
        <f t="shared" si="174"/>
        <v>a</v>
      </c>
      <c r="GZ86" s="2055">
        <f t="shared" si="185"/>
        <v>0</v>
      </c>
      <c r="HA86" s="2055">
        <f t="shared" si="186"/>
        <v>0</v>
      </c>
      <c r="HB86" s="2055"/>
      <c r="HC86" s="2046">
        <f t="shared" si="187"/>
        <v>0</v>
      </c>
      <c r="HD86" s="2055">
        <f t="shared" si="188"/>
        <v>0</v>
      </c>
      <c r="HE86" s="2055">
        <f t="shared" si="189"/>
        <v>0</v>
      </c>
      <c r="HF86" s="2055">
        <f t="shared" si="190"/>
        <v>0</v>
      </c>
      <c r="HG86" s="2282" cm="1">
        <f t="array" ref="HG86">IF(AND(HE86=0,GJ86=0),0,IF(HE86=0,1,IF(OR(GJ86*1000/HE86/HF86&gt;INDEX(Pflanzen!$AD$5:$AD$109,CX86)/INDEX(Pflanzen!$M$5:$M$109,CX86)*$HG$1,GJ86*1000/HE86/HF86&lt;INDEX(Pflanzen!$AD$5:$AD$109,CX86)/INDEX(Pflanzen!$M$5:$M$109,CX86)/$HG$1),1,0)))</f>
        <v>0</v>
      </c>
      <c r="HH86" s="2282" cm="1">
        <f t="array" ref="HH86">IF(AND(GK86=0,HE86=0),0,IF(HE86=0,1,IF(OR(GK86*1000/HE86/HF86&gt;INDEX(Pflanzen!$AE$5:$AE$109,CX86)/INDEX(Pflanzen!$M$5:$M$109,CX86)*$HG$1,GK86*1000/HE86/HF86&lt;INDEX(Pflanzen!$AE$5:$AE$109,CX86)/INDEX(Pflanzen!$M$5:$M$109,CX86)/$HG$1),1,0)))</f>
        <v>0</v>
      </c>
      <c r="HI86" s="2042">
        <f t="shared" si="191"/>
        <v>3</v>
      </c>
      <c r="HJ86" s="2042"/>
      <c r="HL86" s="2042"/>
      <c r="HM86" s="2042"/>
      <c r="HN86" s="2042"/>
      <c r="HO86" s="2042"/>
      <c r="HP86" s="2042"/>
      <c r="HQ86" s="2042"/>
      <c r="HR86" s="2042"/>
      <c r="HS86" s="2042"/>
      <c r="HT86" s="2042"/>
      <c r="HU86" s="2042"/>
      <c r="HV86" s="2042"/>
      <c r="HW86" s="2042"/>
      <c r="HX86" s="2042"/>
      <c r="HY86" s="2042"/>
      <c r="HZ86" s="2042"/>
      <c r="IA86" s="2042"/>
      <c r="IB86" s="2042"/>
      <c r="IC86" s="2042"/>
      <c r="ID86" s="2042"/>
      <c r="IE86" s="2042"/>
      <c r="IF86" s="2042"/>
      <c r="IG86" s="2042"/>
      <c r="IH86" s="2042"/>
      <c r="II86" s="2042"/>
      <c r="IJ86" s="2042"/>
    </row>
    <row r="87" spans="1:244" ht="15.6" customHeight="1" x14ac:dyDescent="0.2">
      <c r="A87" s="3067"/>
      <c r="B87" s="3123"/>
      <c r="C87" s="3123"/>
      <c r="D87" s="3123"/>
      <c r="E87" s="3124"/>
      <c r="F87" s="1259"/>
      <c r="G87" s="2314"/>
      <c r="H87" s="2293"/>
      <c r="I87" s="2310">
        <f t="shared" si="212"/>
        <v>0</v>
      </c>
      <c r="J87" s="1970"/>
      <c r="K87" s="1927"/>
      <c r="L87" s="1928"/>
      <c r="M87" s="1928"/>
      <c r="N87" s="1929"/>
      <c r="O87" s="1929"/>
      <c r="P87" s="1930"/>
      <c r="Q87" s="2310">
        <f t="shared" si="213"/>
        <v>0</v>
      </c>
      <c r="R87" s="1246"/>
      <c r="S87" s="1938"/>
      <c r="T87" s="1970"/>
      <c r="U87" s="1159"/>
      <c r="V87" s="2316" t="str">
        <f t="shared" si="214"/>
        <v/>
      </c>
      <c r="X87" s="1129"/>
      <c r="Y87" s="2005" t="str" cm="1">
        <f t="array" ref="Y87">IFERROR(INDEX($CW$4:$CW$171,AY87),"")</f>
        <v/>
      </c>
      <c r="Z87" s="510"/>
      <c r="AA87" s="510"/>
      <c r="AB87" s="510"/>
      <c r="AC87" s="2031" t="str" cm="1">
        <f t="array" ref="AC87">IFERROR(INDEX($GL$4:$GL$171,AY87),"")</f>
        <v/>
      </c>
      <c r="AD87" s="2031" t="str" cm="1">
        <f t="array" ref="AD87">IFERROR(INDEX($GM$4:$GM$171,AY87),"")</f>
        <v/>
      </c>
      <c r="AE87" s="2031" t="str" cm="1">
        <f t="array" ref="AE87">IFERROR(INDEX($GH$4:$GH$171,AY87),"")</f>
        <v/>
      </c>
      <c r="AF87" s="2031" t="str" cm="1">
        <f t="array" ref="AF87">IFERROR(INDEX($GI$4:$GI$171,AY87),"")</f>
        <v/>
      </c>
      <c r="AG87" s="2031" t="str" cm="1">
        <f t="array" ref="AG87">IFERROR(INDEX($GO$4:$GO$171,AY87),"")</f>
        <v/>
      </c>
      <c r="AH87" s="2031" t="str" cm="1">
        <f t="array" ref="AH87">IFERROR(INDEX($GP$4:$GP$171,AY87),"")</f>
        <v/>
      </c>
      <c r="AI87" s="2031" t="str" cm="1">
        <f t="array" ref="AI87">IFERROR(INDEX($GF$4:$GF$171,AY87),"")</f>
        <v/>
      </c>
      <c r="AJ87" s="2031" t="str" cm="1">
        <f t="array" ref="AJ87">IFERROR(INDEX($GG$4:$GG$171,AY87),"")</f>
        <v/>
      </c>
      <c r="AK87" s="2031" t="str" cm="1">
        <f t="array" ref="AK87">IFERROR(INDEX($GS$4:$GS$171,AY87),"")</f>
        <v/>
      </c>
      <c r="AL87" s="2032" t="str" cm="1">
        <f t="array" ref="AL87">IFERROR(INDEX($GT$4:$GT$171,AY87),"")</f>
        <v/>
      </c>
      <c r="AM87" s="2031" t="str" cm="1">
        <f t="array" ref="AM87">IFERROR(INDEX($GB$4:$GB$171,AY87),"")</f>
        <v/>
      </c>
      <c r="AN87" s="2031" t="str" cm="1">
        <f t="array" ref="AN87">IFERROR(INDEX($GC$4:$GC$171,AY87),"")</f>
        <v/>
      </c>
      <c r="AO87" s="2031" t="str" cm="1">
        <f t="array" ref="AO87">IFERROR(INDEX($GU$4:$GU$171,AY87),"")</f>
        <v/>
      </c>
      <c r="AP87" s="2031" t="str" cm="1">
        <f t="array" ref="AP87">IFERROR(INDEX($GX$4:$GX$171,AY87),"")</f>
        <v/>
      </c>
      <c r="AQ87" s="1316"/>
      <c r="AR87" s="2031" t="str" cm="1">
        <f t="array" ref="AR87">IFERROR(INDEX($HD$4:$HD$171,AY87),"")</f>
        <v/>
      </c>
      <c r="AS87" s="2031" t="str" cm="1">
        <f t="array" ref="AS87">IFERROR(INDEX($HE$4:$HE$171,AY87),"")</f>
        <v/>
      </c>
      <c r="AT87" s="2031" t="str" cm="1">
        <f t="array" ref="AT87">IFERROR(INDEX($HF$4:$HF$171,AY87),"")</f>
        <v/>
      </c>
      <c r="AU87" s="2031" t="str" cm="1">
        <f t="array" ref="AU87">IFERROR(INDEX($GJ$4:$GJ$171,AY87),"")</f>
        <v/>
      </c>
      <c r="AV87" s="2031" t="str" cm="1">
        <f t="array" ref="AV87">IFERROR(INDEX($GK$4:$GK$171,AY87),"")</f>
        <v/>
      </c>
      <c r="AY87" s="2042" t="str" cm="1">
        <f t="array" ref="AY87">IFERROR(SMALL(IF($HI$4:$HI$171=1,ROW($HI$4:$HI$171)-3),ROW(W72)),IFERROR(SMALL(IF($HI$4:$HI$171=2,ROW($HI$4:$HI$171)-3),ROW(W72)-COUNTIF($HI$4:$HI$171,1)),IFERROR(SMALL(IF($HI$4:$HI$171=0,ROW($HI$4:$HI$171)-3),ROW(W72)-COUNTIF($HI$4:$HI$171,1)-COUNTIF($HI$4:$HI$171,2)),"")))</f>
        <v/>
      </c>
      <c r="AZ87" s="2042" t="str">
        <f t="shared" si="215"/>
        <v>a</v>
      </c>
      <c r="BA87" s="2053" t="e">
        <f t="shared" si="172"/>
        <v>#VALUE!</v>
      </c>
      <c r="BB87" s="2053" cm="1">
        <f t="array" ref="BB87">IFERROR(INDEX($HI$4:$HI$171,AY87),0)</f>
        <v>0</v>
      </c>
      <c r="BC87" s="2053">
        <f t="shared" si="173"/>
        <v>0</v>
      </c>
      <c r="BD87" s="2053"/>
      <c r="BE87" s="2307"/>
      <c r="BF87" s="2307"/>
      <c r="BG87" s="2307"/>
      <c r="BH87" s="2307"/>
      <c r="BI87" s="2307"/>
      <c r="BJ87" s="2307"/>
      <c r="BK87" s="2307"/>
      <c r="BL87" s="2307"/>
      <c r="BM87" s="2307"/>
      <c r="BN87" s="2307"/>
      <c r="BO87" s="2307"/>
      <c r="BP87" s="2043"/>
      <c r="BQ87" s="2042"/>
      <c r="BR87" s="2042"/>
      <c r="BS87" s="2042"/>
      <c r="BT87" s="2042"/>
      <c r="BU87" s="2044"/>
      <c r="BV87" s="2044"/>
      <c r="BW87" s="2042">
        <f t="shared" si="176"/>
        <v>12</v>
      </c>
      <c r="BX87" s="2042">
        <f t="shared" si="177"/>
        <v>0</v>
      </c>
      <c r="BY87" s="2042">
        <f t="shared" si="178"/>
        <v>12</v>
      </c>
      <c r="BZ87" s="2042"/>
      <c r="CA87" s="2042"/>
      <c r="CB87" s="2042"/>
      <c r="CC87" s="2042"/>
      <c r="CD87" s="2042"/>
      <c r="CE87" s="2042"/>
      <c r="CF87" s="2042"/>
      <c r="CG87" s="2042"/>
      <c r="CH87" s="2042"/>
      <c r="CI87" s="2042">
        <f t="shared" si="206"/>
        <v>0</v>
      </c>
      <c r="CJ87" s="2042">
        <f t="shared" si="207"/>
        <v>0</v>
      </c>
      <c r="CK87" s="2042"/>
      <c r="CL87" s="2042"/>
      <c r="CM87" s="2042"/>
      <c r="CN87" s="2042"/>
      <c r="CO87" s="2042"/>
      <c r="CP87" s="2042"/>
      <c r="CQ87" s="2042">
        <f t="shared" si="208"/>
        <v>0</v>
      </c>
      <c r="CR87" s="2042">
        <f t="shared" si="209"/>
        <v>0</v>
      </c>
      <c r="CS87" s="2042">
        <f t="shared" si="210"/>
        <v>0</v>
      </c>
      <c r="CT87" s="2042">
        <f t="shared" si="211"/>
        <v>0</v>
      </c>
      <c r="CU87" s="2042">
        <f t="shared" si="179"/>
        <v>0</v>
      </c>
      <c r="CV87" s="2042"/>
      <c r="CW87" s="609" t="str">
        <f>Pflanzen!A83</f>
        <v>sonst. Pflanzen mit Körnerernte</v>
      </c>
      <c r="CX87" s="2042">
        <f>IFERROR(MATCH($CW87,Pflanzen!$C$5:$C$119,0),1)</f>
        <v>110</v>
      </c>
      <c r="CY87" s="609" cm="1">
        <f t="array" ref="CY87">INDEX(Pflanzen!$I$5:$I$119,'Lagerhaltung (freiwillig)'!CX87)</f>
        <v>2</v>
      </c>
      <c r="CZ87" s="2042">
        <f t="shared" si="204"/>
        <v>0</v>
      </c>
      <c r="DA87" s="2042">
        <f t="shared" si="204"/>
        <v>0</v>
      </c>
      <c r="DB87" s="2042">
        <f t="shared" si="204"/>
        <v>0</v>
      </c>
      <c r="DC87" s="2042">
        <f t="shared" si="204"/>
        <v>0</v>
      </c>
      <c r="DD87" s="2042">
        <f t="shared" si="204"/>
        <v>0</v>
      </c>
      <c r="DE87" s="2042">
        <f t="shared" si="204"/>
        <v>0</v>
      </c>
      <c r="DF87" s="2042">
        <f t="shared" si="204"/>
        <v>0</v>
      </c>
      <c r="DG87" s="2042">
        <f t="shared" si="204"/>
        <v>0</v>
      </c>
      <c r="DH87" s="2042">
        <f t="shared" si="204"/>
        <v>0</v>
      </c>
      <c r="DI87" s="2042">
        <f t="shared" si="204"/>
        <v>0</v>
      </c>
      <c r="DJ87" s="2042">
        <f t="shared" si="204"/>
        <v>0</v>
      </c>
      <c r="DK87" s="2042">
        <f t="shared" si="204"/>
        <v>0</v>
      </c>
      <c r="DL87" s="2042"/>
      <c r="DM87" s="2042">
        <f t="shared" si="165"/>
        <v>0</v>
      </c>
      <c r="DN87" s="2042">
        <f t="shared" si="216"/>
        <v>0</v>
      </c>
      <c r="DO87" s="2042">
        <f t="shared" si="216"/>
        <v>0</v>
      </c>
      <c r="DP87" s="2042">
        <f t="shared" si="216"/>
        <v>0</v>
      </c>
      <c r="DQ87" s="2042">
        <f t="shared" si="216"/>
        <v>0</v>
      </c>
      <c r="DR87" s="2042">
        <f t="shared" si="216"/>
        <v>0</v>
      </c>
      <c r="DS87" s="2042">
        <f t="shared" si="216"/>
        <v>0</v>
      </c>
      <c r="DT87" s="2042">
        <f t="shared" si="216"/>
        <v>0</v>
      </c>
      <c r="DU87" s="2042">
        <f t="shared" si="216"/>
        <v>0</v>
      </c>
      <c r="DV87" s="2042">
        <f t="shared" si="216"/>
        <v>0</v>
      </c>
      <c r="DW87" s="2042">
        <f t="shared" si="216"/>
        <v>0</v>
      </c>
      <c r="DX87" s="2042">
        <f t="shared" si="216"/>
        <v>0</v>
      </c>
      <c r="DY87" s="2042"/>
      <c r="DZ87" s="2042">
        <f t="shared" si="205"/>
        <v>0</v>
      </c>
      <c r="EA87" s="2042">
        <f t="shared" si="205"/>
        <v>0</v>
      </c>
      <c r="EB87" s="2042">
        <f t="shared" si="205"/>
        <v>0</v>
      </c>
      <c r="EC87" s="2042">
        <f t="shared" si="205"/>
        <v>0</v>
      </c>
      <c r="ED87" s="2042">
        <f t="shared" si="205"/>
        <v>0</v>
      </c>
      <c r="EE87" s="2042">
        <f t="shared" si="205"/>
        <v>0</v>
      </c>
      <c r="EF87" s="2042">
        <f t="shared" si="205"/>
        <v>0</v>
      </c>
      <c r="EG87" s="2042">
        <f t="shared" si="205"/>
        <v>0</v>
      </c>
      <c r="EH87" s="2042">
        <f t="shared" si="205"/>
        <v>0</v>
      </c>
      <c r="EI87" s="2042">
        <f t="shared" si="205"/>
        <v>0</v>
      </c>
      <c r="EJ87" s="2042">
        <f t="shared" si="205"/>
        <v>0</v>
      </c>
      <c r="EK87" s="2042">
        <f t="shared" si="205"/>
        <v>0</v>
      </c>
      <c r="EL87" s="2042"/>
      <c r="EM87" s="2042">
        <f t="shared" si="167"/>
        <v>0</v>
      </c>
      <c r="EN87" s="2042">
        <f t="shared" si="217"/>
        <v>0</v>
      </c>
      <c r="EO87" s="2042">
        <f t="shared" si="217"/>
        <v>0</v>
      </c>
      <c r="EP87" s="2042">
        <f t="shared" si="217"/>
        <v>0</v>
      </c>
      <c r="EQ87" s="2042">
        <f t="shared" si="217"/>
        <v>0</v>
      </c>
      <c r="ER87" s="2042">
        <f t="shared" si="217"/>
        <v>0</v>
      </c>
      <c r="ES87" s="2042">
        <f t="shared" si="217"/>
        <v>0</v>
      </c>
      <c r="ET87" s="2042">
        <f t="shared" si="217"/>
        <v>0</v>
      </c>
      <c r="EU87" s="2042">
        <f t="shared" si="217"/>
        <v>0</v>
      </c>
      <c r="EV87" s="2042">
        <f t="shared" si="217"/>
        <v>0</v>
      </c>
      <c r="EW87" s="2042">
        <f t="shared" si="217"/>
        <v>0</v>
      </c>
      <c r="EX87" s="2042">
        <f t="shared" si="217"/>
        <v>0</v>
      </c>
      <c r="EY87" s="2042"/>
      <c r="EZ87" s="2045">
        <f t="shared" si="195"/>
        <v>0</v>
      </c>
      <c r="FA87" s="2042">
        <f>EZ87+CZ87+DZ87                 -         SUMIF('Berechnung Nährstoffe und Lager'!$AX$113:$AX$155,$CX87,'Berechnung Nährstoffe und Lager'!$U$113:$U$155)/12  -$GB87*$HC87/12</f>
        <v>0</v>
      </c>
      <c r="FB87" s="2042">
        <f>FA87+DA87+EA87                 -         SUMIF('Berechnung Nährstoffe und Lager'!$AX$113:$AX$155,$CX87,'Berechnung Nährstoffe und Lager'!$U$113:$U$155)/12  -$GB87*$HC87/12</f>
        <v>0</v>
      </c>
      <c r="FC87" s="2042">
        <f>FB87+DB87+EB87                 -         SUMIF('Berechnung Nährstoffe und Lager'!$AX$113:$AX$155,$CX87,'Berechnung Nährstoffe und Lager'!$U$113:$U$155)/12  -$GB87*$HC87/12</f>
        <v>0</v>
      </c>
      <c r="FD87" s="2042">
        <f>FC87+DC87+EC87                 -         SUMIF('Berechnung Nährstoffe und Lager'!$AX$113:$AX$155,$CX87,'Berechnung Nährstoffe und Lager'!$U$113:$U$155)/12  -$GB87*$HC87/12</f>
        <v>0</v>
      </c>
      <c r="FE87" s="2042">
        <f>FD87+DD87+ED87                 -         SUMIF('Berechnung Nährstoffe und Lager'!$AX$113:$AX$155,$CX87,'Berechnung Nährstoffe und Lager'!$U$113:$U$155)/12  -$GB87*$HC87/12</f>
        <v>0</v>
      </c>
      <c r="FF87" s="2042">
        <f>FE87+DE87+EE87                 -         SUMIF('Berechnung Nährstoffe und Lager'!$AX$113:$AX$155,$CX87,'Berechnung Nährstoffe und Lager'!$U$113:$U$155)/12  -$GB87*$HC87/12</f>
        <v>0</v>
      </c>
      <c r="FG87" s="2042">
        <f>FF87+DF87+EF87                 -         SUMIF('Berechnung Nährstoffe und Lager'!$AX$113:$AX$155,$CX87,'Berechnung Nährstoffe und Lager'!$U$113:$U$155)/12  -$GB87*$HC87/12</f>
        <v>0</v>
      </c>
      <c r="FH87" s="2042">
        <f>FG87+DG87+EG87                 -         SUMIF('Berechnung Nährstoffe und Lager'!$AX$113:$AX$155,$CX87,'Berechnung Nährstoffe und Lager'!$U$113:$U$155)/12  -$GB87*$HC87/12</f>
        <v>0</v>
      </c>
      <c r="FI87" s="2042">
        <f>FH87+DH87+EH87                 -         SUMIF('Berechnung Nährstoffe und Lager'!$AX$113:$AX$155,$CX87,'Berechnung Nährstoffe und Lager'!$U$113:$U$155)/12  -$GB87*$HC87/12</f>
        <v>0</v>
      </c>
      <c r="FJ87" s="2042">
        <f>FI87+DI87+EI87                 -         SUMIF('Berechnung Nährstoffe und Lager'!$AX$113:$AX$155,$CX87,'Berechnung Nährstoffe und Lager'!$U$113:$U$155)/12  -$GB87*$HC87/12</f>
        <v>0</v>
      </c>
      <c r="FK87" s="2042">
        <f>FJ87+DJ87+EJ87                 -         SUMIF('Berechnung Nährstoffe und Lager'!$AX$113:$AX$155,$CX87,'Berechnung Nährstoffe und Lager'!$U$113:$U$155)/12  -$GB87*$HC87/12</f>
        <v>0</v>
      </c>
      <c r="FL87" s="2042">
        <f>FK87+DK87+EK87                 -         SUMIF('Berechnung Nährstoffe und Lager'!$AX$113:$AX$155,$CX87,'Berechnung Nährstoffe und Lager'!$U$113:$U$155)/12  -$GB87*$HC87/12</f>
        <v>0</v>
      </c>
      <c r="FM87" s="2042"/>
      <c r="FN87" s="2045">
        <f t="shared" si="196"/>
        <v>0</v>
      </c>
      <c r="FO87" s="2042">
        <f>FN87+DM87+EM87                 -         SUMIF('Berechnung Nährstoffe und Lager'!$AX$113:$AX$155,$CX87,'Berechnung Nährstoffe und Lager'!$V$113:$V$155)/12  -$GC87*$HC87/12</f>
        <v>0</v>
      </c>
      <c r="FP87" s="2042">
        <f>FO87+DN87+EN87                 -         SUMIF('Berechnung Nährstoffe und Lager'!$AX$113:$AX$155,$CX87,'Berechnung Nährstoffe und Lager'!$V$113:$V$155)/12  -$GC87*$HC87/12</f>
        <v>0</v>
      </c>
      <c r="FQ87" s="2042">
        <f>FP87+DO87+EO87                 -         SUMIF('Berechnung Nährstoffe und Lager'!$AX$113:$AX$155,$CX87,'Berechnung Nährstoffe und Lager'!$V$113:$V$155)/12  -$GC87*$HC87/12</f>
        <v>0</v>
      </c>
      <c r="FR87" s="2042">
        <f>FQ87+DP87+EP87                 -         SUMIF('Berechnung Nährstoffe und Lager'!$AX$113:$AX$155,$CX87,'Berechnung Nährstoffe und Lager'!$V$113:$V$155)/12  -$GC87*$HC87/12</f>
        <v>0</v>
      </c>
      <c r="FS87" s="2042">
        <f>FR87+DQ87+EQ87                 -         SUMIF('Berechnung Nährstoffe und Lager'!$AX$113:$AX$155,$CX87,'Berechnung Nährstoffe und Lager'!$V$113:$V$155)/12  -$GC87*$HC87/12</f>
        <v>0</v>
      </c>
      <c r="FT87" s="2042">
        <f>FS87+DR87+ER87                 -         SUMIF('Berechnung Nährstoffe und Lager'!$AX$113:$AX$155,$CX87,'Berechnung Nährstoffe und Lager'!$V$113:$V$155)/12  -$GC87*$HC87/12</f>
        <v>0</v>
      </c>
      <c r="FU87" s="2042">
        <f>FT87+DS87+ES87                 -         SUMIF('Berechnung Nährstoffe und Lager'!$AX$113:$AX$155,$CX87,'Berechnung Nährstoffe und Lager'!$V$113:$V$155)/12  -$GC87*$HC87/12</f>
        <v>0</v>
      </c>
      <c r="FV87" s="2042">
        <f>FU87+DT87+ET87                 -         SUMIF('Berechnung Nährstoffe und Lager'!$AX$113:$AX$155,$CX87,'Berechnung Nährstoffe und Lager'!$V$113:$V$155)/12  -$GC87*$HC87/12</f>
        <v>0</v>
      </c>
      <c r="FW87" s="2042">
        <f>FV87+DU87+EU87                 -         SUMIF('Berechnung Nährstoffe und Lager'!$AX$113:$AX$155,$CX87,'Berechnung Nährstoffe und Lager'!$V$113:$V$155)/12  -$GC87*$HC87/12</f>
        <v>0</v>
      </c>
      <c r="FX87" s="2042">
        <f>FW87+DV87+EV87                 -         SUMIF('Berechnung Nährstoffe und Lager'!$AX$113:$AX$155,$CX87,'Berechnung Nährstoffe und Lager'!$V$113:$V$155)/12  -$GC87*$HC87/12</f>
        <v>0</v>
      </c>
      <c r="FY87" s="2042">
        <f>FX87+DW87+EW87                 -         SUMIF('Berechnung Nährstoffe und Lager'!$AX$113:$AX$155,$CX87,'Berechnung Nährstoffe und Lager'!$V$113:$V$155)/12  -$GC87*$HC87/12</f>
        <v>0</v>
      </c>
      <c r="FZ87" s="2042">
        <f>FY87+DX87+EX87                 -         SUMIF('Berechnung Nährstoffe und Lager'!$AX$113:$AX$155,$CX87,'Berechnung Nährstoffe und Lager'!$V$113:$V$155)/12  -$GC87*$HC87/12</f>
        <v>0</v>
      </c>
      <c r="GA87" s="2042"/>
      <c r="GB87" s="2042">
        <f>SUMIFS($CI$14:$CI$68,$BR$14:$BR$68,$CX87)+SUMIFS($CM$14:$CM$68,$BR$14:$BR$68,$CX87)+SUMIFS($CR$14:$CR$68,$BR$14:$BR$68,$CX87)  -         SUMIF('Berechnung Nährstoffe und Lager'!$AX$113:$AX$155,$CX87,'Berechnung Nährstoffe und Lager'!$U$113:$U$155)</f>
        <v>0</v>
      </c>
      <c r="GC87" s="2042">
        <f>SUMIFS($CJ$14:$CJ$68,$BR$14:$BR$68,$CX87)+SUMIFS($CO$14:$CO$68,$BR$14:$BR$68,$CX87)+SUMIFS($CT$14:$CT$68,$BR$14:$BR$68,$CX87)  -         SUMIF('Berechnung Nährstoffe und Lager'!$AX$113:$AX$155,$CX87,'Berechnung Nährstoffe und Lager'!$V$113:$V$155)</f>
        <v>0</v>
      </c>
      <c r="GD87" s="2042"/>
      <c r="GE87" s="2042"/>
      <c r="GF87" s="2042">
        <f>SUMIF('Berechnung Nährstoffe und Lager'!$AX$113:$AX$155,$CX87,'Berechnung Nährstoffe und Lager'!$U$113:$U$155)</f>
        <v>0</v>
      </c>
      <c r="GG87" s="2042">
        <f>SUMIF('Berechnung Nährstoffe und Lager'!$AX$113:$AX$155,$CX87,'Berechnung Nährstoffe und Lager'!$V$113:$V$155)</f>
        <v>0</v>
      </c>
      <c r="GH87" s="2042">
        <f t="shared" si="197"/>
        <v>0</v>
      </c>
      <c r="GI87" s="2042">
        <f t="shared" si="198"/>
        <v>0</v>
      </c>
      <c r="GJ87" s="2042">
        <f t="shared" si="180"/>
        <v>0</v>
      </c>
      <c r="GK87" s="2042">
        <f t="shared" si="181"/>
        <v>0</v>
      </c>
      <c r="GL87" s="2042">
        <f t="shared" si="182"/>
        <v>0</v>
      </c>
      <c r="GM87" s="2042" cm="1">
        <f t="array" ref="GM87">IF(GL87=0,0,(IFERROR(SUMPRODUCT($J$14:$J$68,$CH$14:$CH$68,($BR$14:$BR$68=CX87)*1)+SUMPRODUCT($L$14:$L$68,$M$14:$M$68,$CK$14:$CK$68,($BR$14:$BR$68=CX87)*1,($BT$14:$BT$68=FALSE)*1)/10+SUMPRODUCT($R$14:$R$68,$CP$14:$CP$68,($BR$14:$BR$68=CX87)*1),0))/GL87)</f>
        <v>0</v>
      </c>
      <c r="GN87" s="2042">
        <f t="shared" si="199"/>
        <v>0</v>
      </c>
      <c r="GO87" s="2042">
        <f>(SUMIF('Berechnung Nährstoffe und Lager'!$AX$113:$AX$130,'Lagerhaltung (freiwillig)'!CX87,'Berechnung Nährstoffe und Lager'!$D$113:$D$130)+SUMIF('Berechnung Nährstoffe und Lager'!$AX$137:$AX$155,'Lagerhaltung (freiwillig)'!CX87,'Berechnung Nährstoffe und Lager'!$E$137:$E$155))</f>
        <v>0</v>
      </c>
      <c r="GP87" s="2042" cm="1">
        <f t="array" ref="GP87">IF(GO87=0,0,(IFERROR(SUMPRODUCT('Berechnung Nährstoffe und Lager'!$D$113:$D$130,'Berechnung Nährstoffe und Lager'!$F$113:$F$130,('Berechnung Nährstoffe und Lager'!$AX$113:$AX$130='Lagerhaltung (freiwillig)'!CX87)*1)+SUMPRODUCT('Berechnung Nährstoffe und Lager'!$E$137:$E$155,'Berechnung Nährstoffe und Lager'!$F$137:$F$155,('Berechnung Nährstoffe und Lager'!$AX$137:$AX$155='Lagerhaltung (freiwillig)'!CX87)*1),0))/GO87)</f>
        <v>0</v>
      </c>
      <c r="GQ87" s="2042">
        <f t="shared" si="200"/>
        <v>0</v>
      </c>
      <c r="GR87" s="2042">
        <f t="shared" si="201"/>
        <v>0</v>
      </c>
      <c r="GS87" s="2042">
        <f t="shared" si="202"/>
        <v>0</v>
      </c>
      <c r="GT87" s="2042">
        <f t="shared" si="203"/>
        <v>0</v>
      </c>
      <c r="GU87" s="2045" t="str">
        <f t="shared" si="175"/>
        <v xml:space="preserve"> </v>
      </c>
      <c r="GV87" s="2045" t="str">
        <f t="shared" si="175"/>
        <v xml:space="preserve"> </v>
      </c>
      <c r="GW87" s="2054">
        <f t="shared" si="183"/>
        <v>0</v>
      </c>
      <c r="GX87" s="2042">
        <f t="shared" si="184"/>
        <v>0</v>
      </c>
      <c r="GY87" s="2042" t="str">
        <f t="shared" si="174"/>
        <v>a</v>
      </c>
      <c r="GZ87" s="2055">
        <f t="shared" si="185"/>
        <v>0</v>
      </c>
      <c r="HA87" s="2055">
        <f t="shared" si="186"/>
        <v>0</v>
      </c>
      <c r="HB87" s="2055"/>
      <c r="HC87" s="2046">
        <f t="shared" si="187"/>
        <v>0</v>
      </c>
      <c r="HD87" s="2055">
        <f t="shared" si="188"/>
        <v>0</v>
      </c>
      <c r="HE87" s="2055">
        <f t="shared" si="189"/>
        <v>0</v>
      </c>
      <c r="HF87" s="2055">
        <f t="shared" si="190"/>
        <v>0</v>
      </c>
      <c r="HG87" s="2282" cm="1">
        <f t="array" ref="HG87">IF(AND(HE87=0,GJ87=0),0,IF(HE87=0,1,IF(OR(GJ87*1000/HE87/HF87&gt;INDEX(Pflanzen!$AD$5:$AD$109,CX87)/INDEX(Pflanzen!$M$5:$M$109,CX87)*$HG$1,GJ87*1000/HE87/HF87&lt;INDEX(Pflanzen!$AD$5:$AD$109,CX87)/INDEX(Pflanzen!$M$5:$M$109,CX87)/$HG$1),1,0)))</f>
        <v>0</v>
      </c>
      <c r="HH87" s="2282" cm="1">
        <f t="array" ref="HH87">IF(AND(GK87=0,HE87=0),0,IF(HE87=0,1,IF(OR(GK87*1000/HE87/HF87&gt;INDEX(Pflanzen!$AE$5:$AE$109,CX87)/INDEX(Pflanzen!$M$5:$M$109,CX87)*$HG$1,GK87*1000/HE87/HF87&lt;INDEX(Pflanzen!$AE$5:$AE$109,CX87)/INDEX(Pflanzen!$M$5:$M$109,CX87)/$HG$1),1,0)))</f>
        <v>0</v>
      </c>
      <c r="HI87" s="2042">
        <f t="shared" si="191"/>
        <v>3</v>
      </c>
      <c r="HJ87" s="2042"/>
      <c r="HL87" s="2042"/>
      <c r="HM87" s="2042"/>
      <c r="HN87" s="2042"/>
      <c r="HO87" s="2042"/>
      <c r="HP87" s="2042"/>
      <c r="HQ87" s="2042"/>
      <c r="HR87" s="2042"/>
      <c r="HS87" s="2042"/>
      <c r="HT87" s="2042"/>
      <c r="HU87" s="2042"/>
      <c r="HV87" s="2042"/>
      <c r="HW87" s="2042"/>
      <c r="HX87" s="2042"/>
      <c r="HY87" s="2042"/>
      <c r="HZ87" s="2042"/>
      <c r="IA87" s="2042"/>
      <c r="IB87" s="2042"/>
      <c r="IC87" s="2042"/>
      <c r="ID87" s="2042"/>
      <c r="IE87" s="2042"/>
      <c r="IF87" s="2042"/>
      <c r="IG87" s="2042"/>
      <c r="IH87" s="2042"/>
      <c r="II87" s="2042"/>
      <c r="IJ87" s="2042"/>
    </row>
    <row r="88" spans="1:244" ht="15.6" customHeight="1" x14ac:dyDescent="0.2">
      <c r="A88" s="3067"/>
      <c r="B88" s="3123"/>
      <c r="C88" s="3123"/>
      <c r="D88" s="3123"/>
      <c r="E88" s="3124"/>
      <c r="F88" s="1259"/>
      <c r="G88" s="2314"/>
      <c r="H88" s="2293"/>
      <c r="I88" s="2310">
        <f t="shared" si="212"/>
        <v>0</v>
      </c>
      <c r="J88" s="1970"/>
      <c r="K88" s="1927"/>
      <c r="L88" s="1928"/>
      <c r="M88" s="1928"/>
      <c r="N88" s="1929"/>
      <c r="O88" s="1929"/>
      <c r="P88" s="1930"/>
      <c r="Q88" s="2310">
        <f t="shared" si="213"/>
        <v>0</v>
      </c>
      <c r="R88" s="1246"/>
      <c r="S88" s="1938"/>
      <c r="T88" s="1970"/>
      <c r="U88" s="1159"/>
      <c r="V88" s="2316" t="str">
        <f t="shared" si="214"/>
        <v/>
      </c>
      <c r="X88" s="1129"/>
      <c r="Y88" s="2005" t="str" cm="1">
        <f t="array" ref="Y88">IFERROR(INDEX($CW$4:$CW$171,AY88),"")</f>
        <v/>
      </c>
      <c r="Z88" s="510"/>
      <c r="AA88" s="510"/>
      <c r="AB88" s="510"/>
      <c r="AC88" s="2031" t="str" cm="1">
        <f t="array" ref="AC88">IFERROR(INDEX($GL$4:$GL$171,AY88),"")</f>
        <v/>
      </c>
      <c r="AD88" s="2031" t="str" cm="1">
        <f t="array" ref="AD88">IFERROR(INDEX($GM$4:$GM$171,AY88),"")</f>
        <v/>
      </c>
      <c r="AE88" s="2031" t="str" cm="1">
        <f t="array" ref="AE88">IFERROR(INDEX($GH$4:$GH$171,AY88),"")</f>
        <v/>
      </c>
      <c r="AF88" s="2031" t="str" cm="1">
        <f t="array" ref="AF88">IFERROR(INDEX($GI$4:$GI$171,AY88),"")</f>
        <v/>
      </c>
      <c r="AG88" s="2031" t="str" cm="1">
        <f t="array" ref="AG88">IFERROR(INDEX($GO$4:$GO$171,AY88),"")</f>
        <v/>
      </c>
      <c r="AH88" s="2031" t="str" cm="1">
        <f t="array" ref="AH88">IFERROR(INDEX($GP$4:$GP$171,AY88),"")</f>
        <v/>
      </c>
      <c r="AI88" s="2031" t="str" cm="1">
        <f t="array" ref="AI88">IFERROR(INDEX($GF$4:$GF$171,AY88),"")</f>
        <v/>
      </c>
      <c r="AJ88" s="2031" t="str" cm="1">
        <f t="array" ref="AJ88">IFERROR(INDEX($GG$4:$GG$171,AY88),"")</f>
        <v/>
      </c>
      <c r="AK88" s="2031" t="str" cm="1">
        <f t="array" ref="AK88">IFERROR(INDEX($GS$4:$GS$171,AY88),"")</f>
        <v/>
      </c>
      <c r="AL88" s="2032" t="str" cm="1">
        <f t="array" ref="AL88">IFERROR(INDEX($GT$4:$GT$171,AY88),"")</f>
        <v/>
      </c>
      <c r="AM88" s="2031" t="str" cm="1">
        <f t="array" ref="AM88">IFERROR(INDEX($GB$4:$GB$171,AY88),"")</f>
        <v/>
      </c>
      <c r="AN88" s="2031" t="str" cm="1">
        <f t="array" ref="AN88">IFERROR(INDEX($GC$4:$GC$171,AY88),"")</f>
        <v/>
      </c>
      <c r="AO88" s="2031" t="str" cm="1">
        <f t="array" ref="AO88">IFERROR(INDEX($GU$4:$GU$171,AY88),"")</f>
        <v/>
      </c>
      <c r="AP88" s="2031" t="str" cm="1">
        <f t="array" ref="AP88">IFERROR(INDEX($GX$4:$GX$171,AY88),"")</f>
        <v/>
      </c>
      <c r="AQ88" s="1316"/>
      <c r="AR88" s="2031" t="str" cm="1">
        <f t="array" ref="AR88">IFERROR(INDEX($HD$4:$HD$171,AY88),"")</f>
        <v/>
      </c>
      <c r="AS88" s="2031" t="str" cm="1">
        <f t="array" ref="AS88">IFERROR(INDEX($HE$4:$HE$171,AY88),"")</f>
        <v/>
      </c>
      <c r="AT88" s="2031" t="str" cm="1">
        <f t="array" ref="AT88">IFERROR(INDEX($HF$4:$HF$171,AY88),"")</f>
        <v/>
      </c>
      <c r="AU88" s="2031" t="str" cm="1">
        <f t="array" ref="AU88">IFERROR(INDEX($GJ$4:$GJ$171,AY88),"")</f>
        <v/>
      </c>
      <c r="AV88" s="2031" t="str" cm="1">
        <f t="array" ref="AV88">IFERROR(INDEX($GK$4:$GK$171,AY88),"")</f>
        <v/>
      </c>
      <c r="AY88" s="2042" t="str" cm="1">
        <f t="array" ref="AY88">IFERROR(SMALL(IF($HI$4:$HI$171=1,ROW($HI$4:$HI$171)-3),ROW(W73)),IFERROR(SMALL(IF($HI$4:$HI$171=2,ROW($HI$4:$HI$171)-3),ROW(W73)-COUNTIF($HI$4:$HI$171,1)),IFERROR(SMALL(IF($HI$4:$HI$171=0,ROW($HI$4:$HI$171)-3),ROW(W73)-COUNTIF($HI$4:$HI$171,1)-COUNTIF($HI$4:$HI$171,2)),"")))</f>
        <v/>
      </c>
      <c r="AZ88" s="2042" t="str">
        <f t="shared" si="215"/>
        <v>a</v>
      </c>
      <c r="BA88" s="2053" t="e">
        <f t="shared" si="172"/>
        <v>#VALUE!</v>
      </c>
      <c r="BB88" s="2053" cm="1">
        <f t="array" ref="BB88">IFERROR(INDEX($HI$4:$HI$171,AY88),0)</f>
        <v>0</v>
      </c>
      <c r="BC88" s="2053">
        <f t="shared" si="173"/>
        <v>0</v>
      </c>
      <c r="BD88" s="2053"/>
      <c r="BE88" s="2307"/>
      <c r="BF88" s="2307"/>
      <c r="BG88" s="2307"/>
      <c r="BH88" s="2307"/>
      <c r="BI88" s="2307"/>
      <c r="BJ88" s="2307"/>
      <c r="BK88" s="2307"/>
      <c r="BL88" s="2307"/>
      <c r="BM88" s="2307"/>
      <c r="BN88" s="2307"/>
      <c r="BO88" s="2307"/>
      <c r="BP88" s="2043"/>
      <c r="BQ88" s="2042"/>
      <c r="BR88" s="2042"/>
      <c r="BS88" s="2042"/>
      <c r="BT88" s="2042"/>
      <c r="BU88" s="2044"/>
      <c r="BV88" s="2044"/>
      <c r="BW88" s="2042">
        <f t="shared" si="176"/>
        <v>12</v>
      </c>
      <c r="BX88" s="2042">
        <f t="shared" si="177"/>
        <v>0</v>
      </c>
      <c r="BY88" s="2042">
        <f t="shared" si="178"/>
        <v>12</v>
      </c>
      <c r="BZ88" s="2042"/>
      <c r="CA88" s="2042"/>
      <c r="CB88" s="2042"/>
      <c r="CC88" s="2042"/>
      <c r="CD88" s="2042"/>
      <c r="CE88" s="2042"/>
      <c r="CF88" s="2042"/>
      <c r="CG88" s="2042"/>
      <c r="CH88" s="2042"/>
      <c r="CI88" s="2042">
        <f t="shared" si="206"/>
        <v>0</v>
      </c>
      <c r="CJ88" s="2042">
        <f t="shared" si="207"/>
        <v>0</v>
      </c>
      <c r="CK88" s="2042"/>
      <c r="CL88" s="2042"/>
      <c r="CM88" s="2042"/>
      <c r="CN88" s="2042"/>
      <c r="CO88" s="2042"/>
      <c r="CP88" s="2042"/>
      <c r="CQ88" s="2042">
        <f t="shared" si="208"/>
        <v>0</v>
      </c>
      <c r="CR88" s="2042">
        <f t="shared" si="209"/>
        <v>0</v>
      </c>
      <c r="CS88" s="2042">
        <f t="shared" si="210"/>
        <v>0</v>
      </c>
      <c r="CT88" s="2042">
        <f t="shared" si="211"/>
        <v>0</v>
      </c>
      <c r="CU88" s="2042">
        <f t="shared" si="179"/>
        <v>0</v>
      </c>
      <c r="CV88" s="2042"/>
      <c r="CW88" s="609" t="str">
        <f>Pflanzen!A84</f>
        <v>sonst. Biogaseinsatzstoff</v>
      </c>
      <c r="CX88" s="2042">
        <f>IFERROR(MATCH($CW88,Pflanzen!$C$5:$C$119,0),1)</f>
        <v>111</v>
      </c>
      <c r="CY88" s="609" cm="1">
        <f t="array" ref="CY88">INDEX(Pflanzen!$I$5:$I$119,'Lagerhaltung (freiwillig)'!CX88)</f>
        <v>0</v>
      </c>
      <c r="CZ88" s="2042">
        <f t="shared" si="204"/>
        <v>0</v>
      </c>
      <c r="DA88" s="2042">
        <f t="shared" si="204"/>
        <v>0</v>
      </c>
      <c r="DB88" s="2042">
        <f t="shared" si="204"/>
        <v>0</v>
      </c>
      <c r="DC88" s="2042">
        <f t="shared" si="204"/>
        <v>0</v>
      </c>
      <c r="DD88" s="2042">
        <f t="shared" si="204"/>
        <v>0</v>
      </c>
      <c r="DE88" s="2042">
        <f t="shared" si="204"/>
        <v>0</v>
      </c>
      <c r="DF88" s="2042">
        <f t="shared" si="204"/>
        <v>0</v>
      </c>
      <c r="DG88" s="2042">
        <f t="shared" si="204"/>
        <v>0</v>
      </c>
      <c r="DH88" s="2042">
        <f t="shared" si="204"/>
        <v>0</v>
      </c>
      <c r="DI88" s="2042">
        <f t="shared" si="204"/>
        <v>0</v>
      </c>
      <c r="DJ88" s="2042">
        <f t="shared" si="204"/>
        <v>0</v>
      </c>
      <c r="DK88" s="2042">
        <f t="shared" si="204"/>
        <v>0</v>
      </c>
      <c r="DL88" s="2042"/>
      <c r="DM88" s="2042">
        <f t="shared" si="165"/>
        <v>0</v>
      </c>
      <c r="DN88" s="2042">
        <f t="shared" si="216"/>
        <v>0</v>
      </c>
      <c r="DO88" s="2042">
        <f t="shared" si="216"/>
        <v>0</v>
      </c>
      <c r="DP88" s="2042">
        <f t="shared" si="216"/>
        <v>0</v>
      </c>
      <c r="DQ88" s="2042">
        <f t="shared" si="216"/>
        <v>0</v>
      </c>
      <c r="DR88" s="2042">
        <f t="shared" si="216"/>
        <v>0</v>
      </c>
      <c r="DS88" s="2042">
        <f t="shared" si="216"/>
        <v>0</v>
      </c>
      <c r="DT88" s="2042">
        <f t="shared" si="216"/>
        <v>0</v>
      </c>
      <c r="DU88" s="2042">
        <f t="shared" si="216"/>
        <v>0</v>
      </c>
      <c r="DV88" s="2042">
        <f t="shared" si="216"/>
        <v>0</v>
      </c>
      <c r="DW88" s="2042">
        <f t="shared" si="216"/>
        <v>0</v>
      </c>
      <c r="DX88" s="2042">
        <f t="shared" si="216"/>
        <v>0</v>
      </c>
      <c r="DY88" s="2042"/>
      <c r="DZ88" s="2042">
        <f t="shared" si="205"/>
        <v>0</v>
      </c>
      <c r="EA88" s="2042">
        <f t="shared" si="205"/>
        <v>0</v>
      </c>
      <c r="EB88" s="2042">
        <f t="shared" si="205"/>
        <v>0</v>
      </c>
      <c r="EC88" s="2042">
        <f t="shared" si="205"/>
        <v>0</v>
      </c>
      <c r="ED88" s="2042">
        <f t="shared" si="205"/>
        <v>0</v>
      </c>
      <c r="EE88" s="2042">
        <f t="shared" si="205"/>
        <v>0</v>
      </c>
      <c r="EF88" s="2042">
        <f t="shared" si="205"/>
        <v>0</v>
      </c>
      <c r="EG88" s="2042">
        <f t="shared" si="205"/>
        <v>0</v>
      </c>
      <c r="EH88" s="2042">
        <f t="shared" si="205"/>
        <v>0</v>
      </c>
      <c r="EI88" s="2042">
        <f t="shared" si="205"/>
        <v>0</v>
      </c>
      <c r="EJ88" s="2042">
        <f t="shared" si="205"/>
        <v>0</v>
      </c>
      <c r="EK88" s="2042">
        <f t="shared" si="205"/>
        <v>0</v>
      </c>
      <c r="EL88" s="2042"/>
      <c r="EM88" s="2042">
        <f t="shared" si="167"/>
        <v>0</v>
      </c>
      <c r="EN88" s="2042">
        <f t="shared" si="217"/>
        <v>0</v>
      </c>
      <c r="EO88" s="2042">
        <f t="shared" si="217"/>
        <v>0</v>
      </c>
      <c r="EP88" s="2042">
        <f t="shared" si="217"/>
        <v>0</v>
      </c>
      <c r="EQ88" s="2042">
        <f t="shared" si="217"/>
        <v>0</v>
      </c>
      <c r="ER88" s="2042">
        <f t="shared" si="217"/>
        <v>0</v>
      </c>
      <c r="ES88" s="2042">
        <f t="shared" si="217"/>
        <v>0</v>
      </c>
      <c r="ET88" s="2042">
        <f t="shared" si="217"/>
        <v>0</v>
      </c>
      <c r="EU88" s="2042">
        <f t="shared" si="217"/>
        <v>0</v>
      </c>
      <c r="EV88" s="2042">
        <f t="shared" si="217"/>
        <v>0</v>
      </c>
      <c r="EW88" s="2042">
        <f t="shared" si="217"/>
        <v>0</v>
      </c>
      <c r="EX88" s="2042">
        <f t="shared" si="217"/>
        <v>0</v>
      </c>
      <c r="EY88" s="2042"/>
      <c r="EZ88" s="2045">
        <f t="shared" si="195"/>
        <v>0</v>
      </c>
      <c r="FA88" s="2042">
        <f>EZ88+CZ88+DZ88                 -         SUMIF('Berechnung Nährstoffe und Lager'!$AX$113:$AX$155,$CX88,'Berechnung Nährstoffe und Lager'!$U$113:$U$155)/12  -$GB88*$HC88/12</f>
        <v>0</v>
      </c>
      <c r="FB88" s="2042">
        <f>FA88+DA88+EA88                 -         SUMIF('Berechnung Nährstoffe und Lager'!$AX$113:$AX$155,$CX88,'Berechnung Nährstoffe und Lager'!$U$113:$U$155)/12  -$GB88*$HC88/12</f>
        <v>0</v>
      </c>
      <c r="FC88" s="2042">
        <f>FB88+DB88+EB88                 -         SUMIF('Berechnung Nährstoffe und Lager'!$AX$113:$AX$155,$CX88,'Berechnung Nährstoffe und Lager'!$U$113:$U$155)/12  -$GB88*$HC88/12</f>
        <v>0</v>
      </c>
      <c r="FD88" s="2042">
        <f>FC88+DC88+EC88                 -         SUMIF('Berechnung Nährstoffe und Lager'!$AX$113:$AX$155,$CX88,'Berechnung Nährstoffe und Lager'!$U$113:$U$155)/12  -$GB88*$HC88/12</f>
        <v>0</v>
      </c>
      <c r="FE88" s="2042">
        <f>FD88+DD88+ED88                 -         SUMIF('Berechnung Nährstoffe und Lager'!$AX$113:$AX$155,$CX88,'Berechnung Nährstoffe und Lager'!$U$113:$U$155)/12  -$GB88*$HC88/12</f>
        <v>0</v>
      </c>
      <c r="FF88" s="2042">
        <f>FE88+DE88+EE88                 -         SUMIF('Berechnung Nährstoffe und Lager'!$AX$113:$AX$155,$CX88,'Berechnung Nährstoffe und Lager'!$U$113:$U$155)/12  -$GB88*$HC88/12</f>
        <v>0</v>
      </c>
      <c r="FG88" s="2042">
        <f>FF88+DF88+EF88                 -         SUMIF('Berechnung Nährstoffe und Lager'!$AX$113:$AX$155,$CX88,'Berechnung Nährstoffe und Lager'!$U$113:$U$155)/12  -$GB88*$HC88/12</f>
        <v>0</v>
      </c>
      <c r="FH88" s="2042">
        <f>FG88+DG88+EG88                 -         SUMIF('Berechnung Nährstoffe und Lager'!$AX$113:$AX$155,$CX88,'Berechnung Nährstoffe und Lager'!$U$113:$U$155)/12  -$GB88*$HC88/12</f>
        <v>0</v>
      </c>
      <c r="FI88" s="2042">
        <f>FH88+DH88+EH88                 -         SUMIF('Berechnung Nährstoffe und Lager'!$AX$113:$AX$155,$CX88,'Berechnung Nährstoffe und Lager'!$U$113:$U$155)/12  -$GB88*$HC88/12</f>
        <v>0</v>
      </c>
      <c r="FJ88" s="2042">
        <f>FI88+DI88+EI88                 -         SUMIF('Berechnung Nährstoffe und Lager'!$AX$113:$AX$155,$CX88,'Berechnung Nährstoffe und Lager'!$U$113:$U$155)/12  -$GB88*$HC88/12</f>
        <v>0</v>
      </c>
      <c r="FK88" s="2042">
        <f>FJ88+DJ88+EJ88                 -         SUMIF('Berechnung Nährstoffe und Lager'!$AX$113:$AX$155,$CX88,'Berechnung Nährstoffe und Lager'!$U$113:$U$155)/12  -$GB88*$HC88/12</f>
        <v>0</v>
      </c>
      <c r="FL88" s="2042">
        <f>FK88+DK88+EK88                 -         SUMIF('Berechnung Nährstoffe und Lager'!$AX$113:$AX$155,$CX88,'Berechnung Nährstoffe und Lager'!$U$113:$U$155)/12  -$GB88*$HC88/12</f>
        <v>0</v>
      </c>
      <c r="FM88" s="2042"/>
      <c r="FN88" s="2045">
        <f t="shared" si="196"/>
        <v>0</v>
      </c>
      <c r="FO88" s="2042">
        <f>FN88+DM88+EM88                 -         SUMIF('Berechnung Nährstoffe und Lager'!$AX$113:$AX$155,$CX88,'Berechnung Nährstoffe und Lager'!$V$113:$V$155)/12  -$GC88*$HC88/12</f>
        <v>0</v>
      </c>
      <c r="FP88" s="2042">
        <f>FO88+DN88+EN88                 -         SUMIF('Berechnung Nährstoffe und Lager'!$AX$113:$AX$155,$CX88,'Berechnung Nährstoffe und Lager'!$V$113:$V$155)/12  -$GC88*$HC88/12</f>
        <v>0</v>
      </c>
      <c r="FQ88" s="2042">
        <f>FP88+DO88+EO88                 -         SUMIF('Berechnung Nährstoffe und Lager'!$AX$113:$AX$155,$CX88,'Berechnung Nährstoffe und Lager'!$V$113:$V$155)/12  -$GC88*$HC88/12</f>
        <v>0</v>
      </c>
      <c r="FR88" s="2042">
        <f>FQ88+DP88+EP88                 -         SUMIF('Berechnung Nährstoffe und Lager'!$AX$113:$AX$155,$CX88,'Berechnung Nährstoffe und Lager'!$V$113:$V$155)/12  -$GC88*$HC88/12</f>
        <v>0</v>
      </c>
      <c r="FS88" s="2042">
        <f>FR88+DQ88+EQ88                 -         SUMIF('Berechnung Nährstoffe und Lager'!$AX$113:$AX$155,$CX88,'Berechnung Nährstoffe und Lager'!$V$113:$V$155)/12  -$GC88*$HC88/12</f>
        <v>0</v>
      </c>
      <c r="FT88" s="2042">
        <f>FS88+DR88+ER88                 -         SUMIF('Berechnung Nährstoffe und Lager'!$AX$113:$AX$155,$CX88,'Berechnung Nährstoffe und Lager'!$V$113:$V$155)/12  -$GC88*$HC88/12</f>
        <v>0</v>
      </c>
      <c r="FU88" s="2042">
        <f>FT88+DS88+ES88                 -         SUMIF('Berechnung Nährstoffe und Lager'!$AX$113:$AX$155,$CX88,'Berechnung Nährstoffe und Lager'!$V$113:$V$155)/12  -$GC88*$HC88/12</f>
        <v>0</v>
      </c>
      <c r="FV88" s="2042">
        <f>FU88+DT88+ET88                 -         SUMIF('Berechnung Nährstoffe und Lager'!$AX$113:$AX$155,$CX88,'Berechnung Nährstoffe und Lager'!$V$113:$V$155)/12  -$GC88*$HC88/12</f>
        <v>0</v>
      </c>
      <c r="FW88" s="2042">
        <f>FV88+DU88+EU88                 -         SUMIF('Berechnung Nährstoffe und Lager'!$AX$113:$AX$155,$CX88,'Berechnung Nährstoffe und Lager'!$V$113:$V$155)/12  -$GC88*$HC88/12</f>
        <v>0</v>
      </c>
      <c r="FX88" s="2042">
        <f>FW88+DV88+EV88                 -         SUMIF('Berechnung Nährstoffe und Lager'!$AX$113:$AX$155,$CX88,'Berechnung Nährstoffe und Lager'!$V$113:$V$155)/12  -$GC88*$HC88/12</f>
        <v>0</v>
      </c>
      <c r="FY88" s="2042">
        <f>FX88+DW88+EW88                 -         SUMIF('Berechnung Nährstoffe und Lager'!$AX$113:$AX$155,$CX88,'Berechnung Nährstoffe und Lager'!$V$113:$V$155)/12  -$GC88*$HC88/12</f>
        <v>0</v>
      </c>
      <c r="FZ88" s="2042">
        <f>FY88+DX88+EX88                 -         SUMIF('Berechnung Nährstoffe und Lager'!$AX$113:$AX$155,$CX88,'Berechnung Nährstoffe und Lager'!$V$113:$V$155)/12  -$GC88*$HC88/12</f>
        <v>0</v>
      </c>
      <c r="GA88" s="2042"/>
      <c r="GB88" s="2042">
        <f>SUMIFS($CI$14:$CI$68,$BR$14:$BR$68,$CX88)+SUMIFS($CM$14:$CM$68,$BR$14:$BR$68,$CX88)+SUMIFS($CR$14:$CR$68,$BR$14:$BR$68,$CX88)  -         SUMIF('Berechnung Nährstoffe und Lager'!$AX$113:$AX$155,$CX88,'Berechnung Nährstoffe und Lager'!$U$113:$U$155)</f>
        <v>0</v>
      </c>
      <c r="GC88" s="2042">
        <f>SUMIFS($CJ$14:$CJ$68,$BR$14:$BR$68,$CX88)+SUMIFS($CO$14:$CO$68,$BR$14:$BR$68,$CX88)+SUMIFS($CT$14:$CT$68,$BR$14:$BR$68,$CX88)  -         SUMIF('Berechnung Nährstoffe und Lager'!$AX$113:$AX$155,$CX88,'Berechnung Nährstoffe und Lager'!$V$113:$V$155)</f>
        <v>0</v>
      </c>
      <c r="GD88" s="2042"/>
      <c r="GE88" s="2042"/>
      <c r="GF88" s="2042">
        <f>SUMIF('Berechnung Nährstoffe und Lager'!$AX$113:$AX$155,$CX88,'Berechnung Nährstoffe und Lager'!$U$113:$U$155)</f>
        <v>0</v>
      </c>
      <c r="GG88" s="2042">
        <f>SUMIF('Berechnung Nährstoffe und Lager'!$AX$113:$AX$155,$CX88,'Berechnung Nährstoffe und Lager'!$V$113:$V$155)</f>
        <v>0</v>
      </c>
      <c r="GH88" s="2042">
        <f t="shared" si="197"/>
        <v>0</v>
      </c>
      <c r="GI88" s="2042">
        <f t="shared" si="198"/>
        <v>0</v>
      </c>
      <c r="GJ88" s="2042">
        <f t="shared" si="180"/>
        <v>0</v>
      </c>
      <c r="GK88" s="2042">
        <f t="shared" si="181"/>
        <v>0</v>
      </c>
      <c r="GL88" s="2042">
        <f t="shared" si="182"/>
        <v>0</v>
      </c>
      <c r="GM88" s="2042" cm="1">
        <f t="array" ref="GM88">IF(GL88=0,0,(IFERROR(SUMPRODUCT($J$14:$J$68,$CH$14:$CH$68,($BR$14:$BR$68=CX88)*1)+SUMPRODUCT($L$14:$L$68,$M$14:$M$68,$CK$14:$CK$68,($BR$14:$BR$68=CX88)*1,($BT$14:$BT$68=FALSE)*1)/10+SUMPRODUCT($R$14:$R$68,$CP$14:$CP$68,($BR$14:$BR$68=CX88)*1),0))/GL88)</f>
        <v>0</v>
      </c>
      <c r="GN88" s="2042">
        <f t="shared" si="199"/>
        <v>0</v>
      </c>
      <c r="GO88" s="2042">
        <f>(SUMIF('Berechnung Nährstoffe und Lager'!$AX$113:$AX$130,'Lagerhaltung (freiwillig)'!CX88,'Berechnung Nährstoffe und Lager'!$D$113:$D$130)+SUMIF('Berechnung Nährstoffe und Lager'!$AX$137:$AX$155,'Lagerhaltung (freiwillig)'!CX88,'Berechnung Nährstoffe und Lager'!$E$137:$E$155))</f>
        <v>0</v>
      </c>
      <c r="GP88" s="2042" cm="1">
        <f t="array" ref="GP88">IF(GO88=0,0,(IFERROR(SUMPRODUCT('Berechnung Nährstoffe und Lager'!$D$113:$D$130,'Berechnung Nährstoffe und Lager'!$F$113:$F$130,('Berechnung Nährstoffe und Lager'!$AX$113:$AX$130='Lagerhaltung (freiwillig)'!CX88)*1)+SUMPRODUCT('Berechnung Nährstoffe und Lager'!$E$137:$E$155,'Berechnung Nährstoffe und Lager'!$F$137:$F$155,('Berechnung Nährstoffe und Lager'!$AX$137:$AX$155='Lagerhaltung (freiwillig)'!CX88)*1),0))/GO88)</f>
        <v>0</v>
      </c>
      <c r="GQ88" s="2042">
        <f t="shared" si="200"/>
        <v>0</v>
      </c>
      <c r="GR88" s="2042">
        <f t="shared" si="201"/>
        <v>0</v>
      </c>
      <c r="GS88" s="2042">
        <f t="shared" si="202"/>
        <v>0</v>
      </c>
      <c r="GT88" s="2042">
        <f t="shared" si="203"/>
        <v>0</v>
      </c>
      <c r="GU88" s="2045" t="str">
        <f t="shared" si="175"/>
        <v xml:space="preserve"> </v>
      </c>
      <c r="GV88" s="2045"/>
      <c r="GW88" s="2054">
        <f t="shared" si="183"/>
        <v>0</v>
      </c>
      <c r="GX88" s="2042">
        <f t="shared" si="184"/>
        <v>0</v>
      </c>
      <c r="GY88" s="2042" t="str">
        <f t="shared" si="174"/>
        <v>a</v>
      </c>
      <c r="GZ88" s="2055">
        <f t="shared" si="185"/>
        <v>0</v>
      </c>
      <c r="HA88" s="2055">
        <f t="shared" si="186"/>
        <v>0</v>
      </c>
      <c r="HB88" s="2055"/>
      <c r="HC88" s="2046">
        <f t="shared" si="187"/>
        <v>0</v>
      </c>
      <c r="HD88" s="2055">
        <f t="shared" si="188"/>
        <v>0</v>
      </c>
      <c r="HE88" s="2055">
        <f t="shared" si="189"/>
        <v>0</v>
      </c>
      <c r="HF88" s="2055">
        <f t="shared" si="190"/>
        <v>0</v>
      </c>
      <c r="HG88" s="2282" cm="1">
        <f t="array" ref="HG88">IF(AND(HE88=0,GJ88=0),0,IF(HE88=0,1,IF(OR(GJ88*1000/HE88/HF88&gt;INDEX(Pflanzen!$AD$5:$AD$109,CX88)/INDEX(Pflanzen!$M$5:$M$109,CX88)*$HG$1,GJ88*1000/HE88/HF88&lt;INDEX(Pflanzen!$AD$5:$AD$109,CX88)/INDEX(Pflanzen!$M$5:$M$109,CX88)/$HG$1),1,0)))</f>
        <v>0</v>
      </c>
      <c r="HH88" s="2282" cm="1">
        <f t="array" ref="HH88">IF(AND(GK88=0,HE88=0),0,IF(HE88=0,1,IF(OR(GK88*1000/HE88/HF88&gt;INDEX(Pflanzen!$AE$5:$AE$109,CX88)/INDEX(Pflanzen!$M$5:$M$109,CX88)*$HG$1,GK88*1000/HE88/HF88&lt;INDEX(Pflanzen!$AE$5:$AE$109,CX88)/INDEX(Pflanzen!$M$5:$M$109,CX88)/$HG$1),1,0)))</f>
        <v>0</v>
      </c>
      <c r="HI88" s="2042">
        <f t="shared" si="191"/>
        <v>3</v>
      </c>
      <c r="HJ88" s="2042"/>
      <c r="HL88" s="2042"/>
      <c r="HM88" s="2042"/>
      <c r="HN88" s="2042"/>
      <c r="HO88" s="2042"/>
      <c r="HP88" s="2042"/>
      <c r="HQ88" s="2042"/>
      <c r="HR88" s="2042"/>
      <c r="HS88" s="2042"/>
      <c r="HT88" s="2042"/>
      <c r="HU88" s="2042"/>
      <c r="HV88" s="2042"/>
      <c r="HW88" s="2042"/>
      <c r="HX88" s="2042"/>
      <c r="HY88" s="2042"/>
      <c r="HZ88" s="2042"/>
      <c r="IA88" s="2042"/>
      <c r="IB88" s="2042"/>
      <c r="IC88" s="2042"/>
      <c r="ID88" s="2042"/>
      <c r="IE88" s="2042"/>
      <c r="IF88" s="2042"/>
      <c r="IG88" s="2042"/>
      <c r="IH88" s="2042"/>
      <c r="II88" s="2042"/>
      <c r="IJ88" s="2042"/>
    </row>
    <row r="89" spans="1:244" ht="15.6" customHeight="1" thickBot="1" x14ac:dyDescent="0.25">
      <c r="A89" s="3008"/>
      <c r="B89" s="3009"/>
      <c r="C89" s="3009"/>
      <c r="D89" s="3009"/>
      <c r="E89" s="3010"/>
      <c r="F89" s="1260"/>
      <c r="G89" s="2315"/>
      <c r="H89" s="2297"/>
      <c r="I89" s="2317">
        <f t="shared" si="212"/>
        <v>0</v>
      </c>
      <c r="J89" s="1971"/>
      <c r="K89" s="1931"/>
      <c r="L89" s="1932"/>
      <c r="M89" s="1932"/>
      <c r="N89" s="1933"/>
      <c r="O89" s="1933"/>
      <c r="P89" s="1934"/>
      <c r="Q89" s="2019">
        <f t="shared" si="213"/>
        <v>0</v>
      </c>
      <c r="R89" s="1253"/>
      <c r="S89" s="1253"/>
      <c r="T89" s="1971"/>
      <c r="U89" s="1159"/>
      <c r="V89" s="2316" t="str">
        <f t="shared" si="214"/>
        <v/>
      </c>
      <c r="X89" s="1129"/>
      <c r="Y89" s="2005" t="str" cm="1">
        <f t="array" ref="Y89">IFERROR(INDEX($CW$4:$CW$171,AY89),"")</f>
        <v/>
      </c>
      <c r="Z89" s="510"/>
      <c r="AA89" s="510"/>
      <c r="AB89" s="510"/>
      <c r="AC89" s="2031" t="str" cm="1">
        <f t="array" ref="AC89">IFERROR(INDEX($GL$4:$GL$171,AY89),"")</f>
        <v/>
      </c>
      <c r="AD89" s="2031" t="str" cm="1">
        <f t="array" ref="AD89">IFERROR(INDEX($GM$4:$GM$171,AY89),"")</f>
        <v/>
      </c>
      <c r="AE89" s="2031" t="str" cm="1">
        <f t="array" ref="AE89">IFERROR(INDEX($GH$4:$GH$171,AY89),"")</f>
        <v/>
      </c>
      <c r="AF89" s="2031" t="str" cm="1">
        <f t="array" ref="AF89">IFERROR(INDEX($GI$4:$GI$171,AY89),"")</f>
        <v/>
      </c>
      <c r="AG89" s="2031" t="str" cm="1">
        <f t="array" ref="AG89">IFERROR(INDEX($GO$4:$GO$171,AY89),"")</f>
        <v/>
      </c>
      <c r="AH89" s="2031" t="str" cm="1">
        <f t="array" ref="AH89">IFERROR(INDEX($GP$4:$GP$171,AY89),"")</f>
        <v/>
      </c>
      <c r="AI89" s="2031" t="str" cm="1">
        <f t="array" ref="AI89">IFERROR(INDEX($GF$4:$GF$171,AY89),"")</f>
        <v/>
      </c>
      <c r="AJ89" s="2031" t="str" cm="1">
        <f t="array" ref="AJ89">IFERROR(INDEX($GG$4:$GG$171,AY89),"")</f>
        <v/>
      </c>
      <c r="AK89" s="2031" t="str" cm="1">
        <f t="array" ref="AK89">IFERROR(INDEX($GS$4:$GS$171,AY89),"")</f>
        <v/>
      </c>
      <c r="AL89" s="2032" t="str" cm="1">
        <f t="array" ref="AL89">IFERROR(INDEX($GT$4:$GT$171,AY89),"")</f>
        <v/>
      </c>
      <c r="AM89" s="2031" t="str" cm="1">
        <f t="array" ref="AM89">IFERROR(INDEX($GB$4:$GB$171,AY89),"")</f>
        <v/>
      </c>
      <c r="AN89" s="2031" t="str" cm="1">
        <f t="array" ref="AN89">IFERROR(INDEX($GC$4:$GC$171,AY89),"")</f>
        <v/>
      </c>
      <c r="AO89" s="2031" t="str" cm="1">
        <f t="array" ref="AO89">IFERROR(INDEX($GU$4:$GU$171,AY89),"")</f>
        <v/>
      </c>
      <c r="AP89" s="2031" t="str" cm="1">
        <f t="array" ref="AP89">IFERROR(INDEX($GX$4:$GX$171,AY89),"")</f>
        <v/>
      </c>
      <c r="AQ89" s="1316"/>
      <c r="AR89" s="2031" t="str" cm="1">
        <f t="array" ref="AR89">IFERROR(INDEX($HD$4:$HD$171,AY89),"")</f>
        <v/>
      </c>
      <c r="AS89" s="2031" t="str" cm="1">
        <f t="array" ref="AS89">IFERROR(INDEX($HE$4:$HE$171,AY89),"")</f>
        <v/>
      </c>
      <c r="AT89" s="2031" t="str" cm="1">
        <f t="array" ref="AT89">IFERROR(INDEX($HF$4:$HF$171,AY89),"")</f>
        <v/>
      </c>
      <c r="AU89" s="2031" t="str" cm="1">
        <f t="array" ref="AU89">IFERROR(INDEX($GJ$4:$GJ$171,AY89),"")</f>
        <v/>
      </c>
      <c r="AV89" s="2031" t="str" cm="1">
        <f t="array" ref="AV89">IFERROR(INDEX($GK$4:$GK$171,AY89),"")</f>
        <v/>
      </c>
      <c r="AY89" s="2042" t="str" cm="1">
        <f t="array" ref="AY89">IFERROR(SMALL(IF($HI$4:$HI$171=1,ROW($HI$4:$HI$171)-3),ROW(W74)),IFERROR(SMALL(IF($HI$4:$HI$171=2,ROW($HI$4:$HI$171)-3),ROW(W74)-COUNTIF($HI$4:$HI$171,1)),IFERROR(SMALL(IF($HI$4:$HI$171=0,ROW($HI$4:$HI$171)-3),ROW(W74)-COUNTIF($HI$4:$HI$171,1)-COUNTIF($HI$4:$HI$171,2)),"")))</f>
        <v/>
      </c>
      <c r="AZ89" s="2042" t="str">
        <f t="shared" si="215"/>
        <v>a</v>
      </c>
      <c r="BA89" s="2053" t="e">
        <f t="shared" si="172"/>
        <v>#VALUE!</v>
      </c>
      <c r="BB89" s="2053" cm="1">
        <f t="array" ref="BB89">IFERROR(INDEX($HI$4:$HI$171,AY89),0)</f>
        <v>0</v>
      </c>
      <c r="BC89" s="2053">
        <f t="shared" si="173"/>
        <v>0</v>
      </c>
      <c r="BD89" s="2053"/>
      <c r="BE89" s="2307"/>
      <c r="BF89" s="2307"/>
      <c r="BG89" s="2307"/>
      <c r="BH89" s="2307"/>
      <c r="BI89" s="2307"/>
      <c r="BJ89" s="2307"/>
      <c r="BK89" s="2307"/>
      <c r="BL89" s="2307"/>
      <c r="BM89" s="2307"/>
      <c r="BN89" s="2307"/>
      <c r="BO89" s="2307"/>
      <c r="BP89" s="2043"/>
      <c r="BQ89" s="2042"/>
      <c r="BR89" s="2062"/>
      <c r="BS89" s="2062"/>
      <c r="BT89" s="2062"/>
      <c r="BU89" s="2063"/>
      <c r="BV89" s="2063"/>
      <c r="BW89" s="2042">
        <f t="shared" si="176"/>
        <v>12</v>
      </c>
      <c r="BX89" s="2042">
        <f t="shared" si="177"/>
        <v>0</v>
      </c>
      <c r="BY89" s="2042">
        <f t="shared" si="178"/>
        <v>12</v>
      </c>
      <c r="BZ89" s="2062"/>
      <c r="CA89" s="2062"/>
      <c r="CB89" s="2062"/>
      <c r="CC89" s="2062"/>
      <c r="CD89" s="2062"/>
      <c r="CE89" s="2062"/>
      <c r="CF89" s="2062"/>
      <c r="CG89" s="2062"/>
      <c r="CH89" s="2062"/>
      <c r="CI89" s="2042">
        <f t="shared" si="206"/>
        <v>0</v>
      </c>
      <c r="CJ89" s="2062">
        <f t="shared" si="207"/>
        <v>0</v>
      </c>
      <c r="CK89" s="2062"/>
      <c r="CL89" s="2062"/>
      <c r="CM89" s="2062"/>
      <c r="CN89" s="2062"/>
      <c r="CO89" s="2062"/>
      <c r="CP89" s="2062"/>
      <c r="CQ89" s="2042">
        <f t="shared" si="208"/>
        <v>0</v>
      </c>
      <c r="CR89" s="2042">
        <f t="shared" si="209"/>
        <v>0</v>
      </c>
      <c r="CS89" s="2042">
        <f t="shared" si="210"/>
        <v>0</v>
      </c>
      <c r="CT89" s="2042">
        <f t="shared" si="211"/>
        <v>0</v>
      </c>
      <c r="CU89" s="2042">
        <f t="shared" si="179"/>
        <v>0</v>
      </c>
      <c r="CV89" s="2042"/>
      <c r="CW89" s="609">
        <f>Pflanzen!A85</f>
        <v>0</v>
      </c>
      <c r="CX89" s="2042">
        <f>IFERROR(MATCH($CW89,Pflanzen!$C$5:$C$119,0),1)</f>
        <v>1</v>
      </c>
      <c r="CY89" s="609" cm="1">
        <f t="array" ref="CY89">INDEX(Pflanzen!$I$5:$I$119,'Lagerhaltung (freiwillig)'!CX89)</f>
        <v>0</v>
      </c>
      <c r="CZ89" s="2042">
        <f t="shared" ref="CZ89:DK98" si="218">SUMIFS($CQ$14:$CQ$68,$BW$14:$BW$68,1,$BX$14:$BX$68,CZ$2,$BR$14:$BR$68,$CX89)+    SUMIFS($CQ$14:$CQ$68,$BW$14:$BW$68,"&gt;1",$BX$14:$BX$68,"&lt;="&amp;CZ$2,$BY$14:$BY$68,"&gt;="&amp;CZ$2,$BR$14:$BR$68,$CX89)</f>
        <v>0</v>
      </c>
      <c r="DA89" s="2042">
        <f t="shared" si="218"/>
        <v>0</v>
      </c>
      <c r="DB89" s="2042">
        <f t="shared" si="218"/>
        <v>0</v>
      </c>
      <c r="DC89" s="2042">
        <f t="shared" si="218"/>
        <v>0</v>
      </c>
      <c r="DD89" s="2042">
        <f t="shared" si="218"/>
        <v>0</v>
      </c>
      <c r="DE89" s="2042">
        <f t="shared" si="218"/>
        <v>0</v>
      </c>
      <c r="DF89" s="2042">
        <f t="shared" si="218"/>
        <v>0</v>
      </c>
      <c r="DG89" s="2042">
        <f t="shared" si="218"/>
        <v>0</v>
      </c>
      <c r="DH89" s="2042">
        <f t="shared" si="218"/>
        <v>0</v>
      </c>
      <c r="DI89" s="2042">
        <f t="shared" si="218"/>
        <v>0</v>
      </c>
      <c r="DJ89" s="2042">
        <f t="shared" si="218"/>
        <v>0</v>
      </c>
      <c r="DK89" s="2042">
        <f t="shared" si="218"/>
        <v>0</v>
      </c>
      <c r="DL89" s="2042"/>
      <c r="DM89" s="2042">
        <f t="shared" si="165"/>
        <v>0</v>
      </c>
      <c r="DN89" s="2042">
        <f t="shared" si="216"/>
        <v>0</v>
      </c>
      <c r="DO89" s="2042">
        <f t="shared" si="216"/>
        <v>0</v>
      </c>
      <c r="DP89" s="2042">
        <f t="shared" si="216"/>
        <v>0</v>
      </c>
      <c r="DQ89" s="2042">
        <f t="shared" si="216"/>
        <v>0</v>
      </c>
      <c r="DR89" s="2042">
        <f t="shared" si="216"/>
        <v>0</v>
      </c>
      <c r="DS89" s="2042">
        <f t="shared" si="216"/>
        <v>0</v>
      </c>
      <c r="DT89" s="2042">
        <f t="shared" si="216"/>
        <v>0</v>
      </c>
      <c r="DU89" s="2042">
        <f t="shared" si="216"/>
        <v>0</v>
      </c>
      <c r="DV89" s="2042">
        <f t="shared" si="216"/>
        <v>0</v>
      </c>
      <c r="DW89" s="2042">
        <f t="shared" si="216"/>
        <v>0</v>
      </c>
      <c r="DX89" s="2042">
        <f t="shared" si="216"/>
        <v>0</v>
      </c>
      <c r="DY89" s="2042"/>
      <c r="DZ89" s="2042">
        <f t="shared" ref="DZ89:EK98" si="219">SUMIFS($CL$14:$CL$68,$CC$14:$CC$68,1,$CD$14:$CD$68,DZ$2,$BR$14:$BR$68,$CX89)+         SUMIFS($CL$14:$CL$68,$CC$14:$CC$68,"&gt;1",$CD$14:$CD$68,"&lt;="&amp;DZ$2,$CE$14:$CE$68,"&gt;="&amp;DZ$2,$BR$14:$BR$68,$CX89)</f>
        <v>0</v>
      </c>
      <c r="EA89" s="2042">
        <f t="shared" si="219"/>
        <v>0</v>
      </c>
      <c r="EB89" s="2042">
        <f t="shared" si="219"/>
        <v>0</v>
      </c>
      <c r="EC89" s="2042">
        <f t="shared" si="219"/>
        <v>0</v>
      </c>
      <c r="ED89" s="2042">
        <f t="shared" si="219"/>
        <v>0</v>
      </c>
      <c r="EE89" s="2042">
        <f t="shared" si="219"/>
        <v>0</v>
      </c>
      <c r="EF89" s="2042">
        <f t="shared" si="219"/>
        <v>0</v>
      </c>
      <c r="EG89" s="2042">
        <f t="shared" si="219"/>
        <v>0</v>
      </c>
      <c r="EH89" s="2042">
        <f t="shared" si="219"/>
        <v>0</v>
      </c>
      <c r="EI89" s="2042">
        <f t="shared" si="219"/>
        <v>0</v>
      </c>
      <c r="EJ89" s="2042">
        <f t="shared" si="219"/>
        <v>0</v>
      </c>
      <c r="EK89" s="2042">
        <f t="shared" si="219"/>
        <v>0</v>
      </c>
      <c r="EL89" s="2042"/>
      <c r="EM89" s="2042">
        <f t="shared" si="167"/>
        <v>0</v>
      </c>
      <c r="EN89" s="2042">
        <f t="shared" si="217"/>
        <v>0</v>
      </c>
      <c r="EO89" s="2042">
        <f t="shared" si="217"/>
        <v>0</v>
      </c>
      <c r="EP89" s="2042">
        <f t="shared" si="217"/>
        <v>0</v>
      </c>
      <c r="EQ89" s="2042">
        <f t="shared" si="217"/>
        <v>0</v>
      </c>
      <c r="ER89" s="2042">
        <f t="shared" si="217"/>
        <v>0</v>
      </c>
      <c r="ES89" s="2042">
        <f t="shared" si="217"/>
        <v>0</v>
      </c>
      <c r="ET89" s="2042">
        <f t="shared" si="217"/>
        <v>0</v>
      </c>
      <c r="EU89" s="2042">
        <f t="shared" si="217"/>
        <v>0</v>
      </c>
      <c r="EV89" s="2042">
        <f t="shared" si="217"/>
        <v>0</v>
      </c>
      <c r="EW89" s="2042">
        <f t="shared" si="217"/>
        <v>0</v>
      </c>
      <c r="EX89" s="2042">
        <f t="shared" si="217"/>
        <v>0</v>
      </c>
      <c r="EY89" s="2042"/>
      <c r="EZ89" s="2045">
        <f t="shared" si="195"/>
        <v>0</v>
      </c>
      <c r="FA89" s="2042">
        <f>EZ89+CZ89+DZ89                 -         SUMIF('Berechnung Nährstoffe und Lager'!$AX$113:$AX$155,$CX89,'Berechnung Nährstoffe und Lager'!$U$113:$U$155)/12  -$GB89*$HC89/12</f>
        <v>0</v>
      </c>
      <c r="FB89" s="2042">
        <f>FA89+DA89+EA89                 -         SUMIF('Berechnung Nährstoffe und Lager'!$AX$113:$AX$155,$CX89,'Berechnung Nährstoffe und Lager'!$U$113:$U$155)/12  -$GB89*$HC89/12</f>
        <v>0</v>
      </c>
      <c r="FC89" s="2042">
        <f>FB89+DB89+EB89                 -         SUMIF('Berechnung Nährstoffe und Lager'!$AX$113:$AX$155,$CX89,'Berechnung Nährstoffe und Lager'!$U$113:$U$155)/12  -$GB89*$HC89/12</f>
        <v>0</v>
      </c>
      <c r="FD89" s="2042">
        <f>FC89+DC89+EC89                 -         SUMIF('Berechnung Nährstoffe und Lager'!$AX$113:$AX$155,$CX89,'Berechnung Nährstoffe und Lager'!$U$113:$U$155)/12  -$GB89*$HC89/12</f>
        <v>0</v>
      </c>
      <c r="FE89" s="2042">
        <f>FD89+DD89+ED89                 -         SUMIF('Berechnung Nährstoffe und Lager'!$AX$113:$AX$155,$CX89,'Berechnung Nährstoffe und Lager'!$U$113:$U$155)/12  -$GB89*$HC89/12</f>
        <v>0</v>
      </c>
      <c r="FF89" s="2042">
        <f>FE89+DE89+EE89                 -         SUMIF('Berechnung Nährstoffe und Lager'!$AX$113:$AX$155,$CX89,'Berechnung Nährstoffe und Lager'!$U$113:$U$155)/12  -$GB89*$HC89/12</f>
        <v>0</v>
      </c>
      <c r="FG89" s="2042">
        <f>FF89+DF89+EF89                 -         SUMIF('Berechnung Nährstoffe und Lager'!$AX$113:$AX$155,$CX89,'Berechnung Nährstoffe und Lager'!$U$113:$U$155)/12  -$GB89*$HC89/12</f>
        <v>0</v>
      </c>
      <c r="FH89" s="2042">
        <f>FG89+DG89+EG89                 -         SUMIF('Berechnung Nährstoffe und Lager'!$AX$113:$AX$155,$CX89,'Berechnung Nährstoffe und Lager'!$U$113:$U$155)/12  -$GB89*$HC89/12</f>
        <v>0</v>
      </c>
      <c r="FI89" s="2042">
        <f>FH89+DH89+EH89                 -         SUMIF('Berechnung Nährstoffe und Lager'!$AX$113:$AX$155,$CX89,'Berechnung Nährstoffe und Lager'!$U$113:$U$155)/12  -$GB89*$HC89/12</f>
        <v>0</v>
      </c>
      <c r="FJ89" s="2042">
        <f>FI89+DI89+EI89                 -         SUMIF('Berechnung Nährstoffe und Lager'!$AX$113:$AX$155,$CX89,'Berechnung Nährstoffe und Lager'!$U$113:$U$155)/12  -$GB89*$HC89/12</f>
        <v>0</v>
      </c>
      <c r="FK89" s="2042">
        <f>FJ89+DJ89+EJ89                 -         SUMIF('Berechnung Nährstoffe und Lager'!$AX$113:$AX$155,$CX89,'Berechnung Nährstoffe und Lager'!$U$113:$U$155)/12  -$GB89*$HC89/12</f>
        <v>0</v>
      </c>
      <c r="FL89" s="2042">
        <f>FK89+DK89+EK89                 -         SUMIF('Berechnung Nährstoffe und Lager'!$AX$113:$AX$155,$CX89,'Berechnung Nährstoffe und Lager'!$U$113:$U$155)/12  -$GB89*$HC89/12</f>
        <v>0</v>
      </c>
      <c r="FM89" s="2042"/>
      <c r="FN89" s="2045">
        <f t="shared" si="196"/>
        <v>0</v>
      </c>
      <c r="FO89" s="2042">
        <f>FN89+DM89+EM89                 -         SUMIF('Berechnung Nährstoffe und Lager'!$AX$113:$AX$155,$CX89,'Berechnung Nährstoffe und Lager'!$V$113:$V$155)/12  -$GC89*$HC89/12</f>
        <v>0</v>
      </c>
      <c r="FP89" s="2042">
        <f>FO89+DN89+EN89                 -         SUMIF('Berechnung Nährstoffe und Lager'!$AX$113:$AX$155,$CX89,'Berechnung Nährstoffe und Lager'!$V$113:$V$155)/12  -$GC89*$HC89/12</f>
        <v>0</v>
      </c>
      <c r="FQ89" s="2042">
        <f>FP89+DO89+EO89                 -         SUMIF('Berechnung Nährstoffe und Lager'!$AX$113:$AX$155,$CX89,'Berechnung Nährstoffe und Lager'!$V$113:$V$155)/12  -$GC89*$HC89/12</f>
        <v>0</v>
      </c>
      <c r="FR89" s="2042">
        <f>FQ89+DP89+EP89                 -         SUMIF('Berechnung Nährstoffe und Lager'!$AX$113:$AX$155,$CX89,'Berechnung Nährstoffe und Lager'!$V$113:$V$155)/12  -$GC89*$HC89/12</f>
        <v>0</v>
      </c>
      <c r="FS89" s="2042">
        <f>FR89+DQ89+EQ89                 -         SUMIF('Berechnung Nährstoffe und Lager'!$AX$113:$AX$155,$CX89,'Berechnung Nährstoffe und Lager'!$V$113:$V$155)/12  -$GC89*$HC89/12</f>
        <v>0</v>
      </c>
      <c r="FT89" s="2042">
        <f>FS89+DR89+ER89                 -         SUMIF('Berechnung Nährstoffe und Lager'!$AX$113:$AX$155,$CX89,'Berechnung Nährstoffe und Lager'!$V$113:$V$155)/12  -$GC89*$HC89/12</f>
        <v>0</v>
      </c>
      <c r="FU89" s="2042">
        <f>FT89+DS89+ES89                 -         SUMIF('Berechnung Nährstoffe und Lager'!$AX$113:$AX$155,$CX89,'Berechnung Nährstoffe und Lager'!$V$113:$V$155)/12  -$GC89*$HC89/12</f>
        <v>0</v>
      </c>
      <c r="FV89" s="2042">
        <f>FU89+DT89+ET89                 -         SUMIF('Berechnung Nährstoffe und Lager'!$AX$113:$AX$155,$CX89,'Berechnung Nährstoffe und Lager'!$V$113:$V$155)/12  -$GC89*$HC89/12</f>
        <v>0</v>
      </c>
      <c r="FW89" s="2042">
        <f>FV89+DU89+EU89                 -         SUMIF('Berechnung Nährstoffe und Lager'!$AX$113:$AX$155,$CX89,'Berechnung Nährstoffe und Lager'!$V$113:$V$155)/12  -$GC89*$HC89/12</f>
        <v>0</v>
      </c>
      <c r="FX89" s="2042">
        <f>FW89+DV89+EV89                 -         SUMIF('Berechnung Nährstoffe und Lager'!$AX$113:$AX$155,$CX89,'Berechnung Nährstoffe und Lager'!$V$113:$V$155)/12  -$GC89*$HC89/12</f>
        <v>0</v>
      </c>
      <c r="FY89" s="2042">
        <f>FX89+DW89+EW89                 -         SUMIF('Berechnung Nährstoffe und Lager'!$AX$113:$AX$155,$CX89,'Berechnung Nährstoffe und Lager'!$V$113:$V$155)/12  -$GC89*$HC89/12</f>
        <v>0</v>
      </c>
      <c r="FZ89" s="2042">
        <f>FY89+DX89+EX89                 -         SUMIF('Berechnung Nährstoffe und Lager'!$AX$113:$AX$155,$CX89,'Berechnung Nährstoffe und Lager'!$V$113:$V$155)/12  -$GC89*$HC89/12</f>
        <v>0</v>
      </c>
      <c r="GA89" s="2042"/>
      <c r="GB89" s="2042">
        <f>SUMIFS($CI$14:$CI$68,$BR$14:$BR$68,$CX89)+SUMIFS($CM$14:$CM$68,$BR$14:$BR$68,$CX89)+SUMIFS($CR$14:$CR$68,$BR$14:$BR$68,$CX89)  -         SUMIF('Berechnung Nährstoffe und Lager'!$AX$113:$AX$155,$CX89,'Berechnung Nährstoffe und Lager'!$U$113:$U$155)</f>
        <v>0</v>
      </c>
      <c r="GC89" s="2042">
        <f>SUMIFS($CJ$14:$CJ$68,$BR$14:$BR$68,$CX89)+SUMIFS($CO$14:$CO$68,$BR$14:$BR$68,$CX89)+SUMIFS($CT$14:$CT$68,$BR$14:$BR$68,$CX89)  -         SUMIF('Berechnung Nährstoffe und Lager'!$AX$113:$AX$155,$CX89,'Berechnung Nährstoffe und Lager'!$V$113:$V$155)</f>
        <v>0</v>
      </c>
      <c r="GD89" s="2042"/>
      <c r="GE89" s="2042"/>
      <c r="GF89" s="2042">
        <f>SUMIF('Berechnung Nährstoffe und Lager'!$AX$113:$AX$155,$CX89,'Berechnung Nährstoffe und Lager'!$U$113:$U$155)</f>
        <v>0</v>
      </c>
      <c r="GG89" s="2042">
        <f>SUMIF('Berechnung Nährstoffe und Lager'!$AX$113:$AX$155,$CX89,'Berechnung Nährstoffe und Lager'!$V$113:$V$155)</f>
        <v>0</v>
      </c>
      <c r="GH89" s="2042">
        <f t="shared" si="197"/>
        <v>0</v>
      </c>
      <c r="GI89" s="2042">
        <f t="shared" si="198"/>
        <v>0</v>
      </c>
      <c r="GJ89" s="2042">
        <f t="shared" si="180"/>
        <v>0</v>
      </c>
      <c r="GK89" s="2042">
        <f t="shared" si="181"/>
        <v>0</v>
      </c>
      <c r="GL89" s="2042">
        <f t="shared" si="182"/>
        <v>0</v>
      </c>
      <c r="GM89" s="2042" cm="1">
        <f t="array" ref="GM89">IF(GL89=0,0,(IFERROR(SUMPRODUCT($J$14:$J$68,$CH$14:$CH$68,($BR$14:$BR$68=CX89)*1)+SUMPRODUCT($L$14:$L$68,$M$14:$M$68,$CK$14:$CK$68,($BR$14:$BR$68=CX89)*1,($BT$14:$BT$68=FALSE)*1)/10+SUMPRODUCT($R$14:$R$68,$CP$14:$CP$68,($BR$14:$BR$68=CX89)*1),0))/GL89)</f>
        <v>0</v>
      </c>
      <c r="GN89" s="2042">
        <f t="shared" si="199"/>
        <v>0</v>
      </c>
      <c r="GO89" s="2042">
        <f>(SUMIF('Berechnung Nährstoffe und Lager'!$AX$113:$AX$130,'Lagerhaltung (freiwillig)'!CX89,'Berechnung Nährstoffe und Lager'!$D$113:$D$130)+SUMIF('Berechnung Nährstoffe und Lager'!$AX$137:$AX$155,'Lagerhaltung (freiwillig)'!CX89,'Berechnung Nährstoffe und Lager'!$E$137:$E$155))</f>
        <v>0</v>
      </c>
      <c r="GP89" s="2042" cm="1">
        <f t="array" ref="GP89">IF(GO89=0,0,(IFERROR(SUMPRODUCT('Berechnung Nährstoffe und Lager'!$D$113:$D$130,'Berechnung Nährstoffe und Lager'!$F$113:$F$130,('Berechnung Nährstoffe und Lager'!$AX$113:$AX$130='Lagerhaltung (freiwillig)'!CX89)*1)+SUMPRODUCT('Berechnung Nährstoffe und Lager'!$E$137:$E$155,'Berechnung Nährstoffe und Lager'!$F$137:$F$155,('Berechnung Nährstoffe und Lager'!$AX$137:$AX$155='Lagerhaltung (freiwillig)'!CX89)*1),0))/GO89)</f>
        <v>0</v>
      </c>
      <c r="GQ89" s="2042">
        <f t="shared" si="200"/>
        <v>0</v>
      </c>
      <c r="GR89" s="2042">
        <f t="shared" si="201"/>
        <v>0</v>
      </c>
      <c r="GS89" s="2042">
        <f t="shared" si="202"/>
        <v>0</v>
      </c>
      <c r="GT89" s="2042">
        <f t="shared" si="203"/>
        <v>0</v>
      </c>
      <c r="GU89" s="2045" t="str">
        <f t="shared" si="175"/>
        <v xml:space="preserve"> </v>
      </c>
      <c r="GV89" s="2045"/>
      <c r="GW89" s="2054">
        <f t="shared" si="183"/>
        <v>0</v>
      </c>
      <c r="GX89" s="2042">
        <f t="shared" si="184"/>
        <v>0</v>
      </c>
      <c r="GY89" s="2042" t="str">
        <f t="shared" si="174"/>
        <v>a</v>
      </c>
      <c r="GZ89" s="2055">
        <f t="shared" si="185"/>
        <v>0</v>
      </c>
      <c r="HA89" s="2055">
        <f t="shared" si="186"/>
        <v>0</v>
      </c>
      <c r="HB89" s="2055"/>
      <c r="HC89" s="2046">
        <f t="shared" si="187"/>
        <v>0</v>
      </c>
      <c r="HD89" s="2055">
        <f t="shared" si="188"/>
        <v>0</v>
      </c>
      <c r="HE89" s="2055">
        <f t="shared" si="189"/>
        <v>0</v>
      </c>
      <c r="HF89" s="2055">
        <f t="shared" si="190"/>
        <v>0</v>
      </c>
      <c r="HG89" s="2286" cm="1">
        <f t="array" ref="HG89">IF(AND(HE89=0,GJ89=0),0,IF(HE89=0,1,IF(OR(GJ89*1000/HE89/HF89&gt;INDEX(Pflanzen!$AD$5:$AD$109,CX89)/INDEX(Pflanzen!$M$5:$M$109,CX89)*$HG$1,GJ89*1000/HE89/HF89&lt;INDEX(Pflanzen!$AD$5:$AD$109,CX89)/INDEX(Pflanzen!$M$5:$M$109,CX89)/$HG$1),1,0)))</f>
        <v>0</v>
      </c>
      <c r="HH89" s="2286" cm="1">
        <f t="array" ref="HH89">IF(AND(GK89=0,HE89=0),0,IF(HE89=0,1,IF(OR(GK89*1000/HE89/HF89&gt;INDEX(Pflanzen!$AE$5:$AE$109,CX89)/INDEX(Pflanzen!$M$5:$M$109,CX89)*$HG$1,GK89*1000/HE89/HF89&lt;INDEX(Pflanzen!$AE$5:$AE$109,CX89)/INDEX(Pflanzen!$M$5:$M$109,CX89)/$HG$1),1,0)))</f>
        <v>0</v>
      </c>
      <c r="HI89" s="2042">
        <f t="shared" si="191"/>
        <v>3</v>
      </c>
      <c r="HJ89" s="2042"/>
      <c r="HL89" s="2042"/>
      <c r="HM89" s="2042"/>
      <c r="HN89" s="2042"/>
      <c r="HO89" s="2042"/>
      <c r="HP89" s="2042"/>
      <c r="HQ89" s="2042"/>
      <c r="HR89" s="2042"/>
      <c r="HS89" s="2042"/>
      <c r="HT89" s="2042"/>
      <c r="HU89" s="2042"/>
      <c r="HV89" s="2042"/>
      <c r="HW89" s="2042"/>
      <c r="HX89" s="2042"/>
      <c r="HY89" s="2042"/>
      <c r="HZ89" s="2042"/>
      <c r="IA89" s="2042"/>
      <c r="IB89" s="2042"/>
      <c r="IC89" s="2042"/>
      <c r="ID89" s="2042"/>
      <c r="IE89" s="2042"/>
      <c r="IF89" s="2042"/>
      <c r="IG89" s="2042"/>
      <c r="IH89" s="2042"/>
      <c r="II89" s="2042"/>
      <c r="IJ89" s="2042"/>
    </row>
    <row r="90" spans="1:244" ht="5.25" customHeight="1" thickBot="1" x14ac:dyDescent="0.25">
      <c r="Y90" s="2005" t="str" cm="1">
        <f t="array" ref="Y90">IFERROR(INDEX($CW$4:$CW$171,AY90),"")</f>
        <v/>
      </c>
      <c r="Z90" s="510"/>
      <c r="AA90" s="510"/>
      <c r="AB90" s="510"/>
      <c r="AC90" s="2031" t="str" cm="1">
        <f t="array" ref="AC90">IFERROR(INDEX($GL$4:$GL$171,AY90),"")</f>
        <v/>
      </c>
      <c r="AD90" s="2031" t="str" cm="1">
        <f t="array" ref="AD90">IFERROR(INDEX($GM$4:$GM$171,AY90),"")</f>
        <v/>
      </c>
      <c r="AE90" s="2031" t="str" cm="1">
        <f t="array" ref="AE90">IFERROR(INDEX($GH$4:$GH$171,AY90),"")</f>
        <v/>
      </c>
      <c r="AF90" s="2031" t="str" cm="1">
        <f t="array" ref="AF90">IFERROR(INDEX($GI$4:$GI$171,AY90),"")</f>
        <v/>
      </c>
      <c r="AG90" s="2031" t="str" cm="1">
        <f t="array" ref="AG90">IFERROR(INDEX($GO$4:$GO$171,AY90),"")</f>
        <v/>
      </c>
      <c r="AH90" s="2031" t="str" cm="1">
        <f t="array" ref="AH90">IFERROR(INDEX($GP$4:$GP$171,AY90),"")</f>
        <v/>
      </c>
      <c r="AI90" s="2031" t="str" cm="1">
        <f t="array" ref="AI90">IFERROR(INDEX($GF$4:$GF$171,AY90),"")</f>
        <v/>
      </c>
      <c r="AJ90" s="2031" t="str" cm="1">
        <f t="array" ref="AJ90">IFERROR(INDEX($GG$4:$GG$171,AY90),"")</f>
        <v/>
      </c>
      <c r="AK90" s="2031" t="str" cm="1">
        <f t="array" ref="AK90">IFERROR(INDEX($GS$4:$GS$171,AY90),"")</f>
        <v/>
      </c>
      <c r="AL90" s="2032" t="str" cm="1">
        <f t="array" ref="AL90">IFERROR(INDEX($GT$4:$GT$171,AY90),"")</f>
        <v/>
      </c>
      <c r="AM90" s="2031" t="str" cm="1">
        <f t="array" ref="AM90">IFERROR(INDEX($GB$4:$GB$171,AY90),"")</f>
        <v/>
      </c>
      <c r="AN90" s="2031" t="str" cm="1">
        <f t="array" ref="AN90">IFERROR(INDEX($GC$4:$GC$171,AY90),"")</f>
        <v/>
      </c>
      <c r="AO90" s="2031" t="str" cm="1">
        <f t="array" ref="AO90">IFERROR(INDEX($GU$4:$GU$171,AY90),"")</f>
        <v/>
      </c>
      <c r="AP90" s="2031" t="str" cm="1">
        <f t="array" ref="AP90">IFERROR(INDEX($GX$4:$GX$171,AY90),"")</f>
        <v/>
      </c>
      <c r="AQ90" s="1316"/>
      <c r="AR90" s="2031" t="str" cm="1">
        <f t="array" ref="AR90">IFERROR(INDEX($HD$4:$HD$171,AY90),"")</f>
        <v/>
      </c>
      <c r="AS90" s="2031" t="str" cm="1">
        <f t="array" ref="AS90">IFERROR(INDEX($HE$4:$HE$171,AY90),"")</f>
        <v/>
      </c>
      <c r="AT90" s="2031" t="str" cm="1">
        <f t="array" ref="AT90">IFERROR(INDEX($HF$4:$HF$171,AY90),"")</f>
        <v/>
      </c>
      <c r="AU90" s="2031" t="str" cm="1">
        <f t="array" ref="AU90">IFERROR(INDEX($GJ$4:$GJ$171,AY90),"")</f>
        <v/>
      </c>
      <c r="AV90" s="2031" t="str" cm="1">
        <f t="array" ref="AV90">IFERROR(INDEX($GK$4:$GK$171,AY90),"")</f>
        <v/>
      </c>
      <c r="AY90" s="2042" t="str" cm="1">
        <f t="array" ref="AY90">IFERROR(SMALL(IF($HI$4:$HI$171=1,ROW($HI$4:$HI$171)-3),ROW(W75)),IFERROR(SMALL(IF($HI$4:$HI$171=2,ROW($HI$4:$HI$171)-3),ROW(W75)-COUNTIF($HI$4:$HI$171,1)),IFERROR(SMALL(IF($HI$4:$HI$171=0,ROW($HI$4:$HI$171)-3),ROW(W75)-COUNTIF($HI$4:$HI$171,1)-COUNTIF($HI$4:$HI$171,2)),"")))</f>
        <v/>
      </c>
      <c r="AZ90" s="2042" t="str">
        <f t="shared" si="215"/>
        <v>a</v>
      </c>
      <c r="BA90" s="2053" t="e">
        <f t="shared" si="172"/>
        <v>#VALUE!</v>
      </c>
      <c r="BB90" s="2053" cm="1">
        <f t="array" ref="BB90">IFERROR(INDEX($HI$4:$HI$171,AY90),0)</f>
        <v>0</v>
      </c>
      <c r="BC90" s="2053">
        <f t="shared" si="173"/>
        <v>0</v>
      </c>
      <c r="BD90" s="2053"/>
      <c r="BE90" s="2307"/>
      <c r="BF90" s="2307"/>
      <c r="BG90" s="2307"/>
      <c r="BH90" s="2307"/>
      <c r="BI90" s="2307"/>
      <c r="BJ90" s="2307"/>
      <c r="BK90" s="2307"/>
      <c r="BL90" s="2307"/>
      <c r="BM90" s="2307"/>
      <c r="BN90" s="2307"/>
      <c r="BO90" s="2307"/>
      <c r="BP90" s="2043"/>
      <c r="BQ90" s="2042"/>
      <c r="BR90" s="2042"/>
      <c r="BS90" s="2042"/>
      <c r="BT90" s="2042"/>
      <c r="BU90" s="2044"/>
      <c r="BV90" s="2044"/>
      <c r="BW90" s="2042"/>
      <c r="BX90" s="2042"/>
      <c r="BY90" s="2042"/>
      <c r="BZ90" s="2042"/>
      <c r="CA90" s="2042"/>
      <c r="CB90" s="2042"/>
      <c r="CC90" s="2042"/>
      <c r="CD90" s="2042"/>
      <c r="CE90" s="2042"/>
      <c r="CF90" s="2042"/>
      <c r="CG90" s="2042"/>
      <c r="CH90" s="2042"/>
      <c r="CI90" s="2042"/>
      <c r="CJ90" s="2042"/>
      <c r="CK90" s="2042"/>
      <c r="CL90" s="2042"/>
      <c r="CM90" s="2042"/>
      <c r="CN90" s="2042"/>
      <c r="CO90" s="2042"/>
      <c r="CP90" s="2042"/>
      <c r="CQ90" s="2042"/>
      <c r="CR90" s="2042"/>
      <c r="CS90" s="2042"/>
      <c r="CT90" s="2042"/>
      <c r="CU90" s="2042"/>
      <c r="CV90" s="2042"/>
      <c r="CW90" s="609" t="str">
        <f>Pflanzen!A86</f>
        <v xml:space="preserve"> +++Zukauf org. Dünger+++</v>
      </c>
      <c r="CX90" s="2042">
        <f>IFERROR(MATCH($CW90,Pflanzen!$C$5:$C$119,0),1)</f>
        <v>78</v>
      </c>
      <c r="CY90" s="609" cm="1">
        <f t="array" ref="CY90">INDEX(Pflanzen!$I$5:$I$119,'Lagerhaltung (freiwillig)'!CX90)</f>
        <v>0</v>
      </c>
      <c r="CZ90" s="2042">
        <f t="shared" si="218"/>
        <v>0</v>
      </c>
      <c r="DA90" s="2042">
        <f t="shared" si="218"/>
        <v>0</v>
      </c>
      <c r="DB90" s="2042">
        <f t="shared" si="218"/>
        <v>0</v>
      </c>
      <c r="DC90" s="2042">
        <f t="shared" si="218"/>
        <v>0</v>
      </c>
      <c r="DD90" s="2042">
        <f t="shared" si="218"/>
        <v>0</v>
      </c>
      <c r="DE90" s="2042">
        <f t="shared" si="218"/>
        <v>0</v>
      </c>
      <c r="DF90" s="2042">
        <f t="shared" si="218"/>
        <v>0</v>
      </c>
      <c r="DG90" s="2042">
        <f t="shared" si="218"/>
        <v>0</v>
      </c>
      <c r="DH90" s="2042">
        <f t="shared" si="218"/>
        <v>0</v>
      </c>
      <c r="DI90" s="2042">
        <f t="shared" si="218"/>
        <v>0</v>
      </c>
      <c r="DJ90" s="2042">
        <f t="shared" si="218"/>
        <v>0</v>
      </c>
      <c r="DK90" s="2042">
        <f t="shared" si="218"/>
        <v>0</v>
      </c>
      <c r="DL90" s="2042"/>
      <c r="DM90" s="2042">
        <f t="shared" si="165"/>
        <v>0</v>
      </c>
      <c r="DN90" s="2042">
        <f t="shared" si="216"/>
        <v>0</v>
      </c>
      <c r="DO90" s="2042">
        <f t="shared" si="216"/>
        <v>0</v>
      </c>
      <c r="DP90" s="2042">
        <f t="shared" si="216"/>
        <v>0</v>
      </c>
      <c r="DQ90" s="2042">
        <f t="shared" si="216"/>
        <v>0</v>
      </c>
      <c r="DR90" s="2042">
        <f t="shared" si="216"/>
        <v>0</v>
      </c>
      <c r="DS90" s="2042">
        <f t="shared" si="216"/>
        <v>0</v>
      </c>
      <c r="DT90" s="2042">
        <f t="shared" si="216"/>
        <v>0</v>
      </c>
      <c r="DU90" s="2042">
        <f t="shared" si="216"/>
        <v>0</v>
      </c>
      <c r="DV90" s="2042">
        <f t="shared" si="216"/>
        <v>0</v>
      </c>
      <c r="DW90" s="2042">
        <f t="shared" si="216"/>
        <v>0</v>
      </c>
      <c r="DX90" s="2042">
        <f t="shared" si="216"/>
        <v>0</v>
      </c>
      <c r="DY90" s="2042"/>
      <c r="DZ90" s="2042">
        <f t="shared" si="219"/>
        <v>0</v>
      </c>
      <c r="EA90" s="2042">
        <f t="shared" si="219"/>
        <v>0</v>
      </c>
      <c r="EB90" s="2042">
        <f t="shared" si="219"/>
        <v>0</v>
      </c>
      <c r="EC90" s="2042">
        <f t="shared" si="219"/>
        <v>0</v>
      </c>
      <c r="ED90" s="2042">
        <f t="shared" si="219"/>
        <v>0</v>
      </c>
      <c r="EE90" s="2042">
        <f t="shared" si="219"/>
        <v>0</v>
      </c>
      <c r="EF90" s="2042">
        <f t="shared" si="219"/>
        <v>0</v>
      </c>
      <c r="EG90" s="2042">
        <f t="shared" si="219"/>
        <v>0</v>
      </c>
      <c r="EH90" s="2042">
        <f t="shared" si="219"/>
        <v>0</v>
      </c>
      <c r="EI90" s="2042">
        <f t="shared" si="219"/>
        <v>0</v>
      </c>
      <c r="EJ90" s="2042">
        <f t="shared" si="219"/>
        <v>0</v>
      </c>
      <c r="EK90" s="2042">
        <f t="shared" si="219"/>
        <v>0</v>
      </c>
      <c r="EL90" s="2042"/>
      <c r="EM90" s="2042">
        <f t="shared" si="167"/>
        <v>0</v>
      </c>
      <c r="EN90" s="2042">
        <f t="shared" si="217"/>
        <v>0</v>
      </c>
      <c r="EO90" s="2042">
        <f t="shared" si="217"/>
        <v>0</v>
      </c>
      <c r="EP90" s="2042">
        <f t="shared" si="217"/>
        <v>0</v>
      </c>
      <c r="EQ90" s="2042">
        <f t="shared" si="217"/>
        <v>0</v>
      </c>
      <c r="ER90" s="2042">
        <f t="shared" si="217"/>
        <v>0</v>
      </c>
      <c r="ES90" s="2042">
        <f t="shared" si="217"/>
        <v>0</v>
      </c>
      <c r="ET90" s="2042">
        <f t="shared" si="217"/>
        <v>0</v>
      </c>
      <c r="EU90" s="2042">
        <f t="shared" si="217"/>
        <v>0</v>
      </c>
      <c r="EV90" s="2042">
        <f t="shared" si="217"/>
        <v>0</v>
      </c>
      <c r="EW90" s="2042">
        <f t="shared" si="217"/>
        <v>0</v>
      </c>
      <c r="EX90" s="2042">
        <f t="shared" si="217"/>
        <v>0</v>
      </c>
      <c r="EY90" s="2042"/>
      <c r="EZ90" s="2045">
        <f t="shared" si="195"/>
        <v>0</v>
      </c>
      <c r="FA90" s="2042">
        <f>EZ90+CZ90+DZ90                 -         SUMIF('Berechnung Nährstoffe und Lager'!$AX$113:$AX$155,$CX90,'Berechnung Nährstoffe und Lager'!$U$113:$U$155)/12  -$GB90*$HC90/12</f>
        <v>0</v>
      </c>
      <c r="FB90" s="2042">
        <f>FA90+DA90+EA90                 -         SUMIF('Berechnung Nährstoffe und Lager'!$AX$113:$AX$155,$CX90,'Berechnung Nährstoffe und Lager'!$U$113:$U$155)/12  -$GB90*$HC90/12</f>
        <v>0</v>
      </c>
      <c r="FC90" s="2042">
        <f>FB90+DB90+EB90                 -         SUMIF('Berechnung Nährstoffe und Lager'!$AX$113:$AX$155,$CX90,'Berechnung Nährstoffe und Lager'!$U$113:$U$155)/12  -$GB90*$HC90/12</f>
        <v>0</v>
      </c>
      <c r="FD90" s="2042">
        <f>FC90+DC90+EC90                 -         SUMIF('Berechnung Nährstoffe und Lager'!$AX$113:$AX$155,$CX90,'Berechnung Nährstoffe und Lager'!$U$113:$U$155)/12  -$GB90*$HC90/12</f>
        <v>0</v>
      </c>
      <c r="FE90" s="2042">
        <f>FD90+DD90+ED90                 -         SUMIF('Berechnung Nährstoffe und Lager'!$AX$113:$AX$155,$CX90,'Berechnung Nährstoffe und Lager'!$U$113:$U$155)/12  -$GB90*$HC90/12</f>
        <v>0</v>
      </c>
      <c r="FF90" s="2042">
        <f>FE90+DE90+EE90                 -         SUMIF('Berechnung Nährstoffe und Lager'!$AX$113:$AX$155,$CX90,'Berechnung Nährstoffe und Lager'!$U$113:$U$155)/12  -$GB90*$HC90/12</f>
        <v>0</v>
      </c>
      <c r="FG90" s="2042">
        <f>FF90+DF90+EF90                 -         SUMIF('Berechnung Nährstoffe und Lager'!$AX$113:$AX$155,$CX90,'Berechnung Nährstoffe und Lager'!$U$113:$U$155)/12  -$GB90*$HC90/12</f>
        <v>0</v>
      </c>
      <c r="FH90" s="2042">
        <f>FG90+DG90+EG90                 -         SUMIF('Berechnung Nährstoffe und Lager'!$AX$113:$AX$155,$CX90,'Berechnung Nährstoffe und Lager'!$U$113:$U$155)/12  -$GB90*$HC90/12</f>
        <v>0</v>
      </c>
      <c r="FI90" s="2042">
        <f>FH90+DH90+EH90                 -         SUMIF('Berechnung Nährstoffe und Lager'!$AX$113:$AX$155,$CX90,'Berechnung Nährstoffe und Lager'!$U$113:$U$155)/12  -$GB90*$HC90/12</f>
        <v>0</v>
      </c>
      <c r="FJ90" s="2042">
        <f>FI90+DI90+EI90                 -         SUMIF('Berechnung Nährstoffe und Lager'!$AX$113:$AX$155,$CX90,'Berechnung Nährstoffe und Lager'!$U$113:$U$155)/12  -$GB90*$HC90/12</f>
        <v>0</v>
      </c>
      <c r="FK90" s="2042">
        <f>FJ90+DJ90+EJ90                 -         SUMIF('Berechnung Nährstoffe und Lager'!$AX$113:$AX$155,$CX90,'Berechnung Nährstoffe und Lager'!$U$113:$U$155)/12  -$GB90*$HC90/12</f>
        <v>0</v>
      </c>
      <c r="FL90" s="2042">
        <f>FK90+DK90+EK90                 -         SUMIF('Berechnung Nährstoffe und Lager'!$AX$113:$AX$155,$CX90,'Berechnung Nährstoffe und Lager'!$U$113:$U$155)/12  -$GB90*$HC90/12</f>
        <v>0</v>
      </c>
      <c r="FM90" s="2042"/>
      <c r="FN90" s="2045">
        <f t="shared" si="196"/>
        <v>0</v>
      </c>
      <c r="FO90" s="2042">
        <f>FN90+DM90+EM90                 -         SUMIF('Berechnung Nährstoffe und Lager'!$AX$113:$AX$155,$CX90,'Berechnung Nährstoffe und Lager'!$V$113:$V$155)/12  -$GC90*$HC90/12</f>
        <v>0</v>
      </c>
      <c r="FP90" s="2042">
        <f>FO90+DN90+EN90                 -         SUMIF('Berechnung Nährstoffe und Lager'!$AX$113:$AX$155,$CX90,'Berechnung Nährstoffe und Lager'!$V$113:$V$155)/12  -$GC90*$HC90/12</f>
        <v>0</v>
      </c>
      <c r="FQ90" s="2042">
        <f>FP90+DO90+EO90                 -         SUMIF('Berechnung Nährstoffe und Lager'!$AX$113:$AX$155,$CX90,'Berechnung Nährstoffe und Lager'!$V$113:$V$155)/12  -$GC90*$HC90/12</f>
        <v>0</v>
      </c>
      <c r="FR90" s="2042">
        <f>FQ90+DP90+EP90                 -         SUMIF('Berechnung Nährstoffe und Lager'!$AX$113:$AX$155,$CX90,'Berechnung Nährstoffe und Lager'!$V$113:$V$155)/12  -$GC90*$HC90/12</f>
        <v>0</v>
      </c>
      <c r="FS90" s="2042">
        <f>FR90+DQ90+EQ90                 -         SUMIF('Berechnung Nährstoffe und Lager'!$AX$113:$AX$155,$CX90,'Berechnung Nährstoffe und Lager'!$V$113:$V$155)/12  -$GC90*$HC90/12</f>
        <v>0</v>
      </c>
      <c r="FT90" s="2042">
        <f>FS90+DR90+ER90                 -         SUMIF('Berechnung Nährstoffe und Lager'!$AX$113:$AX$155,$CX90,'Berechnung Nährstoffe und Lager'!$V$113:$V$155)/12  -$GC90*$HC90/12</f>
        <v>0</v>
      </c>
      <c r="FU90" s="2042">
        <f>FT90+DS90+ES90                 -         SUMIF('Berechnung Nährstoffe und Lager'!$AX$113:$AX$155,$CX90,'Berechnung Nährstoffe und Lager'!$V$113:$V$155)/12  -$GC90*$HC90/12</f>
        <v>0</v>
      </c>
      <c r="FV90" s="2042">
        <f>FU90+DT90+ET90                 -         SUMIF('Berechnung Nährstoffe und Lager'!$AX$113:$AX$155,$CX90,'Berechnung Nährstoffe und Lager'!$V$113:$V$155)/12  -$GC90*$HC90/12</f>
        <v>0</v>
      </c>
      <c r="FW90" s="2042">
        <f>FV90+DU90+EU90                 -         SUMIF('Berechnung Nährstoffe und Lager'!$AX$113:$AX$155,$CX90,'Berechnung Nährstoffe und Lager'!$V$113:$V$155)/12  -$GC90*$HC90/12</f>
        <v>0</v>
      </c>
      <c r="FX90" s="2042">
        <f>FW90+DV90+EV90                 -         SUMIF('Berechnung Nährstoffe und Lager'!$AX$113:$AX$155,$CX90,'Berechnung Nährstoffe und Lager'!$V$113:$V$155)/12  -$GC90*$HC90/12</f>
        <v>0</v>
      </c>
      <c r="FY90" s="2042">
        <f>FX90+DW90+EW90                 -         SUMIF('Berechnung Nährstoffe und Lager'!$AX$113:$AX$155,$CX90,'Berechnung Nährstoffe und Lager'!$V$113:$V$155)/12  -$GC90*$HC90/12</f>
        <v>0</v>
      </c>
      <c r="FZ90" s="2042">
        <f>FY90+DX90+EX90                 -         SUMIF('Berechnung Nährstoffe und Lager'!$AX$113:$AX$155,$CX90,'Berechnung Nährstoffe und Lager'!$V$113:$V$155)/12  -$GC90*$HC90/12</f>
        <v>0</v>
      </c>
      <c r="GA90" s="2042"/>
      <c r="GB90" s="2042">
        <f>SUMIFS($CI$14:$CI$68,$BR$14:$BR$68,$CX90)+SUMIFS($CM$14:$CM$68,$BR$14:$BR$68,$CX90)+SUMIFS($CR$14:$CR$68,$BR$14:$BR$68,$CX90)  -         SUMIF('Berechnung Nährstoffe und Lager'!$AX$113:$AX$155,$CX90,'Berechnung Nährstoffe und Lager'!$U$113:$U$155)</f>
        <v>0</v>
      </c>
      <c r="GC90" s="2042">
        <f>SUMIFS($CJ$14:$CJ$68,$BR$14:$BR$68,$CX90)+SUMIFS($CO$14:$CO$68,$BR$14:$BR$68,$CX90)+SUMIFS($CT$14:$CT$68,$BR$14:$BR$68,$CX90)  -         SUMIF('Berechnung Nährstoffe und Lager'!$AX$113:$AX$155,$CX90,'Berechnung Nährstoffe und Lager'!$V$113:$V$155)</f>
        <v>0</v>
      </c>
      <c r="GD90" s="2042"/>
      <c r="GE90" s="2042"/>
      <c r="GF90" s="2042">
        <f>SUMIF('Berechnung Nährstoffe und Lager'!$AX$113:$AX$155,$CX90,'Berechnung Nährstoffe und Lager'!$U$113:$U$155)</f>
        <v>0</v>
      </c>
      <c r="GG90" s="2042">
        <f>SUMIF('Berechnung Nährstoffe und Lager'!$AX$113:$AX$155,$CX90,'Berechnung Nährstoffe und Lager'!$V$113:$V$155)</f>
        <v>0</v>
      </c>
      <c r="GH90" s="2042">
        <f t="shared" si="197"/>
        <v>0</v>
      </c>
      <c r="GI90" s="2042">
        <f t="shared" si="198"/>
        <v>0</v>
      </c>
      <c r="GJ90" s="2042">
        <f t="shared" si="180"/>
        <v>0</v>
      </c>
      <c r="GK90" s="2042">
        <f t="shared" si="181"/>
        <v>0</v>
      </c>
      <c r="GL90" s="2042">
        <f t="shared" si="182"/>
        <v>0</v>
      </c>
      <c r="GM90" s="2042" cm="1">
        <f t="array" ref="GM90">IF(GL90=0,0,(IFERROR(SUMPRODUCT($J$14:$J$68,$CH$14:$CH$68,($BR$14:$BR$68=CX90)*1)+SUMPRODUCT($L$14:$L$68,$M$14:$M$68,$CK$14:$CK$68,($BR$14:$BR$68=CX90)*1,($BT$14:$BT$68=FALSE)*1)/10+SUMPRODUCT($R$14:$R$68,$CP$14:$CP$68,($BR$14:$BR$68=CX90)*1),0))/GL90)</f>
        <v>0</v>
      </c>
      <c r="GN90" s="2042">
        <f t="shared" si="199"/>
        <v>0</v>
      </c>
      <c r="GO90" s="2042">
        <f>(SUMIF('Berechnung Nährstoffe und Lager'!$AX$113:$AX$130,'Lagerhaltung (freiwillig)'!CX90,'Berechnung Nährstoffe und Lager'!$D$113:$D$130)+SUMIF('Berechnung Nährstoffe und Lager'!$AX$137:$AX$155,'Lagerhaltung (freiwillig)'!CX90,'Berechnung Nährstoffe und Lager'!$E$137:$E$155))</f>
        <v>0</v>
      </c>
      <c r="GP90" s="2042" cm="1">
        <f t="array" ref="GP90">IF(GO90=0,0,(IFERROR(SUMPRODUCT('Berechnung Nährstoffe und Lager'!$D$113:$D$130,'Berechnung Nährstoffe und Lager'!$F$113:$F$130,('Berechnung Nährstoffe und Lager'!$AX$113:$AX$130='Lagerhaltung (freiwillig)'!CX90)*1)+SUMPRODUCT('Berechnung Nährstoffe und Lager'!$E$137:$E$155,'Berechnung Nährstoffe und Lager'!$F$137:$F$155,('Berechnung Nährstoffe und Lager'!$AX$137:$AX$155='Lagerhaltung (freiwillig)'!CX90)*1),0))/GO90)</f>
        <v>0</v>
      </c>
      <c r="GQ90" s="2042">
        <f t="shared" si="200"/>
        <v>0</v>
      </c>
      <c r="GR90" s="2042">
        <f t="shared" si="201"/>
        <v>0</v>
      </c>
      <c r="GS90" s="2042">
        <f t="shared" si="202"/>
        <v>0</v>
      </c>
      <c r="GT90" s="2042">
        <f t="shared" si="203"/>
        <v>0</v>
      </c>
      <c r="GU90" s="2045" t="str">
        <f t="shared" si="175"/>
        <v xml:space="preserve"> </v>
      </c>
      <c r="GV90" s="2045"/>
      <c r="GW90" s="2054">
        <f t="shared" si="183"/>
        <v>0</v>
      </c>
      <c r="GX90" s="2042">
        <f t="shared" si="184"/>
        <v>0</v>
      </c>
      <c r="GY90" s="2042" t="str">
        <f t="shared" si="174"/>
        <v>a</v>
      </c>
      <c r="GZ90" s="2055">
        <f t="shared" si="185"/>
        <v>0</v>
      </c>
      <c r="HA90" s="2055">
        <f t="shared" si="186"/>
        <v>0</v>
      </c>
      <c r="HB90" s="2055"/>
      <c r="HC90" s="2046">
        <f t="shared" si="187"/>
        <v>0</v>
      </c>
      <c r="HD90" s="2055">
        <f t="shared" si="188"/>
        <v>0</v>
      </c>
      <c r="HE90" s="2055">
        <f t="shared" si="189"/>
        <v>0</v>
      </c>
      <c r="HF90" s="2055">
        <f t="shared" si="190"/>
        <v>0</v>
      </c>
      <c r="HG90" s="2286" cm="1">
        <f t="array" ref="HG90">IF(AND(HE90=0,GJ90=0),0,IF(HE90=0,1,IF(OR(GJ90*1000/HE90/HF90&gt;INDEX(Pflanzen!$AD$5:$AD$109,CX90)/INDEX(Pflanzen!$M$5:$M$109,CX90)*$HG$2,GJ90*1000/HE90/HF90&lt;INDEX(Pflanzen!$AD$5:$AD$109,CX90)/INDEX(Pflanzen!$M$5:$M$109,CX90)/$HG$2),1,0)))</f>
        <v>0</v>
      </c>
      <c r="HH90" s="2286" cm="1">
        <f t="array" ref="HH90">IF(AND(GK90=0,HE90=0),0,IF(HE90=0,1,IF(OR(GK90*1000/HE90/HF90&gt;INDEX(Pflanzen!$AE$5:$AE$109,CX90)/INDEX(Pflanzen!$M$5:$M$109,CX90)*$HG$2,GK90*1000/HE90/HF90&lt;INDEX(Pflanzen!$AE$5:$AE$109,CX90)/INDEX(Pflanzen!$M$5:$M$109,CX90)/$HG$2),1,0)))</f>
        <v>0</v>
      </c>
      <c r="HI90" s="2042">
        <f t="shared" si="191"/>
        <v>3</v>
      </c>
      <c r="HJ90" s="2042"/>
      <c r="HL90" s="2042"/>
      <c r="HM90" s="2042"/>
      <c r="HN90" s="2042"/>
      <c r="HO90" s="2042"/>
      <c r="HP90" s="2042"/>
      <c r="HQ90" s="2042"/>
      <c r="HR90" s="2042"/>
      <c r="HS90" s="2042"/>
      <c r="HT90" s="2042"/>
      <c r="HU90" s="2042"/>
      <c r="HV90" s="2042"/>
      <c r="HW90" s="2042"/>
      <c r="HX90" s="2042"/>
      <c r="HY90" s="2042"/>
      <c r="HZ90" s="2042"/>
      <c r="IA90" s="2042"/>
      <c r="IB90" s="2042"/>
      <c r="IC90" s="2042"/>
      <c r="ID90" s="2042"/>
      <c r="IE90" s="2042"/>
      <c r="IF90" s="2042"/>
      <c r="IG90" s="2042"/>
      <c r="IH90" s="2042"/>
      <c r="II90" s="2042"/>
      <c r="IJ90" s="2042"/>
    </row>
    <row r="91" spans="1:244" ht="13.5" customHeight="1" x14ac:dyDescent="0.2">
      <c r="A91" s="2349" t="s">
        <v>1195</v>
      </c>
      <c r="B91" s="2350"/>
      <c r="C91" s="2350"/>
      <c r="D91" s="2350"/>
      <c r="E91" s="2350"/>
      <c r="F91" s="2350"/>
      <c r="G91" s="2350"/>
      <c r="H91" s="2350"/>
      <c r="I91" s="2350"/>
      <c r="J91" s="2350"/>
      <c r="K91" s="2350"/>
      <c r="L91" s="2312">
        <f>SUMIFS($L$14:$L$68,$CF$14:$CF$68,"Hfru",$CG$14:$CG$68,"&lt;&gt;2")</f>
        <v>0</v>
      </c>
      <c r="M91" s="510"/>
      <c r="N91" s="402" t="str">
        <f>IF(OR(L91&lt;N4-1,L91&gt;N4+1),"Ackerfläche nicht plausibel","")</f>
        <v/>
      </c>
      <c r="O91" s="510"/>
      <c r="P91" s="510"/>
      <c r="Q91" s="510"/>
      <c r="R91" s="510"/>
      <c r="S91" s="510"/>
      <c r="T91" s="510"/>
      <c r="U91" s="510"/>
      <c r="V91" s="510"/>
      <c r="Y91" s="2005" t="str" cm="1">
        <f t="array" ref="Y91">IFERROR(INDEX($CW$4:$CW$171,AY91),"")</f>
        <v/>
      </c>
      <c r="Z91" s="510"/>
      <c r="AA91" s="510"/>
      <c r="AB91" s="510"/>
      <c r="AC91" s="2031" t="str" cm="1">
        <f t="array" ref="AC91">IFERROR(INDEX($GL$4:$GL$171,AY91),"")</f>
        <v/>
      </c>
      <c r="AD91" s="2031" t="str" cm="1">
        <f t="array" ref="AD91">IFERROR(INDEX($GM$4:$GM$171,AY91),"")</f>
        <v/>
      </c>
      <c r="AE91" s="2031" t="str" cm="1">
        <f t="array" ref="AE91">IFERROR(INDEX($GH$4:$GH$171,AY91),"")</f>
        <v/>
      </c>
      <c r="AF91" s="2031" t="str" cm="1">
        <f t="array" ref="AF91">IFERROR(INDEX($GI$4:$GI$171,AY91),"")</f>
        <v/>
      </c>
      <c r="AG91" s="2031" t="str" cm="1">
        <f t="array" ref="AG91">IFERROR(INDEX($GO$4:$GO$171,AY91),"")</f>
        <v/>
      </c>
      <c r="AH91" s="2031" t="str" cm="1">
        <f t="array" ref="AH91">IFERROR(INDEX($GP$4:$GP$171,AY91),"")</f>
        <v/>
      </c>
      <c r="AI91" s="2031" t="str" cm="1">
        <f t="array" ref="AI91">IFERROR(INDEX($GF$4:$GF$171,AY91),"")</f>
        <v/>
      </c>
      <c r="AJ91" s="2031" t="str" cm="1">
        <f t="array" ref="AJ91">IFERROR(INDEX($GG$4:$GG$171,AY91),"")</f>
        <v/>
      </c>
      <c r="AK91" s="2031" t="str" cm="1">
        <f t="array" ref="AK91">IFERROR(INDEX($GS$4:$GS$171,AY91),"")</f>
        <v/>
      </c>
      <c r="AL91" s="2032" t="str" cm="1">
        <f t="array" ref="AL91">IFERROR(INDEX($GT$4:$GT$171,AY91),"")</f>
        <v/>
      </c>
      <c r="AM91" s="2031" t="str" cm="1">
        <f t="array" ref="AM91">IFERROR(INDEX($GB$4:$GB$171,AY91),"")</f>
        <v/>
      </c>
      <c r="AN91" s="2031" t="str" cm="1">
        <f t="array" ref="AN91">IFERROR(INDEX($GC$4:$GC$171,AY91),"")</f>
        <v/>
      </c>
      <c r="AO91" s="2031" t="str" cm="1">
        <f t="array" ref="AO91">IFERROR(INDEX($GU$4:$GU$171,AY91),"")</f>
        <v/>
      </c>
      <c r="AP91" s="2031" t="str" cm="1">
        <f t="array" ref="AP91">IFERROR(INDEX($GX$4:$GX$171,AY91),"")</f>
        <v/>
      </c>
      <c r="AQ91" s="1316"/>
      <c r="AR91" s="2031" t="str" cm="1">
        <f t="array" ref="AR91">IFERROR(INDEX($HD$4:$HD$171,AY91),"")</f>
        <v/>
      </c>
      <c r="AS91" s="2031" t="str" cm="1">
        <f t="array" ref="AS91">IFERROR(INDEX($HE$4:$HE$171,AY91),"")</f>
        <v/>
      </c>
      <c r="AT91" s="2031" t="str" cm="1">
        <f t="array" ref="AT91">IFERROR(INDEX($HF$4:$HF$171,AY91),"")</f>
        <v/>
      </c>
      <c r="AU91" s="2031" t="str" cm="1">
        <f t="array" ref="AU91">IFERROR(INDEX($GJ$4:$GJ$171,AY91),"")</f>
        <v/>
      </c>
      <c r="AV91" s="2031" t="str" cm="1">
        <f t="array" ref="AV91">IFERROR(INDEX($GK$4:$GK$171,AY91),"")</f>
        <v/>
      </c>
      <c r="AY91" s="2042" t="str" cm="1">
        <f t="array" ref="AY91">IFERROR(SMALL(IF($HI$4:$HI$171=1,ROW($HI$4:$HI$171)-3),ROW(W76)),IFERROR(SMALL(IF($HI$4:$HI$171=2,ROW($HI$4:$HI$171)-3),ROW(W76)-COUNTIF($HI$4:$HI$171,1)),IFERROR(SMALL(IF($HI$4:$HI$171=0,ROW($HI$4:$HI$171)-3),ROW(W76)-COUNTIF($HI$4:$HI$171,1)-COUNTIF($HI$4:$HI$171,2)),"")))</f>
        <v/>
      </c>
      <c r="AZ91" s="2042" t="str">
        <f t="shared" si="215"/>
        <v>a</v>
      </c>
      <c r="BA91" s="2053" t="e">
        <f t="shared" si="172"/>
        <v>#VALUE!</v>
      </c>
      <c r="BB91" s="2053" cm="1">
        <f t="array" ref="BB91">IFERROR(INDEX($HI$4:$HI$171,AY91),0)</f>
        <v>0</v>
      </c>
      <c r="BC91" s="2053">
        <f t="shared" si="173"/>
        <v>0</v>
      </c>
      <c r="BD91" s="2053"/>
      <c r="BE91" s="2307"/>
      <c r="BF91" s="2307"/>
      <c r="BG91" s="2307"/>
      <c r="BH91" s="2307"/>
      <c r="BI91" s="2307"/>
      <c r="BJ91" s="2307"/>
      <c r="BK91" s="2307"/>
      <c r="BL91" s="2307"/>
      <c r="BM91" s="2307"/>
      <c r="BN91" s="2307"/>
      <c r="BO91" s="2307"/>
      <c r="BP91" s="2043"/>
      <c r="BQ91" s="2042"/>
      <c r="BR91" s="2042"/>
      <c r="BS91" s="2042"/>
      <c r="BT91" s="2042"/>
      <c r="BU91" s="2044"/>
      <c r="BV91" s="2044"/>
      <c r="BW91" s="2042"/>
      <c r="BX91" s="2042"/>
      <c r="BY91" s="2042"/>
      <c r="BZ91" s="2042"/>
      <c r="CA91" s="2042"/>
      <c r="CB91" s="2042"/>
      <c r="CC91" s="2042"/>
      <c r="CD91" s="2042"/>
      <c r="CE91" s="2042"/>
      <c r="CF91" s="2042"/>
      <c r="CG91" s="2042"/>
      <c r="CH91" s="2042"/>
      <c r="CI91" s="2042"/>
      <c r="CJ91" s="2042"/>
      <c r="CK91" s="2042"/>
      <c r="CL91" s="2042"/>
      <c r="CM91" s="2042"/>
      <c r="CN91" s="2042"/>
      <c r="CO91" s="2042"/>
      <c r="CP91" s="2042"/>
      <c r="CQ91" s="2042"/>
      <c r="CR91" s="2042"/>
      <c r="CS91" s="2042"/>
      <c r="CT91" s="2042"/>
      <c r="CU91" s="2042"/>
      <c r="CV91" s="2042"/>
      <c r="CW91" s="609" t="str">
        <f>Pflanzen!A87</f>
        <v xml:space="preserve"> +++Rind, nur Zukauf+++</v>
      </c>
      <c r="CX91" s="2042">
        <f>IFERROR(MATCH($CW91,Pflanzen!$C$5:$C$119,0),1)</f>
        <v>79</v>
      </c>
      <c r="CY91" s="609" cm="1">
        <f t="array" ref="CY91">INDEX(Pflanzen!$I$5:$I$119,'Lagerhaltung (freiwillig)'!CX91)</f>
        <v>0</v>
      </c>
      <c r="CZ91" s="2042">
        <f t="shared" si="218"/>
        <v>0</v>
      </c>
      <c r="DA91" s="2042">
        <f t="shared" si="218"/>
        <v>0</v>
      </c>
      <c r="DB91" s="2042">
        <f t="shared" si="218"/>
        <v>0</v>
      </c>
      <c r="DC91" s="2042">
        <f t="shared" si="218"/>
        <v>0</v>
      </c>
      <c r="DD91" s="2042">
        <f t="shared" si="218"/>
        <v>0</v>
      </c>
      <c r="DE91" s="2042">
        <f t="shared" si="218"/>
        <v>0</v>
      </c>
      <c r="DF91" s="2042">
        <f t="shared" si="218"/>
        <v>0</v>
      </c>
      <c r="DG91" s="2042">
        <f t="shared" si="218"/>
        <v>0</v>
      </c>
      <c r="DH91" s="2042">
        <f t="shared" si="218"/>
        <v>0</v>
      </c>
      <c r="DI91" s="2042">
        <f t="shared" si="218"/>
        <v>0</v>
      </c>
      <c r="DJ91" s="2042">
        <f t="shared" si="218"/>
        <v>0</v>
      </c>
      <c r="DK91" s="2042">
        <f t="shared" si="218"/>
        <v>0</v>
      </c>
      <c r="DL91" s="2042"/>
      <c r="DM91" s="2042">
        <f t="shared" si="165"/>
        <v>0</v>
      </c>
      <c r="DN91" s="2042">
        <f t="shared" si="216"/>
        <v>0</v>
      </c>
      <c r="DO91" s="2042">
        <f t="shared" si="216"/>
        <v>0</v>
      </c>
      <c r="DP91" s="2042">
        <f t="shared" si="216"/>
        <v>0</v>
      </c>
      <c r="DQ91" s="2042">
        <f t="shared" si="216"/>
        <v>0</v>
      </c>
      <c r="DR91" s="2042">
        <f t="shared" si="216"/>
        <v>0</v>
      </c>
      <c r="DS91" s="2042">
        <f t="shared" si="216"/>
        <v>0</v>
      </c>
      <c r="DT91" s="2042">
        <f t="shared" si="216"/>
        <v>0</v>
      </c>
      <c r="DU91" s="2042">
        <f t="shared" si="216"/>
        <v>0</v>
      </c>
      <c r="DV91" s="2042">
        <f t="shared" si="216"/>
        <v>0</v>
      </c>
      <c r="DW91" s="2042">
        <f t="shared" si="216"/>
        <v>0</v>
      </c>
      <c r="DX91" s="2042">
        <f t="shared" si="216"/>
        <v>0</v>
      </c>
      <c r="DY91" s="2042"/>
      <c r="DZ91" s="2042">
        <f t="shared" si="219"/>
        <v>0</v>
      </c>
      <c r="EA91" s="2042">
        <f t="shared" si="219"/>
        <v>0</v>
      </c>
      <c r="EB91" s="2042">
        <f t="shared" si="219"/>
        <v>0</v>
      </c>
      <c r="EC91" s="2042">
        <f t="shared" si="219"/>
        <v>0</v>
      </c>
      <c r="ED91" s="2042">
        <f t="shared" si="219"/>
        <v>0</v>
      </c>
      <c r="EE91" s="2042">
        <f t="shared" si="219"/>
        <v>0</v>
      </c>
      <c r="EF91" s="2042">
        <f t="shared" si="219"/>
        <v>0</v>
      </c>
      <c r="EG91" s="2042">
        <f t="shared" si="219"/>
        <v>0</v>
      </c>
      <c r="EH91" s="2042">
        <f t="shared" si="219"/>
        <v>0</v>
      </c>
      <c r="EI91" s="2042">
        <f t="shared" si="219"/>
        <v>0</v>
      </c>
      <c r="EJ91" s="2042">
        <f t="shared" si="219"/>
        <v>0</v>
      </c>
      <c r="EK91" s="2042">
        <f t="shared" si="219"/>
        <v>0</v>
      </c>
      <c r="EL91" s="2042"/>
      <c r="EM91" s="2042">
        <f t="shared" si="167"/>
        <v>0</v>
      </c>
      <c r="EN91" s="2042">
        <f t="shared" si="217"/>
        <v>0</v>
      </c>
      <c r="EO91" s="2042">
        <f t="shared" si="217"/>
        <v>0</v>
      </c>
      <c r="EP91" s="2042">
        <f t="shared" si="217"/>
        <v>0</v>
      </c>
      <c r="EQ91" s="2042">
        <f t="shared" si="217"/>
        <v>0</v>
      </c>
      <c r="ER91" s="2042">
        <f t="shared" si="217"/>
        <v>0</v>
      </c>
      <c r="ES91" s="2042">
        <f t="shared" si="217"/>
        <v>0</v>
      </c>
      <c r="ET91" s="2042">
        <f t="shared" si="217"/>
        <v>0</v>
      </c>
      <c r="EU91" s="2042">
        <f t="shared" si="217"/>
        <v>0</v>
      </c>
      <c r="EV91" s="2042">
        <f t="shared" si="217"/>
        <v>0</v>
      </c>
      <c r="EW91" s="2042">
        <f t="shared" si="217"/>
        <v>0</v>
      </c>
      <c r="EX91" s="2042">
        <f t="shared" si="217"/>
        <v>0</v>
      </c>
      <c r="EY91" s="2042"/>
      <c r="EZ91" s="2045">
        <f t="shared" si="195"/>
        <v>0</v>
      </c>
      <c r="FA91" s="2042">
        <f>EZ91+CZ91+DZ91                 -         SUMIF('Berechnung Nährstoffe und Lager'!$AX$113:$AX$155,$CX91,'Berechnung Nährstoffe und Lager'!$U$113:$U$155)/12  -$GB91*$HC91/12</f>
        <v>0</v>
      </c>
      <c r="FB91" s="2042">
        <f>FA91+DA91+EA91                 -         SUMIF('Berechnung Nährstoffe und Lager'!$AX$113:$AX$155,$CX91,'Berechnung Nährstoffe und Lager'!$U$113:$U$155)/12  -$GB91*$HC91/12</f>
        <v>0</v>
      </c>
      <c r="FC91" s="2042">
        <f>FB91+DB91+EB91                 -         SUMIF('Berechnung Nährstoffe und Lager'!$AX$113:$AX$155,$CX91,'Berechnung Nährstoffe und Lager'!$U$113:$U$155)/12  -$GB91*$HC91/12</f>
        <v>0</v>
      </c>
      <c r="FD91" s="2042">
        <f>FC91+DC91+EC91                 -         SUMIF('Berechnung Nährstoffe und Lager'!$AX$113:$AX$155,$CX91,'Berechnung Nährstoffe und Lager'!$U$113:$U$155)/12  -$GB91*$HC91/12</f>
        <v>0</v>
      </c>
      <c r="FE91" s="2042">
        <f>FD91+DD91+ED91                 -         SUMIF('Berechnung Nährstoffe und Lager'!$AX$113:$AX$155,$CX91,'Berechnung Nährstoffe und Lager'!$U$113:$U$155)/12  -$GB91*$HC91/12</f>
        <v>0</v>
      </c>
      <c r="FF91" s="2042">
        <f>FE91+DE91+EE91                 -         SUMIF('Berechnung Nährstoffe und Lager'!$AX$113:$AX$155,$CX91,'Berechnung Nährstoffe und Lager'!$U$113:$U$155)/12  -$GB91*$HC91/12</f>
        <v>0</v>
      </c>
      <c r="FG91" s="2042">
        <f>FF91+DF91+EF91                 -         SUMIF('Berechnung Nährstoffe und Lager'!$AX$113:$AX$155,$CX91,'Berechnung Nährstoffe und Lager'!$U$113:$U$155)/12  -$GB91*$HC91/12</f>
        <v>0</v>
      </c>
      <c r="FH91" s="2042">
        <f>FG91+DG91+EG91                 -         SUMIF('Berechnung Nährstoffe und Lager'!$AX$113:$AX$155,$CX91,'Berechnung Nährstoffe und Lager'!$U$113:$U$155)/12  -$GB91*$HC91/12</f>
        <v>0</v>
      </c>
      <c r="FI91" s="2042">
        <f>FH91+DH91+EH91                 -         SUMIF('Berechnung Nährstoffe und Lager'!$AX$113:$AX$155,$CX91,'Berechnung Nährstoffe und Lager'!$U$113:$U$155)/12  -$GB91*$HC91/12</f>
        <v>0</v>
      </c>
      <c r="FJ91" s="2042">
        <f>FI91+DI91+EI91                 -         SUMIF('Berechnung Nährstoffe und Lager'!$AX$113:$AX$155,$CX91,'Berechnung Nährstoffe und Lager'!$U$113:$U$155)/12  -$GB91*$HC91/12</f>
        <v>0</v>
      </c>
      <c r="FK91" s="2042">
        <f>FJ91+DJ91+EJ91                 -         SUMIF('Berechnung Nährstoffe und Lager'!$AX$113:$AX$155,$CX91,'Berechnung Nährstoffe und Lager'!$U$113:$U$155)/12  -$GB91*$HC91/12</f>
        <v>0</v>
      </c>
      <c r="FL91" s="2042">
        <f>FK91+DK91+EK91                 -         SUMIF('Berechnung Nährstoffe und Lager'!$AX$113:$AX$155,$CX91,'Berechnung Nährstoffe und Lager'!$U$113:$U$155)/12  -$GB91*$HC91/12</f>
        <v>0</v>
      </c>
      <c r="FM91" s="2042"/>
      <c r="FN91" s="2045">
        <f t="shared" si="196"/>
        <v>0</v>
      </c>
      <c r="FO91" s="2042">
        <f>FN91+DM91+EM91                 -         SUMIF('Berechnung Nährstoffe und Lager'!$AX$113:$AX$155,$CX91,'Berechnung Nährstoffe und Lager'!$V$113:$V$155)/12  -$GC91*$HC91/12</f>
        <v>0</v>
      </c>
      <c r="FP91" s="2042">
        <f>FO91+DN91+EN91                 -         SUMIF('Berechnung Nährstoffe und Lager'!$AX$113:$AX$155,$CX91,'Berechnung Nährstoffe und Lager'!$V$113:$V$155)/12  -$GC91*$HC91/12</f>
        <v>0</v>
      </c>
      <c r="FQ91" s="2042">
        <f>FP91+DO91+EO91                 -         SUMIF('Berechnung Nährstoffe und Lager'!$AX$113:$AX$155,$CX91,'Berechnung Nährstoffe und Lager'!$V$113:$V$155)/12  -$GC91*$HC91/12</f>
        <v>0</v>
      </c>
      <c r="FR91" s="2042">
        <f>FQ91+DP91+EP91                 -         SUMIF('Berechnung Nährstoffe und Lager'!$AX$113:$AX$155,$CX91,'Berechnung Nährstoffe und Lager'!$V$113:$V$155)/12  -$GC91*$HC91/12</f>
        <v>0</v>
      </c>
      <c r="FS91" s="2042">
        <f>FR91+DQ91+EQ91                 -         SUMIF('Berechnung Nährstoffe und Lager'!$AX$113:$AX$155,$CX91,'Berechnung Nährstoffe und Lager'!$V$113:$V$155)/12  -$GC91*$HC91/12</f>
        <v>0</v>
      </c>
      <c r="FT91" s="2042">
        <f>FS91+DR91+ER91                 -         SUMIF('Berechnung Nährstoffe und Lager'!$AX$113:$AX$155,$CX91,'Berechnung Nährstoffe und Lager'!$V$113:$V$155)/12  -$GC91*$HC91/12</f>
        <v>0</v>
      </c>
      <c r="FU91" s="2042">
        <f>FT91+DS91+ES91                 -         SUMIF('Berechnung Nährstoffe und Lager'!$AX$113:$AX$155,$CX91,'Berechnung Nährstoffe und Lager'!$V$113:$V$155)/12  -$GC91*$HC91/12</f>
        <v>0</v>
      </c>
      <c r="FV91" s="2042">
        <f>FU91+DT91+ET91                 -         SUMIF('Berechnung Nährstoffe und Lager'!$AX$113:$AX$155,$CX91,'Berechnung Nährstoffe und Lager'!$V$113:$V$155)/12  -$GC91*$HC91/12</f>
        <v>0</v>
      </c>
      <c r="FW91" s="2042">
        <f>FV91+DU91+EU91                 -         SUMIF('Berechnung Nährstoffe und Lager'!$AX$113:$AX$155,$CX91,'Berechnung Nährstoffe und Lager'!$V$113:$V$155)/12  -$GC91*$HC91/12</f>
        <v>0</v>
      </c>
      <c r="FX91" s="2042">
        <f>FW91+DV91+EV91                 -         SUMIF('Berechnung Nährstoffe und Lager'!$AX$113:$AX$155,$CX91,'Berechnung Nährstoffe und Lager'!$V$113:$V$155)/12  -$GC91*$HC91/12</f>
        <v>0</v>
      </c>
      <c r="FY91" s="2042">
        <f>FX91+DW91+EW91                 -         SUMIF('Berechnung Nährstoffe und Lager'!$AX$113:$AX$155,$CX91,'Berechnung Nährstoffe und Lager'!$V$113:$V$155)/12  -$GC91*$HC91/12</f>
        <v>0</v>
      </c>
      <c r="FZ91" s="2042">
        <f>FY91+DX91+EX91                 -         SUMIF('Berechnung Nährstoffe und Lager'!$AX$113:$AX$155,$CX91,'Berechnung Nährstoffe und Lager'!$V$113:$V$155)/12  -$GC91*$HC91/12</f>
        <v>0</v>
      </c>
      <c r="GA91" s="2042"/>
      <c r="GB91" s="2042">
        <f>SUMIFS($CI$14:$CI$68,$BR$14:$BR$68,$CX91)+SUMIFS($CM$14:$CM$68,$BR$14:$BR$68,$CX91)+SUMIFS($CR$14:$CR$68,$BR$14:$BR$68,$CX91)  -         SUMIF('Berechnung Nährstoffe und Lager'!$AX$113:$AX$155,$CX91,'Berechnung Nährstoffe und Lager'!$U$113:$U$155)</f>
        <v>0</v>
      </c>
      <c r="GC91" s="2042">
        <f>SUMIFS($CJ$14:$CJ$68,$BR$14:$BR$68,$CX91)+SUMIFS($CO$14:$CO$68,$BR$14:$BR$68,$CX91)+SUMIFS($CT$14:$CT$68,$BR$14:$BR$68,$CX91)  -         SUMIF('Berechnung Nährstoffe und Lager'!$AX$113:$AX$155,$CX91,'Berechnung Nährstoffe und Lager'!$V$113:$V$155)</f>
        <v>0</v>
      </c>
      <c r="GD91" s="2042"/>
      <c r="GE91" s="2042"/>
      <c r="GF91" s="2042">
        <f>SUMIF('Berechnung Nährstoffe und Lager'!$AX$113:$AX$155,$CX91,'Berechnung Nährstoffe und Lager'!$U$113:$U$155)</f>
        <v>0</v>
      </c>
      <c r="GG91" s="2042">
        <f>SUMIF('Berechnung Nährstoffe und Lager'!$AX$113:$AX$155,$CX91,'Berechnung Nährstoffe und Lager'!$V$113:$V$155)</f>
        <v>0</v>
      </c>
      <c r="GH91" s="2042">
        <f t="shared" si="197"/>
        <v>0</v>
      </c>
      <c r="GI91" s="2042">
        <f t="shared" si="198"/>
        <v>0</v>
      </c>
      <c r="GJ91" s="2042">
        <f t="shared" si="180"/>
        <v>0</v>
      </c>
      <c r="GK91" s="2042">
        <f t="shared" si="181"/>
        <v>0</v>
      </c>
      <c r="GL91" s="2042">
        <f t="shared" si="182"/>
        <v>0</v>
      </c>
      <c r="GM91" s="2042" cm="1">
        <f t="array" ref="GM91">IF(GL91=0,0,(IFERROR(SUMPRODUCT($J$14:$J$68,$CH$14:$CH$68,($BR$14:$BR$68=CX91)*1)+SUMPRODUCT($L$14:$L$68,$M$14:$M$68,$CK$14:$CK$68,($BR$14:$BR$68=CX91)*1,($BT$14:$BT$68=FALSE)*1)/10+SUMPRODUCT($R$14:$R$68,$CP$14:$CP$68,($BR$14:$BR$68=CX91)*1),0))/GL91)</f>
        <v>0</v>
      </c>
      <c r="GN91" s="2042">
        <f t="shared" si="199"/>
        <v>0</v>
      </c>
      <c r="GO91" s="2042">
        <f>(SUMIF('Berechnung Nährstoffe und Lager'!$AX$113:$AX$130,'Lagerhaltung (freiwillig)'!CX91,'Berechnung Nährstoffe und Lager'!$D$113:$D$130)+SUMIF('Berechnung Nährstoffe und Lager'!$AX$137:$AX$155,'Lagerhaltung (freiwillig)'!CX91,'Berechnung Nährstoffe und Lager'!$E$137:$E$155))</f>
        <v>0</v>
      </c>
      <c r="GP91" s="2042" cm="1">
        <f t="array" ref="GP91">IF(GO91=0,0,(IFERROR(SUMPRODUCT('Berechnung Nährstoffe und Lager'!$D$113:$D$130,'Berechnung Nährstoffe und Lager'!$F$113:$F$130,('Berechnung Nährstoffe und Lager'!$AX$113:$AX$130='Lagerhaltung (freiwillig)'!CX91)*1)+SUMPRODUCT('Berechnung Nährstoffe und Lager'!$E$137:$E$155,'Berechnung Nährstoffe und Lager'!$F$137:$F$155,('Berechnung Nährstoffe und Lager'!$AX$137:$AX$155='Lagerhaltung (freiwillig)'!CX91)*1),0))/GO91)</f>
        <v>0</v>
      </c>
      <c r="GQ91" s="2042">
        <f t="shared" si="200"/>
        <v>0</v>
      </c>
      <c r="GR91" s="2042">
        <f t="shared" si="201"/>
        <v>0</v>
      </c>
      <c r="GS91" s="2042">
        <f t="shared" si="202"/>
        <v>0</v>
      </c>
      <c r="GT91" s="2042">
        <f t="shared" si="203"/>
        <v>0</v>
      </c>
      <c r="GU91" s="2045" t="str">
        <f t="shared" si="175"/>
        <v xml:space="preserve"> </v>
      </c>
      <c r="GV91" s="2045"/>
      <c r="GW91" s="2054">
        <f t="shared" si="183"/>
        <v>0</v>
      </c>
      <c r="GX91" s="2042">
        <f t="shared" si="184"/>
        <v>0</v>
      </c>
      <c r="GY91" s="2042" t="str">
        <f t="shared" si="174"/>
        <v>a</v>
      </c>
      <c r="GZ91" s="2055">
        <f t="shared" si="185"/>
        <v>0</v>
      </c>
      <c r="HA91" s="2055">
        <f t="shared" si="186"/>
        <v>0</v>
      </c>
      <c r="HB91" s="2055"/>
      <c r="HC91" s="2046">
        <f t="shared" si="187"/>
        <v>0</v>
      </c>
      <c r="HD91" s="2055">
        <f t="shared" si="188"/>
        <v>0</v>
      </c>
      <c r="HE91" s="2055">
        <f t="shared" si="189"/>
        <v>0</v>
      </c>
      <c r="HF91" s="2055">
        <f t="shared" si="190"/>
        <v>0</v>
      </c>
      <c r="HG91" s="2282" cm="1">
        <f t="array" ref="HG91">IF(AND(HE91=0,GJ91=0),0,IF(HE91=0,1,IF(OR(GJ91*1000/HE91/HF91&gt;INDEX(Pflanzen!$AD$5:$AD$109,CX91)/INDEX(Pflanzen!$M$5:$M$109,CX91)*$HG$2,GJ91*1000/HE91/HF91&lt;INDEX(Pflanzen!$AD$5:$AD$109,CX91)/INDEX(Pflanzen!$M$5:$M$109,CX91)/$HG$2),1,0)))</f>
        <v>0</v>
      </c>
      <c r="HH91" s="2282" cm="1">
        <f t="array" ref="HH91">IF(AND(GK91=0,HE91=0),0,IF(HE91=0,1,IF(OR(GK91*1000/HE91/HF91&gt;INDEX(Pflanzen!$AE$5:$AE$109,CX91)/INDEX(Pflanzen!$M$5:$M$109,CX91)*$HG$2,GK91*1000/HE91/HF91&lt;INDEX(Pflanzen!$AE$5:$AE$109,CX91)/INDEX(Pflanzen!$M$5:$M$109,CX91)/$HG$2),1,0)))</f>
        <v>0</v>
      </c>
      <c r="HI91" s="2042">
        <f t="shared" si="191"/>
        <v>3</v>
      </c>
      <c r="HJ91" s="2042"/>
      <c r="HL91" s="2042"/>
      <c r="HM91" s="2042"/>
      <c r="HN91" s="2042"/>
      <c r="HO91" s="2042"/>
      <c r="HP91" s="2042"/>
      <c r="HQ91" s="2042"/>
      <c r="HR91" s="2042"/>
      <c r="HS91" s="2042"/>
      <c r="HT91" s="2042"/>
      <c r="HU91" s="2042"/>
      <c r="HV91" s="2042"/>
      <c r="HW91" s="2042"/>
      <c r="HX91" s="2042"/>
      <c r="HY91" s="2042"/>
      <c r="HZ91" s="2042"/>
      <c r="IA91" s="2042"/>
      <c r="IB91" s="2042"/>
      <c r="IC91" s="2042"/>
      <c r="ID91" s="2042"/>
      <c r="IE91" s="2042"/>
      <c r="IF91" s="2042"/>
      <c r="IG91" s="2042"/>
      <c r="IH91" s="2042"/>
      <c r="II91" s="2042"/>
      <c r="IJ91" s="2042"/>
    </row>
    <row r="92" spans="1:244" ht="13.5" customHeight="1" x14ac:dyDescent="0.2">
      <c r="A92" s="2022" t="s">
        <v>8537</v>
      </c>
      <c r="B92" s="2023"/>
      <c r="C92" s="2023"/>
      <c r="D92" s="2023"/>
      <c r="E92" s="2023"/>
      <c r="F92" s="2023"/>
      <c r="G92" s="2023"/>
      <c r="H92" s="2023"/>
      <c r="I92" s="2023"/>
      <c r="J92" s="2023"/>
      <c r="K92" s="2023"/>
      <c r="L92" s="2351">
        <f>SUMIF($CF$14:$CF$36,"Nfru",L14:L36)+SUMIF(CF44:$CF$68,"Nfru",L44:L68)</f>
        <v>0</v>
      </c>
      <c r="M92" s="510"/>
      <c r="N92" s="402" t="str">
        <f>IF(L92&gt;L91,"Zwischen- und Zweitfrüchte nicht plausibel","")</f>
        <v/>
      </c>
      <c r="O92" s="510"/>
      <c r="P92" s="510"/>
      <c r="Q92" s="510"/>
      <c r="R92" s="510"/>
      <c r="S92" s="510"/>
      <c r="T92" s="510"/>
      <c r="U92" s="510"/>
      <c r="V92" s="510"/>
      <c r="Y92" s="2005" t="str" cm="1">
        <f t="array" ref="Y92">IFERROR(INDEX($CW$4:$CW$171,AY92),"")</f>
        <v/>
      </c>
      <c r="Z92" s="510"/>
      <c r="AA92" s="510"/>
      <c r="AB92" s="510"/>
      <c r="AC92" s="2031" t="str" cm="1">
        <f t="array" ref="AC92">IFERROR(INDEX($GL$4:$GL$171,AY92),"")</f>
        <v/>
      </c>
      <c r="AD92" s="2031" t="str" cm="1">
        <f t="array" ref="AD92">IFERROR(INDEX($GM$4:$GM$171,AY92),"")</f>
        <v/>
      </c>
      <c r="AE92" s="2031" t="str" cm="1">
        <f t="array" ref="AE92">IFERROR(INDEX($GH$4:$GH$171,AY92),"")</f>
        <v/>
      </c>
      <c r="AF92" s="2031" t="str" cm="1">
        <f t="array" ref="AF92">IFERROR(INDEX($GI$4:$GI$171,AY92),"")</f>
        <v/>
      </c>
      <c r="AG92" s="2031" t="str" cm="1">
        <f t="array" ref="AG92">IFERROR(INDEX($GO$4:$GO$171,AY92),"")</f>
        <v/>
      </c>
      <c r="AH92" s="2031" t="str" cm="1">
        <f t="array" ref="AH92">IFERROR(INDEX($GP$4:$GP$171,AY92),"")</f>
        <v/>
      </c>
      <c r="AI92" s="2031" t="str" cm="1">
        <f t="array" ref="AI92">IFERROR(INDEX($GF$4:$GF$171,AY92),"")</f>
        <v/>
      </c>
      <c r="AJ92" s="2031" t="str" cm="1">
        <f t="array" ref="AJ92">IFERROR(INDEX($GG$4:$GG$171,AY92),"")</f>
        <v/>
      </c>
      <c r="AK92" s="2031" t="str" cm="1">
        <f t="array" ref="AK92">IFERROR(INDEX($GS$4:$GS$171,AY92),"")</f>
        <v/>
      </c>
      <c r="AL92" s="2032" t="str" cm="1">
        <f t="array" ref="AL92">IFERROR(INDEX($GT$4:$GT$171,AY92),"")</f>
        <v/>
      </c>
      <c r="AM92" s="2031" t="str" cm="1">
        <f t="array" ref="AM92">IFERROR(INDEX($GB$4:$GB$171,AY92),"")</f>
        <v/>
      </c>
      <c r="AN92" s="2031" t="str" cm="1">
        <f t="array" ref="AN92">IFERROR(INDEX($GC$4:$GC$171,AY92),"")</f>
        <v/>
      </c>
      <c r="AO92" s="2031" t="str" cm="1">
        <f t="array" ref="AO92">IFERROR(INDEX($GU$4:$GU$171,AY92),"")</f>
        <v/>
      </c>
      <c r="AP92" s="2031" t="str" cm="1">
        <f t="array" ref="AP92">IFERROR(INDEX($GX$4:$GX$171,AY92),"")</f>
        <v/>
      </c>
      <c r="AQ92" s="1316"/>
      <c r="AR92" s="2031" t="str" cm="1">
        <f t="array" ref="AR92">IFERROR(INDEX($HD$4:$HD$171,AY92),"")</f>
        <v/>
      </c>
      <c r="AS92" s="2031" t="str" cm="1">
        <f t="array" ref="AS92">IFERROR(INDEX($HE$4:$HE$171,AY92),"")</f>
        <v/>
      </c>
      <c r="AT92" s="2031" t="str" cm="1">
        <f t="array" ref="AT92">IFERROR(INDEX($HF$4:$HF$171,AY92),"")</f>
        <v/>
      </c>
      <c r="AU92" s="2031" t="str" cm="1">
        <f t="array" ref="AU92">IFERROR(INDEX($GJ$4:$GJ$171,AY92),"")</f>
        <v/>
      </c>
      <c r="AV92" s="2031" t="str" cm="1">
        <f t="array" ref="AV92">IFERROR(INDEX($GK$4:$GK$171,AY92),"")</f>
        <v/>
      </c>
      <c r="AY92" s="2042" t="str" cm="1">
        <f t="array" ref="AY92">IFERROR(SMALL(IF($HI$4:$HI$171=1,ROW($HI$4:$HI$171)-3),ROW(W77)),IFERROR(SMALL(IF($HI$4:$HI$171=2,ROW($HI$4:$HI$171)-3),ROW(W77)-COUNTIF($HI$4:$HI$171,1)),IFERROR(SMALL(IF($HI$4:$HI$171=0,ROW($HI$4:$HI$171)-3),ROW(W77)-COUNTIF($HI$4:$HI$171,1)-COUNTIF($HI$4:$HI$171,2)),"")))</f>
        <v/>
      </c>
      <c r="AZ92" s="2042" t="str">
        <f t="shared" si="215"/>
        <v>a</v>
      </c>
      <c r="BA92" s="2053" t="e">
        <f t="shared" si="172"/>
        <v>#VALUE!</v>
      </c>
      <c r="BB92" s="2053" cm="1">
        <f t="array" ref="BB92">IFERROR(INDEX($HI$4:$HI$171,AY92),0)</f>
        <v>0</v>
      </c>
      <c r="BC92" s="2053">
        <f t="shared" si="173"/>
        <v>0</v>
      </c>
      <c r="BD92" s="2053"/>
      <c r="BE92" s="2307"/>
      <c r="BF92" s="2307"/>
      <c r="BG92" s="2307"/>
      <c r="BH92" s="2307"/>
      <c r="BI92" s="2307"/>
      <c r="BJ92" s="2307"/>
      <c r="BK92" s="2307"/>
      <c r="BL92" s="2307"/>
      <c r="BM92" s="2307"/>
      <c r="BN92" s="2307"/>
      <c r="BO92" s="2307"/>
      <c r="BP92" s="2043"/>
      <c r="BQ92" s="2042"/>
      <c r="BR92" s="2042"/>
      <c r="BS92" s="2042"/>
      <c r="BT92" s="2042"/>
      <c r="BU92" s="2044"/>
      <c r="BV92" s="2044"/>
      <c r="BW92" s="2042"/>
      <c r="BX92" s="2042"/>
      <c r="BY92" s="2042"/>
      <c r="BZ92" s="2042"/>
      <c r="CA92" s="2042"/>
      <c r="CB92" s="2042"/>
      <c r="CC92" s="2042"/>
      <c r="CD92" s="2042"/>
      <c r="CE92" s="2042"/>
      <c r="CF92" s="2042"/>
      <c r="CG92" s="2042"/>
      <c r="CH92" s="2042"/>
      <c r="CI92" s="2042"/>
      <c r="CJ92" s="2042"/>
      <c r="CK92" s="2042"/>
      <c r="CL92" s="2042"/>
      <c r="CM92" s="2042"/>
      <c r="CN92" s="2042"/>
      <c r="CO92" s="2042"/>
      <c r="CP92" s="2042"/>
      <c r="CQ92" s="2042"/>
      <c r="CR92" s="2042"/>
      <c r="CS92" s="2042"/>
      <c r="CT92" s="2042"/>
      <c r="CU92" s="2042"/>
      <c r="CV92" s="2042"/>
      <c r="CW92" s="609" t="str">
        <f>Pflanzen!A88</f>
        <v>Milchviehgülle (Grünland)</v>
      </c>
      <c r="CX92" s="2042">
        <f>IFERROR(MATCH($CW92,Pflanzen!$C$5:$C$119,0),1)</f>
        <v>80</v>
      </c>
      <c r="CY92" s="609" cm="1">
        <f t="array" ref="CY92">INDEX(Pflanzen!$I$5:$I$119,'Lagerhaltung (freiwillig)'!CX92)</f>
        <v>0</v>
      </c>
      <c r="CZ92" s="2042">
        <f t="shared" si="218"/>
        <v>0</v>
      </c>
      <c r="DA92" s="2042">
        <f t="shared" si="218"/>
        <v>0</v>
      </c>
      <c r="DB92" s="2042">
        <f t="shared" si="218"/>
        <v>0</v>
      </c>
      <c r="DC92" s="2042">
        <f t="shared" si="218"/>
        <v>0</v>
      </c>
      <c r="DD92" s="2042">
        <f t="shared" si="218"/>
        <v>0</v>
      </c>
      <c r="DE92" s="2042">
        <f t="shared" si="218"/>
        <v>0</v>
      </c>
      <c r="DF92" s="2042">
        <f t="shared" si="218"/>
        <v>0</v>
      </c>
      <c r="DG92" s="2042">
        <f t="shared" si="218"/>
        <v>0</v>
      </c>
      <c r="DH92" s="2042">
        <f t="shared" si="218"/>
        <v>0</v>
      </c>
      <c r="DI92" s="2042">
        <f t="shared" si="218"/>
        <v>0</v>
      </c>
      <c r="DJ92" s="2042">
        <f t="shared" si="218"/>
        <v>0</v>
      </c>
      <c r="DK92" s="2042">
        <f t="shared" si="218"/>
        <v>0</v>
      </c>
      <c r="DL92" s="2042"/>
      <c r="DM92" s="2042">
        <f t="shared" si="165"/>
        <v>0</v>
      </c>
      <c r="DN92" s="2042">
        <f t="shared" si="216"/>
        <v>0</v>
      </c>
      <c r="DO92" s="2042">
        <f t="shared" si="216"/>
        <v>0</v>
      </c>
      <c r="DP92" s="2042">
        <f t="shared" si="216"/>
        <v>0</v>
      </c>
      <c r="DQ92" s="2042">
        <f t="shared" si="216"/>
        <v>0</v>
      </c>
      <c r="DR92" s="2042">
        <f t="shared" si="216"/>
        <v>0</v>
      </c>
      <c r="DS92" s="2042">
        <f t="shared" si="216"/>
        <v>0</v>
      </c>
      <c r="DT92" s="2042">
        <f t="shared" si="216"/>
        <v>0</v>
      </c>
      <c r="DU92" s="2042">
        <f t="shared" si="216"/>
        <v>0</v>
      </c>
      <c r="DV92" s="2042">
        <f t="shared" si="216"/>
        <v>0</v>
      </c>
      <c r="DW92" s="2042">
        <f t="shared" si="216"/>
        <v>0</v>
      </c>
      <c r="DX92" s="2042">
        <f t="shared" si="216"/>
        <v>0</v>
      </c>
      <c r="DY92" s="2042"/>
      <c r="DZ92" s="2042">
        <f t="shared" si="219"/>
        <v>0</v>
      </c>
      <c r="EA92" s="2042">
        <f t="shared" si="219"/>
        <v>0</v>
      </c>
      <c r="EB92" s="2042">
        <f t="shared" si="219"/>
        <v>0</v>
      </c>
      <c r="EC92" s="2042">
        <f t="shared" si="219"/>
        <v>0</v>
      </c>
      <c r="ED92" s="2042">
        <f t="shared" si="219"/>
        <v>0</v>
      </c>
      <c r="EE92" s="2042">
        <f t="shared" si="219"/>
        <v>0</v>
      </c>
      <c r="EF92" s="2042">
        <f t="shared" si="219"/>
        <v>0</v>
      </c>
      <c r="EG92" s="2042">
        <f t="shared" si="219"/>
        <v>0</v>
      </c>
      <c r="EH92" s="2042">
        <f t="shared" si="219"/>
        <v>0</v>
      </c>
      <c r="EI92" s="2042">
        <f t="shared" si="219"/>
        <v>0</v>
      </c>
      <c r="EJ92" s="2042">
        <f t="shared" si="219"/>
        <v>0</v>
      </c>
      <c r="EK92" s="2042">
        <f t="shared" si="219"/>
        <v>0</v>
      </c>
      <c r="EL92" s="2042"/>
      <c r="EM92" s="2042">
        <f t="shared" si="167"/>
        <v>0</v>
      </c>
      <c r="EN92" s="2042">
        <f t="shared" si="217"/>
        <v>0</v>
      </c>
      <c r="EO92" s="2042">
        <f t="shared" si="217"/>
        <v>0</v>
      </c>
      <c r="EP92" s="2042">
        <f t="shared" si="217"/>
        <v>0</v>
      </c>
      <c r="EQ92" s="2042">
        <f t="shared" si="217"/>
        <v>0</v>
      </c>
      <c r="ER92" s="2042">
        <f t="shared" si="217"/>
        <v>0</v>
      </c>
      <c r="ES92" s="2042">
        <f t="shared" si="217"/>
        <v>0</v>
      </c>
      <c r="ET92" s="2042">
        <f t="shared" si="217"/>
        <v>0</v>
      </c>
      <c r="EU92" s="2042">
        <f t="shared" si="217"/>
        <v>0</v>
      </c>
      <c r="EV92" s="2042">
        <f t="shared" si="217"/>
        <v>0</v>
      </c>
      <c r="EW92" s="2042">
        <f t="shared" si="217"/>
        <v>0</v>
      </c>
      <c r="EX92" s="2042">
        <f t="shared" si="217"/>
        <v>0</v>
      </c>
      <c r="EY92" s="2042"/>
      <c r="EZ92" s="2045">
        <f t="shared" si="195"/>
        <v>0</v>
      </c>
      <c r="FA92" s="2042">
        <f>EZ92+CZ92+DZ92                 -         SUMIF('Berechnung Nährstoffe und Lager'!$AX$113:$AX$155,$CX92,'Berechnung Nährstoffe und Lager'!$U$113:$U$155)/12  -$GB92*$HC92/12</f>
        <v>0</v>
      </c>
      <c r="FB92" s="2042">
        <f>FA92+DA92+EA92                 -         SUMIF('Berechnung Nährstoffe und Lager'!$AX$113:$AX$155,$CX92,'Berechnung Nährstoffe und Lager'!$U$113:$U$155)/12  -$GB92*$HC92/12</f>
        <v>0</v>
      </c>
      <c r="FC92" s="2042">
        <f>FB92+DB92+EB92                 -         SUMIF('Berechnung Nährstoffe und Lager'!$AX$113:$AX$155,$CX92,'Berechnung Nährstoffe und Lager'!$U$113:$U$155)/12  -$GB92*$HC92/12</f>
        <v>0</v>
      </c>
      <c r="FD92" s="2042">
        <f>FC92+DC92+EC92                 -         SUMIF('Berechnung Nährstoffe und Lager'!$AX$113:$AX$155,$CX92,'Berechnung Nährstoffe und Lager'!$U$113:$U$155)/12  -$GB92*$HC92/12</f>
        <v>0</v>
      </c>
      <c r="FE92" s="2042">
        <f>FD92+DD92+ED92                 -         SUMIF('Berechnung Nährstoffe und Lager'!$AX$113:$AX$155,$CX92,'Berechnung Nährstoffe und Lager'!$U$113:$U$155)/12  -$GB92*$HC92/12</f>
        <v>0</v>
      </c>
      <c r="FF92" s="2042">
        <f>FE92+DE92+EE92                 -         SUMIF('Berechnung Nährstoffe und Lager'!$AX$113:$AX$155,$CX92,'Berechnung Nährstoffe und Lager'!$U$113:$U$155)/12  -$GB92*$HC92/12</f>
        <v>0</v>
      </c>
      <c r="FG92" s="2042">
        <f>FF92+DF92+EF92                 -         SUMIF('Berechnung Nährstoffe und Lager'!$AX$113:$AX$155,$CX92,'Berechnung Nährstoffe und Lager'!$U$113:$U$155)/12  -$GB92*$HC92/12</f>
        <v>0</v>
      </c>
      <c r="FH92" s="2042">
        <f>FG92+DG92+EG92                 -         SUMIF('Berechnung Nährstoffe und Lager'!$AX$113:$AX$155,$CX92,'Berechnung Nährstoffe und Lager'!$U$113:$U$155)/12  -$GB92*$HC92/12</f>
        <v>0</v>
      </c>
      <c r="FI92" s="2042">
        <f>FH92+DH92+EH92                 -         SUMIF('Berechnung Nährstoffe und Lager'!$AX$113:$AX$155,$CX92,'Berechnung Nährstoffe und Lager'!$U$113:$U$155)/12  -$GB92*$HC92/12</f>
        <v>0</v>
      </c>
      <c r="FJ92" s="2042">
        <f>FI92+DI92+EI92                 -         SUMIF('Berechnung Nährstoffe und Lager'!$AX$113:$AX$155,$CX92,'Berechnung Nährstoffe und Lager'!$U$113:$U$155)/12  -$GB92*$HC92/12</f>
        <v>0</v>
      </c>
      <c r="FK92" s="2042">
        <f>FJ92+DJ92+EJ92                 -         SUMIF('Berechnung Nährstoffe und Lager'!$AX$113:$AX$155,$CX92,'Berechnung Nährstoffe und Lager'!$U$113:$U$155)/12  -$GB92*$HC92/12</f>
        <v>0</v>
      </c>
      <c r="FL92" s="2042">
        <f>FK92+DK92+EK92                 -         SUMIF('Berechnung Nährstoffe und Lager'!$AX$113:$AX$155,$CX92,'Berechnung Nährstoffe und Lager'!$U$113:$U$155)/12  -$GB92*$HC92/12</f>
        <v>0</v>
      </c>
      <c r="FM92" s="2042"/>
      <c r="FN92" s="2045">
        <f t="shared" si="196"/>
        <v>0</v>
      </c>
      <c r="FO92" s="2042">
        <f>FN92+DM92+EM92                 -         SUMIF('Berechnung Nährstoffe und Lager'!$AX$113:$AX$155,$CX92,'Berechnung Nährstoffe und Lager'!$V$113:$V$155)/12  -$GC92*$HC92/12</f>
        <v>0</v>
      </c>
      <c r="FP92" s="2042">
        <f>FO92+DN92+EN92                 -         SUMIF('Berechnung Nährstoffe und Lager'!$AX$113:$AX$155,$CX92,'Berechnung Nährstoffe und Lager'!$V$113:$V$155)/12  -$GC92*$HC92/12</f>
        <v>0</v>
      </c>
      <c r="FQ92" s="2042">
        <f>FP92+DO92+EO92                 -         SUMIF('Berechnung Nährstoffe und Lager'!$AX$113:$AX$155,$CX92,'Berechnung Nährstoffe und Lager'!$V$113:$V$155)/12  -$GC92*$HC92/12</f>
        <v>0</v>
      </c>
      <c r="FR92" s="2042">
        <f>FQ92+DP92+EP92                 -         SUMIF('Berechnung Nährstoffe und Lager'!$AX$113:$AX$155,$CX92,'Berechnung Nährstoffe und Lager'!$V$113:$V$155)/12  -$GC92*$HC92/12</f>
        <v>0</v>
      </c>
      <c r="FS92" s="2042">
        <f>FR92+DQ92+EQ92                 -         SUMIF('Berechnung Nährstoffe und Lager'!$AX$113:$AX$155,$CX92,'Berechnung Nährstoffe und Lager'!$V$113:$V$155)/12  -$GC92*$HC92/12</f>
        <v>0</v>
      </c>
      <c r="FT92" s="2042">
        <f>FS92+DR92+ER92                 -         SUMIF('Berechnung Nährstoffe und Lager'!$AX$113:$AX$155,$CX92,'Berechnung Nährstoffe und Lager'!$V$113:$V$155)/12  -$GC92*$HC92/12</f>
        <v>0</v>
      </c>
      <c r="FU92" s="2042">
        <f>FT92+DS92+ES92                 -         SUMIF('Berechnung Nährstoffe und Lager'!$AX$113:$AX$155,$CX92,'Berechnung Nährstoffe und Lager'!$V$113:$V$155)/12  -$GC92*$HC92/12</f>
        <v>0</v>
      </c>
      <c r="FV92" s="2042">
        <f>FU92+DT92+ET92                 -         SUMIF('Berechnung Nährstoffe und Lager'!$AX$113:$AX$155,$CX92,'Berechnung Nährstoffe und Lager'!$V$113:$V$155)/12  -$GC92*$HC92/12</f>
        <v>0</v>
      </c>
      <c r="FW92" s="2042">
        <f>FV92+DU92+EU92                 -         SUMIF('Berechnung Nährstoffe und Lager'!$AX$113:$AX$155,$CX92,'Berechnung Nährstoffe und Lager'!$V$113:$V$155)/12  -$GC92*$HC92/12</f>
        <v>0</v>
      </c>
      <c r="FX92" s="2042">
        <f>FW92+DV92+EV92                 -         SUMIF('Berechnung Nährstoffe und Lager'!$AX$113:$AX$155,$CX92,'Berechnung Nährstoffe und Lager'!$V$113:$V$155)/12  -$GC92*$HC92/12</f>
        <v>0</v>
      </c>
      <c r="FY92" s="2042">
        <f>FX92+DW92+EW92                 -         SUMIF('Berechnung Nährstoffe und Lager'!$AX$113:$AX$155,$CX92,'Berechnung Nährstoffe und Lager'!$V$113:$V$155)/12  -$GC92*$HC92/12</f>
        <v>0</v>
      </c>
      <c r="FZ92" s="2042">
        <f>FY92+DX92+EX92                 -         SUMIF('Berechnung Nährstoffe und Lager'!$AX$113:$AX$155,$CX92,'Berechnung Nährstoffe und Lager'!$V$113:$V$155)/12  -$GC92*$HC92/12</f>
        <v>0</v>
      </c>
      <c r="GA92" s="2042"/>
      <c r="GB92" s="2042">
        <f>SUMIFS($CI$14:$CI$68,$BR$14:$BR$68,$CX92)+SUMIFS($CM$14:$CM$68,$BR$14:$BR$68,$CX92)+SUMIFS($CR$14:$CR$68,$BR$14:$BR$68,$CX92)  -         SUMIF('Berechnung Nährstoffe und Lager'!$AX$113:$AX$155,$CX92,'Berechnung Nährstoffe und Lager'!$U$113:$U$155)</f>
        <v>0</v>
      </c>
      <c r="GC92" s="2042">
        <f>SUMIFS($CJ$14:$CJ$68,$BR$14:$BR$68,$CX92)+SUMIFS($CO$14:$CO$68,$BR$14:$BR$68,$CX92)+SUMIFS($CT$14:$CT$68,$BR$14:$BR$68,$CX92)  -         SUMIF('Berechnung Nährstoffe und Lager'!$AX$113:$AX$155,$CX92,'Berechnung Nährstoffe und Lager'!$V$113:$V$155)</f>
        <v>0</v>
      </c>
      <c r="GD92" s="2042"/>
      <c r="GE92" s="2042"/>
      <c r="GF92" s="2042">
        <f>SUMIF('Berechnung Nährstoffe und Lager'!$AX$113:$AX$155,$CX92,'Berechnung Nährstoffe und Lager'!$U$113:$U$155)</f>
        <v>0</v>
      </c>
      <c r="GG92" s="2042">
        <f>SUMIF('Berechnung Nährstoffe und Lager'!$AX$113:$AX$155,$CX92,'Berechnung Nährstoffe und Lager'!$V$113:$V$155)</f>
        <v>0</v>
      </c>
      <c r="GH92" s="2042">
        <f t="shared" si="197"/>
        <v>0</v>
      </c>
      <c r="GI92" s="2042">
        <f t="shared" si="198"/>
        <v>0</v>
      </c>
      <c r="GJ92" s="2042">
        <f t="shared" si="180"/>
        <v>0</v>
      </c>
      <c r="GK92" s="2042">
        <f t="shared" si="181"/>
        <v>0</v>
      </c>
      <c r="GL92" s="2042">
        <f t="shared" si="182"/>
        <v>0</v>
      </c>
      <c r="GM92" s="2042" cm="1">
        <f t="array" ref="GM92">IF(GL92=0,0,(IFERROR(SUMPRODUCT($J$14:$J$68,$CH$14:$CH$68,($BR$14:$BR$68=CX92)*1)+SUMPRODUCT($L$14:$L$68,$M$14:$M$68,$CK$14:$CK$68,($BR$14:$BR$68=CX92)*1,($BT$14:$BT$68=FALSE)*1)/10+SUMPRODUCT($R$14:$R$68,$CP$14:$CP$68,($BR$14:$BR$68=CX92)*1),0))/GL92)</f>
        <v>0</v>
      </c>
      <c r="GN92" s="2042">
        <f t="shared" si="199"/>
        <v>0</v>
      </c>
      <c r="GO92" s="2042">
        <f>(SUMIF('Berechnung Nährstoffe und Lager'!$AX$113:$AX$130,'Lagerhaltung (freiwillig)'!CX92,'Berechnung Nährstoffe und Lager'!$D$113:$D$130)+SUMIF('Berechnung Nährstoffe und Lager'!$AX$137:$AX$155,'Lagerhaltung (freiwillig)'!CX92,'Berechnung Nährstoffe und Lager'!$E$137:$E$155))</f>
        <v>0</v>
      </c>
      <c r="GP92" s="2042" cm="1">
        <f t="array" ref="GP92">IF(GO92=0,0,(IFERROR(SUMPRODUCT('Berechnung Nährstoffe und Lager'!$D$113:$D$130,'Berechnung Nährstoffe und Lager'!$F$113:$F$130,('Berechnung Nährstoffe und Lager'!$AX$113:$AX$130='Lagerhaltung (freiwillig)'!CX92)*1)+SUMPRODUCT('Berechnung Nährstoffe und Lager'!$E$137:$E$155,'Berechnung Nährstoffe und Lager'!$F$137:$F$155,('Berechnung Nährstoffe und Lager'!$AX$137:$AX$155='Lagerhaltung (freiwillig)'!CX92)*1),0))/GO92)</f>
        <v>0</v>
      </c>
      <c r="GQ92" s="2042">
        <f t="shared" si="200"/>
        <v>0</v>
      </c>
      <c r="GR92" s="2042">
        <f t="shared" si="201"/>
        <v>0</v>
      </c>
      <c r="GS92" s="2042">
        <f t="shared" si="202"/>
        <v>0</v>
      </c>
      <c r="GT92" s="2042">
        <f t="shared" si="203"/>
        <v>0</v>
      </c>
      <c r="GU92" s="2045" t="str">
        <f t="shared" si="175"/>
        <v xml:space="preserve"> </v>
      </c>
      <c r="GV92" s="2045"/>
      <c r="GW92" s="2054">
        <f t="shared" si="183"/>
        <v>0</v>
      </c>
      <c r="GX92" s="2042">
        <f t="shared" si="184"/>
        <v>0</v>
      </c>
      <c r="GY92" s="2042" t="str">
        <f t="shared" si="174"/>
        <v>a</v>
      </c>
      <c r="GZ92" s="2055">
        <f t="shared" si="185"/>
        <v>0</v>
      </c>
      <c r="HA92" s="2055">
        <f t="shared" si="186"/>
        <v>0</v>
      </c>
      <c r="HB92" s="2055"/>
      <c r="HC92" s="2046">
        <f t="shared" si="187"/>
        <v>0</v>
      </c>
      <c r="HD92" s="2055">
        <f t="shared" si="188"/>
        <v>0</v>
      </c>
      <c r="HE92" s="2055">
        <f t="shared" si="189"/>
        <v>0</v>
      </c>
      <c r="HF92" s="2055">
        <f t="shared" si="190"/>
        <v>0</v>
      </c>
      <c r="HG92" s="2282" cm="1">
        <f t="array" ref="HG92">IF(AND(HE92=0,GJ92=0),0,IF(HE92=0,1,IF(OR(GJ92*1000/HE92/HF92&gt;INDEX(Pflanzen!$AD$5:$AD$109,CX92)/INDEX(Pflanzen!$M$5:$M$109,CX92)*$HG$2,GJ92*1000/HE92/HF92&lt;INDEX(Pflanzen!$AD$5:$AD$109,CX92)/INDEX(Pflanzen!$M$5:$M$109,CX92)/$HG$2),1,0)))</f>
        <v>0</v>
      </c>
      <c r="HH92" s="2282" cm="1">
        <f t="array" ref="HH92">IF(AND(GK92=0,HE92=0),0,IF(HE92=0,1,IF(OR(GK92*1000/HE92/HF92&gt;INDEX(Pflanzen!$AE$5:$AE$109,CX92)/INDEX(Pflanzen!$M$5:$M$109,CX92)*$HG$2,GK92*1000/HE92/HF92&lt;INDEX(Pflanzen!$AE$5:$AE$109,CX92)/INDEX(Pflanzen!$M$5:$M$109,CX92)/$HG$2),1,0)))</f>
        <v>0</v>
      </c>
      <c r="HI92" s="2042">
        <f t="shared" si="191"/>
        <v>3</v>
      </c>
      <c r="HJ92" s="2042"/>
      <c r="HL92" s="2042"/>
      <c r="HM92" s="2042"/>
      <c r="HN92" s="2042"/>
      <c r="HO92" s="2042"/>
      <c r="HP92" s="2042"/>
      <c r="HQ92" s="2042"/>
      <c r="HR92" s="2042"/>
      <c r="HS92" s="2042"/>
      <c r="HT92" s="2042"/>
      <c r="HU92" s="2042"/>
      <c r="HV92" s="2042"/>
      <c r="HW92" s="2042"/>
      <c r="HX92" s="2042"/>
      <c r="HY92" s="2042"/>
      <c r="HZ92" s="2042"/>
      <c r="IA92" s="2042"/>
      <c r="IB92" s="2042"/>
      <c r="IC92" s="2042"/>
      <c r="ID92" s="2042"/>
      <c r="IE92" s="2042"/>
      <c r="IF92" s="2042"/>
      <c r="IG92" s="2042"/>
      <c r="IH92" s="2042"/>
      <c r="II92" s="2042"/>
      <c r="IJ92" s="2042"/>
    </row>
    <row r="93" spans="1:244" ht="13.5" customHeight="1" thickBot="1" x14ac:dyDescent="0.25">
      <c r="A93" s="2352" t="s">
        <v>1194</v>
      </c>
      <c r="B93" s="2353"/>
      <c r="C93" s="2353"/>
      <c r="D93" s="2353"/>
      <c r="E93" s="2353"/>
      <c r="F93" s="2353"/>
      <c r="G93" s="2353"/>
      <c r="H93" s="2353"/>
      <c r="I93" s="2353"/>
      <c r="J93" s="2353"/>
      <c r="K93" s="2353"/>
      <c r="L93" s="2354">
        <f>SUMIF($CF$14:$CF$68,"GRL",L14:L68)</f>
        <v>0</v>
      </c>
      <c r="M93" s="510"/>
      <c r="N93" s="402" t="str">
        <f>IF(OR(L93&lt;N5-1,L93&gt;N5+1),"Grünlandfläche nicht plausibel","")</f>
        <v/>
      </c>
      <c r="O93" s="510"/>
      <c r="P93" s="510"/>
      <c r="Q93" s="510"/>
      <c r="R93" s="510"/>
      <c r="S93" s="510"/>
      <c r="T93" s="510"/>
      <c r="U93" s="510"/>
      <c r="V93" s="510"/>
      <c r="Y93" s="2005" t="str" cm="1">
        <f t="array" ref="Y93">IFERROR(INDEX($CW$4:$CW$171,AY93),"")</f>
        <v/>
      </c>
      <c r="Z93" s="510"/>
      <c r="AA93" s="510"/>
      <c r="AB93" s="510"/>
      <c r="AC93" s="2031" t="str" cm="1">
        <f t="array" ref="AC93">IFERROR(INDEX($GL$4:$GL$171,AY93),"")</f>
        <v/>
      </c>
      <c r="AD93" s="2031" t="str" cm="1">
        <f t="array" ref="AD93">IFERROR(INDEX($GM$4:$GM$171,AY93),"")</f>
        <v/>
      </c>
      <c r="AE93" s="2031" t="str" cm="1">
        <f t="array" ref="AE93">IFERROR(INDEX($GH$4:$GH$171,AY93),"")</f>
        <v/>
      </c>
      <c r="AF93" s="2031" t="str" cm="1">
        <f t="array" ref="AF93">IFERROR(INDEX($GI$4:$GI$171,AY93),"")</f>
        <v/>
      </c>
      <c r="AG93" s="2031" t="str" cm="1">
        <f t="array" ref="AG93">IFERROR(INDEX($GO$4:$GO$171,AY93),"")</f>
        <v/>
      </c>
      <c r="AH93" s="2031" t="str" cm="1">
        <f t="array" ref="AH93">IFERROR(INDEX($GP$4:$GP$171,AY93),"")</f>
        <v/>
      </c>
      <c r="AI93" s="2031" t="str" cm="1">
        <f t="array" ref="AI93">IFERROR(INDEX($GF$4:$GF$171,AY93),"")</f>
        <v/>
      </c>
      <c r="AJ93" s="2031" t="str" cm="1">
        <f t="array" ref="AJ93">IFERROR(INDEX($GG$4:$GG$171,AY93),"")</f>
        <v/>
      </c>
      <c r="AK93" s="2031" t="str" cm="1">
        <f t="array" ref="AK93">IFERROR(INDEX($GS$4:$GS$171,AY93),"")</f>
        <v/>
      </c>
      <c r="AL93" s="2032" t="str" cm="1">
        <f t="array" ref="AL93">IFERROR(INDEX($GT$4:$GT$171,AY93),"")</f>
        <v/>
      </c>
      <c r="AM93" s="2031" t="str" cm="1">
        <f t="array" ref="AM93">IFERROR(INDEX($GB$4:$GB$171,AY93),"")</f>
        <v/>
      </c>
      <c r="AN93" s="2031" t="str" cm="1">
        <f t="array" ref="AN93">IFERROR(INDEX($GC$4:$GC$171,AY93),"")</f>
        <v/>
      </c>
      <c r="AO93" s="2031" t="str" cm="1">
        <f t="array" ref="AO93">IFERROR(INDEX($GU$4:$GU$171,AY93),"")</f>
        <v/>
      </c>
      <c r="AP93" s="2031" t="str" cm="1">
        <f t="array" ref="AP93">IFERROR(INDEX($GX$4:$GX$171,AY93),"")</f>
        <v/>
      </c>
      <c r="AQ93" s="1316"/>
      <c r="AR93" s="2031" t="str" cm="1">
        <f t="array" ref="AR93">IFERROR(INDEX($HD$4:$HD$171,AY93),"")</f>
        <v/>
      </c>
      <c r="AS93" s="2031" t="str" cm="1">
        <f t="array" ref="AS93">IFERROR(INDEX($HE$4:$HE$171,AY93),"")</f>
        <v/>
      </c>
      <c r="AT93" s="2031" t="str" cm="1">
        <f t="array" ref="AT93">IFERROR(INDEX($HF$4:$HF$171,AY93),"")</f>
        <v/>
      </c>
      <c r="AU93" s="2031" t="str" cm="1">
        <f t="array" ref="AU93">IFERROR(INDEX($GJ$4:$GJ$171,AY93),"")</f>
        <v/>
      </c>
      <c r="AV93" s="2031" t="str" cm="1">
        <f t="array" ref="AV93">IFERROR(INDEX($GK$4:$GK$171,AY93),"")</f>
        <v/>
      </c>
      <c r="AY93" s="2042" t="str" cm="1">
        <f t="array" ref="AY93">IFERROR(SMALL(IF($HI$4:$HI$171=1,ROW($HI$4:$HI$171)-3),ROW(W78)),IFERROR(SMALL(IF($HI$4:$HI$171=2,ROW($HI$4:$HI$171)-3),ROW(W78)-COUNTIF($HI$4:$HI$171,1)),IFERROR(SMALL(IF($HI$4:$HI$171=0,ROW($HI$4:$HI$171)-3),ROW(W78)-COUNTIF($HI$4:$HI$171,1)-COUNTIF($HI$4:$HI$171,2)),"")))</f>
        <v/>
      </c>
      <c r="AZ93" s="2042" t="str">
        <f t="shared" si="215"/>
        <v>a</v>
      </c>
      <c r="BA93" s="2053" t="e">
        <f t="shared" si="172"/>
        <v>#VALUE!</v>
      </c>
      <c r="BB93" s="2053" cm="1">
        <f t="array" ref="BB93">IFERROR(INDEX($HI$4:$HI$171,AY93),0)</f>
        <v>0</v>
      </c>
      <c r="BC93" s="2053">
        <f t="shared" si="173"/>
        <v>0</v>
      </c>
      <c r="BD93" s="2053"/>
      <c r="BE93" s="2307"/>
      <c r="BF93" s="2307"/>
      <c r="BG93" s="2307"/>
      <c r="BH93" s="2307"/>
      <c r="BI93" s="2307"/>
      <c r="BJ93" s="2307"/>
      <c r="BK93" s="2307"/>
      <c r="BL93" s="2307"/>
      <c r="BM93" s="2307"/>
      <c r="BN93" s="2307"/>
      <c r="BO93" s="2307"/>
      <c r="BP93" s="2043"/>
      <c r="BQ93" s="2042"/>
      <c r="BR93" s="2042"/>
      <c r="BS93" s="2042"/>
      <c r="BT93" s="2042"/>
      <c r="BU93" s="2044"/>
      <c r="BV93" s="2044"/>
      <c r="BW93" s="2042"/>
      <c r="BX93" s="2042"/>
      <c r="BY93" s="2042"/>
      <c r="BZ93" s="2042"/>
      <c r="CA93" s="2042"/>
      <c r="CB93" s="2042"/>
      <c r="CC93" s="2042"/>
      <c r="CD93" s="2042"/>
      <c r="CE93" s="2042"/>
      <c r="CF93" s="2042"/>
      <c r="CG93" s="2042"/>
      <c r="CH93" s="2042"/>
      <c r="CI93" s="2042"/>
      <c r="CJ93" s="2042"/>
      <c r="CK93" s="2042"/>
      <c r="CL93" s="2042"/>
      <c r="CM93" s="2042"/>
      <c r="CN93" s="2042"/>
      <c r="CO93" s="2042"/>
      <c r="CP93" s="2042"/>
      <c r="CQ93" s="2042"/>
      <c r="CR93" s="2042"/>
      <c r="CS93" s="2042"/>
      <c r="CT93" s="2042"/>
      <c r="CU93" s="2042"/>
      <c r="CV93" s="2042"/>
      <c r="CW93" s="609" t="str">
        <f>Pflanzen!A89</f>
        <v>Milchviehgülle (Acker)</v>
      </c>
      <c r="CX93" s="2042">
        <f>IFERROR(MATCH($CW93,Pflanzen!$C$5:$C$119,0),1)</f>
        <v>81</v>
      </c>
      <c r="CY93" s="609" cm="1">
        <f t="array" ref="CY93">INDEX(Pflanzen!$I$5:$I$119,'Lagerhaltung (freiwillig)'!CX93)</f>
        <v>0</v>
      </c>
      <c r="CZ93" s="2042">
        <f t="shared" si="218"/>
        <v>0</v>
      </c>
      <c r="DA93" s="2042">
        <f t="shared" si="218"/>
        <v>0</v>
      </c>
      <c r="DB93" s="2042">
        <f t="shared" si="218"/>
        <v>0</v>
      </c>
      <c r="DC93" s="2042">
        <f t="shared" si="218"/>
        <v>0</v>
      </c>
      <c r="DD93" s="2042">
        <f t="shared" si="218"/>
        <v>0</v>
      </c>
      <c r="DE93" s="2042">
        <f t="shared" si="218"/>
        <v>0</v>
      </c>
      <c r="DF93" s="2042">
        <f t="shared" si="218"/>
        <v>0</v>
      </c>
      <c r="DG93" s="2042">
        <f t="shared" si="218"/>
        <v>0</v>
      </c>
      <c r="DH93" s="2042">
        <f t="shared" si="218"/>
        <v>0</v>
      </c>
      <c r="DI93" s="2042">
        <f t="shared" si="218"/>
        <v>0</v>
      </c>
      <c r="DJ93" s="2042">
        <f t="shared" si="218"/>
        <v>0</v>
      </c>
      <c r="DK93" s="2042">
        <f t="shared" si="218"/>
        <v>0</v>
      </c>
      <c r="DL93" s="2042"/>
      <c r="DM93" s="2042">
        <f t="shared" si="165"/>
        <v>0</v>
      </c>
      <c r="DN93" s="2042">
        <f t="shared" si="216"/>
        <v>0</v>
      </c>
      <c r="DO93" s="2042">
        <f t="shared" si="216"/>
        <v>0</v>
      </c>
      <c r="DP93" s="2042">
        <f t="shared" si="216"/>
        <v>0</v>
      </c>
      <c r="DQ93" s="2042">
        <f t="shared" si="216"/>
        <v>0</v>
      </c>
      <c r="DR93" s="2042">
        <f t="shared" si="216"/>
        <v>0</v>
      </c>
      <c r="DS93" s="2042">
        <f t="shared" si="216"/>
        <v>0</v>
      </c>
      <c r="DT93" s="2042">
        <f t="shared" si="216"/>
        <v>0</v>
      </c>
      <c r="DU93" s="2042">
        <f t="shared" si="216"/>
        <v>0</v>
      </c>
      <c r="DV93" s="2042">
        <f t="shared" si="216"/>
        <v>0</v>
      </c>
      <c r="DW93" s="2042">
        <f t="shared" si="216"/>
        <v>0</v>
      </c>
      <c r="DX93" s="2042">
        <f t="shared" si="216"/>
        <v>0</v>
      </c>
      <c r="DY93" s="2042"/>
      <c r="DZ93" s="2042">
        <f t="shared" si="219"/>
        <v>0</v>
      </c>
      <c r="EA93" s="2042">
        <f t="shared" si="219"/>
        <v>0</v>
      </c>
      <c r="EB93" s="2042">
        <f t="shared" si="219"/>
        <v>0</v>
      </c>
      <c r="EC93" s="2042">
        <f t="shared" si="219"/>
        <v>0</v>
      </c>
      <c r="ED93" s="2042">
        <f t="shared" si="219"/>
        <v>0</v>
      </c>
      <c r="EE93" s="2042">
        <f t="shared" si="219"/>
        <v>0</v>
      </c>
      <c r="EF93" s="2042">
        <f t="shared" si="219"/>
        <v>0</v>
      </c>
      <c r="EG93" s="2042">
        <f t="shared" si="219"/>
        <v>0</v>
      </c>
      <c r="EH93" s="2042">
        <f t="shared" si="219"/>
        <v>0</v>
      </c>
      <c r="EI93" s="2042">
        <f t="shared" si="219"/>
        <v>0</v>
      </c>
      <c r="EJ93" s="2042">
        <f t="shared" si="219"/>
        <v>0</v>
      </c>
      <c r="EK93" s="2042">
        <f t="shared" si="219"/>
        <v>0</v>
      </c>
      <c r="EL93" s="2042"/>
      <c r="EM93" s="2042">
        <f t="shared" si="167"/>
        <v>0</v>
      </c>
      <c r="EN93" s="2042">
        <f t="shared" si="217"/>
        <v>0</v>
      </c>
      <c r="EO93" s="2042">
        <f t="shared" si="217"/>
        <v>0</v>
      </c>
      <c r="EP93" s="2042">
        <f t="shared" si="217"/>
        <v>0</v>
      </c>
      <c r="EQ93" s="2042">
        <f t="shared" si="217"/>
        <v>0</v>
      </c>
      <c r="ER93" s="2042">
        <f t="shared" si="217"/>
        <v>0</v>
      </c>
      <c r="ES93" s="2042">
        <f t="shared" si="217"/>
        <v>0</v>
      </c>
      <c r="ET93" s="2042">
        <f t="shared" si="217"/>
        <v>0</v>
      </c>
      <c r="EU93" s="2042">
        <f t="shared" si="217"/>
        <v>0</v>
      </c>
      <c r="EV93" s="2042">
        <f t="shared" si="217"/>
        <v>0</v>
      </c>
      <c r="EW93" s="2042">
        <f t="shared" si="217"/>
        <v>0</v>
      </c>
      <c r="EX93" s="2042">
        <f t="shared" si="217"/>
        <v>0</v>
      </c>
      <c r="EY93" s="2042"/>
      <c r="EZ93" s="2045">
        <f t="shared" si="195"/>
        <v>0</v>
      </c>
      <c r="FA93" s="2042">
        <f>EZ93+CZ93+DZ93                 -         SUMIF('Berechnung Nährstoffe und Lager'!$AX$113:$AX$155,$CX93,'Berechnung Nährstoffe und Lager'!$U$113:$U$155)/12  -$GB93*$HC93/12</f>
        <v>0</v>
      </c>
      <c r="FB93" s="2042">
        <f>FA93+DA93+EA93                 -         SUMIF('Berechnung Nährstoffe und Lager'!$AX$113:$AX$155,$CX93,'Berechnung Nährstoffe und Lager'!$U$113:$U$155)/12  -$GB93*$HC93/12</f>
        <v>0</v>
      </c>
      <c r="FC93" s="2042">
        <f>FB93+DB93+EB93                 -         SUMIF('Berechnung Nährstoffe und Lager'!$AX$113:$AX$155,$CX93,'Berechnung Nährstoffe und Lager'!$U$113:$U$155)/12  -$GB93*$HC93/12</f>
        <v>0</v>
      </c>
      <c r="FD93" s="2042">
        <f>FC93+DC93+EC93                 -         SUMIF('Berechnung Nährstoffe und Lager'!$AX$113:$AX$155,$CX93,'Berechnung Nährstoffe und Lager'!$U$113:$U$155)/12  -$GB93*$HC93/12</f>
        <v>0</v>
      </c>
      <c r="FE93" s="2042">
        <f>FD93+DD93+ED93                 -         SUMIF('Berechnung Nährstoffe und Lager'!$AX$113:$AX$155,$CX93,'Berechnung Nährstoffe und Lager'!$U$113:$U$155)/12  -$GB93*$HC93/12</f>
        <v>0</v>
      </c>
      <c r="FF93" s="2042">
        <f>FE93+DE93+EE93                 -         SUMIF('Berechnung Nährstoffe und Lager'!$AX$113:$AX$155,$CX93,'Berechnung Nährstoffe und Lager'!$U$113:$U$155)/12  -$GB93*$HC93/12</f>
        <v>0</v>
      </c>
      <c r="FG93" s="2042">
        <f>FF93+DF93+EF93                 -         SUMIF('Berechnung Nährstoffe und Lager'!$AX$113:$AX$155,$CX93,'Berechnung Nährstoffe und Lager'!$U$113:$U$155)/12  -$GB93*$HC93/12</f>
        <v>0</v>
      </c>
      <c r="FH93" s="2042">
        <f>FG93+DG93+EG93                 -         SUMIF('Berechnung Nährstoffe und Lager'!$AX$113:$AX$155,$CX93,'Berechnung Nährstoffe und Lager'!$U$113:$U$155)/12  -$GB93*$HC93/12</f>
        <v>0</v>
      </c>
      <c r="FI93" s="2042">
        <f>FH93+DH93+EH93                 -         SUMIF('Berechnung Nährstoffe und Lager'!$AX$113:$AX$155,$CX93,'Berechnung Nährstoffe und Lager'!$U$113:$U$155)/12  -$GB93*$HC93/12</f>
        <v>0</v>
      </c>
      <c r="FJ93" s="2042">
        <f>FI93+DI93+EI93                 -         SUMIF('Berechnung Nährstoffe und Lager'!$AX$113:$AX$155,$CX93,'Berechnung Nährstoffe und Lager'!$U$113:$U$155)/12  -$GB93*$HC93/12</f>
        <v>0</v>
      </c>
      <c r="FK93" s="2042">
        <f>FJ93+DJ93+EJ93                 -         SUMIF('Berechnung Nährstoffe und Lager'!$AX$113:$AX$155,$CX93,'Berechnung Nährstoffe und Lager'!$U$113:$U$155)/12  -$GB93*$HC93/12</f>
        <v>0</v>
      </c>
      <c r="FL93" s="2042">
        <f>FK93+DK93+EK93                 -         SUMIF('Berechnung Nährstoffe und Lager'!$AX$113:$AX$155,$CX93,'Berechnung Nährstoffe und Lager'!$U$113:$U$155)/12  -$GB93*$HC93/12</f>
        <v>0</v>
      </c>
      <c r="FM93" s="2042"/>
      <c r="FN93" s="2045">
        <f t="shared" si="196"/>
        <v>0</v>
      </c>
      <c r="FO93" s="2042">
        <f>FN93+DM93+EM93                 -         SUMIF('Berechnung Nährstoffe und Lager'!$AX$113:$AX$155,$CX93,'Berechnung Nährstoffe und Lager'!$V$113:$V$155)/12  -$GC93*$HC93/12</f>
        <v>0</v>
      </c>
      <c r="FP93" s="2042">
        <f>FO93+DN93+EN93                 -         SUMIF('Berechnung Nährstoffe und Lager'!$AX$113:$AX$155,$CX93,'Berechnung Nährstoffe und Lager'!$V$113:$V$155)/12  -$GC93*$HC93/12</f>
        <v>0</v>
      </c>
      <c r="FQ93" s="2042">
        <f>FP93+DO93+EO93                 -         SUMIF('Berechnung Nährstoffe und Lager'!$AX$113:$AX$155,$CX93,'Berechnung Nährstoffe und Lager'!$V$113:$V$155)/12  -$GC93*$HC93/12</f>
        <v>0</v>
      </c>
      <c r="FR93" s="2042">
        <f>FQ93+DP93+EP93                 -         SUMIF('Berechnung Nährstoffe und Lager'!$AX$113:$AX$155,$CX93,'Berechnung Nährstoffe und Lager'!$V$113:$V$155)/12  -$GC93*$HC93/12</f>
        <v>0</v>
      </c>
      <c r="FS93" s="2042">
        <f>FR93+DQ93+EQ93                 -         SUMIF('Berechnung Nährstoffe und Lager'!$AX$113:$AX$155,$CX93,'Berechnung Nährstoffe und Lager'!$V$113:$V$155)/12  -$GC93*$HC93/12</f>
        <v>0</v>
      </c>
      <c r="FT93" s="2042">
        <f>FS93+DR93+ER93                 -         SUMIF('Berechnung Nährstoffe und Lager'!$AX$113:$AX$155,$CX93,'Berechnung Nährstoffe und Lager'!$V$113:$V$155)/12  -$GC93*$HC93/12</f>
        <v>0</v>
      </c>
      <c r="FU93" s="2042">
        <f>FT93+DS93+ES93                 -         SUMIF('Berechnung Nährstoffe und Lager'!$AX$113:$AX$155,$CX93,'Berechnung Nährstoffe und Lager'!$V$113:$V$155)/12  -$GC93*$HC93/12</f>
        <v>0</v>
      </c>
      <c r="FV93" s="2042">
        <f>FU93+DT93+ET93                 -         SUMIF('Berechnung Nährstoffe und Lager'!$AX$113:$AX$155,$CX93,'Berechnung Nährstoffe und Lager'!$V$113:$V$155)/12  -$GC93*$HC93/12</f>
        <v>0</v>
      </c>
      <c r="FW93" s="2042">
        <f>FV93+DU93+EU93                 -         SUMIF('Berechnung Nährstoffe und Lager'!$AX$113:$AX$155,$CX93,'Berechnung Nährstoffe und Lager'!$V$113:$V$155)/12  -$GC93*$HC93/12</f>
        <v>0</v>
      </c>
      <c r="FX93" s="2042">
        <f>FW93+DV93+EV93                 -         SUMIF('Berechnung Nährstoffe und Lager'!$AX$113:$AX$155,$CX93,'Berechnung Nährstoffe und Lager'!$V$113:$V$155)/12  -$GC93*$HC93/12</f>
        <v>0</v>
      </c>
      <c r="FY93" s="2042">
        <f>FX93+DW93+EW93                 -         SUMIF('Berechnung Nährstoffe und Lager'!$AX$113:$AX$155,$CX93,'Berechnung Nährstoffe und Lager'!$V$113:$V$155)/12  -$GC93*$HC93/12</f>
        <v>0</v>
      </c>
      <c r="FZ93" s="2042">
        <f>FY93+DX93+EX93                 -         SUMIF('Berechnung Nährstoffe und Lager'!$AX$113:$AX$155,$CX93,'Berechnung Nährstoffe und Lager'!$V$113:$V$155)/12  -$GC93*$HC93/12</f>
        <v>0</v>
      </c>
      <c r="GA93" s="2042"/>
      <c r="GB93" s="2042">
        <f>SUMIFS($CI$14:$CI$68,$BR$14:$BR$68,$CX93)+SUMIFS($CM$14:$CM$68,$BR$14:$BR$68,$CX93)+SUMIFS($CR$14:$CR$68,$BR$14:$BR$68,$CX93)  -         SUMIF('Berechnung Nährstoffe und Lager'!$AX$113:$AX$155,$CX93,'Berechnung Nährstoffe und Lager'!$U$113:$U$155)</f>
        <v>0</v>
      </c>
      <c r="GC93" s="2042">
        <f>SUMIFS($CJ$14:$CJ$68,$BR$14:$BR$68,$CX93)+SUMIFS($CO$14:$CO$68,$BR$14:$BR$68,$CX93)+SUMIFS($CT$14:$CT$68,$BR$14:$BR$68,$CX93)  -         SUMIF('Berechnung Nährstoffe und Lager'!$AX$113:$AX$155,$CX93,'Berechnung Nährstoffe und Lager'!$V$113:$V$155)</f>
        <v>0</v>
      </c>
      <c r="GD93" s="2042"/>
      <c r="GE93" s="2042"/>
      <c r="GF93" s="2042">
        <f>SUMIF('Berechnung Nährstoffe und Lager'!$AX$113:$AX$155,$CX93,'Berechnung Nährstoffe und Lager'!$U$113:$U$155)</f>
        <v>0</v>
      </c>
      <c r="GG93" s="2042">
        <f>SUMIF('Berechnung Nährstoffe und Lager'!$AX$113:$AX$155,$CX93,'Berechnung Nährstoffe und Lager'!$V$113:$V$155)</f>
        <v>0</v>
      </c>
      <c r="GH93" s="2042">
        <f t="shared" si="197"/>
        <v>0</v>
      </c>
      <c r="GI93" s="2042">
        <f t="shared" si="198"/>
        <v>0</v>
      </c>
      <c r="GJ93" s="2042">
        <f t="shared" si="180"/>
        <v>0</v>
      </c>
      <c r="GK93" s="2042">
        <f t="shared" si="181"/>
        <v>0</v>
      </c>
      <c r="GL93" s="2042">
        <f t="shared" si="182"/>
        <v>0</v>
      </c>
      <c r="GM93" s="2042" cm="1">
        <f t="array" ref="GM93">IF(GL93=0,0,(IFERROR(SUMPRODUCT($J$14:$J$68,$CH$14:$CH$68,($BR$14:$BR$68=CX93)*1)+SUMPRODUCT($L$14:$L$68,$M$14:$M$68,$CK$14:$CK$68,($BR$14:$BR$68=CX93)*1,($BT$14:$BT$68=FALSE)*1)/10+SUMPRODUCT($R$14:$R$68,$CP$14:$CP$68,($BR$14:$BR$68=CX93)*1),0))/GL93)</f>
        <v>0</v>
      </c>
      <c r="GN93" s="2042">
        <f t="shared" si="199"/>
        <v>0</v>
      </c>
      <c r="GO93" s="2042">
        <f>(SUMIF('Berechnung Nährstoffe und Lager'!$AX$113:$AX$130,'Lagerhaltung (freiwillig)'!CX93,'Berechnung Nährstoffe und Lager'!$D$113:$D$130)+SUMIF('Berechnung Nährstoffe und Lager'!$AX$137:$AX$155,'Lagerhaltung (freiwillig)'!CX93,'Berechnung Nährstoffe und Lager'!$E$137:$E$155))</f>
        <v>0</v>
      </c>
      <c r="GP93" s="2042" cm="1">
        <f t="array" ref="GP93">IF(GO93=0,0,(IFERROR(SUMPRODUCT('Berechnung Nährstoffe und Lager'!$D$113:$D$130,'Berechnung Nährstoffe und Lager'!$F$113:$F$130,('Berechnung Nährstoffe und Lager'!$AX$113:$AX$130='Lagerhaltung (freiwillig)'!CX93)*1)+SUMPRODUCT('Berechnung Nährstoffe und Lager'!$E$137:$E$155,'Berechnung Nährstoffe und Lager'!$F$137:$F$155,('Berechnung Nährstoffe und Lager'!$AX$137:$AX$155='Lagerhaltung (freiwillig)'!CX93)*1),0))/GO93)</f>
        <v>0</v>
      </c>
      <c r="GQ93" s="2042">
        <f t="shared" si="200"/>
        <v>0</v>
      </c>
      <c r="GR93" s="2042">
        <f t="shared" si="201"/>
        <v>0</v>
      </c>
      <c r="GS93" s="2042">
        <f t="shared" si="202"/>
        <v>0</v>
      </c>
      <c r="GT93" s="2042">
        <f t="shared" si="203"/>
        <v>0</v>
      </c>
      <c r="GU93" s="2045" t="str">
        <f t="shared" si="175"/>
        <v xml:space="preserve"> </v>
      </c>
      <c r="GV93" s="2045" t="str">
        <f t="shared" si="175"/>
        <v xml:space="preserve"> </v>
      </c>
      <c r="GW93" s="2054">
        <f t="shared" si="183"/>
        <v>0</v>
      </c>
      <c r="GX93" s="2042">
        <f t="shared" si="184"/>
        <v>0</v>
      </c>
      <c r="GY93" s="2042" t="str">
        <f t="shared" si="174"/>
        <v>a</v>
      </c>
      <c r="GZ93" s="2055">
        <f t="shared" si="185"/>
        <v>0</v>
      </c>
      <c r="HA93" s="2055">
        <f t="shared" si="186"/>
        <v>0</v>
      </c>
      <c r="HB93" s="2055"/>
      <c r="HC93" s="2046">
        <f t="shared" si="187"/>
        <v>0</v>
      </c>
      <c r="HD93" s="2055">
        <f t="shared" si="188"/>
        <v>0</v>
      </c>
      <c r="HE93" s="2055">
        <f t="shared" si="189"/>
        <v>0</v>
      </c>
      <c r="HF93" s="2055">
        <f t="shared" si="190"/>
        <v>0</v>
      </c>
      <c r="HG93" s="2282" cm="1">
        <f t="array" ref="HG93">IF(AND(HE93=0,GJ93=0),0,IF(HE93=0,1,IF(OR(GJ93*1000/HE93/HF93&gt;INDEX(Pflanzen!$AD$5:$AD$109,CX93)/INDEX(Pflanzen!$M$5:$M$109,CX93)*$HG$2,GJ93*1000/HE93/HF93&lt;INDEX(Pflanzen!$AD$5:$AD$109,CX93)/INDEX(Pflanzen!$M$5:$M$109,CX93)/$HG$2),1,0)))</f>
        <v>0</v>
      </c>
      <c r="HH93" s="2282" cm="1">
        <f t="array" ref="HH93">IF(AND(GK93=0,HE93=0),0,IF(HE93=0,1,IF(OR(GK93*1000/HE93/HF93&gt;INDEX(Pflanzen!$AE$5:$AE$109,CX93)/INDEX(Pflanzen!$M$5:$M$109,CX93)*$HG$2,GK93*1000/HE93/HF93&lt;INDEX(Pflanzen!$AE$5:$AE$109,CX93)/INDEX(Pflanzen!$M$5:$M$109,CX93)/$HG$2),1,0)))</f>
        <v>0</v>
      </c>
      <c r="HI93" s="2042">
        <f t="shared" si="191"/>
        <v>3</v>
      </c>
      <c r="HJ93" s="2042"/>
      <c r="HL93" s="2042"/>
      <c r="HM93" s="2042"/>
      <c r="HN93" s="2042"/>
      <c r="HO93" s="2042"/>
      <c r="HP93" s="2042"/>
      <c r="HQ93" s="2042"/>
      <c r="HR93" s="2042"/>
      <c r="HS93" s="2042"/>
      <c r="HT93" s="2042"/>
      <c r="HU93" s="2042"/>
      <c r="HV93" s="2042"/>
      <c r="HW93" s="2042"/>
      <c r="HX93" s="2042"/>
      <c r="HY93" s="2042"/>
      <c r="HZ93" s="2042"/>
      <c r="IA93" s="2042"/>
      <c r="IB93" s="2042"/>
      <c r="IC93" s="2042"/>
      <c r="ID93" s="2042"/>
      <c r="IE93" s="2042"/>
      <c r="IF93" s="2042"/>
      <c r="IG93" s="2042"/>
      <c r="IH93" s="2042"/>
      <c r="II93" s="2042"/>
      <c r="IJ93" s="2042"/>
    </row>
    <row r="94" spans="1:244" ht="5.25" customHeight="1" thickBot="1" x14ac:dyDescent="0.25">
      <c r="U94" s="510"/>
      <c r="V94" s="510"/>
      <c r="Y94" s="2005" t="str" cm="1">
        <f t="array" ref="Y94">IFERROR(INDEX($CW$4:$CW$171,AY94),"")</f>
        <v/>
      </c>
      <c r="Z94" s="510"/>
      <c r="AA94" s="510"/>
      <c r="AB94" s="510"/>
      <c r="AC94" s="2031" t="str" cm="1">
        <f t="array" ref="AC94">IFERROR(INDEX($GL$4:$GL$171,AY94),"")</f>
        <v/>
      </c>
      <c r="AD94" s="2031" t="str" cm="1">
        <f t="array" ref="AD94">IFERROR(INDEX($GM$4:$GM$171,AY94),"")</f>
        <v/>
      </c>
      <c r="AE94" s="2031" t="str" cm="1">
        <f t="array" ref="AE94">IFERROR(INDEX($GH$4:$GH$171,AY94),"")</f>
        <v/>
      </c>
      <c r="AF94" s="2031" t="str" cm="1">
        <f t="array" ref="AF94">IFERROR(INDEX($GI$4:$GI$171,AY94),"")</f>
        <v/>
      </c>
      <c r="AG94" s="2031" t="str" cm="1">
        <f t="array" ref="AG94">IFERROR(INDEX($GO$4:$GO$171,AY94),"")</f>
        <v/>
      </c>
      <c r="AH94" s="2031" t="str" cm="1">
        <f t="array" ref="AH94">IFERROR(INDEX($GP$4:$GP$171,AY94),"")</f>
        <v/>
      </c>
      <c r="AI94" s="2031" t="str" cm="1">
        <f t="array" ref="AI94">IFERROR(INDEX($GF$4:$GF$171,AY94),"")</f>
        <v/>
      </c>
      <c r="AJ94" s="2031" t="str" cm="1">
        <f t="array" ref="AJ94">IFERROR(INDEX($GG$4:$GG$171,AY94),"")</f>
        <v/>
      </c>
      <c r="AK94" s="2031" t="str" cm="1">
        <f t="array" ref="AK94">IFERROR(INDEX($GS$4:$GS$171,AY94),"")</f>
        <v/>
      </c>
      <c r="AL94" s="2032" t="str" cm="1">
        <f t="array" ref="AL94">IFERROR(INDEX($GT$4:$GT$171,AY94),"")</f>
        <v/>
      </c>
      <c r="AM94" s="2031" t="str" cm="1">
        <f t="array" ref="AM94">IFERROR(INDEX($GB$4:$GB$171,AY94),"")</f>
        <v/>
      </c>
      <c r="AN94" s="2031" t="str" cm="1">
        <f t="array" ref="AN94">IFERROR(INDEX($GC$4:$GC$171,AY94),"")</f>
        <v/>
      </c>
      <c r="AO94" s="2031" t="str" cm="1">
        <f t="array" ref="AO94">IFERROR(INDEX($GU$4:$GU$171,AY94),"")</f>
        <v/>
      </c>
      <c r="AP94" s="2031" t="str" cm="1">
        <f t="array" ref="AP94">IFERROR(INDEX($GX$4:$GX$171,AY94),"")</f>
        <v/>
      </c>
      <c r="AQ94" s="1316"/>
      <c r="AR94" s="2031" t="str" cm="1">
        <f t="array" ref="AR94">IFERROR(INDEX($HD$4:$HD$171,AY94),"")</f>
        <v/>
      </c>
      <c r="AS94" s="2031" t="str" cm="1">
        <f t="array" ref="AS94">IFERROR(INDEX($HE$4:$HE$171,AY94),"")</f>
        <v/>
      </c>
      <c r="AT94" s="2031" t="str" cm="1">
        <f t="array" ref="AT94">IFERROR(INDEX($HF$4:$HF$171,AY94),"")</f>
        <v/>
      </c>
      <c r="AU94" s="2031" t="str" cm="1">
        <f t="array" ref="AU94">IFERROR(INDEX($GJ$4:$GJ$171,AY94),"")</f>
        <v/>
      </c>
      <c r="AV94" s="2031" t="str" cm="1">
        <f t="array" ref="AV94">IFERROR(INDEX($GK$4:$GK$171,AY94),"")</f>
        <v/>
      </c>
      <c r="AY94" s="2042" t="str" cm="1">
        <f t="array" ref="AY94">IFERROR(SMALL(IF($HI$4:$HI$171=1,ROW($HI$4:$HI$171)-3),ROW(W79)),IFERROR(SMALL(IF($HI$4:$HI$171=2,ROW($HI$4:$HI$171)-3),ROW(W79)-COUNTIF($HI$4:$HI$171,1)),IFERROR(SMALL(IF($HI$4:$HI$171=0,ROW($HI$4:$HI$171)-3),ROW(W79)-COUNTIF($HI$4:$HI$171,1)-COUNTIF($HI$4:$HI$171,2)),"")))</f>
        <v/>
      </c>
      <c r="AZ94" s="2042" t="str">
        <f t="shared" si="215"/>
        <v>a</v>
      </c>
      <c r="BA94" s="2053" t="e">
        <f t="shared" si="172"/>
        <v>#VALUE!</v>
      </c>
      <c r="BB94" s="2053" cm="1">
        <f t="array" ref="BB94">IFERROR(INDEX($HI$4:$HI$171,AY94),0)</f>
        <v>0</v>
      </c>
      <c r="BC94" s="2053">
        <f t="shared" si="173"/>
        <v>0</v>
      </c>
      <c r="BD94" s="2053"/>
      <c r="BE94" s="2307"/>
      <c r="BF94" s="2307"/>
      <c r="BG94" s="2307"/>
      <c r="BH94" s="2307"/>
      <c r="BI94" s="2307"/>
      <c r="BJ94" s="2307"/>
      <c r="BK94" s="2307"/>
      <c r="BL94" s="2307"/>
      <c r="BM94" s="2307"/>
      <c r="BN94" s="2307"/>
      <c r="BO94" s="2307"/>
      <c r="BP94" s="2043"/>
      <c r="BQ94" s="2042"/>
      <c r="BR94" s="2042"/>
      <c r="BS94" s="2042"/>
      <c r="BT94" s="2042"/>
      <c r="BU94" s="2044"/>
      <c r="BV94" s="2044"/>
      <c r="BW94" s="2042"/>
      <c r="BX94" s="2042"/>
      <c r="BY94" s="2042"/>
      <c r="BZ94" s="2042"/>
      <c r="CA94" s="2042"/>
      <c r="CB94" s="2042"/>
      <c r="CC94" s="2042"/>
      <c r="CD94" s="2042"/>
      <c r="CE94" s="2042"/>
      <c r="CF94" s="2042"/>
      <c r="CG94" s="2042"/>
      <c r="CH94" s="2042"/>
      <c r="CI94" s="2042"/>
      <c r="CJ94" s="2042"/>
      <c r="CK94" s="2042"/>
      <c r="CL94" s="2042"/>
      <c r="CM94" s="2042"/>
      <c r="CN94" s="2042"/>
      <c r="CO94" s="2042"/>
      <c r="CP94" s="2042"/>
      <c r="CQ94" s="2042"/>
      <c r="CR94" s="2042"/>
      <c r="CS94" s="2042"/>
      <c r="CT94" s="2042"/>
      <c r="CU94" s="2042"/>
      <c r="CV94" s="2042"/>
      <c r="CW94" s="609" t="str">
        <f>Pflanzen!A90</f>
        <v>Mastbullengülle</v>
      </c>
      <c r="CX94" s="2042">
        <f>IFERROR(MATCH($CW94,Pflanzen!$C$5:$C$119,0),1)</f>
        <v>82</v>
      </c>
      <c r="CY94" s="609" cm="1">
        <f t="array" ref="CY94">INDEX(Pflanzen!$I$5:$I$119,'Lagerhaltung (freiwillig)'!CX94)</f>
        <v>0</v>
      </c>
      <c r="CZ94" s="2042">
        <f t="shared" si="218"/>
        <v>0</v>
      </c>
      <c r="DA94" s="2042">
        <f t="shared" si="218"/>
        <v>0</v>
      </c>
      <c r="DB94" s="2042">
        <f t="shared" si="218"/>
        <v>0</v>
      </c>
      <c r="DC94" s="2042">
        <f t="shared" si="218"/>
        <v>0</v>
      </c>
      <c r="DD94" s="2042">
        <f t="shared" si="218"/>
        <v>0</v>
      </c>
      <c r="DE94" s="2042">
        <f t="shared" si="218"/>
        <v>0</v>
      </c>
      <c r="DF94" s="2042">
        <f t="shared" si="218"/>
        <v>0</v>
      </c>
      <c r="DG94" s="2042">
        <f t="shared" si="218"/>
        <v>0</v>
      </c>
      <c r="DH94" s="2042">
        <f t="shared" si="218"/>
        <v>0</v>
      </c>
      <c r="DI94" s="2042">
        <f t="shared" si="218"/>
        <v>0</v>
      </c>
      <c r="DJ94" s="2042">
        <f t="shared" si="218"/>
        <v>0</v>
      </c>
      <c r="DK94" s="2042">
        <f t="shared" si="218"/>
        <v>0</v>
      </c>
      <c r="DL94" s="2042"/>
      <c r="DM94" s="2042">
        <f t="shared" si="165"/>
        <v>0</v>
      </c>
      <c r="DN94" s="2042">
        <f t="shared" si="216"/>
        <v>0</v>
      </c>
      <c r="DO94" s="2042">
        <f t="shared" si="216"/>
        <v>0</v>
      </c>
      <c r="DP94" s="2042">
        <f t="shared" si="216"/>
        <v>0</v>
      </c>
      <c r="DQ94" s="2042">
        <f t="shared" si="216"/>
        <v>0</v>
      </c>
      <c r="DR94" s="2042">
        <f t="shared" si="216"/>
        <v>0</v>
      </c>
      <c r="DS94" s="2042">
        <f t="shared" si="216"/>
        <v>0</v>
      </c>
      <c r="DT94" s="2042">
        <f t="shared" si="216"/>
        <v>0</v>
      </c>
      <c r="DU94" s="2042">
        <f t="shared" si="216"/>
        <v>0</v>
      </c>
      <c r="DV94" s="2042">
        <f t="shared" si="216"/>
        <v>0</v>
      </c>
      <c r="DW94" s="2042">
        <f t="shared" si="216"/>
        <v>0</v>
      </c>
      <c r="DX94" s="2042">
        <f t="shared" si="216"/>
        <v>0</v>
      </c>
      <c r="DY94" s="2042"/>
      <c r="DZ94" s="2042">
        <f t="shared" si="219"/>
        <v>0</v>
      </c>
      <c r="EA94" s="2042">
        <f t="shared" si="219"/>
        <v>0</v>
      </c>
      <c r="EB94" s="2042">
        <f t="shared" si="219"/>
        <v>0</v>
      </c>
      <c r="EC94" s="2042">
        <f t="shared" si="219"/>
        <v>0</v>
      </c>
      <c r="ED94" s="2042">
        <f t="shared" si="219"/>
        <v>0</v>
      </c>
      <c r="EE94" s="2042">
        <f t="shared" si="219"/>
        <v>0</v>
      </c>
      <c r="EF94" s="2042">
        <f t="shared" si="219"/>
        <v>0</v>
      </c>
      <c r="EG94" s="2042">
        <f t="shared" si="219"/>
        <v>0</v>
      </c>
      <c r="EH94" s="2042">
        <f t="shared" si="219"/>
        <v>0</v>
      </c>
      <c r="EI94" s="2042">
        <f t="shared" si="219"/>
        <v>0</v>
      </c>
      <c r="EJ94" s="2042">
        <f t="shared" si="219"/>
        <v>0</v>
      </c>
      <c r="EK94" s="2042">
        <f t="shared" si="219"/>
        <v>0</v>
      </c>
      <c r="EL94" s="2042"/>
      <c r="EM94" s="2042">
        <f t="shared" si="167"/>
        <v>0</v>
      </c>
      <c r="EN94" s="2042">
        <f t="shared" si="217"/>
        <v>0</v>
      </c>
      <c r="EO94" s="2042">
        <f t="shared" si="217"/>
        <v>0</v>
      </c>
      <c r="EP94" s="2042">
        <f t="shared" si="217"/>
        <v>0</v>
      </c>
      <c r="EQ94" s="2042">
        <f t="shared" si="217"/>
        <v>0</v>
      </c>
      <c r="ER94" s="2042">
        <f t="shared" si="217"/>
        <v>0</v>
      </c>
      <c r="ES94" s="2042">
        <f t="shared" si="217"/>
        <v>0</v>
      </c>
      <c r="ET94" s="2042">
        <f t="shared" si="217"/>
        <v>0</v>
      </c>
      <c r="EU94" s="2042">
        <f t="shared" si="217"/>
        <v>0</v>
      </c>
      <c r="EV94" s="2042">
        <f t="shared" si="217"/>
        <v>0</v>
      </c>
      <c r="EW94" s="2042">
        <f t="shared" si="217"/>
        <v>0</v>
      </c>
      <c r="EX94" s="2042">
        <f t="shared" si="217"/>
        <v>0</v>
      </c>
      <c r="EY94" s="2042"/>
      <c r="EZ94" s="2045">
        <f t="shared" si="195"/>
        <v>0</v>
      </c>
      <c r="FA94" s="2042">
        <f>EZ94+CZ94+DZ94                 -         SUMIF('Berechnung Nährstoffe und Lager'!$AX$113:$AX$155,$CX94,'Berechnung Nährstoffe und Lager'!$U$113:$U$155)/12  -$GB94*$HC94/12</f>
        <v>0</v>
      </c>
      <c r="FB94" s="2042">
        <f>FA94+DA94+EA94                 -         SUMIF('Berechnung Nährstoffe und Lager'!$AX$113:$AX$155,$CX94,'Berechnung Nährstoffe und Lager'!$U$113:$U$155)/12  -$GB94*$HC94/12</f>
        <v>0</v>
      </c>
      <c r="FC94" s="2042">
        <f>FB94+DB94+EB94                 -         SUMIF('Berechnung Nährstoffe und Lager'!$AX$113:$AX$155,$CX94,'Berechnung Nährstoffe und Lager'!$U$113:$U$155)/12  -$GB94*$HC94/12</f>
        <v>0</v>
      </c>
      <c r="FD94" s="2042">
        <f>FC94+DC94+EC94                 -         SUMIF('Berechnung Nährstoffe und Lager'!$AX$113:$AX$155,$CX94,'Berechnung Nährstoffe und Lager'!$U$113:$U$155)/12  -$GB94*$HC94/12</f>
        <v>0</v>
      </c>
      <c r="FE94" s="2042">
        <f>FD94+DD94+ED94                 -         SUMIF('Berechnung Nährstoffe und Lager'!$AX$113:$AX$155,$CX94,'Berechnung Nährstoffe und Lager'!$U$113:$U$155)/12  -$GB94*$HC94/12</f>
        <v>0</v>
      </c>
      <c r="FF94" s="2042">
        <f>FE94+DE94+EE94                 -         SUMIF('Berechnung Nährstoffe und Lager'!$AX$113:$AX$155,$CX94,'Berechnung Nährstoffe und Lager'!$U$113:$U$155)/12  -$GB94*$HC94/12</f>
        <v>0</v>
      </c>
      <c r="FG94" s="2042">
        <f>FF94+DF94+EF94                 -         SUMIF('Berechnung Nährstoffe und Lager'!$AX$113:$AX$155,$CX94,'Berechnung Nährstoffe und Lager'!$U$113:$U$155)/12  -$GB94*$HC94/12</f>
        <v>0</v>
      </c>
      <c r="FH94" s="2042">
        <f>FG94+DG94+EG94                 -         SUMIF('Berechnung Nährstoffe und Lager'!$AX$113:$AX$155,$CX94,'Berechnung Nährstoffe und Lager'!$U$113:$U$155)/12  -$GB94*$HC94/12</f>
        <v>0</v>
      </c>
      <c r="FI94" s="2042">
        <f>FH94+DH94+EH94                 -         SUMIF('Berechnung Nährstoffe und Lager'!$AX$113:$AX$155,$CX94,'Berechnung Nährstoffe und Lager'!$U$113:$U$155)/12  -$GB94*$HC94/12</f>
        <v>0</v>
      </c>
      <c r="FJ94" s="2042">
        <f>FI94+DI94+EI94                 -         SUMIF('Berechnung Nährstoffe und Lager'!$AX$113:$AX$155,$CX94,'Berechnung Nährstoffe und Lager'!$U$113:$U$155)/12  -$GB94*$HC94/12</f>
        <v>0</v>
      </c>
      <c r="FK94" s="2042">
        <f>FJ94+DJ94+EJ94                 -         SUMIF('Berechnung Nährstoffe und Lager'!$AX$113:$AX$155,$CX94,'Berechnung Nährstoffe und Lager'!$U$113:$U$155)/12  -$GB94*$HC94/12</f>
        <v>0</v>
      </c>
      <c r="FL94" s="2042">
        <f>FK94+DK94+EK94                 -         SUMIF('Berechnung Nährstoffe und Lager'!$AX$113:$AX$155,$CX94,'Berechnung Nährstoffe und Lager'!$U$113:$U$155)/12  -$GB94*$HC94/12</f>
        <v>0</v>
      </c>
      <c r="FM94" s="2042"/>
      <c r="FN94" s="2045">
        <f t="shared" si="196"/>
        <v>0</v>
      </c>
      <c r="FO94" s="2042">
        <f>FN94+DM94+EM94                 -         SUMIF('Berechnung Nährstoffe und Lager'!$AX$113:$AX$155,$CX94,'Berechnung Nährstoffe und Lager'!$V$113:$V$155)/12  -$GC94*$HC94/12</f>
        <v>0</v>
      </c>
      <c r="FP94" s="2042">
        <f>FO94+DN94+EN94                 -         SUMIF('Berechnung Nährstoffe und Lager'!$AX$113:$AX$155,$CX94,'Berechnung Nährstoffe und Lager'!$V$113:$V$155)/12  -$GC94*$HC94/12</f>
        <v>0</v>
      </c>
      <c r="FQ94" s="2042">
        <f>FP94+DO94+EO94                 -         SUMIF('Berechnung Nährstoffe und Lager'!$AX$113:$AX$155,$CX94,'Berechnung Nährstoffe und Lager'!$V$113:$V$155)/12  -$GC94*$HC94/12</f>
        <v>0</v>
      </c>
      <c r="FR94" s="2042">
        <f>FQ94+DP94+EP94                 -         SUMIF('Berechnung Nährstoffe und Lager'!$AX$113:$AX$155,$CX94,'Berechnung Nährstoffe und Lager'!$V$113:$V$155)/12  -$GC94*$HC94/12</f>
        <v>0</v>
      </c>
      <c r="FS94" s="2042">
        <f>FR94+DQ94+EQ94                 -         SUMIF('Berechnung Nährstoffe und Lager'!$AX$113:$AX$155,$CX94,'Berechnung Nährstoffe und Lager'!$V$113:$V$155)/12  -$GC94*$HC94/12</f>
        <v>0</v>
      </c>
      <c r="FT94" s="2042">
        <f>FS94+DR94+ER94                 -         SUMIF('Berechnung Nährstoffe und Lager'!$AX$113:$AX$155,$CX94,'Berechnung Nährstoffe und Lager'!$V$113:$V$155)/12  -$GC94*$HC94/12</f>
        <v>0</v>
      </c>
      <c r="FU94" s="2042">
        <f>FT94+DS94+ES94                 -         SUMIF('Berechnung Nährstoffe und Lager'!$AX$113:$AX$155,$CX94,'Berechnung Nährstoffe und Lager'!$V$113:$V$155)/12  -$GC94*$HC94/12</f>
        <v>0</v>
      </c>
      <c r="FV94" s="2042">
        <f>FU94+DT94+ET94                 -         SUMIF('Berechnung Nährstoffe und Lager'!$AX$113:$AX$155,$CX94,'Berechnung Nährstoffe und Lager'!$V$113:$V$155)/12  -$GC94*$HC94/12</f>
        <v>0</v>
      </c>
      <c r="FW94" s="2042">
        <f>FV94+DU94+EU94                 -         SUMIF('Berechnung Nährstoffe und Lager'!$AX$113:$AX$155,$CX94,'Berechnung Nährstoffe und Lager'!$V$113:$V$155)/12  -$GC94*$HC94/12</f>
        <v>0</v>
      </c>
      <c r="FX94" s="2042">
        <f>FW94+DV94+EV94                 -         SUMIF('Berechnung Nährstoffe und Lager'!$AX$113:$AX$155,$CX94,'Berechnung Nährstoffe und Lager'!$V$113:$V$155)/12  -$GC94*$HC94/12</f>
        <v>0</v>
      </c>
      <c r="FY94" s="2042">
        <f>FX94+DW94+EW94                 -         SUMIF('Berechnung Nährstoffe und Lager'!$AX$113:$AX$155,$CX94,'Berechnung Nährstoffe und Lager'!$V$113:$V$155)/12  -$GC94*$HC94/12</f>
        <v>0</v>
      </c>
      <c r="FZ94" s="2042">
        <f>FY94+DX94+EX94                 -         SUMIF('Berechnung Nährstoffe und Lager'!$AX$113:$AX$155,$CX94,'Berechnung Nährstoffe und Lager'!$V$113:$V$155)/12  -$GC94*$HC94/12</f>
        <v>0</v>
      </c>
      <c r="GA94" s="2042"/>
      <c r="GB94" s="2042">
        <f>SUMIFS($CI$14:$CI$68,$BR$14:$BR$68,$CX94)+SUMIFS($CM$14:$CM$68,$BR$14:$BR$68,$CX94)+SUMIFS($CR$14:$CR$68,$BR$14:$BR$68,$CX94)  -         SUMIF('Berechnung Nährstoffe und Lager'!$AX$113:$AX$155,$CX94,'Berechnung Nährstoffe und Lager'!$U$113:$U$155)</f>
        <v>0</v>
      </c>
      <c r="GC94" s="2042">
        <f>SUMIFS($CJ$14:$CJ$68,$BR$14:$BR$68,$CX94)+SUMIFS($CO$14:$CO$68,$BR$14:$BR$68,$CX94)+SUMIFS($CT$14:$CT$68,$BR$14:$BR$68,$CX94)  -         SUMIF('Berechnung Nährstoffe und Lager'!$AX$113:$AX$155,$CX94,'Berechnung Nährstoffe und Lager'!$V$113:$V$155)</f>
        <v>0</v>
      </c>
      <c r="GD94" s="2042"/>
      <c r="GE94" s="2042"/>
      <c r="GF94" s="2042">
        <f>SUMIF('Berechnung Nährstoffe und Lager'!$AX$113:$AX$155,$CX94,'Berechnung Nährstoffe und Lager'!$U$113:$U$155)</f>
        <v>0</v>
      </c>
      <c r="GG94" s="2042">
        <f>SUMIF('Berechnung Nährstoffe und Lager'!$AX$113:$AX$155,$CX94,'Berechnung Nährstoffe und Lager'!$V$113:$V$155)</f>
        <v>0</v>
      </c>
      <c r="GH94" s="2042">
        <f t="shared" si="197"/>
        <v>0</v>
      </c>
      <c r="GI94" s="2042">
        <f t="shared" si="198"/>
        <v>0</v>
      </c>
      <c r="GJ94" s="2042">
        <f t="shared" si="180"/>
        <v>0</v>
      </c>
      <c r="GK94" s="2042">
        <f t="shared" si="181"/>
        <v>0</v>
      </c>
      <c r="GL94" s="2042">
        <f t="shared" si="182"/>
        <v>0</v>
      </c>
      <c r="GM94" s="2042" cm="1">
        <f t="array" ref="GM94">IF(GL94=0,0,(IFERROR(SUMPRODUCT($J$14:$J$68,$CH$14:$CH$68,($BR$14:$BR$68=CX94)*1)+SUMPRODUCT($L$14:$L$68,$M$14:$M$68,$CK$14:$CK$68,($BR$14:$BR$68=CX94)*1,($BT$14:$BT$68=FALSE)*1)/10+SUMPRODUCT($R$14:$R$68,$CP$14:$CP$68,($BR$14:$BR$68=CX94)*1),0))/GL94)</f>
        <v>0</v>
      </c>
      <c r="GN94" s="2042">
        <f t="shared" si="199"/>
        <v>0</v>
      </c>
      <c r="GO94" s="2042">
        <f>(SUMIF('Berechnung Nährstoffe und Lager'!$AX$113:$AX$130,'Lagerhaltung (freiwillig)'!CX94,'Berechnung Nährstoffe und Lager'!$D$113:$D$130)+SUMIF('Berechnung Nährstoffe und Lager'!$AX$137:$AX$155,'Lagerhaltung (freiwillig)'!CX94,'Berechnung Nährstoffe und Lager'!$E$137:$E$155))</f>
        <v>0</v>
      </c>
      <c r="GP94" s="2042" cm="1">
        <f t="array" ref="GP94">IF(GO94=0,0,(IFERROR(SUMPRODUCT('Berechnung Nährstoffe und Lager'!$D$113:$D$130,'Berechnung Nährstoffe und Lager'!$F$113:$F$130,('Berechnung Nährstoffe und Lager'!$AX$113:$AX$130='Lagerhaltung (freiwillig)'!CX94)*1)+SUMPRODUCT('Berechnung Nährstoffe und Lager'!$E$137:$E$155,'Berechnung Nährstoffe und Lager'!$F$137:$F$155,('Berechnung Nährstoffe und Lager'!$AX$137:$AX$155='Lagerhaltung (freiwillig)'!CX94)*1),0))/GO94)</f>
        <v>0</v>
      </c>
      <c r="GQ94" s="2042">
        <f t="shared" si="200"/>
        <v>0</v>
      </c>
      <c r="GR94" s="2042">
        <f t="shared" si="201"/>
        <v>0</v>
      </c>
      <c r="GS94" s="2042">
        <f t="shared" si="202"/>
        <v>0</v>
      </c>
      <c r="GT94" s="2042">
        <f t="shared" si="203"/>
        <v>0</v>
      </c>
      <c r="GU94" s="2045" t="str">
        <f t="shared" si="175"/>
        <v xml:space="preserve"> </v>
      </c>
      <c r="GV94" s="2045" t="str">
        <f t="shared" si="175"/>
        <v xml:space="preserve"> </v>
      </c>
      <c r="GW94" s="2054">
        <f t="shared" si="183"/>
        <v>0</v>
      </c>
      <c r="GX94" s="2042">
        <f t="shared" si="184"/>
        <v>0</v>
      </c>
      <c r="GY94" s="2042" t="str">
        <f t="shared" si="174"/>
        <v>a</v>
      </c>
      <c r="GZ94" s="2055">
        <f t="shared" si="185"/>
        <v>0</v>
      </c>
      <c r="HA94" s="2055">
        <f t="shared" si="186"/>
        <v>0</v>
      </c>
      <c r="HB94" s="2055"/>
      <c r="HC94" s="2046">
        <f t="shared" si="187"/>
        <v>0</v>
      </c>
      <c r="HD94" s="2055">
        <f t="shared" si="188"/>
        <v>0</v>
      </c>
      <c r="HE94" s="2055">
        <f t="shared" si="189"/>
        <v>0</v>
      </c>
      <c r="HF94" s="2055">
        <f t="shared" si="190"/>
        <v>0</v>
      </c>
      <c r="HG94" s="2282" cm="1">
        <f t="array" ref="HG94">IF(AND(HE94=0,GJ94=0),0,IF(HE94=0,1,IF(OR(GJ94*1000/HE94/HF94&gt;INDEX(Pflanzen!$AD$5:$AD$109,CX94)/INDEX(Pflanzen!$M$5:$M$109,CX94)*$HG$2,GJ94*1000/HE94/HF94&lt;INDEX(Pflanzen!$AD$5:$AD$109,CX94)/INDEX(Pflanzen!$M$5:$M$109,CX94)/$HG$2),1,0)))</f>
        <v>0</v>
      </c>
      <c r="HH94" s="2282" cm="1">
        <f t="array" ref="HH94">IF(AND(GK94=0,HE94=0),0,IF(HE94=0,1,IF(OR(GK94*1000/HE94/HF94&gt;INDEX(Pflanzen!$AE$5:$AE$109,CX94)/INDEX(Pflanzen!$M$5:$M$109,CX94)*$HG$2,GK94*1000/HE94/HF94&lt;INDEX(Pflanzen!$AE$5:$AE$109,CX94)/INDEX(Pflanzen!$M$5:$M$109,CX94)/$HG$2),1,0)))</f>
        <v>0</v>
      </c>
      <c r="HI94" s="2042">
        <f t="shared" si="191"/>
        <v>3</v>
      </c>
      <c r="HJ94" s="2042"/>
      <c r="HL94" s="2042"/>
      <c r="HM94" s="2042"/>
      <c r="HN94" s="2042"/>
      <c r="HO94" s="2042"/>
      <c r="HP94" s="2042"/>
      <c r="HQ94" s="2042"/>
      <c r="HR94" s="2042"/>
      <c r="HS94" s="2042"/>
      <c r="HT94" s="2042"/>
      <c r="HU94" s="2042"/>
      <c r="HV94" s="2042"/>
      <c r="HW94" s="2042"/>
      <c r="HX94" s="2042"/>
      <c r="HY94" s="2042"/>
      <c r="HZ94" s="2042"/>
      <c r="IA94" s="2042"/>
      <c r="IB94" s="2042"/>
      <c r="IC94" s="2042"/>
      <c r="ID94" s="2042"/>
      <c r="IE94" s="2042"/>
      <c r="IF94" s="2042"/>
      <c r="IG94" s="2042"/>
      <c r="IH94" s="2042"/>
      <c r="II94" s="2042"/>
      <c r="IJ94" s="2042"/>
    </row>
    <row r="95" spans="1:244" ht="12" customHeight="1" x14ac:dyDescent="0.2">
      <c r="A95" s="2981" t="s">
        <v>1099</v>
      </c>
      <c r="B95" s="2982"/>
      <c r="C95" s="2982"/>
      <c r="D95" s="2982"/>
      <c r="E95" s="2983"/>
      <c r="F95" s="3078" t="s">
        <v>1143</v>
      </c>
      <c r="G95" s="3079"/>
      <c r="H95" s="3079"/>
      <c r="I95" s="3079"/>
      <c r="J95" s="3079"/>
      <c r="K95" s="3080"/>
      <c r="L95" s="3078" t="s">
        <v>8433</v>
      </c>
      <c r="M95" s="3080"/>
      <c r="N95" s="3078" t="s">
        <v>678</v>
      </c>
      <c r="O95" s="3079"/>
      <c r="P95" s="3079"/>
      <c r="Q95" s="3080"/>
      <c r="R95" s="1118"/>
      <c r="S95" s="510"/>
      <c r="T95" s="510"/>
      <c r="U95" s="510"/>
      <c r="V95" s="510"/>
      <c r="Y95" s="2005" t="str" cm="1">
        <f t="array" ref="Y95">IFERROR(INDEX($CW$4:$CW$171,AY95),"")</f>
        <v/>
      </c>
      <c r="Z95" s="510"/>
      <c r="AA95" s="510"/>
      <c r="AB95" s="510"/>
      <c r="AC95" s="2031" t="str" cm="1">
        <f t="array" ref="AC95">IFERROR(INDEX($GL$4:$GL$171,AY95),"")</f>
        <v/>
      </c>
      <c r="AD95" s="2031" t="str" cm="1">
        <f t="array" ref="AD95">IFERROR(INDEX($GM$4:$GM$171,AY95),"")</f>
        <v/>
      </c>
      <c r="AE95" s="2031" t="str" cm="1">
        <f t="array" ref="AE95">IFERROR(INDEX($GH$4:$GH$171,AY95),"")</f>
        <v/>
      </c>
      <c r="AF95" s="2031" t="str" cm="1">
        <f t="array" ref="AF95">IFERROR(INDEX($GI$4:$GI$171,AY95),"")</f>
        <v/>
      </c>
      <c r="AG95" s="2031" t="str" cm="1">
        <f t="array" ref="AG95">IFERROR(INDEX($GO$4:$GO$171,AY95),"")</f>
        <v/>
      </c>
      <c r="AH95" s="2031" t="str" cm="1">
        <f t="array" ref="AH95">IFERROR(INDEX($GP$4:$GP$171,AY95),"")</f>
        <v/>
      </c>
      <c r="AI95" s="2031" t="str" cm="1">
        <f t="array" ref="AI95">IFERROR(INDEX($GF$4:$GF$171,AY95),"")</f>
        <v/>
      </c>
      <c r="AJ95" s="2031" t="str" cm="1">
        <f t="array" ref="AJ95">IFERROR(INDEX($GG$4:$GG$171,AY95),"")</f>
        <v/>
      </c>
      <c r="AK95" s="2031" t="str" cm="1">
        <f t="array" ref="AK95">IFERROR(INDEX($GS$4:$GS$171,AY95),"")</f>
        <v/>
      </c>
      <c r="AL95" s="2032" t="str" cm="1">
        <f t="array" ref="AL95">IFERROR(INDEX($GT$4:$GT$171,AY95),"")</f>
        <v/>
      </c>
      <c r="AM95" s="2031" t="str" cm="1">
        <f t="array" ref="AM95">IFERROR(INDEX($GB$4:$GB$171,AY95),"")</f>
        <v/>
      </c>
      <c r="AN95" s="2031" t="str" cm="1">
        <f t="array" ref="AN95">IFERROR(INDEX($GC$4:$GC$171,AY95),"")</f>
        <v/>
      </c>
      <c r="AO95" s="2031" t="str" cm="1">
        <f t="array" ref="AO95">IFERROR(INDEX($GU$4:$GU$171,AY95),"")</f>
        <v/>
      </c>
      <c r="AP95" s="2031" t="str" cm="1">
        <f t="array" ref="AP95">IFERROR(INDEX($GX$4:$GX$171,AY95),"")</f>
        <v/>
      </c>
      <c r="AQ95" s="1316"/>
      <c r="AR95" s="2031" t="str" cm="1">
        <f t="array" ref="AR95">IFERROR(INDEX($HD$4:$HD$171,AY95),"")</f>
        <v/>
      </c>
      <c r="AS95" s="2031" t="str" cm="1">
        <f t="array" ref="AS95">IFERROR(INDEX($HE$4:$HE$171,AY95),"")</f>
        <v/>
      </c>
      <c r="AT95" s="2031" t="str" cm="1">
        <f t="array" ref="AT95">IFERROR(INDEX($HF$4:$HF$171,AY95),"")</f>
        <v/>
      </c>
      <c r="AU95" s="2031" t="str" cm="1">
        <f t="array" ref="AU95">IFERROR(INDEX($GJ$4:$GJ$171,AY95),"")</f>
        <v/>
      </c>
      <c r="AV95" s="2031" t="str" cm="1">
        <f t="array" ref="AV95">IFERROR(INDEX($GK$4:$GK$171,AY95),"")</f>
        <v/>
      </c>
      <c r="AY95" s="2042" t="str" cm="1">
        <f t="array" ref="AY95">IFERROR(SMALL(IF($HI$4:$HI$171=1,ROW($HI$4:$HI$171)-3),ROW(W80)),IFERROR(SMALL(IF($HI$4:$HI$171=2,ROW($HI$4:$HI$171)-3),ROW(W80)-COUNTIF($HI$4:$HI$171,1)),IFERROR(SMALL(IF($HI$4:$HI$171=0,ROW($HI$4:$HI$171)-3),ROW(W80)-COUNTIF($HI$4:$HI$171,1)-COUNTIF($HI$4:$HI$171,2)),"")))</f>
        <v/>
      </c>
      <c r="AZ95" s="2042" t="str">
        <f t="shared" si="215"/>
        <v>a</v>
      </c>
      <c r="BA95" s="2053" t="e">
        <f t="shared" si="172"/>
        <v>#VALUE!</v>
      </c>
      <c r="BB95" s="2053" cm="1">
        <f t="array" ref="BB95">IFERROR(INDEX($HI$4:$HI$171,AY95),0)</f>
        <v>0</v>
      </c>
      <c r="BC95" s="2053">
        <f t="shared" si="173"/>
        <v>0</v>
      </c>
      <c r="BD95" s="2053"/>
      <c r="BE95" s="2307"/>
      <c r="BF95" s="2307"/>
      <c r="BG95" s="2307"/>
      <c r="BH95" s="2307"/>
      <c r="BI95" s="2307"/>
      <c r="BJ95" s="2307"/>
      <c r="BK95" s="2307"/>
      <c r="BL95" s="2307"/>
      <c r="BM95" s="2307"/>
      <c r="BN95" s="2307"/>
      <c r="BO95" s="2307"/>
      <c r="BP95" s="2043"/>
      <c r="BQ95" s="2042"/>
      <c r="BR95" s="2042"/>
      <c r="BS95" s="2042"/>
      <c r="BT95" s="2042"/>
      <c r="BU95" s="2044"/>
      <c r="BV95" s="2044"/>
      <c r="BW95" s="2042"/>
      <c r="BX95" s="2042"/>
      <c r="BY95" s="2042"/>
      <c r="BZ95" s="2042"/>
      <c r="CA95" s="2042"/>
      <c r="CB95" s="2042"/>
      <c r="CC95" s="2042"/>
      <c r="CD95" s="2042"/>
      <c r="CE95" s="2042"/>
      <c r="CF95" s="2042"/>
      <c r="CG95" s="2042"/>
      <c r="CH95" s="2042"/>
      <c r="CI95" s="2042"/>
      <c r="CJ95" s="2042"/>
      <c r="CK95" s="2042"/>
      <c r="CL95" s="2042"/>
      <c r="CM95" s="2042"/>
      <c r="CN95" s="2042"/>
      <c r="CO95" s="2042"/>
      <c r="CP95" s="2042"/>
      <c r="CQ95" s="2042"/>
      <c r="CR95" s="2042"/>
      <c r="CS95" s="2042"/>
      <c r="CT95" s="2042"/>
      <c r="CU95" s="2042"/>
      <c r="CV95" s="2042"/>
      <c r="CW95" s="609" t="str">
        <f>Pflanzen!A91</f>
        <v xml:space="preserve">Rindermist, geringe Einstreu </v>
      </c>
      <c r="CX95" s="2042">
        <f>IFERROR(MATCH($CW95,Pflanzen!$C$5:$C$119,0),1)</f>
        <v>83</v>
      </c>
      <c r="CY95" s="609" cm="1">
        <f t="array" ref="CY95">INDEX(Pflanzen!$I$5:$I$119,'Lagerhaltung (freiwillig)'!CX95)</f>
        <v>0</v>
      </c>
      <c r="CZ95" s="2042">
        <f t="shared" si="218"/>
        <v>0</v>
      </c>
      <c r="DA95" s="2042">
        <f t="shared" si="218"/>
        <v>0</v>
      </c>
      <c r="DB95" s="2042">
        <f t="shared" si="218"/>
        <v>0</v>
      </c>
      <c r="DC95" s="2042">
        <f t="shared" si="218"/>
        <v>0</v>
      </c>
      <c r="DD95" s="2042">
        <f t="shared" si="218"/>
        <v>0</v>
      </c>
      <c r="DE95" s="2042">
        <f t="shared" si="218"/>
        <v>0</v>
      </c>
      <c r="DF95" s="2042">
        <f t="shared" si="218"/>
        <v>0</v>
      </c>
      <c r="DG95" s="2042">
        <f t="shared" si="218"/>
        <v>0</v>
      </c>
      <c r="DH95" s="2042">
        <f t="shared" si="218"/>
        <v>0</v>
      </c>
      <c r="DI95" s="2042">
        <f t="shared" si="218"/>
        <v>0</v>
      </c>
      <c r="DJ95" s="2042">
        <f t="shared" si="218"/>
        <v>0</v>
      </c>
      <c r="DK95" s="2042">
        <f t="shared" si="218"/>
        <v>0</v>
      </c>
      <c r="DL95" s="2042"/>
      <c r="DM95" s="2042">
        <f t="shared" si="165"/>
        <v>0</v>
      </c>
      <c r="DN95" s="2042">
        <f t="shared" si="216"/>
        <v>0</v>
      </c>
      <c r="DO95" s="2042">
        <f t="shared" si="216"/>
        <v>0</v>
      </c>
      <c r="DP95" s="2042">
        <f t="shared" si="216"/>
        <v>0</v>
      </c>
      <c r="DQ95" s="2042">
        <f t="shared" si="216"/>
        <v>0</v>
      </c>
      <c r="DR95" s="2042">
        <f t="shared" si="216"/>
        <v>0</v>
      </c>
      <c r="DS95" s="2042">
        <f t="shared" si="216"/>
        <v>0</v>
      </c>
      <c r="DT95" s="2042">
        <f t="shared" si="216"/>
        <v>0</v>
      </c>
      <c r="DU95" s="2042">
        <f t="shared" si="216"/>
        <v>0</v>
      </c>
      <c r="DV95" s="2042">
        <f t="shared" si="216"/>
        <v>0</v>
      </c>
      <c r="DW95" s="2042">
        <f t="shared" si="216"/>
        <v>0</v>
      </c>
      <c r="DX95" s="2042">
        <f t="shared" si="216"/>
        <v>0</v>
      </c>
      <c r="DY95" s="2042"/>
      <c r="DZ95" s="2042">
        <f t="shared" si="219"/>
        <v>0</v>
      </c>
      <c r="EA95" s="2042">
        <f t="shared" si="219"/>
        <v>0</v>
      </c>
      <c r="EB95" s="2042">
        <f t="shared" si="219"/>
        <v>0</v>
      </c>
      <c r="EC95" s="2042">
        <f t="shared" si="219"/>
        <v>0</v>
      </c>
      <c r="ED95" s="2042">
        <f t="shared" si="219"/>
        <v>0</v>
      </c>
      <c r="EE95" s="2042">
        <f t="shared" si="219"/>
        <v>0</v>
      </c>
      <c r="EF95" s="2042">
        <f t="shared" si="219"/>
        <v>0</v>
      </c>
      <c r="EG95" s="2042">
        <f t="shared" si="219"/>
        <v>0</v>
      </c>
      <c r="EH95" s="2042">
        <f t="shared" si="219"/>
        <v>0</v>
      </c>
      <c r="EI95" s="2042">
        <f t="shared" si="219"/>
        <v>0</v>
      </c>
      <c r="EJ95" s="2042">
        <f t="shared" si="219"/>
        <v>0</v>
      </c>
      <c r="EK95" s="2042">
        <f t="shared" si="219"/>
        <v>0</v>
      </c>
      <c r="EL95" s="2042"/>
      <c r="EM95" s="2042">
        <f t="shared" si="167"/>
        <v>0</v>
      </c>
      <c r="EN95" s="2042">
        <f t="shared" si="217"/>
        <v>0</v>
      </c>
      <c r="EO95" s="2042">
        <f t="shared" si="217"/>
        <v>0</v>
      </c>
      <c r="EP95" s="2042">
        <f t="shared" si="217"/>
        <v>0</v>
      </c>
      <c r="EQ95" s="2042">
        <f t="shared" si="217"/>
        <v>0</v>
      </c>
      <c r="ER95" s="2042">
        <f t="shared" si="217"/>
        <v>0</v>
      </c>
      <c r="ES95" s="2042">
        <f t="shared" si="217"/>
        <v>0</v>
      </c>
      <c r="ET95" s="2042">
        <f t="shared" si="217"/>
        <v>0</v>
      </c>
      <c r="EU95" s="2042">
        <f t="shared" si="217"/>
        <v>0</v>
      </c>
      <c r="EV95" s="2042">
        <f t="shared" si="217"/>
        <v>0</v>
      </c>
      <c r="EW95" s="2042">
        <f t="shared" si="217"/>
        <v>0</v>
      </c>
      <c r="EX95" s="2042">
        <f t="shared" si="217"/>
        <v>0</v>
      </c>
      <c r="EY95" s="2042"/>
      <c r="EZ95" s="2045">
        <f t="shared" si="195"/>
        <v>0</v>
      </c>
      <c r="FA95" s="2042">
        <f>EZ95+CZ95+DZ95                 -         SUMIF('Berechnung Nährstoffe und Lager'!$AX$113:$AX$155,$CX95,'Berechnung Nährstoffe und Lager'!$U$113:$U$155)/12  -$GB95*$HC95/12</f>
        <v>0</v>
      </c>
      <c r="FB95" s="2042">
        <f>FA95+DA95+EA95                 -         SUMIF('Berechnung Nährstoffe und Lager'!$AX$113:$AX$155,$CX95,'Berechnung Nährstoffe und Lager'!$U$113:$U$155)/12  -$GB95*$HC95/12</f>
        <v>0</v>
      </c>
      <c r="FC95" s="2042">
        <f>FB95+DB95+EB95                 -         SUMIF('Berechnung Nährstoffe und Lager'!$AX$113:$AX$155,$CX95,'Berechnung Nährstoffe und Lager'!$U$113:$U$155)/12  -$GB95*$HC95/12</f>
        <v>0</v>
      </c>
      <c r="FD95" s="2042">
        <f>FC95+DC95+EC95                 -         SUMIF('Berechnung Nährstoffe und Lager'!$AX$113:$AX$155,$CX95,'Berechnung Nährstoffe und Lager'!$U$113:$U$155)/12  -$GB95*$HC95/12</f>
        <v>0</v>
      </c>
      <c r="FE95" s="2042">
        <f>FD95+DD95+ED95                 -         SUMIF('Berechnung Nährstoffe und Lager'!$AX$113:$AX$155,$CX95,'Berechnung Nährstoffe und Lager'!$U$113:$U$155)/12  -$GB95*$HC95/12</f>
        <v>0</v>
      </c>
      <c r="FF95" s="2042">
        <f>FE95+DE95+EE95                 -         SUMIF('Berechnung Nährstoffe und Lager'!$AX$113:$AX$155,$CX95,'Berechnung Nährstoffe und Lager'!$U$113:$U$155)/12  -$GB95*$HC95/12</f>
        <v>0</v>
      </c>
      <c r="FG95" s="2042">
        <f>FF95+DF95+EF95                 -         SUMIF('Berechnung Nährstoffe und Lager'!$AX$113:$AX$155,$CX95,'Berechnung Nährstoffe und Lager'!$U$113:$U$155)/12  -$GB95*$HC95/12</f>
        <v>0</v>
      </c>
      <c r="FH95" s="2042">
        <f>FG95+DG95+EG95                 -         SUMIF('Berechnung Nährstoffe und Lager'!$AX$113:$AX$155,$CX95,'Berechnung Nährstoffe und Lager'!$U$113:$U$155)/12  -$GB95*$HC95/12</f>
        <v>0</v>
      </c>
      <c r="FI95" s="2042">
        <f>FH95+DH95+EH95                 -         SUMIF('Berechnung Nährstoffe und Lager'!$AX$113:$AX$155,$CX95,'Berechnung Nährstoffe und Lager'!$U$113:$U$155)/12  -$GB95*$HC95/12</f>
        <v>0</v>
      </c>
      <c r="FJ95" s="2042">
        <f>FI95+DI95+EI95                 -         SUMIF('Berechnung Nährstoffe und Lager'!$AX$113:$AX$155,$CX95,'Berechnung Nährstoffe und Lager'!$U$113:$U$155)/12  -$GB95*$HC95/12</f>
        <v>0</v>
      </c>
      <c r="FK95" s="2042">
        <f>FJ95+DJ95+EJ95                 -         SUMIF('Berechnung Nährstoffe und Lager'!$AX$113:$AX$155,$CX95,'Berechnung Nährstoffe und Lager'!$U$113:$U$155)/12  -$GB95*$HC95/12</f>
        <v>0</v>
      </c>
      <c r="FL95" s="2042">
        <f>FK95+DK95+EK95                 -         SUMIF('Berechnung Nährstoffe und Lager'!$AX$113:$AX$155,$CX95,'Berechnung Nährstoffe und Lager'!$U$113:$U$155)/12  -$GB95*$HC95/12</f>
        <v>0</v>
      </c>
      <c r="FM95" s="2042"/>
      <c r="FN95" s="2045">
        <f t="shared" si="196"/>
        <v>0</v>
      </c>
      <c r="FO95" s="2042">
        <f>FN95+DM95+EM95                 -         SUMIF('Berechnung Nährstoffe und Lager'!$AX$113:$AX$155,$CX95,'Berechnung Nährstoffe und Lager'!$V$113:$V$155)/12  -$GC95*$HC95/12</f>
        <v>0</v>
      </c>
      <c r="FP95" s="2042">
        <f>FO95+DN95+EN95                 -         SUMIF('Berechnung Nährstoffe und Lager'!$AX$113:$AX$155,$CX95,'Berechnung Nährstoffe und Lager'!$V$113:$V$155)/12  -$GC95*$HC95/12</f>
        <v>0</v>
      </c>
      <c r="FQ95" s="2042">
        <f>FP95+DO95+EO95                 -         SUMIF('Berechnung Nährstoffe und Lager'!$AX$113:$AX$155,$CX95,'Berechnung Nährstoffe und Lager'!$V$113:$V$155)/12  -$GC95*$HC95/12</f>
        <v>0</v>
      </c>
      <c r="FR95" s="2042">
        <f>FQ95+DP95+EP95                 -         SUMIF('Berechnung Nährstoffe und Lager'!$AX$113:$AX$155,$CX95,'Berechnung Nährstoffe und Lager'!$V$113:$V$155)/12  -$GC95*$HC95/12</f>
        <v>0</v>
      </c>
      <c r="FS95" s="2042">
        <f>FR95+DQ95+EQ95                 -         SUMIF('Berechnung Nährstoffe und Lager'!$AX$113:$AX$155,$CX95,'Berechnung Nährstoffe und Lager'!$V$113:$V$155)/12  -$GC95*$HC95/12</f>
        <v>0</v>
      </c>
      <c r="FT95" s="2042">
        <f>FS95+DR95+ER95                 -         SUMIF('Berechnung Nährstoffe und Lager'!$AX$113:$AX$155,$CX95,'Berechnung Nährstoffe und Lager'!$V$113:$V$155)/12  -$GC95*$HC95/12</f>
        <v>0</v>
      </c>
      <c r="FU95" s="2042">
        <f>FT95+DS95+ES95                 -         SUMIF('Berechnung Nährstoffe und Lager'!$AX$113:$AX$155,$CX95,'Berechnung Nährstoffe und Lager'!$V$113:$V$155)/12  -$GC95*$HC95/12</f>
        <v>0</v>
      </c>
      <c r="FV95" s="2042">
        <f>FU95+DT95+ET95                 -         SUMIF('Berechnung Nährstoffe und Lager'!$AX$113:$AX$155,$CX95,'Berechnung Nährstoffe und Lager'!$V$113:$V$155)/12  -$GC95*$HC95/12</f>
        <v>0</v>
      </c>
      <c r="FW95" s="2042">
        <f>FV95+DU95+EU95                 -         SUMIF('Berechnung Nährstoffe und Lager'!$AX$113:$AX$155,$CX95,'Berechnung Nährstoffe und Lager'!$V$113:$V$155)/12  -$GC95*$HC95/12</f>
        <v>0</v>
      </c>
      <c r="FX95" s="2042">
        <f>FW95+DV95+EV95                 -         SUMIF('Berechnung Nährstoffe und Lager'!$AX$113:$AX$155,$CX95,'Berechnung Nährstoffe und Lager'!$V$113:$V$155)/12  -$GC95*$HC95/12</f>
        <v>0</v>
      </c>
      <c r="FY95" s="2042">
        <f>FX95+DW95+EW95                 -         SUMIF('Berechnung Nährstoffe und Lager'!$AX$113:$AX$155,$CX95,'Berechnung Nährstoffe und Lager'!$V$113:$V$155)/12  -$GC95*$HC95/12</f>
        <v>0</v>
      </c>
      <c r="FZ95" s="2042">
        <f>FY95+DX95+EX95                 -         SUMIF('Berechnung Nährstoffe und Lager'!$AX$113:$AX$155,$CX95,'Berechnung Nährstoffe und Lager'!$V$113:$V$155)/12  -$GC95*$HC95/12</f>
        <v>0</v>
      </c>
      <c r="GA95" s="2042"/>
      <c r="GB95" s="2042">
        <f>SUMIFS($CI$14:$CI$68,$BR$14:$BR$68,$CX95)+SUMIFS($CM$14:$CM$68,$BR$14:$BR$68,$CX95)+SUMIFS($CR$14:$CR$68,$BR$14:$BR$68,$CX95)  -         SUMIF('Berechnung Nährstoffe und Lager'!$AX$113:$AX$155,$CX95,'Berechnung Nährstoffe und Lager'!$U$113:$U$155)</f>
        <v>0</v>
      </c>
      <c r="GC95" s="2042">
        <f>SUMIFS($CJ$14:$CJ$68,$BR$14:$BR$68,$CX95)+SUMIFS($CO$14:$CO$68,$BR$14:$BR$68,$CX95)+SUMIFS($CT$14:$CT$68,$BR$14:$BR$68,$CX95)  -         SUMIF('Berechnung Nährstoffe und Lager'!$AX$113:$AX$155,$CX95,'Berechnung Nährstoffe und Lager'!$V$113:$V$155)</f>
        <v>0</v>
      </c>
      <c r="GD95" s="2042"/>
      <c r="GE95" s="2042"/>
      <c r="GF95" s="2042">
        <f>SUMIF('Berechnung Nährstoffe und Lager'!$AX$113:$AX$155,$CX95,'Berechnung Nährstoffe und Lager'!$U$113:$U$155)</f>
        <v>0</v>
      </c>
      <c r="GG95" s="2042">
        <f>SUMIF('Berechnung Nährstoffe und Lager'!$AX$113:$AX$155,$CX95,'Berechnung Nährstoffe und Lager'!$V$113:$V$155)</f>
        <v>0</v>
      </c>
      <c r="GH95" s="2042">
        <f t="shared" si="197"/>
        <v>0</v>
      </c>
      <c r="GI95" s="2042">
        <f t="shared" si="198"/>
        <v>0</v>
      </c>
      <c r="GJ95" s="2042">
        <f t="shared" si="180"/>
        <v>0</v>
      </c>
      <c r="GK95" s="2042">
        <f t="shared" si="181"/>
        <v>0</v>
      </c>
      <c r="GL95" s="2042">
        <f t="shared" si="182"/>
        <v>0</v>
      </c>
      <c r="GM95" s="2042" cm="1">
        <f t="array" ref="GM95">IF(GL95=0,0,(IFERROR(SUMPRODUCT($J$14:$J$68,$CH$14:$CH$68,($BR$14:$BR$68=CX95)*1)+SUMPRODUCT($L$14:$L$68,$M$14:$M$68,$CK$14:$CK$68,($BR$14:$BR$68=CX95)*1,($BT$14:$BT$68=FALSE)*1)/10+SUMPRODUCT($R$14:$R$68,$CP$14:$CP$68,($BR$14:$BR$68=CX95)*1),0))/GL95)</f>
        <v>0</v>
      </c>
      <c r="GN95" s="2042">
        <f t="shared" si="199"/>
        <v>0</v>
      </c>
      <c r="GO95" s="2042">
        <f>(SUMIF('Berechnung Nährstoffe und Lager'!$AX$113:$AX$130,'Lagerhaltung (freiwillig)'!CX95,'Berechnung Nährstoffe und Lager'!$D$113:$D$130)+SUMIF('Berechnung Nährstoffe und Lager'!$AX$137:$AX$155,'Lagerhaltung (freiwillig)'!CX95,'Berechnung Nährstoffe und Lager'!$E$137:$E$155))</f>
        <v>0</v>
      </c>
      <c r="GP95" s="2042" cm="1">
        <f t="array" ref="GP95">IF(GO95=0,0,(IFERROR(SUMPRODUCT('Berechnung Nährstoffe und Lager'!$D$113:$D$130,'Berechnung Nährstoffe und Lager'!$F$113:$F$130,('Berechnung Nährstoffe und Lager'!$AX$113:$AX$130='Lagerhaltung (freiwillig)'!CX95)*1)+SUMPRODUCT('Berechnung Nährstoffe und Lager'!$E$137:$E$155,'Berechnung Nährstoffe und Lager'!$F$137:$F$155,('Berechnung Nährstoffe und Lager'!$AX$137:$AX$155='Lagerhaltung (freiwillig)'!CX95)*1),0))/GO95)</f>
        <v>0</v>
      </c>
      <c r="GQ95" s="2042">
        <f t="shared" si="200"/>
        <v>0</v>
      </c>
      <c r="GR95" s="2042">
        <f t="shared" si="201"/>
        <v>0</v>
      </c>
      <c r="GS95" s="2042">
        <f t="shared" si="202"/>
        <v>0</v>
      </c>
      <c r="GT95" s="2042">
        <f t="shared" si="203"/>
        <v>0</v>
      </c>
      <c r="GU95" s="2045" t="str">
        <f t="shared" si="175"/>
        <v xml:space="preserve"> </v>
      </c>
      <c r="GV95" s="2045" t="str">
        <f t="shared" si="175"/>
        <v xml:space="preserve"> </v>
      </c>
      <c r="GW95" s="2054">
        <f t="shared" si="183"/>
        <v>0</v>
      </c>
      <c r="GX95" s="2042">
        <f t="shared" si="184"/>
        <v>0</v>
      </c>
      <c r="GY95" s="2042" t="str">
        <f t="shared" si="174"/>
        <v>a</v>
      </c>
      <c r="GZ95" s="2055">
        <f t="shared" si="185"/>
        <v>0</v>
      </c>
      <c r="HA95" s="2055">
        <f t="shared" si="186"/>
        <v>0</v>
      </c>
      <c r="HB95" s="2055"/>
      <c r="HC95" s="2046">
        <f t="shared" si="187"/>
        <v>0</v>
      </c>
      <c r="HD95" s="2055">
        <f t="shared" si="188"/>
        <v>0</v>
      </c>
      <c r="HE95" s="2055">
        <f t="shared" si="189"/>
        <v>0</v>
      </c>
      <c r="HF95" s="2055">
        <f t="shared" si="190"/>
        <v>0</v>
      </c>
      <c r="HG95" s="2282" cm="1">
        <f t="array" ref="HG95">IF(AND(HE95=0,GJ95=0),0,IF(HE95=0,1,IF(OR(GJ95*1000/HE95/HF95&gt;INDEX(Pflanzen!$AD$5:$AD$109,CX95)/INDEX(Pflanzen!$M$5:$M$109,CX95)*$HG$2,GJ95*1000/HE95/HF95&lt;INDEX(Pflanzen!$AD$5:$AD$109,CX95)/INDEX(Pflanzen!$M$5:$M$109,CX95)/$HG$2),1,0)))</f>
        <v>0</v>
      </c>
      <c r="HH95" s="2282" cm="1">
        <f t="array" ref="HH95">IF(AND(GK95=0,HE95=0),0,IF(HE95=0,1,IF(OR(GK95*1000/HE95/HF95&gt;INDEX(Pflanzen!$AE$5:$AE$109,CX95)/INDEX(Pflanzen!$M$5:$M$109,CX95)*$HG$2,GK95*1000/HE95/HF95&lt;INDEX(Pflanzen!$AE$5:$AE$109,CX95)/INDEX(Pflanzen!$M$5:$M$109,CX95)/$HG$2),1,0)))</f>
        <v>0</v>
      </c>
      <c r="HI95" s="2042">
        <f t="shared" si="191"/>
        <v>3</v>
      </c>
      <c r="HJ95" s="2042"/>
      <c r="HL95" s="2042"/>
      <c r="HM95" s="2042"/>
      <c r="HN95" s="2042"/>
      <c r="HO95" s="2042"/>
      <c r="HP95" s="2042"/>
      <c r="HQ95" s="2042"/>
      <c r="HR95" s="2042"/>
      <c r="HS95" s="2042"/>
      <c r="HT95" s="2042"/>
      <c r="HU95" s="2042"/>
      <c r="HV95" s="2042"/>
      <c r="HW95" s="2042"/>
      <c r="HX95" s="2042"/>
      <c r="HY95" s="2042"/>
      <c r="HZ95" s="2042"/>
      <c r="IA95" s="2042"/>
      <c r="IB95" s="2042"/>
      <c r="IC95" s="2042"/>
      <c r="ID95" s="2042"/>
      <c r="IE95" s="2042"/>
      <c r="IF95" s="2042"/>
      <c r="IG95" s="2042"/>
      <c r="IH95" s="2042"/>
      <c r="II95" s="2042"/>
      <c r="IJ95" s="2042"/>
    </row>
    <row r="96" spans="1:244" ht="12" customHeight="1" x14ac:dyDescent="0.2">
      <c r="A96" s="2984"/>
      <c r="B96" s="2985"/>
      <c r="C96" s="2985"/>
      <c r="D96" s="2985"/>
      <c r="E96" s="2986"/>
      <c r="F96" s="3081"/>
      <c r="G96" s="3082"/>
      <c r="H96" s="3082"/>
      <c r="I96" s="3082"/>
      <c r="J96" s="3082"/>
      <c r="K96" s="3083"/>
      <c r="L96" s="3081" t="s">
        <v>8430</v>
      </c>
      <c r="M96" s="3083"/>
      <c r="N96" s="3081"/>
      <c r="O96" s="3082"/>
      <c r="P96" s="3082"/>
      <c r="Q96" s="3083"/>
      <c r="R96" s="1118"/>
      <c r="S96" s="510"/>
      <c r="T96" s="510"/>
      <c r="U96" s="510"/>
      <c r="V96" s="510"/>
      <c r="Y96" s="2005" t="str" cm="1">
        <f t="array" ref="Y96">IFERROR(INDEX($CW$4:$CW$171,AY96),"")</f>
        <v/>
      </c>
      <c r="Z96" s="510"/>
      <c r="AA96" s="510"/>
      <c r="AB96" s="510"/>
      <c r="AC96" s="2031" t="str" cm="1">
        <f t="array" ref="AC96">IFERROR(INDEX($GL$4:$GL$171,AY96),"")</f>
        <v/>
      </c>
      <c r="AD96" s="2031" t="str" cm="1">
        <f t="array" ref="AD96">IFERROR(INDEX($GM$4:$GM$171,AY96),"")</f>
        <v/>
      </c>
      <c r="AE96" s="2031" t="str" cm="1">
        <f t="array" ref="AE96">IFERROR(INDEX($GH$4:$GH$171,AY96),"")</f>
        <v/>
      </c>
      <c r="AF96" s="2031" t="str" cm="1">
        <f t="array" ref="AF96">IFERROR(INDEX($GI$4:$GI$171,AY96),"")</f>
        <v/>
      </c>
      <c r="AG96" s="2031" t="str" cm="1">
        <f t="array" ref="AG96">IFERROR(INDEX($GO$4:$GO$171,AY96),"")</f>
        <v/>
      </c>
      <c r="AH96" s="2031" t="str" cm="1">
        <f t="array" ref="AH96">IFERROR(INDEX($GP$4:$GP$171,AY96),"")</f>
        <v/>
      </c>
      <c r="AI96" s="2031" t="str" cm="1">
        <f t="array" ref="AI96">IFERROR(INDEX($GF$4:$GF$171,AY96),"")</f>
        <v/>
      </c>
      <c r="AJ96" s="2031" t="str" cm="1">
        <f t="array" ref="AJ96">IFERROR(INDEX($GG$4:$GG$171,AY96),"")</f>
        <v/>
      </c>
      <c r="AK96" s="2031" t="str" cm="1">
        <f t="array" ref="AK96">IFERROR(INDEX($GS$4:$GS$171,AY96),"")</f>
        <v/>
      </c>
      <c r="AL96" s="2032" t="str" cm="1">
        <f t="array" ref="AL96">IFERROR(INDEX($GT$4:$GT$171,AY96),"")</f>
        <v/>
      </c>
      <c r="AM96" s="2031" t="str" cm="1">
        <f t="array" ref="AM96">IFERROR(INDEX($GB$4:$GB$171,AY96),"")</f>
        <v/>
      </c>
      <c r="AN96" s="2031" t="str" cm="1">
        <f t="array" ref="AN96">IFERROR(INDEX($GC$4:$GC$171,AY96),"")</f>
        <v/>
      </c>
      <c r="AO96" s="2031" t="str" cm="1">
        <f t="array" ref="AO96">IFERROR(INDEX($GU$4:$GU$171,AY96),"")</f>
        <v/>
      </c>
      <c r="AP96" s="2031" t="str" cm="1">
        <f t="array" ref="AP96">IFERROR(INDEX($GX$4:$GX$171,AY96),"")</f>
        <v/>
      </c>
      <c r="AQ96" s="1316"/>
      <c r="AR96" s="2031" t="str" cm="1">
        <f t="array" ref="AR96">IFERROR(INDEX($HD$4:$HD$171,AY96),"")</f>
        <v/>
      </c>
      <c r="AS96" s="2031" t="str" cm="1">
        <f t="array" ref="AS96">IFERROR(INDEX($HE$4:$HE$171,AY96),"")</f>
        <v/>
      </c>
      <c r="AT96" s="2031" t="str" cm="1">
        <f t="array" ref="AT96">IFERROR(INDEX($HF$4:$HF$171,AY96),"")</f>
        <v/>
      </c>
      <c r="AU96" s="2031" t="str" cm="1">
        <f t="array" ref="AU96">IFERROR(INDEX($GJ$4:$GJ$171,AY96),"")</f>
        <v/>
      </c>
      <c r="AV96" s="2031" t="str" cm="1">
        <f t="array" ref="AV96">IFERROR(INDEX($GK$4:$GK$171,AY96),"")</f>
        <v/>
      </c>
      <c r="AY96" s="2042" t="str" cm="1">
        <f t="array" ref="AY96">IFERROR(SMALL(IF($HI$4:$HI$171=1,ROW($HI$4:$HI$171)-3),ROW(W81)),IFERROR(SMALL(IF($HI$4:$HI$171=2,ROW($HI$4:$HI$171)-3),ROW(W81)-COUNTIF($HI$4:$HI$171,1)),IFERROR(SMALL(IF($HI$4:$HI$171=0,ROW($HI$4:$HI$171)-3),ROW(W81)-COUNTIF($HI$4:$HI$171,1)-COUNTIF($HI$4:$HI$171,2)),"")))</f>
        <v/>
      </c>
      <c r="AZ96" s="2042" t="str">
        <f t="shared" si="215"/>
        <v>a</v>
      </c>
      <c r="BA96" s="2053" t="e">
        <f t="shared" si="172"/>
        <v>#VALUE!</v>
      </c>
      <c r="BB96" s="2053" cm="1">
        <f t="array" ref="BB96">IFERROR(INDEX($HI$4:$HI$171,AY96),0)</f>
        <v>0</v>
      </c>
      <c r="BC96" s="2053">
        <f t="shared" si="173"/>
        <v>0</v>
      </c>
      <c r="BD96" s="2053"/>
      <c r="BE96" s="2307"/>
      <c r="BF96" s="2307"/>
      <c r="BG96" s="2307"/>
      <c r="BH96" s="2307"/>
      <c r="BI96" s="2307"/>
      <c r="BJ96" s="2307"/>
      <c r="BK96" s="2307"/>
      <c r="BL96" s="2307"/>
      <c r="BM96" s="2307"/>
      <c r="BN96" s="2307"/>
      <c r="BO96" s="2307"/>
      <c r="BP96" s="2043"/>
      <c r="BQ96" s="2042"/>
      <c r="BR96" s="2042"/>
      <c r="BS96" s="2042"/>
      <c r="BT96" s="2042"/>
      <c r="BU96" s="2059"/>
      <c r="BV96" s="2059"/>
      <c r="BW96" s="2042"/>
      <c r="BX96" s="2042"/>
      <c r="BY96" s="2042"/>
      <c r="BZ96" s="2042"/>
      <c r="CA96" s="2042"/>
      <c r="CB96" s="2042"/>
      <c r="CC96" s="2042"/>
      <c r="CD96" s="2042"/>
      <c r="CE96" s="2042"/>
      <c r="CF96" s="2042"/>
      <c r="CG96" s="2042"/>
      <c r="CH96" s="2042"/>
      <c r="CI96" s="2042"/>
      <c r="CJ96" s="2042"/>
      <c r="CK96" s="2042"/>
      <c r="CL96" s="2042"/>
      <c r="CM96" s="2042"/>
      <c r="CN96" s="2042"/>
      <c r="CO96" s="2042"/>
      <c r="CP96" s="2042"/>
      <c r="CQ96" s="2042"/>
      <c r="CR96" s="2042"/>
      <c r="CS96" s="2042"/>
      <c r="CT96" s="2042"/>
      <c r="CU96" s="2042"/>
      <c r="CV96" s="2042"/>
      <c r="CW96" s="609" t="str">
        <f>Pflanzen!A92</f>
        <v xml:space="preserve">Rindermist, hohe Einstreu </v>
      </c>
      <c r="CX96" s="2042">
        <f>IFERROR(MATCH($CW96,Pflanzen!$C$5:$C$119,0),1)</f>
        <v>84</v>
      </c>
      <c r="CY96" s="609" cm="1">
        <f t="array" ref="CY96">INDEX(Pflanzen!$I$5:$I$119,'Lagerhaltung (freiwillig)'!CX96)</f>
        <v>0</v>
      </c>
      <c r="CZ96" s="2042">
        <f t="shared" si="218"/>
        <v>0</v>
      </c>
      <c r="DA96" s="2042">
        <f t="shared" si="218"/>
        <v>0</v>
      </c>
      <c r="DB96" s="2042">
        <f t="shared" si="218"/>
        <v>0</v>
      </c>
      <c r="DC96" s="2042">
        <f t="shared" si="218"/>
        <v>0</v>
      </c>
      <c r="DD96" s="2042">
        <f t="shared" si="218"/>
        <v>0</v>
      </c>
      <c r="DE96" s="2042">
        <f t="shared" si="218"/>
        <v>0</v>
      </c>
      <c r="DF96" s="2042">
        <f t="shared" si="218"/>
        <v>0</v>
      </c>
      <c r="DG96" s="2042">
        <f t="shared" si="218"/>
        <v>0</v>
      </c>
      <c r="DH96" s="2042">
        <f t="shared" si="218"/>
        <v>0</v>
      </c>
      <c r="DI96" s="2042">
        <f t="shared" si="218"/>
        <v>0</v>
      </c>
      <c r="DJ96" s="2042">
        <f t="shared" si="218"/>
        <v>0</v>
      </c>
      <c r="DK96" s="2042">
        <f t="shared" si="218"/>
        <v>0</v>
      </c>
      <c r="DL96" s="2042"/>
      <c r="DM96" s="2042">
        <f t="shared" si="165"/>
        <v>0</v>
      </c>
      <c r="DN96" s="2042">
        <f t="shared" ref="DN96:DX105" si="220">SUMIFS($CS$14:$CS$68,$BW$14:$BW$68,1,$BX$14:$BX$68,DN$2,$BR$14:$BR$68,$CX96)+    SUMIFS($CS$14:$CS$68,$BW$14:$BW$68,"&gt;1",$BX$14:$BX$68,"&lt;="&amp;DN$2,$BY$14:$BY$68,"&gt;="&amp;DN$2,$BR$14:$BR$68,$CX96)</f>
        <v>0</v>
      </c>
      <c r="DO96" s="2042">
        <f t="shared" si="220"/>
        <v>0</v>
      </c>
      <c r="DP96" s="2042">
        <f t="shared" si="220"/>
        <v>0</v>
      </c>
      <c r="DQ96" s="2042">
        <f t="shared" si="220"/>
        <v>0</v>
      </c>
      <c r="DR96" s="2042">
        <f t="shared" si="220"/>
        <v>0</v>
      </c>
      <c r="DS96" s="2042">
        <f t="shared" si="220"/>
        <v>0</v>
      </c>
      <c r="DT96" s="2042">
        <f t="shared" si="220"/>
        <v>0</v>
      </c>
      <c r="DU96" s="2042">
        <f t="shared" si="220"/>
        <v>0</v>
      </c>
      <c r="DV96" s="2042">
        <f t="shared" si="220"/>
        <v>0</v>
      </c>
      <c r="DW96" s="2042">
        <f t="shared" si="220"/>
        <v>0</v>
      </c>
      <c r="DX96" s="2042">
        <f t="shared" si="220"/>
        <v>0</v>
      </c>
      <c r="DY96" s="2042"/>
      <c r="DZ96" s="2042">
        <f t="shared" si="219"/>
        <v>0</v>
      </c>
      <c r="EA96" s="2042">
        <f t="shared" si="219"/>
        <v>0</v>
      </c>
      <c r="EB96" s="2042">
        <f t="shared" si="219"/>
        <v>0</v>
      </c>
      <c r="EC96" s="2042">
        <f t="shared" si="219"/>
        <v>0</v>
      </c>
      <c r="ED96" s="2042">
        <f t="shared" si="219"/>
        <v>0</v>
      </c>
      <c r="EE96" s="2042">
        <f t="shared" si="219"/>
        <v>0</v>
      </c>
      <c r="EF96" s="2042">
        <f t="shared" si="219"/>
        <v>0</v>
      </c>
      <c r="EG96" s="2042">
        <f t="shared" si="219"/>
        <v>0</v>
      </c>
      <c r="EH96" s="2042">
        <f t="shared" si="219"/>
        <v>0</v>
      </c>
      <c r="EI96" s="2042">
        <f t="shared" si="219"/>
        <v>0</v>
      </c>
      <c r="EJ96" s="2042">
        <f t="shared" si="219"/>
        <v>0</v>
      </c>
      <c r="EK96" s="2042">
        <f t="shared" si="219"/>
        <v>0</v>
      </c>
      <c r="EL96" s="2042"/>
      <c r="EM96" s="2042">
        <f t="shared" si="167"/>
        <v>0</v>
      </c>
      <c r="EN96" s="2042">
        <f t="shared" ref="EN96:EX105" si="221">SUMIFS($CN$14:$CN$68,$CC$14:$CC$68,1,$CD$14:$CD$68,EN$2,$BR$14:$BR$68,$CX96)+         SUMIFS($CN$14:$CN$68,$CC$14:$CC$68,"&gt;1",$CD$14:$CD$68,"&lt;="&amp;EN$2,$CE$14:$CE$68,"&gt;="&amp;EN$2,$BR$14:$BR$68,$CX96)</f>
        <v>0</v>
      </c>
      <c r="EO96" s="2042">
        <f t="shared" si="221"/>
        <v>0</v>
      </c>
      <c r="EP96" s="2042">
        <f t="shared" si="221"/>
        <v>0</v>
      </c>
      <c r="EQ96" s="2042">
        <f t="shared" si="221"/>
        <v>0</v>
      </c>
      <c r="ER96" s="2042">
        <f t="shared" si="221"/>
        <v>0</v>
      </c>
      <c r="ES96" s="2042">
        <f t="shared" si="221"/>
        <v>0</v>
      </c>
      <c r="ET96" s="2042">
        <f t="shared" si="221"/>
        <v>0</v>
      </c>
      <c r="EU96" s="2042">
        <f t="shared" si="221"/>
        <v>0</v>
      </c>
      <c r="EV96" s="2042">
        <f t="shared" si="221"/>
        <v>0</v>
      </c>
      <c r="EW96" s="2042">
        <f t="shared" si="221"/>
        <v>0</v>
      </c>
      <c r="EX96" s="2042">
        <f t="shared" si="221"/>
        <v>0</v>
      </c>
      <c r="EY96" s="2042"/>
      <c r="EZ96" s="2045">
        <f t="shared" si="195"/>
        <v>0</v>
      </c>
      <c r="FA96" s="2042">
        <f>EZ96+CZ96+DZ96                 -         SUMIF('Berechnung Nährstoffe und Lager'!$AX$113:$AX$155,$CX96,'Berechnung Nährstoffe und Lager'!$U$113:$U$155)/12  -$GB96*$HC96/12</f>
        <v>0</v>
      </c>
      <c r="FB96" s="2042">
        <f>FA96+DA96+EA96                 -         SUMIF('Berechnung Nährstoffe und Lager'!$AX$113:$AX$155,$CX96,'Berechnung Nährstoffe und Lager'!$U$113:$U$155)/12  -$GB96*$HC96/12</f>
        <v>0</v>
      </c>
      <c r="FC96" s="2042">
        <f>FB96+DB96+EB96                 -         SUMIF('Berechnung Nährstoffe und Lager'!$AX$113:$AX$155,$CX96,'Berechnung Nährstoffe und Lager'!$U$113:$U$155)/12  -$GB96*$HC96/12</f>
        <v>0</v>
      </c>
      <c r="FD96" s="2042">
        <f>FC96+DC96+EC96                 -         SUMIF('Berechnung Nährstoffe und Lager'!$AX$113:$AX$155,$CX96,'Berechnung Nährstoffe und Lager'!$U$113:$U$155)/12  -$GB96*$HC96/12</f>
        <v>0</v>
      </c>
      <c r="FE96" s="2042">
        <f>FD96+DD96+ED96                 -         SUMIF('Berechnung Nährstoffe und Lager'!$AX$113:$AX$155,$CX96,'Berechnung Nährstoffe und Lager'!$U$113:$U$155)/12  -$GB96*$HC96/12</f>
        <v>0</v>
      </c>
      <c r="FF96" s="2042">
        <f>FE96+DE96+EE96                 -         SUMIF('Berechnung Nährstoffe und Lager'!$AX$113:$AX$155,$CX96,'Berechnung Nährstoffe und Lager'!$U$113:$U$155)/12  -$GB96*$HC96/12</f>
        <v>0</v>
      </c>
      <c r="FG96" s="2042">
        <f>FF96+DF96+EF96                 -         SUMIF('Berechnung Nährstoffe und Lager'!$AX$113:$AX$155,$CX96,'Berechnung Nährstoffe und Lager'!$U$113:$U$155)/12  -$GB96*$HC96/12</f>
        <v>0</v>
      </c>
      <c r="FH96" s="2042">
        <f>FG96+DG96+EG96                 -         SUMIF('Berechnung Nährstoffe und Lager'!$AX$113:$AX$155,$CX96,'Berechnung Nährstoffe und Lager'!$U$113:$U$155)/12  -$GB96*$HC96/12</f>
        <v>0</v>
      </c>
      <c r="FI96" s="2042">
        <f>FH96+DH96+EH96                 -         SUMIF('Berechnung Nährstoffe und Lager'!$AX$113:$AX$155,$CX96,'Berechnung Nährstoffe und Lager'!$U$113:$U$155)/12  -$GB96*$HC96/12</f>
        <v>0</v>
      </c>
      <c r="FJ96" s="2042">
        <f>FI96+DI96+EI96                 -         SUMIF('Berechnung Nährstoffe und Lager'!$AX$113:$AX$155,$CX96,'Berechnung Nährstoffe und Lager'!$U$113:$U$155)/12  -$GB96*$HC96/12</f>
        <v>0</v>
      </c>
      <c r="FK96" s="2042">
        <f>FJ96+DJ96+EJ96                 -         SUMIF('Berechnung Nährstoffe und Lager'!$AX$113:$AX$155,$CX96,'Berechnung Nährstoffe und Lager'!$U$113:$U$155)/12  -$GB96*$HC96/12</f>
        <v>0</v>
      </c>
      <c r="FL96" s="2042">
        <f>FK96+DK96+EK96                 -         SUMIF('Berechnung Nährstoffe und Lager'!$AX$113:$AX$155,$CX96,'Berechnung Nährstoffe und Lager'!$U$113:$U$155)/12  -$GB96*$HC96/12</f>
        <v>0</v>
      </c>
      <c r="FM96" s="2042"/>
      <c r="FN96" s="2045">
        <f t="shared" si="196"/>
        <v>0</v>
      </c>
      <c r="FO96" s="2042">
        <f>FN96+DM96+EM96                 -         SUMIF('Berechnung Nährstoffe und Lager'!$AX$113:$AX$155,$CX96,'Berechnung Nährstoffe und Lager'!$V$113:$V$155)/12  -$GC96*$HC96/12</f>
        <v>0</v>
      </c>
      <c r="FP96" s="2042">
        <f>FO96+DN96+EN96                 -         SUMIF('Berechnung Nährstoffe und Lager'!$AX$113:$AX$155,$CX96,'Berechnung Nährstoffe und Lager'!$V$113:$V$155)/12  -$GC96*$HC96/12</f>
        <v>0</v>
      </c>
      <c r="FQ96" s="2042">
        <f>FP96+DO96+EO96                 -         SUMIF('Berechnung Nährstoffe und Lager'!$AX$113:$AX$155,$CX96,'Berechnung Nährstoffe und Lager'!$V$113:$V$155)/12  -$GC96*$HC96/12</f>
        <v>0</v>
      </c>
      <c r="FR96" s="2042">
        <f>FQ96+DP96+EP96                 -         SUMIF('Berechnung Nährstoffe und Lager'!$AX$113:$AX$155,$CX96,'Berechnung Nährstoffe und Lager'!$V$113:$V$155)/12  -$GC96*$HC96/12</f>
        <v>0</v>
      </c>
      <c r="FS96" s="2042">
        <f>FR96+DQ96+EQ96                 -         SUMIF('Berechnung Nährstoffe und Lager'!$AX$113:$AX$155,$CX96,'Berechnung Nährstoffe und Lager'!$V$113:$V$155)/12  -$GC96*$HC96/12</f>
        <v>0</v>
      </c>
      <c r="FT96" s="2042">
        <f>FS96+DR96+ER96                 -         SUMIF('Berechnung Nährstoffe und Lager'!$AX$113:$AX$155,$CX96,'Berechnung Nährstoffe und Lager'!$V$113:$V$155)/12  -$GC96*$HC96/12</f>
        <v>0</v>
      </c>
      <c r="FU96" s="2042">
        <f>FT96+DS96+ES96                 -         SUMIF('Berechnung Nährstoffe und Lager'!$AX$113:$AX$155,$CX96,'Berechnung Nährstoffe und Lager'!$V$113:$V$155)/12  -$GC96*$HC96/12</f>
        <v>0</v>
      </c>
      <c r="FV96" s="2042">
        <f>FU96+DT96+ET96                 -         SUMIF('Berechnung Nährstoffe und Lager'!$AX$113:$AX$155,$CX96,'Berechnung Nährstoffe und Lager'!$V$113:$V$155)/12  -$GC96*$HC96/12</f>
        <v>0</v>
      </c>
      <c r="FW96" s="2042">
        <f>FV96+DU96+EU96                 -         SUMIF('Berechnung Nährstoffe und Lager'!$AX$113:$AX$155,$CX96,'Berechnung Nährstoffe und Lager'!$V$113:$V$155)/12  -$GC96*$HC96/12</f>
        <v>0</v>
      </c>
      <c r="FX96" s="2042">
        <f>FW96+DV96+EV96                 -         SUMIF('Berechnung Nährstoffe und Lager'!$AX$113:$AX$155,$CX96,'Berechnung Nährstoffe und Lager'!$V$113:$V$155)/12  -$GC96*$HC96/12</f>
        <v>0</v>
      </c>
      <c r="FY96" s="2042">
        <f>FX96+DW96+EW96                 -         SUMIF('Berechnung Nährstoffe und Lager'!$AX$113:$AX$155,$CX96,'Berechnung Nährstoffe und Lager'!$V$113:$V$155)/12  -$GC96*$HC96/12</f>
        <v>0</v>
      </c>
      <c r="FZ96" s="2042">
        <f>FY96+DX96+EX96                 -         SUMIF('Berechnung Nährstoffe und Lager'!$AX$113:$AX$155,$CX96,'Berechnung Nährstoffe und Lager'!$V$113:$V$155)/12  -$GC96*$HC96/12</f>
        <v>0</v>
      </c>
      <c r="GA96" s="2042"/>
      <c r="GB96" s="2042">
        <f>SUMIFS($CI$14:$CI$68,$BR$14:$BR$68,$CX96)+SUMIFS($CM$14:$CM$68,$BR$14:$BR$68,$CX96)+SUMIFS($CR$14:$CR$68,$BR$14:$BR$68,$CX96)  -         SUMIF('Berechnung Nährstoffe und Lager'!$AX$113:$AX$155,$CX96,'Berechnung Nährstoffe und Lager'!$U$113:$U$155)</f>
        <v>0</v>
      </c>
      <c r="GC96" s="2042">
        <f>SUMIFS($CJ$14:$CJ$68,$BR$14:$BR$68,$CX96)+SUMIFS($CO$14:$CO$68,$BR$14:$BR$68,$CX96)+SUMIFS($CT$14:$CT$68,$BR$14:$BR$68,$CX96)  -         SUMIF('Berechnung Nährstoffe und Lager'!$AX$113:$AX$155,$CX96,'Berechnung Nährstoffe und Lager'!$V$113:$V$155)</f>
        <v>0</v>
      </c>
      <c r="GD96" s="2042"/>
      <c r="GE96" s="2042"/>
      <c r="GF96" s="2042">
        <f>SUMIF('Berechnung Nährstoffe und Lager'!$AX$113:$AX$155,$CX96,'Berechnung Nährstoffe und Lager'!$U$113:$U$155)</f>
        <v>0</v>
      </c>
      <c r="GG96" s="2042">
        <f>SUMIF('Berechnung Nährstoffe und Lager'!$AX$113:$AX$155,$CX96,'Berechnung Nährstoffe und Lager'!$V$113:$V$155)</f>
        <v>0</v>
      </c>
      <c r="GH96" s="2042">
        <f t="shared" si="197"/>
        <v>0</v>
      </c>
      <c r="GI96" s="2042">
        <f t="shared" si="198"/>
        <v>0</v>
      </c>
      <c r="GJ96" s="2042">
        <f t="shared" si="180"/>
        <v>0</v>
      </c>
      <c r="GK96" s="2042">
        <f t="shared" si="181"/>
        <v>0</v>
      </c>
      <c r="GL96" s="2042">
        <f t="shared" si="182"/>
        <v>0</v>
      </c>
      <c r="GM96" s="2042" cm="1">
        <f t="array" ref="GM96">IF(GL96=0,0,(IFERROR(SUMPRODUCT($J$14:$J$68,$CH$14:$CH$68,($BR$14:$BR$68=CX96)*1)+SUMPRODUCT($L$14:$L$68,$M$14:$M$68,$CK$14:$CK$68,($BR$14:$BR$68=CX96)*1,($BT$14:$BT$68=FALSE)*1)/10+SUMPRODUCT($R$14:$R$68,$CP$14:$CP$68,($BR$14:$BR$68=CX96)*1),0))/GL96)</f>
        <v>0</v>
      </c>
      <c r="GN96" s="2042">
        <f t="shared" si="199"/>
        <v>0</v>
      </c>
      <c r="GO96" s="2042">
        <f>(SUMIF('Berechnung Nährstoffe und Lager'!$AX$113:$AX$130,'Lagerhaltung (freiwillig)'!CX96,'Berechnung Nährstoffe und Lager'!$D$113:$D$130)+SUMIF('Berechnung Nährstoffe und Lager'!$AX$137:$AX$155,'Lagerhaltung (freiwillig)'!CX96,'Berechnung Nährstoffe und Lager'!$E$137:$E$155))</f>
        <v>0</v>
      </c>
      <c r="GP96" s="2042" cm="1">
        <f t="array" ref="GP96">IF(GO96=0,0,(IFERROR(SUMPRODUCT('Berechnung Nährstoffe und Lager'!$D$113:$D$130,'Berechnung Nährstoffe und Lager'!$F$113:$F$130,('Berechnung Nährstoffe und Lager'!$AX$113:$AX$130='Lagerhaltung (freiwillig)'!CX96)*1)+SUMPRODUCT('Berechnung Nährstoffe und Lager'!$E$137:$E$155,'Berechnung Nährstoffe und Lager'!$F$137:$F$155,('Berechnung Nährstoffe und Lager'!$AX$137:$AX$155='Lagerhaltung (freiwillig)'!CX96)*1),0))/GO96)</f>
        <v>0</v>
      </c>
      <c r="GQ96" s="2042">
        <f t="shared" si="200"/>
        <v>0</v>
      </c>
      <c r="GR96" s="2042">
        <f t="shared" si="201"/>
        <v>0</v>
      </c>
      <c r="GS96" s="2042">
        <f t="shared" si="202"/>
        <v>0</v>
      </c>
      <c r="GT96" s="2042">
        <f t="shared" si="203"/>
        <v>0</v>
      </c>
      <c r="GU96" s="2045" t="str">
        <f t="shared" si="175"/>
        <v xml:space="preserve"> </v>
      </c>
      <c r="GV96" s="2045" t="str">
        <f t="shared" si="175"/>
        <v xml:space="preserve"> </v>
      </c>
      <c r="GW96" s="2054">
        <f t="shared" si="183"/>
        <v>0</v>
      </c>
      <c r="GX96" s="2042">
        <f t="shared" si="184"/>
        <v>0</v>
      </c>
      <c r="GY96" s="2042" t="str">
        <f t="shared" si="174"/>
        <v>a</v>
      </c>
      <c r="GZ96" s="2055">
        <f t="shared" si="185"/>
        <v>0</v>
      </c>
      <c r="HA96" s="2055">
        <f t="shared" si="186"/>
        <v>0</v>
      </c>
      <c r="HB96" s="2055"/>
      <c r="HC96" s="2046">
        <f t="shared" si="187"/>
        <v>0</v>
      </c>
      <c r="HD96" s="2055">
        <f t="shared" si="188"/>
        <v>0</v>
      </c>
      <c r="HE96" s="2055">
        <f t="shared" si="189"/>
        <v>0</v>
      </c>
      <c r="HF96" s="2055">
        <f t="shared" si="190"/>
        <v>0</v>
      </c>
      <c r="HG96" s="2282" cm="1">
        <f t="array" ref="HG96">IF(AND(HE96=0,GJ96=0),0,IF(HE96=0,1,IF(OR(GJ96*1000/HE96/HF96&gt;INDEX(Pflanzen!$AD$5:$AD$109,CX96)/INDEX(Pflanzen!$M$5:$M$109,CX96)*$HG$2,GJ96*1000/HE96/HF96&lt;INDEX(Pflanzen!$AD$5:$AD$109,CX96)/INDEX(Pflanzen!$M$5:$M$109,CX96)/$HG$2),1,0)))</f>
        <v>0</v>
      </c>
      <c r="HH96" s="2282" cm="1">
        <f t="array" ref="HH96">IF(AND(GK96=0,HE96=0),0,IF(HE96=0,1,IF(OR(GK96*1000/HE96/HF96&gt;INDEX(Pflanzen!$AE$5:$AE$109,CX96)/INDEX(Pflanzen!$M$5:$M$109,CX96)*$HG$2,GK96*1000/HE96/HF96&lt;INDEX(Pflanzen!$AE$5:$AE$109,CX96)/INDEX(Pflanzen!$M$5:$M$109,CX96)/$HG$2),1,0)))</f>
        <v>0</v>
      </c>
      <c r="HI96" s="2042">
        <f t="shared" si="191"/>
        <v>3</v>
      </c>
      <c r="HJ96" s="2042"/>
      <c r="HL96" s="2042"/>
      <c r="HM96" s="2042"/>
      <c r="HN96" s="2042"/>
      <c r="HO96" s="2042"/>
      <c r="HP96" s="2042"/>
      <c r="HQ96" s="2042"/>
      <c r="HR96" s="2042"/>
      <c r="HS96" s="2042"/>
      <c r="HT96" s="2042"/>
      <c r="HU96" s="2042"/>
      <c r="HV96" s="2042"/>
      <c r="HW96" s="2042"/>
      <c r="HX96" s="2042"/>
      <c r="HY96" s="2042"/>
      <c r="HZ96" s="2042"/>
      <c r="IA96" s="2042"/>
      <c r="IB96" s="2042"/>
      <c r="IC96" s="2042"/>
      <c r="ID96" s="2042"/>
      <c r="IE96" s="2042"/>
      <c r="IF96" s="2042"/>
      <c r="IG96" s="2042"/>
      <c r="IH96" s="2042"/>
      <c r="II96" s="2042"/>
      <c r="IJ96" s="2042"/>
    </row>
    <row r="97" spans="1:244" ht="12" customHeight="1" thickBot="1" x14ac:dyDescent="0.25">
      <c r="A97" s="2987"/>
      <c r="B97" s="2988"/>
      <c r="C97" s="2988"/>
      <c r="D97" s="2988"/>
      <c r="E97" s="2989"/>
      <c r="F97" s="3088"/>
      <c r="G97" s="3089"/>
      <c r="H97" s="3089"/>
      <c r="I97" s="3089"/>
      <c r="J97" s="3089"/>
      <c r="K97" s="2993"/>
      <c r="L97" s="2311" t="s">
        <v>4</v>
      </c>
      <c r="M97" s="2281" t="s">
        <v>352</v>
      </c>
      <c r="N97" s="3088" t="s">
        <v>4</v>
      </c>
      <c r="O97" s="3089"/>
      <c r="P97" s="2992" t="s">
        <v>352</v>
      </c>
      <c r="Q97" s="2993"/>
      <c r="R97" s="1118"/>
      <c r="S97" s="510"/>
      <c r="T97" s="510"/>
      <c r="U97" s="510"/>
      <c r="V97" s="510"/>
      <c r="Y97" s="2005" t="str" cm="1">
        <f t="array" ref="Y97">IFERROR(INDEX($CW$4:$CW$171,AY97),"")</f>
        <v/>
      </c>
      <c r="Z97" s="510"/>
      <c r="AA97" s="510"/>
      <c r="AB97" s="510"/>
      <c r="AC97" s="2031" t="str" cm="1">
        <f t="array" ref="AC97">IFERROR(INDEX($GL$4:$GL$171,AY97),"")</f>
        <v/>
      </c>
      <c r="AD97" s="2031" t="str" cm="1">
        <f t="array" ref="AD97">IFERROR(INDEX($GM$4:$GM$171,AY97),"")</f>
        <v/>
      </c>
      <c r="AE97" s="2031" t="str" cm="1">
        <f t="array" ref="AE97">IFERROR(INDEX($GH$4:$GH$171,AY97),"")</f>
        <v/>
      </c>
      <c r="AF97" s="2031" t="str" cm="1">
        <f t="array" ref="AF97">IFERROR(INDEX($GI$4:$GI$171,AY97),"")</f>
        <v/>
      </c>
      <c r="AG97" s="2031" t="str" cm="1">
        <f t="array" ref="AG97">IFERROR(INDEX($GO$4:$GO$171,AY97),"")</f>
        <v/>
      </c>
      <c r="AH97" s="2031" t="str" cm="1">
        <f t="array" ref="AH97">IFERROR(INDEX($GP$4:$GP$171,AY97),"")</f>
        <v/>
      </c>
      <c r="AI97" s="2031" t="str" cm="1">
        <f t="array" ref="AI97">IFERROR(INDEX($GF$4:$GF$171,AY97),"")</f>
        <v/>
      </c>
      <c r="AJ97" s="2031" t="str" cm="1">
        <f t="array" ref="AJ97">IFERROR(INDEX($GG$4:$GG$171,AY97),"")</f>
        <v/>
      </c>
      <c r="AK97" s="2031" t="str" cm="1">
        <f t="array" ref="AK97">IFERROR(INDEX($GS$4:$GS$171,AY97),"")</f>
        <v/>
      </c>
      <c r="AL97" s="2032" t="str" cm="1">
        <f t="array" ref="AL97">IFERROR(INDEX($GT$4:$GT$171,AY97),"")</f>
        <v/>
      </c>
      <c r="AM97" s="2031" t="str" cm="1">
        <f t="array" ref="AM97">IFERROR(INDEX($GB$4:$GB$171,AY97),"")</f>
        <v/>
      </c>
      <c r="AN97" s="2031" t="str" cm="1">
        <f t="array" ref="AN97">IFERROR(INDEX($GC$4:$GC$171,AY97),"")</f>
        <v/>
      </c>
      <c r="AO97" s="2031" t="str" cm="1">
        <f t="array" ref="AO97">IFERROR(INDEX($GU$4:$GU$171,AY97),"")</f>
        <v/>
      </c>
      <c r="AP97" s="2031" t="str" cm="1">
        <f t="array" ref="AP97">IFERROR(INDEX($GX$4:$GX$171,AY97),"")</f>
        <v/>
      </c>
      <c r="AQ97" s="1316"/>
      <c r="AR97" s="2031" t="str" cm="1">
        <f t="array" ref="AR97">IFERROR(INDEX($HD$4:$HD$171,AY97),"")</f>
        <v/>
      </c>
      <c r="AS97" s="2031" t="str" cm="1">
        <f t="array" ref="AS97">IFERROR(INDEX($HE$4:$HE$171,AY97),"")</f>
        <v/>
      </c>
      <c r="AT97" s="2031" t="str" cm="1">
        <f t="array" ref="AT97">IFERROR(INDEX($HF$4:$HF$171,AY97),"")</f>
        <v/>
      </c>
      <c r="AU97" s="2031" t="str" cm="1">
        <f t="array" ref="AU97">IFERROR(INDEX($GJ$4:$GJ$171,AY97),"")</f>
        <v/>
      </c>
      <c r="AV97" s="2031" t="str" cm="1">
        <f t="array" ref="AV97">IFERROR(INDEX($GK$4:$GK$171,AY97),"")</f>
        <v/>
      </c>
      <c r="AY97" s="2042" t="str" cm="1">
        <f t="array" ref="AY97">IFERROR(SMALL(IF($HI$4:$HI$171=1,ROW($HI$4:$HI$171)-3),ROW(W82)),IFERROR(SMALL(IF($HI$4:$HI$171=2,ROW($HI$4:$HI$171)-3),ROW(W82)-COUNTIF($HI$4:$HI$171,1)),IFERROR(SMALL(IF($HI$4:$HI$171=0,ROW($HI$4:$HI$171)-3),ROW(W82)-COUNTIF($HI$4:$HI$171,1)-COUNTIF($HI$4:$HI$171,2)),"")))</f>
        <v/>
      </c>
      <c r="AZ97" s="2042" t="str">
        <f t="shared" si="215"/>
        <v>a</v>
      </c>
      <c r="BA97" s="2053" t="e">
        <f t="shared" si="172"/>
        <v>#VALUE!</v>
      </c>
      <c r="BB97" s="2053" cm="1">
        <f t="array" ref="BB97">IFERROR(INDEX($HI$4:$HI$171,AY97),0)</f>
        <v>0</v>
      </c>
      <c r="BC97" s="2053">
        <f t="shared" si="173"/>
        <v>0</v>
      </c>
      <c r="BD97" s="2053"/>
      <c r="BE97" s="2307"/>
      <c r="BF97" s="2307"/>
      <c r="BG97" s="2307"/>
      <c r="BH97" s="2307"/>
      <c r="BI97" s="2307"/>
      <c r="BJ97" s="2307"/>
      <c r="BK97" s="2307"/>
      <c r="BL97" s="2307"/>
      <c r="BM97" s="2307"/>
      <c r="BN97" s="2307"/>
      <c r="BO97" s="2307"/>
      <c r="BP97" s="2043"/>
      <c r="BQ97" s="2045" t="s">
        <v>1163</v>
      </c>
      <c r="BR97" s="2045" t="s">
        <v>270</v>
      </c>
      <c r="BS97" s="2045"/>
      <c r="BT97" s="2045" t="s">
        <v>8432</v>
      </c>
      <c r="BU97" s="2070" t="s">
        <v>8430</v>
      </c>
      <c r="BV97" s="2059"/>
      <c r="BW97" s="2042"/>
      <c r="BX97" s="2042"/>
      <c r="BY97" s="2042"/>
      <c r="BZ97" s="2042"/>
      <c r="CA97" s="2045" t="s">
        <v>8502</v>
      </c>
      <c r="CB97" s="2042"/>
      <c r="CC97" s="2042"/>
      <c r="CD97" s="2042"/>
      <c r="CE97" s="2042"/>
      <c r="CF97" s="2045" t="s">
        <v>8407</v>
      </c>
      <c r="CG97" s="2045"/>
      <c r="CH97" s="2042"/>
      <c r="CI97" s="2042"/>
      <c r="CJ97" s="2042"/>
      <c r="CK97" s="2042"/>
      <c r="CL97" s="2042"/>
      <c r="CM97" s="2042"/>
      <c r="CN97" s="2042"/>
      <c r="CO97" s="2042"/>
      <c r="CP97" s="2042"/>
      <c r="CQ97" s="2042"/>
      <c r="CR97" s="2042"/>
      <c r="CS97" s="2042"/>
      <c r="CT97" s="2042"/>
      <c r="CU97" s="2042"/>
      <c r="CV97" s="2042"/>
      <c r="CW97" s="609" t="str">
        <f>Pflanzen!A93</f>
        <v xml:space="preserve">Rinderjauche </v>
      </c>
      <c r="CX97" s="2042">
        <f>IFERROR(MATCH($CW97,Pflanzen!$C$5:$C$119,0),1)</f>
        <v>85</v>
      </c>
      <c r="CY97" s="609" cm="1">
        <f t="array" ref="CY97">INDEX(Pflanzen!$I$5:$I$119,'Lagerhaltung (freiwillig)'!CX97)</f>
        <v>0</v>
      </c>
      <c r="CZ97" s="2042">
        <f t="shared" si="218"/>
        <v>0</v>
      </c>
      <c r="DA97" s="2042">
        <f t="shared" si="218"/>
        <v>0</v>
      </c>
      <c r="DB97" s="2042">
        <f t="shared" si="218"/>
        <v>0</v>
      </c>
      <c r="DC97" s="2042">
        <f t="shared" si="218"/>
        <v>0</v>
      </c>
      <c r="DD97" s="2042">
        <f t="shared" si="218"/>
        <v>0</v>
      </c>
      <c r="DE97" s="2042">
        <f t="shared" si="218"/>
        <v>0</v>
      </c>
      <c r="DF97" s="2042">
        <f t="shared" si="218"/>
        <v>0</v>
      </c>
      <c r="DG97" s="2042">
        <f t="shared" si="218"/>
        <v>0</v>
      </c>
      <c r="DH97" s="2042">
        <f t="shared" si="218"/>
        <v>0</v>
      </c>
      <c r="DI97" s="2042">
        <f t="shared" si="218"/>
        <v>0</v>
      </c>
      <c r="DJ97" s="2042">
        <f t="shared" si="218"/>
        <v>0</v>
      </c>
      <c r="DK97" s="2042">
        <f t="shared" si="218"/>
        <v>0</v>
      </c>
      <c r="DL97" s="2042"/>
      <c r="DM97" s="2042">
        <f t="shared" si="165"/>
        <v>0</v>
      </c>
      <c r="DN97" s="2042">
        <f t="shared" si="220"/>
        <v>0</v>
      </c>
      <c r="DO97" s="2042">
        <f t="shared" si="220"/>
        <v>0</v>
      </c>
      <c r="DP97" s="2042">
        <f t="shared" si="220"/>
        <v>0</v>
      </c>
      <c r="DQ97" s="2042">
        <f t="shared" si="220"/>
        <v>0</v>
      </c>
      <c r="DR97" s="2042">
        <f t="shared" si="220"/>
        <v>0</v>
      </c>
      <c r="DS97" s="2042">
        <f t="shared" si="220"/>
        <v>0</v>
      </c>
      <c r="DT97" s="2042">
        <f t="shared" si="220"/>
        <v>0</v>
      </c>
      <c r="DU97" s="2042">
        <f t="shared" si="220"/>
        <v>0</v>
      </c>
      <c r="DV97" s="2042">
        <f t="shared" si="220"/>
        <v>0</v>
      </c>
      <c r="DW97" s="2042">
        <f t="shared" si="220"/>
        <v>0</v>
      </c>
      <c r="DX97" s="2042">
        <f t="shared" si="220"/>
        <v>0</v>
      </c>
      <c r="DY97" s="2042"/>
      <c r="DZ97" s="2042">
        <f t="shared" si="219"/>
        <v>0</v>
      </c>
      <c r="EA97" s="2042">
        <f t="shared" si="219"/>
        <v>0</v>
      </c>
      <c r="EB97" s="2042">
        <f t="shared" si="219"/>
        <v>0</v>
      </c>
      <c r="EC97" s="2042">
        <f t="shared" si="219"/>
        <v>0</v>
      </c>
      <c r="ED97" s="2042">
        <f t="shared" si="219"/>
        <v>0</v>
      </c>
      <c r="EE97" s="2042">
        <f t="shared" si="219"/>
        <v>0</v>
      </c>
      <c r="EF97" s="2042">
        <f t="shared" si="219"/>
        <v>0</v>
      </c>
      <c r="EG97" s="2042">
        <f t="shared" si="219"/>
        <v>0</v>
      </c>
      <c r="EH97" s="2042">
        <f t="shared" si="219"/>
        <v>0</v>
      </c>
      <c r="EI97" s="2042">
        <f t="shared" si="219"/>
        <v>0</v>
      </c>
      <c r="EJ97" s="2042">
        <f t="shared" si="219"/>
        <v>0</v>
      </c>
      <c r="EK97" s="2042">
        <f t="shared" si="219"/>
        <v>0</v>
      </c>
      <c r="EL97" s="2042"/>
      <c r="EM97" s="2042">
        <f t="shared" si="167"/>
        <v>0</v>
      </c>
      <c r="EN97" s="2042">
        <f t="shared" si="221"/>
        <v>0</v>
      </c>
      <c r="EO97" s="2042">
        <f t="shared" si="221"/>
        <v>0</v>
      </c>
      <c r="EP97" s="2042">
        <f t="shared" si="221"/>
        <v>0</v>
      </c>
      <c r="EQ97" s="2042">
        <f t="shared" si="221"/>
        <v>0</v>
      </c>
      <c r="ER97" s="2042">
        <f t="shared" si="221"/>
        <v>0</v>
      </c>
      <c r="ES97" s="2042">
        <f t="shared" si="221"/>
        <v>0</v>
      </c>
      <c r="ET97" s="2042">
        <f t="shared" si="221"/>
        <v>0</v>
      </c>
      <c r="EU97" s="2042">
        <f t="shared" si="221"/>
        <v>0</v>
      </c>
      <c r="EV97" s="2042">
        <f t="shared" si="221"/>
        <v>0</v>
      </c>
      <c r="EW97" s="2042">
        <f t="shared" si="221"/>
        <v>0</v>
      </c>
      <c r="EX97" s="2042">
        <f t="shared" si="221"/>
        <v>0</v>
      </c>
      <c r="EY97" s="2042"/>
      <c r="EZ97" s="2045">
        <f t="shared" si="195"/>
        <v>0</v>
      </c>
      <c r="FA97" s="2042">
        <f>EZ97+CZ97+DZ97                 -         SUMIF('Berechnung Nährstoffe und Lager'!$AX$113:$AX$155,$CX97,'Berechnung Nährstoffe und Lager'!$U$113:$U$155)/12  -$GB97*$HC97/12</f>
        <v>0</v>
      </c>
      <c r="FB97" s="2042">
        <f>FA97+DA97+EA97                 -         SUMIF('Berechnung Nährstoffe und Lager'!$AX$113:$AX$155,$CX97,'Berechnung Nährstoffe und Lager'!$U$113:$U$155)/12  -$GB97*$HC97/12</f>
        <v>0</v>
      </c>
      <c r="FC97" s="2042">
        <f>FB97+DB97+EB97                 -         SUMIF('Berechnung Nährstoffe und Lager'!$AX$113:$AX$155,$CX97,'Berechnung Nährstoffe und Lager'!$U$113:$U$155)/12  -$GB97*$HC97/12</f>
        <v>0</v>
      </c>
      <c r="FD97" s="2042">
        <f>FC97+DC97+EC97                 -         SUMIF('Berechnung Nährstoffe und Lager'!$AX$113:$AX$155,$CX97,'Berechnung Nährstoffe und Lager'!$U$113:$U$155)/12  -$GB97*$HC97/12</f>
        <v>0</v>
      </c>
      <c r="FE97" s="2042">
        <f>FD97+DD97+ED97                 -         SUMIF('Berechnung Nährstoffe und Lager'!$AX$113:$AX$155,$CX97,'Berechnung Nährstoffe und Lager'!$U$113:$U$155)/12  -$GB97*$HC97/12</f>
        <v>0</v>
      </c>
      <c r="FF97" s="2042">
        <f>FE97+DE97+EE97                 -         SUMIF('Berechnung Nährstoffe und Lager'!$AX$113:$AX$155,$CX97,'Berechnung Nährstoffe und Lager'!$U$113:$U$155)/12  -$GB97*$HC97/12</f>
        <v>0</v>
      </c>
      <c r="FG97" s="2042">
        <f>FF97+DF97+EF97                 -         SUMIF('Berechnung Nährstoffe und Lager'!$AX$113:$AX$155,$CX97,'Berechnung Nährstoffe und Lager'!$U$113:$U$155)/12  -$GB97*$HC97/12</f>
        <v>0</v>
      </c>
      <c r="FH97" s="2042">
        <f>FG97+DG97+EG97                 -         SUMIF('Berechnung Nährstoffe und Lager'!$AX$113:$AX$155,$CX97,'Berechnung Nährstoffe und Lager'!$U$113:$U$155)/12  -$GB97*$HC97/12</f>
        <v>0</v>
      </c>
      <c r="FI97" s="2042">
        <f>FH97+DH97+EH97                 -         SUMIF('Berechnung Nährstoffe und Lager'!$AX$113:$AX$155,$CX97,'Berechnung Nährstoffe und Lager'!$U$113:$U$155)/12  -$GB97*$HC97/12</f>
        <v>0</v>
      </c>
      <c r="FJ97" s="2042">
        <f>FI97+DI97+EI97                 -         SUMIF('Berechnung Nährstoffe und Lager'!$AX$113:$AX$155,$CX97,'Berechnung Nährstoffe und Lager'!$U$113:$U$155)/12  -$GB97*$HC97/12</f>
        <v>0</v>
      </c>
      <c r="FK97" s="2042">
        <f>FJ97+DJ97+EJ97                 -         SUMIF('Berechnung Nährstoffe und Lager'!$AX$113:$AX$155,$CX97,'Berechnung Nährstoffe und Lager'!$U$113:$U$155)/12  -$GB97*$HC97/12</f>
        <v>0</v>
      </c>
      <c r="FL97" s="2042">
        <f>FK97+DK97+EK97                 -         SUMIF('Berechnung Nährstoffe und Lager'!$AX$113:$AX$155,$CX97,'Berechnung Nährstoffe und Lager'!$U$113:$U$155)/12  -$GB97*$HC97/12</f>
        <v>0</v>
      </c>
      <c r="FM97" s="2042"/>
      <c r="FN97" s="2045">
        <f t="shared" si="196"/>
        <v>0</v>
      </c>
      <c r="FO97" s="2042">
        <f>FN97+DM97+EM97                 -         SUMIF('Berechnung Nährstoffe und Lager'!$AX$113:$AX$155,$CX97,'Berechnung Nährstoffe und Lager'!$V$113:$V$155)/12  -$GC97*$HC97/12</f>
        <v>0</v>
      </c>
      <c r="FP97" s="2042">
        <f>FO97+DN97+EN97                 -         SUMIF('Berechnung Nährstoffe und Lager'!$AX$113:$AX$155,$CX97,'Berechnung Nährstoffe und Lager'!$V$113:$V$155)/12  -$GC97*$HC97/12</f>
        <v>0</v>
      </c>
      <c r="FQ97" s="2042">
        <f>FP97+DO97+EO97                 -         SUMIF('Berechnung Nährstoffe und Lager'!$AX$113:$AX$155,$CX97,'Berechnung Nährstoffe und Lager'!$V$113:$V$155)/12  -$GC97*$HC97/12</f>
        <v>0</v>
      </c>
      <c r="FR97" s="2042">
        <f>FQ97+DP97+EP97                 -         SUMIF('Berechnung Nährstoffe und Lager'!$AX$113:$AX$155,$CX97,'Berechnung Nährstoffe und Lager'!$V$113:$V$155)/12  -$GC97*$HC97/12</f>
        <v>0</v>
      </c>
      <c r="FS97" s="2042">
        <f>FR97+DQ97+EQ97                 -         SUMIF('Berechnung Nährstoffe und Lager'!$AX$113:$AX$155,$CX97,'Berechnung Nährstoffe und Lager'!$V$113:$V$155)/12  -$GC97*$HC97/12</f>
        <v>0</v>
      </c>
      <c r="FT97" s="2042">
        <f>FS97+DR97+ER97                 -         SUMIF('Berechnung Nährstoffe und Lager'!$AX$113:$AX$155,$CX97,'Berechnung Nährstoffe und Lager'!$V$113:$V$155)/12  -$GC97*$HC97/12</f>
        <v>0</v>
      </c>
      <c r="FU97" s="2042">
        <f>FT97+DS97+ES97                 -         SUMIF('Berechnung Nährstoffe und Lager'!$AX$113:$AX$155,$CX97,'Berechnung Nährstoffe und Lager'!$V$113:$V$155)/12  -$GC97*$HC97/12</f>
        <v>0</v>
      </c>
      <c r="FV97" s="2042">
        <f>FU97+DT97+ET97                 -         SUMIF('Berechnung Nährstoffe und Lager'!$AX$113:$AX$155,$CX97,'Berechnung Nährstoffe und Lager'!$V$113:$V$155)/12  -$GC97*$HC97/12</f>
        <v>0</v>
      </c>
      <c r="FW97" s="2042">
        <f>FV97+DU97+EU97                 -         SUMIF('Berechnung Nährstoffe und Lager'!$AX$113:$AX$155,$CX97,'Berechnung Nährstoffe und Lager'!$V$113:$V$155)/12  -$GC97*$HC97/12</f>
        <v>0</v>
      </c>
      <c r="FX97" s="2042">
        <f>FW97+DV97+EV97                 -         SUMIF('Berechnung Nährstoffe und Lager'!$AX$113:$AX$155,$CX97,'Berechnung Nährstoffe und Lager'!$V$113:$V$155)/12  -$GC97*$HC97/12</f>
        <v>0</v>
      </c>
      <c r="FY97" s="2042">
        <f>FX97+DW97+EW97                 -         SUMIF('Berechnung Nährstoffe und Lager'!$AX$113:$AX$155,$CX97,'Berechnung Nährstoffe und Lager'!$V$113:$V$155)/12  -$GC97*$HC97/12</f>
        <v>0</v>
      </c>
      <c r="FZ97" s="2042">
        <f>FY97+DX97+EX97                 -         SUMIF('Berechnung Nährstoffe und Lager'!$AX$113:$AX$155,$CX97,'Berechnung Nährstoffe und Lager'!$V$113:$V$155)/12  -$GC97*$HC97/12</f>
        <v>0</v>
      </c>
      <c r="GA97" s="2042"/>
      <c r="GB97" s="2042">
        <f>SUMIFS($CI$14:$CI$68,$BR$14:$BR$68,$CX97)+SUMIFS($CM$14:$CM$68,$BR$14:$BR$68,$CX97)+SUMIFS($CR$14:$CR$68,$BR$14:$BR$68,$CX97)  -         SUMIF('Berechnung Nährstoffe und Lager'!$AX$113:$AX$155,$CX97,'Berechnung Nährstoffe und Lager'!$U$113:$U$155)</f>
        <v>0</v>
      </c>
      <c r="GC97" s="2042">
        <f>SUMIFS($CJ$14:$CJ$68,$BR$14:$BR$68,$CX97)+SUMIFS($CO$14:$CO$68,$BR$14:$BR$68,$CX97)+SUMIFS($CT$14:$CT$68,$BR$14:$BR$68,$CX97)  -         SUMIF('Berechnung Nährstoffe und Lager'!$AX$113:$AX$155,$CX97,'Berechnung Nährstoffe und Lager'!$V$113:$V$155)</f>
        <v>0</v>
      </c>
      <c r="GD97" s="2042"/>
      <c r="GE97" s="2042"/>
      <c r="GF97" s="2042">
        <f>SUMIF('Berechnung Nährstoffe und Lager'!$AX$113:$AX$155,$CX97,'Berechnung Nährstoffe und Lager'!$U$113:$U$155)</f>
        <v>0</v>
      </c>
      <c r="GG97" s="2042">
        <f>SUMIF('Berechnung Nährstoffe und Lager'!$AX$113:$AX$155,$CX97,'Berechnung Nährstoffe und Lager'!$V$113:$V$155)</f>
        <v>0</v>
      </c>
      <c r="GH97" s="2042">
        <f t="shared" si="197"/>
        <v>0</v>
      </c>
      <c r="GI97" s="2042">
        <f t="shared" si="198"/>
        <v>0</v>
      </c>
      <c r="GJ97" s="2042">
        <f t="shared" si="180"/>
        <v>0</v>
      </c>
      <c r="GK97" s="2042">
        <f t="shared" si="181"/>
        <v>0</v>
      </c>
      <c r="GL97" s="2042">
        <f t="shared" si="182"/>
        <v>0</v>
      </c>
      <c r="GM97" s="2042" cm="1">
        <f t="array" ref="GM97">IF(GL97=0,0,(IFERROR(SUMPRODUCT($J$14:$J$68,$CH$14:$CH$68,($BR$14:$BR$68=CX97)*1)+SUMPRODUCT($L$14:$L$68,$M$14:$M$68,$CK$14:$CK$68,($BR$14:$BR$68=CX97)*1,($BT$14:$BT$68=FALSE)*1)/10+SUMPRODUCT($R$14:$R$68,$CP$14:$CP$68,($BR$14:$BR$68=CX97)*1),0))/GL97)</f>
        <v>0</v>
      </c>
      <c r="GN97" s="2042">
        <f t="shared" si="199"/>
        <v>0</v>
      </c>
      <c r="GO97" s="2042">
        <f>(SUMIF('Berechnung Nährstoffe und Lager'!$AX$113:$AX$130,'Lagerhaltung (freiwillig)'!CX97,'Berechnung Nährstoffe und Lager'!$D$113:$D$130)+SUMIF('Berechnung Nährstoffe und Lager'!$AX$137:$AX$155,'Lagerhaltung (freiwillig)'!CX97,'Berechnung Nährstoffe und Lager'!$E$137:$E$155))</f>
        <v>0</v>
      </c>
      <c r="GP97" s="2042" cm="1">
        <f t="array" ref="GP97">IF(GO97=0,0,(IFERROR(SUMPRODUCT('Berechnung Nährstoffe und Lager'!$D$113:$D$130,'Berechnung Nährstoffe und Lager'!$F$113:$F$130,('Berechnung Nährstoffe und Lager'!$AX$113:$AX$130='Lagerhaltung (freiwillig)'!CX97)*1)+SUMPRODUCT('Berechnung Nährstoffe und Lager'!$E$137:$E$155,'Berechnung Nährstoffe und Lager'!$F$137:$F$155,('Berechnung Nährstoffe und Lager'!$AX$137:$AX$155='Lagerhaltung (freiwillig)'!CX97)*1),0))/GO97)</f>
        <v>0</v>
      </c>
      <c r="GQ97" s="2042">
        <f t="shared" si="200"/>
        <v>0</v>
      </c>
      <c r="GR97" s="2042">
        <f t="shared" si="201"/>
        <v>0</v>
      </c>
      <c r="GS97" s="2042">
        <f t="shared" si="202"/>
        <v>0</v>
      </c>
      <c r="GT97" s="2042">
        <f t="shared" si="203"/>
        <v>0</v>
      </c>
      <c r="GU97" s="2045" t="str">
        <f t="shared" si="175"/>
        <v xml:space="preserve"> </v>
      </c>
      <c r="GV97" s="2045" t="str">
        <f t="shared" si="175"/>
        <v xml:space="preserve"> </v>
      </c>
      <c r="GW97" s="2054">
        <f t="shared" si="183"/>
        <v>0</v>
      </c>
      <c r="GX97" s="2042">
        <f t="shared" si="184"/>
        <v>0</v>
      </c>
      <c r="GY97" s="2042" t="str">
        <f t="shared" si="174"/>
        <v>a</v>
      </c>
      <c r="GZ97" s="2055">
        <f t="shared" si="185"/>
        <v>0</v>
      </c>
      <c r="HA97" s="2055">
        <f t="shared" si="186"/>
        <v>0</v>
      </c>
      <c r="HB97" s="2055"/>
      <c r="HC97" s="2046">
        <f t="shared" si="187"/>
        <v>0</v>
      </c>
      <c r="HD97" s="2055">
        <f t="shared" si="188"/>
        <v>0</v>
      </c>
      <c r="HE97" s="2055">
        <f t="shared" si="189"/>
        <v>0</v>
      </c>
      <c r="HF97" s="2055">
        <f t="shared" si="190"/>
        <v>0</v>
      </c>
      <c r="HG97" s="2282" cm="1">
        <f t="array" ref="HG97">IF(AND(HE97=0,GJ97=0),0,IF(HE97=0,1,IF(OR(GJ97*1000/HE97/HF97&gt;INDEX(Pflanzen!$AD$5:$AD$109,CX97)/INDEX(Pflanzen!$M$5:$M$109,CX97)*$HG$2,GJ97*1000/HE97/HF97&lt;INDEX(Pflanzen!$AD$5:$AD$109,CX97)/INDEX(Pflanzen!$M$5:$M$109,CX97)/$HG$2),1,0)))</f>
        <v>0</v>
      </c>
      <c r="HH97" s="2282" cm="1">
        <f t="array" ref="HH97">IF(AND(GK97=0,HE97=0),0,IF(HE97=0,1,IF(OR(GK97*1000/HE97/HF97&gt;INDEX(Pflanzen!$AE$5:$AE$109,CX97)/INDEX(Pflanzen!$M$5:$M$109,CX97)*$HG$2,GK97*1000/HE97/HF97&lt;INDEX(Pflanzen!$AE$5:$AE$109,CX97)/INDEX(Pflanzen!$M$5:$M$109,CX97)/$HG$2),1,0)))</f>
        <v>0</v>
      </c>
      <c r="HI97" s="2042">
        <f t="shared" si="191"/>
        <v>3</v>
      </c>
      <c r="HJ97" s="2042"/>
      <c r="HL97" s="2042"/>
      <c r="HM97" s="2042"/>
      <c r="HN97" s="2042"/>
      <c r="HO97" s="2042"/>
      <c r="HP97" s="2042"/>
      <c r="HQ97" s="2042"/>
      <c r="HR97" s="2042"/>
      <c r="HS97" s="2042"/>
      <c r="HT97" s="2042"/>
      <c r="HU97" s="2042"/>
      <c r="HV97" s="2042"/>
      <c r="HW97" s="2042"/>
      <c r="HX97" s="2042"/>
      <c r="HY97" s="2042"/>
      <c r="HZ97" s="2042"/>
      <c r="IA97" s="2042"/>
      <c r="IB97" s="2042"/>
      <c r="IC97" s="2042"/>
      <c r="ID97" s="2042"/>
      <c r="IE97" s="2042"/>
      <c r="IF97" s="2042"/>
      <c r="IG97" s="2042"/>
      <c r="IH97" s="2042"/>
      <c r="II97" s="2042"/>
      <c r="IJ97" s="2042"/>
    </row>
    <row r="98" spans="1:244" ht="15.6" customHeight="1" x14ac:dyDescent="0.2">
      <c r="A98" s="2373" t="s">
        <v>1123</v>
      </c>
      <c r="B98" s="2024"/>
      <c r="C98" s="2024"/>
      <c r="D98" s="2024"/>
      <c r="E98" s="2024"/>
      <c r="F98" s="3065">
        <f>'Berechnung Nährstoffe und Lager'!B12*'Lagerhaltung (freiwillig)'!HO5/1000</f>
        <v>0</v>
      </c>
      <c r="G98" s="3066"/>
      <c r="H98" s="3116" t="s">
        <v>1148</v>
      </c>
      <c r="I98" s="3117"/>
      <c r="J98" s="3117"/>
      <c r="K98" s="3118"/>
      <c r="L98" s="2355" cm="1">
        <f t="array" ref="L98">INDEX(Tierprodukte!$D$35:$D$41,'Lagerhaltung (freiwillig)'!BQ98)</f>
        <v>5.33</v>
      </c>
      <c r="M98" s="2356" cm="1">
        <f t="array" ref="M98">INDEX(Tierprodukte!$E$35:$E$41,'Lagerhaltung (freiwillig)'!BQ98)</f>
        <v>2.2999999999999998</v>
      </c>
      <c r="N98" s="3135">
        <f>F98*L98*-1/1000</f>
        <v>0</v>
      </c>
      <c r="O98" s="3136"/>
      <c r="P98" s="3084">
        <f>F98*M98*-1/1000</f>
        <v>0</v>
      </c>
      <c r="Q98" s="3085"/>
      <c r="R98" s="510"/>
      <c r="S98" s="510"/>
      <c r="T98" s="1118"/>
      <c r="U98" s="510"/>
      <c r="V98" s="510"/>
      <c r="Y98" s="2005" t="str" cm="1">
        <f t="array" ref="Y98">IFERROR(INDEX($CW$4:$CW$171,AY98),"")</f>
        <v/>
      </c>
      <c r="Z98" s="510"/>
      <c r="AA98" s="510"/>
      <c r="AB98" s="510"/>
      <c r="AC98" s="2031" t="str" cm="1">
        <f t="array" ref="AC98">IFERROR(INDEX($GL$4:$GL$171,AY98),"")</f>
        <v/>
      </c>
      <c r="AD98" s="2031" t="str" cm="1">
        <f t="array" ref="AD98">IFERROR(INDEX($GM$4:$GM$171,AY98),"")</f>
        <v/>
      </c>
      <c r="AE98" s="2031" t="str" cm="1">
        <f t="array" ref="AE98">IFERROR(INDEX($GH$4:$GH$171,AY98),"")</f>
        <v/>
      </c>
      <c r="AF98" s="2031" t="str" cm="1">
        <f t="array" ref="AF98">IFERROR(INDEX($GI$4:$GI$171,AY98),"")</f>
        <v/>
      </c>
      <c r="AG98" s="2031" t="str" cm="1">
        <f t="array" ref="AG98">IFERROR(INDEX($GO$4:$GO$171,AY98),"")</f>
        <v/>
      </c>
      <c r="AH98" s="2031" t="str" cm="1">
        <f t="array" ref="AH98">IFERROR(INDEX($GP$4:$GP$171,AY98),"")</f>
        <v/>
      </c>
      <c r="AI98" s="2031" t="str" cm="1">
        <f t="array" ref="AI98">IFERROR(INDEX($GF$4:$GF$171,AY98),"")</f>
        <v/>
      </c>
      <c r="AJ98" s="2031" t="str" cm="1">
        <f t="array" ref="AJ98">IFERROR(INDEX($GG$4:$GG$171,AY98),"")</f>
        <v/>
      </c>
      <c r="AK98" s="2031" t="str" cm="1">
        <f t="array" ref="AK98">IFERROR(INDEX($GS$4:$GS$171,AY98),"")</f>
        <v/>
      </c>
      <c r="AL98" s="2032" t="str" cm="1">
        <f t="array" ref="AL98">IFERROR(INDEX($GT$4:$GT$171,AY98),"")</f>
        <v/>
      </c>
      <c r="AM98" s="2031" t="str" cm="1">
        <f t="array" ref="AM98">IFERROR(INDEX($GB$4:$GB$171,AY98),"")</f>
        <v/>
      </c>
      <c r="AN98" s="2031" t="str" cm="1">
        <f t="array" ref="AN98">IFERROR(INDEX($GC$4:$GC$171,AY98),"")</f>
        <v/>
      </c>
      <c r="AO98" s="2031" t="str" cm="1">
        <f t="array" ref="AO98">IFERROR(INDEX($GU$4:$GU$171,AY98),"")</f>
        <v/>
      </c>
      <c r="AP98" s="2031" t="str" cm="1">
        <f t="array" ref="AP98">IFERROR(INDEX($GX$4:$GX$171,AY98),"")</f>
        <v/>
      </c>
      <c r="AQ98" s="1316"/>
      <c r="AR98" s="2031" t="str" cm="1">
        <f t="array" ref="AR98">IFERROR(INDEX($HD$4:$HD$171,AY98),"")</f>
        <v/>
      </c>
      <c r="AS98" s="2031" t="str" cm="1">
        <f t="array" ref="AS98">IFERROR(INDEX($HE$4:$HE$171,AY98),"")</f>
        <v/>
      </c>
      <c r="AT98" s="2031" t="str" cm="1">
        <f t="array" ref="AT98">IFERROR(INDEX($HF$4:$HF$171,AY98),"")</f>
        <v/>
      </c>
      <c r="AU98" s="2031" t="str" cm="1">
        <f t="array" ref="AU98">IFERROR(INDEX($GJ$4:$GJ$171,AY98),"")</f>
        <v/>
      </c>
      <c r="AV98" s="2031" t="str" cm="1">
        <f t="array" ref="AV98">IFERROR(INDEX($GK$4:$GK$171,AY98),"")</f>
        <v/>
      </c>
      <c r="AY98" s="2042" t="str" cm="1">
        <f t="array" ref="AY98">IFERROR(SMALL(IF($HI$4:$HI$171=1,ROW($HI$4:$HI$171)-3),ROW(W83)),IFERROR(SMALL(IF($HI$4:$HI$171=2,ROW($HI$4:$HI$171)-3),ROW(W83)-COUNTIF($HI$4:$HI$171,1)),IFERROR(SMALL(IF($HI$4:$HI$171=0,ROW($HI$4:$HI$171)-3),ROW(W83)-COUNTIF($HI$4:$HI$171,1)-COUNTIF($HI$4:$HI$171,2)),"")))</f>
        <v/>
      </c>
      <c r="AZ98" s="2042" t="str">
        <f t="shared" si="215"/>
        <v>a</v>
      </c>
      <c r="BA98" s="2053" t="e">
        <f t="shared" si="172"/>
        <v>#VALUE!</v>
      </c>
      <c r="BB98" s="2053" cm="1">
        <f t="array" ref="BB98">IFERROR(INDEX($HI$4:$HI$171,AY98),0)</f>
        <v>0</v>
      </c>
      <c r="BC98" s="2053">
        <f t="shared" si="173"/>
        <v>0</v>
      </c>
      <c r="BD98" s="2053"/>
      <c r="BE98" s="2307"/>
      <c r="BF98" s="2307"/>
      <c r="BG98" s="2307"/>
      <c r="BH98" s="2307"/>
      <c r="BI98" s="2307"/>
      <c r="BJ98" s="2307"/>
      <c r="BK98" s="2307"/>
      <c r="BL98" s="2307"/>
      <c r="BM98" s="2307"/>
      <c r="BN98" s="2307"/>
      <c r="BO98" s="2307"/>
      <c r="BP98" s="2043"/>
      <c r="BQ98" s="2042">
        <v>3</v>
      </c>
      <c r="BR98" s="2042" cm="1">
        <f t="array" ref="BR98">INDEX(Tierprodukte!$L$35:$L$41,'Lagerhaltung (freiwillig)'!BQ98)</f>
        <v>1</v>
      </c>
      <c r="BS98" s="2042"/>
      <c r="BT98" s="2042"/>
      <c r="BU98" s="2059"/>
      <c r="BV98" s="2059"/>
      <c r="BW98" s="2042" t="s">
        <v>8391</v>
      </c>
      <c r="BX98" s="2045" t="s">
        <v>8399</v>
      </c>
      <c r="BY98" s="2042"/>
      <c r="BZ98" s="2042"/>
      <c r="CA98" s="2042"/>
      <c r="CB98" s="2042"/>
      <c r="CC98" s="2042"/>
      <c r="CD98" s="2042"/>
      <c r="CE98" s="2042"/>
      <c r="CF98" s="2045" t="s">
        <v>4</v>
      </c>
      <c r="CG98" s="2045"/>
      <c r="CH98" s="2042"/>
      <c r="CI98" s="2042"/>
      <c r="CJ98" s="2042"/>
      <c r="CK98" s="2042"/>
      <c r="CL98" s="2042"/>
      <c r="CM98" s="2042"/>
      <c r="CN98" s="2042"/>
      <c r="CO98" s="2042"/>
      <c r="CP98" s="2042"/>
      <c r="CQ98" s="2042"/>
      <c r="CR98" s="2042"/>
      <c r="CS98" s="2042"/>
      <c r="CT98" s="2042"/>
      <c r="CU98" s="2042"/>
      <c r="CV98" s="2042"/>
      <c r="CW98" s="609" t="str">
        <f>Pflanzen!A94</f>
        <v>Sonstige Wirtschaftsdünger - Rind</v>
      </c>
      <c r="CX98" s="2042">
        <f>IFERROR(MATCH($CW98,Pflanzen!$C$5:$C$119,0),1)</f>
        <v>112</v>
      </c>
      <c r="CY98" s="609" cm="1">
        <f t="array" ref="CY98">INDEX(Pflanzen!$I$5:$I$119,'Lagerhaltung (freiwillig)'!CX98)</f>
        <v>0</v>
      </c>
      <c r="CZ98" s="2042">
        <f t="shared" si="218"/>
        <v>0</v>
      </c>
      <c r="DA98" s="2042">
        <f t="shared" si="218"/>
        <v>0</v>
      </c>
      <c r="DB98" s="2042">
        <f t="shared" si="218"/>
        <v>0</v>
      </c>
      <c r="DC98" s="2042">
        <f t="shared" si="218"/>
        <v>0</v>
      </c>
      <c r="DD98" s="2042">
        <f t="shared" si="218"/>
        <v>0</v>
      </c>
      <c r="DE98" s="2042">
        <f t="shared" si="218"/>
        <v>0</v>
      </c>
      <c r="DF98" s="2042">
        <f t="shared" si="218"/>
        <v>0</v>
      </c>
      <c r="DG98" s="2042">
        <f t="shared" si="218"/>
        <v>0</v>
      </c>
      <c r="DH98" s="2042">
        <f t="shared" si="218"/>
        <v>0</v>
      </c>
      <c r="DI98" s="2042">
        <f t="shared" si="218"/>
        <v>0</v>
      </c>
      <c r="DJ98" s="2042">
        <f t="shared" si="218"/>
        <v>0</v>
      </c>
      <c r="DK98" s="2042">
        <f t="shared" si="218"/>
        <v>0</v>
      </c>
      <c r="DL98" s="2042"/>
      <c r="DM98" s="2042">
        <f t="shared" si="165"/>
        <v>0</v>
      </c>
      <c r="DN98" s="2042">
        <f t="shared" si="220"/>
        <v>0</v>
      </c>
      <c r="DO98" s="2042">
        <f t="shared" si="220"/>
        <v>0</v>
      </c>
      <c r="DP98" s="2042">
        <f t="shared" si="220"/>
        <v>0</v>
      </c>
      <c r="DQ98" s="2042">
        <f t="shared" si="220"/>
        <v>0</v>
      </c>
      <c r="DR98" s="2042">
        <f t="shared" si="220"/>
        <v>0</v>
      </c>
      <c r="DS98" s="2042">
        <f t="shared" si="220"/>
        <v>0</v>
      </c>
      <c r="DT98" s="2042">
        <f t="shared" si="220"/>
        <v>0</v>
      </c>
      <c r="DU98" s="2042">
        <f t="shared" si="220"/>
        <v>0</v>
      </c>
      <c r="DV98" s="2042">
        <f t="shared" si="220"/>
        <v>0</v>
      </c>
      <c r="DW98" s="2042">
        <f t="shared" si="220"/>
        <v>0</v>
      </c>
      <c r="DX98" s="2042">
        <f t="shared" si="220"/>
        <v>0</v>
      </c>
      <c r="DY98" s="2042"/>
      <c r="DZ98" s="2042">
        <f t="shared" si="219"/>
        <v>0</v>
      </c>
      <c r="EA98" s="2042">
        <f t="shared" si="219"/>
        <v>0</v>
      </c>
      <c r="EB98" s="2042">
        <f t="shared" si="219"/>
        <v>0</v>
      </c>
      <c r="EC98" s="2042">
        <f t="shared" si="219"/>
        <v>0</v>
      </c>
      <c r="ED98" s="2042">
        <f t="shared" si="219"/>
        <v>0</v>
      </c>
      <c r="EE98" s="2042">
        <f t="shared" si="219"/>
        <v>0</v>
      </c>
      <c r="EF98" s="2042">
        <f t="shared" si="219"/>
        <v>0</v>
      </c>
      <c r="EG98" s="2042">
        <f t="shared" si="219"/>
        <v>0</v>
      </c>
      <c r="EH98" s="2042">
        <f t="shared" si="219"/>
        <v>0</v>
      </c>
      <c r="EI98" s="2042">
        <f t="shared" si="219"/>
        <v>0</v>
      </c>
      <c r="EJ98" s="2042">
        <f t="shared" si="219"/>
        <v>0</v>
      </c>
      <c r="EK98" s="2042">
        <f t="shared" si="219"/>
        <v>0</v>
      </c>
      <c r="EL98" s="2042"/>
      <c r="EM98" s="2042">
        <f t="shared" si="167"/>
        <v>0</v>
      </c>
      <c r="EN98" s="2042">
        <f t="shared" si="221"/>
        <v>0</v>
      </c>
      <c r="EO98" s="2042">
        <f t="shared" si="221"/>
        <v>0</v>
      </c>
      <c r="EP98" s="2042">
        <f t="shared" si="221"/>
        <v>0</v>
      </c>
      <c r="EQ98" s="2042">
        <f t="shared" si="221"/>
        <v>0</v>
      </c>
      <c r="ER98" s="2042">
        <f t="shared" si="221"/>
        <v>0</v>
      </c>
      <c r="ES98" s="2042">
        <f t="shared" si="221"/>
        <v>0</v>
      </c>
      <c r="ET98" s="2042">
        <f t="shared" si="221"/>
        <v>0</v>
      </c>
      <c r="EU98" s="2042">
        <f t="shared" si="221"/>
        <v>0</v>
      </c>
      <c r="EV98" s="2042">
        <f t="shared" si="221"/>
        <v>0</v>
      </c>
      <c r="EW98" s="2042">
        <f t="shared" si="221"/>
        <v>0</v>
      </c>
      <c r="EX98" s="2042">
        <f t="shared" si="221"/>
        <v>0</v>
      </c>
      <c r="EY98" s="2042"/>
      <c r="EZ98" s="2045">
        <f t="shared" si="195"/>
        <v>0</v>
      </c>
      <c r="FA98" s="2042">
        <f>EZ98+CZ98+DZ98                 -         SUMIF('Berechnung Nährstoffe und Lager'!$AX$113:$AX$155,$CX98,'Berechnung Nährstoffe und Lager'!$U$113:$U$155)/12  -$GB98*$HC98/12</f>
        <v>0</v>
      </c>
      <c r="FB98" s="2042">
        <f>FA98+DA98+EA98                 -         SUMIF('Berechnung Nährstoffe und Lager'!$AX$113:$AX$155,$CX98,'Berechnung Nährstoffe und Lager'!$U$113:$U$155)/12  -$GB98*$HC98/12</f>
        <v>0</v>
      </c>
      <c r="FC98" s="2042">
        <f>FB98+DB98+EB98                 -         SUMIF('Berechnung Nährstoffe und Lager'!$AX$113:$AX$155,$CX98,'Berechnung Nährstoffe und Lager'!$U$113:$U$155)/12  -$GB98*$HC98/12</f>
        <v>0</v>
      </c>
      <c r="FD98" s="2042">
        <f>FC98+DC98+EC98                 -         SUMIF('Berechnung Nährstoffe und Lager'!$AX$113:$AX$155,$CX98,'Berechnung Nährstoffe und Lager'!$U$113:$U$155)/12  -$GB98*$HC98/12</f>
        <v>0</v>
      </c>
      <c r="FE98" s="2042">
        <f>FD98+DD98+ED98                 -         SUMIF('Berechnung Nährstoffe und Lager'!$AX$113:$AX$155,$CX98,'Berechnung Nährstoffe und Lager'!$U$113:$U$155)/12  -$GB98*$HC98/12</f>
        <v>0</v>
      </c>
      <c r="FF98" s="2042">
        <f>FE98+DE98+EE98                 -         SUMIF('Berechnung Nährstoffe und Lager'!$AX$113:$AX$155,$CX98,'Berechnung Nährstoffe und Lager'!$U$113:$U$155)/12  -$GB98*$HC98/12</f>
        <v>0</v>
      </c>
      <c r="FG98" s="2042">
        <f>FF98+DF98+EF98                 -         SUMIF('Berechnung Nährstoffe und Lager'!$AX$113:$AX$155,$CX98,'Berechnung Nährstoffe und Lager'!$U$113:$U$155)/12  -$GB98*$HC98/12</f>
        <v>0</v>
      </c>
      <c r="FH98" s="2042">
        <f>FG98+DG98+EG98                 -         SUMIF('Berechnung Nährstoffe und Lager'!$AX$113:$AX$155,$CX98,'Berechnung Nährstoffe und Lager'!$U$113:$U$155)/12  -$GB98*$HC98/12</f>
        <v>0</v>
      </c>
      <c r="FI98" s="2042">
        <f>FH98+DH98+EH98                 -         SUMIF('Berechnung Nährstoffe und Lager'!$AX$113:$AX$155,$CX98,'Berechnung Nährstoffe und Lager'!$U$113:$U$155)/12  -$GB98*$HC98/12</f>
        <v>0</v>
      </c>
      <c r="FJ98" s="2042">
        <f>FI98+DI98+EI98                 -         SUMIF('Berechnung Nährstoffe und Lager'!$AX$113:$AX$155,$CX98,'Berechnung Nährstoffe und Lager'!$U$113:$U$155)/12  -$GB98*$HC98/12</f>
        <v>0</v>
      </c>
      <c r="FK98" s="2042">
        <f>FJ98+DJ98+EJ98                 -         SUMIF('Berechnung Nährstoffe und Lager'!$AX$113:$AX$155,$CX98,'Berechnung Nährstoffe und Lager'!$U$113:$U$155)/12  -$GB98*$HC98/12</f>
        <v>0</v>
      </c>
      <c r="FL98" s="2042">
        <f>FK98+DK98+EK98                 -         SUMIF('Berechnung Nährstoffe und Lager'!$AX$113:$AX$155,$CX98,'Berechnung Nährstoffe und Lager'!$U$113:$U$155)/12  -$GB98*$HC98/12</f>
        <v>0</v>
      </c>
      <c r="FM98" s="2042"/>
      <c r="FN98" s="2045">
        <f t="shared" si="196"/>
        <v>0</v>
      </c>
      <c r="FO98" s="2042">
        <f>FN98+DM98+EM98                 -         SUMIF('Berechnung Nährstoffe und Lager'!$AX$113:$AX$155,$CX98,'Berechnung Nährstoffe und Lager'!$V$113:$V$155)/12  -$GC98*$HC98/12</f>
        <v>0</v>
      </c>
      <c r="FP98" s="2042">
        <f>FO98+DN98+EN98                 -         SUMIF('Berechnung Nährstoffe und Lager'!$AX$113:$AX$155,$CX98,'Berechnung Nährstoffe und Lager'!$V$113:$V$155)/12  -$GC98*$HC98/12</f>
        <v>0</v>
      </c>
      <c r="FQ98" s="2042">
        <f>FP98+DO98+EO98                 -         SUMIF('Berechnung Nährstoffe und Lager'!$AX$113:$AX$155,$CX98,'Berechnung Nährstoffe und Lager'!$V$113:$V$155)/12  -$GC98*$HC98/12</f>
        <v>0</v>
      </c>
      <c r="FR98" s="2042">
        <f>FQ98+DP98+EP98                 -         SUMIF('Berechnung Nährstoffe und Lager'!$AX$113:$AX$155,$CX98,'Berechnung Nährstoffe und Lager'!$V$113:$V$155)/12  -$GC98*$HC98/12</f>
        <v>0</v>
      </c>
      <c r="FS98" s="2042">
        <f>FR98+DQ98+EQ98                 -         SUMIF('Berechnung Nährstoffe und Lager'!$AX$113:$AX$155,$CX98,'Berechnung Nährstoffe und Lager'!$V$113:$V$155)/12  -$GC98*$HC98/12</f>
        <v>0</v>
      </c>
      <c r="FT98" s="2042">
        <f>FS98+DR98+ER98                 -         SUMIF('Berechnung Nährstoffe und Lager'!$AX$113:$AX$155,$CX98,'Berechnung Nährstoffe und Lager'!$V$113:$V$155)/12  -$GC98*$HC98/12</f>
        <v>0</v>
      </c>
      <c r="FU98" s="2042">
        <f>FT98+DS98+ES98                 -         SUMIF('Berechnung Nährstoffe und Lager'!$AX$113:$AX$155,$CX98,'Berechnung Nährstoffe und Lager'!$V$113:$V$155)/12  -$GC98*$HC98/12</f>
        <v>0</v>
      </c>
      <c r="FV98" s="2042">
        <f>FU98+DT98+ET98                 -         SUMIF('Berechnung Nährstoffe und Lager'!$AX$113:$AX$155,$CX98,'Berechnung Nährstoffe und Lager'!$V$113:$V$155)/12  -$GC98*$HC98/12</f>
        <v>0</v>
      </c>
      <c r="FW98" s="2042">
        <f>FV98+DU98+EU98                 -         SUMIF('Berechnung Nährstoffe und Lager'!$AX$113:$AX$155,$CX98,'Berechnung Nährstoffe und Lager'!$V$113:$V$155)/12  -$GC98*$HC98/12</f>
        <v>0</v>
      </c>
      <c r="FX98" s="2042">
        <f>FW98+DV98+EV98                 -         SUMIF('Berechnung Nährstoffe und Lager'!$AX$113:$AX$155,$CX98,'Berechnung Nährstoffe und Lager'!$V$113:$V$155)/12  -$GC98*$HC98/12</f>
        <v>0</v>
      </c>
      <c r="FY98" s="2042">
        <f>FX98+DW98+EW98                 -         SUMIF('Berechnung Nährstoffe und Lager'!$AX$113:$AX$155,$CX98,'Berechnung Nährstoffe und Lager'!$V$113:$V$155)/12  -$GC98*$HC98/12</f>
        <v>0</v>
      </c>
      <c r="FZ98" s="2042">
        <f>FY98+DX98+EX98                 -         SUMIF('Berechnung Nährstoffe und Lager'!$AX$113:$AX$155,$CX98,'Berechnung Nährstoffe und Lager'!$V$113:$V$155)/12  -$GC98*$HC98/12</f>
        <v>0</v>
      </c>
      <c r="GA98" s="2042"/>
      <c r="GB98" s="2042">
        <f>SUMIFS($CI$14:$CI$68,$BR$14:$BR$68,$CX98)+SUMIFS($CM$14:$CM$68,$BR$14:$BR$68,$CX98)+SUMIFS($CR$14:$CR$68,$BR$14:$BR$68,$CX98)  -         SUMIF('Berechnung Nährstoffe und Lager'!$AX$113:$AX$155,$CX98,'Berechnung Nährstoffe und Lager'!$U$113:$U$155)</f>
        <v>0</v>
      </c>
      <c r="GC98" s="2042">
        <f>SUMIFS($CJ$14:$CJ$68,$BR$14:$BR$68,$CX98)+SUMIFS($CO$14:$CO$68,$BR$14:$BR$68,$CX98)+SUMIFS($CT$14:$CT$68,$BR$14:$BR$68,$CX98)  -         SUMIF('Berechnung Nährstoffe und Lager'!$AX$113:$AX$155,$CX98,'Berechnung Nährstoffe und Lager'!$V$113:$V$155)</f>
        <v>0</v>
      </c>
      <c r="GD98" s="2042"/>
      <c r="GE98" s="2042"/>
      <c r="GF98" s="2042">
        <f>SUMIF('Berechnung Nährstoffe und Lager'!$AX$113:$AX$155,$CX98,'Berechnung Nährstoffe und Lager'!$U$113:$U$155)</f>
        <v>0</v>
      </c>
      <c r="GG98" s="2042">
        <f>SUMIF('Berechnung Nährstoffe und Lager'!$AX$113:$AX$155,$CX98,'Berechnung Nährstoffe und Lager'!$V$113:$V$155)</f>
        <v>0</v>
      </c>
      <c r="GH98" s="2042">
        <f t="shared" si="197"/>
        <v>0</v>
      </c>
      <c r="GI98" s="2042">
        <f t="shared" si="198"/>
        <v>0</v>
      </c>
      <c r="GJ98" s="2042">
        <f t="shared" si="180"/>
        <v>0</v>
      </c>
      <c r="GK98" s="2042">
        <f t="shared" si="181"/>
        <v>0</v>
      </c>
      <c r="GL98" s="2042">
        <f t="shared" si="182"/>
        <v>0</v>
      </c>
      <c r="GM98" s="2042" cm="1">
        <f t="array" ref="GM98">IF(GL98=0,0,(IFERROR(SUMPRODUCT($J$14:$J$68,$CH$14:$CH$68,($BR$14:$BR$68=CX98)*1)+SUMPRODUCT($L$14:$L$68,$M$14:$M$68,$CK$14:$CK$68,($BR$14:$BR$68=CX98)*1,($BT$14:$BT$68=FALSE)*1)/10+SUMPRODUCT($R$14:$R$68,$CP$14:$CP$68,($BR$14:$BR$68=CX98)*1),0))/GL98)</f>
        <v>0</v>
      </c>
      <c r="GN98" s="2042">
        <f t="shared" si="199"/>
        <v>0</v>
      </c>
      <c r="GO98" s="2042">
        <f>(SUMIF('Berechnung Nährstoffe und Lager'!$AX$113:$AX$130,'Lagerhaltung (freiwillig)'!CX98,'Berechnung Nährstoffe und Lager'!$D$113:$D$130)+SUMIF('Berechnung Nährstoffe und Lager'!$AX$137:$AX$155,'Lagerhaltung (freiwillig)'!CX98,'Berechnung Nährstoffe und Lager'!$E$137:$E$155))</f>
        <v>0</v>
      </c>
      <c r="GP98" s="2042" cm="1">
        <f t="array" ref="GP98">IF(GO98=0,0,(IFERROR(SUMPRODUCT('Berechnung Nährstoffe und Lager'!$D$113:$D$130,'Berechnung Nährstoffe und Lager'!$F$113:$F$130,('Berechnung Nährstoffe und Lager'!$AX$113:$AX$130='Lagerhaltung (freiwillig)'!CX98)*1)+SUMPRODUCT('Berechnung Nährstoffe und Lager'!$E$137:$E$155,'Berechnung Nährstoffe und Lager'!$F$137:$F$155,('Berechnung Nährstoffe und Lager'!$AX$137:$AX$155='Lagerhaltung (freiwillig)'!CX98)*1),0))/GO98)</f>
        <v>0</v>
      </c>
      <c r="GQ98" s="2042">
        <f t="shared" si="200"/>
        <v>0</v>
      </c>
      <c r="GR98" s="2042">
        <f t="shared" si="201"/>
        <v>0</v>
      </c>
      <c r="GS98" s="2042">
        <f t="shared" si="202"/>
        <v>0</v>
      </c>
      <c r="GT98" s="2042">
        <f t="shared" si="203"/>
        <v>0</v>
      </c>
      <c r="GU98" s="2045" t="str">
        <f t="shared" si="175"/>
        <v xml:space="preserve"> </v>
      </c>
      <c r="GV98" s="2045" t="str">
        <f t="shared" si="175"/>
        <v xml:space="preserve"> </v>
      </c>
      <c r="GW98" s="2054">
        <f t="shared" si="183"/>
        <v>0</v>
      </c>
      <c r="GX98" s="2042">
        <f t="shared" si="184"/>
        <v>0</v>
      </c>
      <c r="GY98" s="2042" t="str">
        <f t="shared" si="174"/>
        <v>a</v>
      </c>
      <c r="GZ98" s="2055">
        <f t="shared" si="185"/>
        <v>0</v>
      </c>
      <c r="HA98" s="2055">
        <f t="shared" si="186"/>
        <v>0</v>
      </c>
      <c r="HB98" s="2055"/>
      <c r="HC98" s="2046">
        <f t="shared" si="187"/>
        <v>0</v>
      </c>
      <c r="HD98" s="2055">
        <f t="shared" si="188"/>
        <v>0</v>
      </c>
      <c r="HE98" s="2055">
        <f t="shared" si="189"/>
        <v>0</v>
      </c>
      <c r="HF98" s="2055">
        <f t="shared" si="190"/>
        <v>0</v>
      </c>
      <c r="HG98" s="2282" cm="1">
        <f t="array" ref="HG98">IF(AND(HE98=0,GJ98=0),0,IF(HE98=0,1,IF(OR(GJ98*1000/HE98/HF98&gt;INDEX(Pflanzen!$AD$5:$AD$109,CX98)/INDEX(Pflanzen!$M$5:$M$109,CX98)*$HG$2,GJ98*1000/HE98/HF98&lt;INDEX(Pflanzen!$AD$5:$AD$109,CX98)/INDEX(Pflanzen!$M$5:$M$109,CX98)/$HG$2),1,0)))</f>
        <v>0</v>
      </c>
      <c r="HH98" s="2282" cm="1">
        <f t="array" ref="HH98">IF(AND(GK98=0,HE98=0),0,IF(HE98=0,1,IF(OR(GK98*1000/HE98/HF98&gt;INDEX(Pflanzen!$AE$5:$AE$109,CX98)/INDEX(Pflanzen!$M$5:$M$109,CX98)*$HG$2,GK98*1000/HE98/HF98&lt;INDEX(Pflanzen!$AE$5:$AE$109,CX98)/INDEX(Pflanzen!$M$5:$M$109,CX98)/$HG$2),1,0)))</f>
        <v>0</v>
      </c>
      <c r="HI98" s="2042">
        <f t="shared" si="191"/>
        <v>3</v>
      </c>
      <c r="HJ98" s="2042"/>
      <c r="HL98" s="2042"/>
      <c r="HM98" s="2042"/>
      <c r="HN98" s="2042"/>
      <c r="HO98" s="2042"/>
      <c r="HP98" s="2042"/>
      <c r="HQ98" s="2042"/>
      <c r="HR98" s="2042"/>
      <c r="HS98" s="2042"/>
      <c r="HT98" s="2042"/>
      <c r="HU98" s="2042"/>
      <c r="HV98" s="2042"/>
      <c r="HW98" s="2042"/>
      <c r="HX98" s="2042"/>
      <c r="HY98" s="2042"/>
      <c r="HZ98" s="2042"/>
      <c r="IA98" s="2042"/>
      <c r="IB98" s="2042"/>
      <c r="IC98" s="2042"/>
      <c r="ID98" s="2042"/>
      <c r="IE98" s="2042"/>
      <c r="IF98" s="2042"/>
      <c r="IG98" s="2042"/>
      <c r="IH98" s="2042"/>
      <c r="II98" s="2042"/>
      <c r="IJ98" s="2042"/>
    </row>
    <row r="99" spans="1:244" ht="15.6" customHeight="1" x14ac:dyDescent="0.2">
      <c r="A99" s="3107" t="s">
        <v>8532</v>
      </c>
      <c r="B99" s="2025"/>
      <c r="C99" s="2025"/>
      <c r="D99" s="2025"/>
      <c r="E99" s="2026"/>
      <c r="F99" s="3067"/>
      <c r="G99" s="3068"/>
      <c r="H99" s="3110" t="s">
        <v>1153</v>
      </c>
      <c r="I99" s="3111"/>
      <c r="J99" s="3111"/>
      <c r="K99" s="3112"/>
      <c r="L99" s="2274" cm="1">
        <f t="array" ref="L99">INDEX(Tierprodukte!$C$7:$C$19,BQ99)</f>
        <v>0</v>
      </c>
      <c r="M99" s="2279" cm="1">
        <f t="array" ref="M99">INDEX(Tierprodukte!$D$7:$D$19,BQ99)</f>
        <v>0</v>
      </c>
      <c r="N99" s="3105">
        <f>IF(BT99=1,F99*L99*-1/1000,F99/BU99*L99*-1/1000)</f>
        <v>0</v>
      </c>
      <c r="O99" s="3106"/>
      <c r="P99" s="3086">
        <f>IF(BT99=1,F99*M99*-1/1000,F99/BU99*M99*-1/1000)</f>
        <v>0</v>
      </c>
      <c r="Q99" s="3087"/>
      <c r="R99" s="402" t="str">
        <f>IF(AND(BT99=2,BU99=1),"Schlachtgewicht nicht möglich","")</f>
        <v/>
      </c>
      <c r="S99" s="402"/>
      <c r="T99" s="1118"/>
      <c r="U99" s="510"/>
      <c r="V99" s="510"/>
      <c r="Y99" s="2005" t="str" cm="1">
        <f t="array" ref="Y99">IFERROR(INDEX($CW$4:$CW$171,AY99),"")</f>
        <v/>
      </c>
      <c r="Z99" s="510"/>
      <c r="AA99" s="510"/>
      <c r="AB99" s="510"/>
      <c r="AC99" s="2031" t="str" cm="1">
        <f t="array" ref="AC99">IFERROR(INDEX($GL$4:$GL$171,AY99),"")</f>
        <v/>
      </c>
      <c r="AD99" s="2031" t="str" cm="1">
        <f t="array" ref="AD99">IFERROR(INDEX($GM$4:$GM$171,AY99),"")</f>
        <v/>
      </c>
      <c r="AE99" s="2031" t="str" cm="1">
        <f t="array" ref="AE99">IFERROR(INDEX($GH$4:$GH$171,AY99),"")</f>
        <v/>
      </c>
      <c r="AF99" s="2031" t="str" cm="1">
        <f t="array" ref="AF99">IFERROR(INDEX($GI$4:$GI$171,AY99),"")</f>
        <v/>
      </c>
      <c r="AG99" s="2031" t="str" cm="1">
        <f t="array" ref="AG99">IFERROR(INDEX($GO$4:$GO$171,AY99),"")</f>
        <v/>
      </c>
      <c r="AH99" s="2031" t="str" cm="1">
        <f t="array" ref="AH99">IFERROR(INDEX($GP$4:$GP$171,AY99),"")</f>
        <v/>
      </c>
      <c r="AI99" s="2031" t="str" cm="1">
        <f t="array" ref="AI99">IFERROR(INDEX($GF$4:$GF$171,AY99),"")</f>
        <v/>
      </c>
      <c r="AJ99" s="2031" t="str" cm="1">
        <f t="array" ref="AJ99">IFERROR(INDEX($GG$4:$GG$171,AY99),"")</f>
        <v/>
      </c>
      <c r="AK99" s="2031" t="str" cm="1">
        <f t="array" ref="AK99">IFERROR(INDEX($GS$4:$GS$171,AY99),"")</f>
        <v/>
      </c>
      <c r="AL99" s="2032" t="str" cm="1">
        <f t="array" ref="AL99">IFERROR(INDEX($GT$4:$GT$171,AY99),"")</f>
        <v/>
      </c>
      <c r="AM99" s="2031" t="str" cm="1">
        <f t="array" ref="AM99">IFERROR(INDEX($GB$4:$GB$171,AY99),"")</f>
        <v/>
      </c>
      <c r="AN99" s="2031" t="str" cm="1">
        <f t="array" ref="AN99">IFERROR(INDEX($GC$4:$GC$171,AY99),"")</f>
        <v/>
      </c>
      <c r="AO99" s="2031" t="str" cm="1">
        <f t="array" ref="AO99">IFERROR(INDEX($GU$4:$GU$171,AY99),"")</f>
        <v/>
      </c>
      <c r="AP99" s="2031" t="str" cm="1">
        <f t="array" ref="AP99">IFERROR(INDEX($GX$4:$GX$171,AY99),"")</f>
        <v/>
      </c>
      <c r="AQ99" s="1316"/>
      <c r="AR99" s="2031" t="str" cm="1">
        <f t="array" ref="AR99">IFERROR(INDEX($HD$4:$HD$171,AY99),"")</f>
        <v/>
      </c>
      <c r="AS99" s="2031" t="str" cm="1">
        <f t="array" ref="AS99">IFERROR(INDEX($HE$4:$HE$171,AY99),"")</f>
        <v/>
      </c>
      <c r="AT99" s="2031" t="str" cm="1">
        <f t="array" ref="AT99">IFERROR(INDEX($HF$4:$HF$171,AY99),"")</f>
        <v/>
      </c>
      <c r="AU99" s="2031" t="str" cm="1">
        <f t="array" ref="AU99">IFERROR(INDEX($GJ$4:$GJ$171,AY99),"")</f>
        <v/>
      </c>
      <c r="AV99" s="2031" t="str" cm="1">
        <f t="array" ref="AV99">IFERROR(INDEX($GK$4:$GK$171,AY99),"")</f>
        <v/>
      </c>
      <c r="AY99" s="2042" t="str" cm="1">
        <f t="array" ref="AY99">IFERROR(SMALL(IF($HI$4:$HI$171=1,ROW($HI$4:$HI$171)-3),ROW(W84)),IFERROR(SMALL(IF($HI$4:$HI$171=2,ROW($HI$4:$HI$171)-3),ROW(W84)-COUNTIF($HI$4:$HI$171,1)),IFERROR(SMALL(IF($HI$4:$HI$171=0,ROW($HI$4:$HI$171)-3),ROW(W84)-COUNTIF($HI$4:$HI$171,1)-COUNTIF($HI$4:$HI$171,2)),"")))</f>
        <v/>
      </c>
      <c r="AZ99" s="2042" t="str">
        <f t="shared" si="215"/>
        <v>a</v>
      </c>
      <c r="BA99" s="2053" t="e">
        <f t="shared" si="172"/>
        <v>#VALUE!</v>
      </c>
      <c r="BB99" s="2053" cm="1">
        <f t="array" ref="BB99">IFERROR(INDEX($HI$4:$HI$171,AY99),0)</f>
        <v>0</v>
      </c>
      <c r="BC99" s="2053">
        <f t="shared" si="173"/>
        <v>0</v>
      </c>
      <c r="BD99" s="2053"/>
      <c r="BE99" s="2307"/>
      <c r="BF99" s="2307"/>
      <c r="BG99" s="2307"/>
      <c r="BH99" s="2307"/>
      <c r="BI99" s="2307"/>
      <c r="BJ99" s="2307"/>
      <c r="BK99" s="2307"/>
      <c r="BL99" s="2307"/>
      <c r="BM99" s="2307"/>
      <c r="BN99" s="2307"/>
      <c r="BO99" s="2307"/>
      <c r="BP99" s="2043"/>
      <c r="BQ99" s="2042">
        <v>1</v>
      </c>
      <c r="BR99" s="2042" cm="1">
        <f t="array" ref="BR99">INDEX(Tierprodukte!$J$7:$J$19,'Lagerhaltung (freiwillig)'!BQ99)</f>
        <v>0</v>
      </c>
      <c r="BS99" s="2042"/>
      <c r="BT99" s="2045">
        <v>1</v>
      </c>
      <c r="BU99" s="2059" cm="1">
        <f t="array" ref="BU99">INDEX(Tierprodukte!$K$7:$K$19,BQ99)</f>
        <v>0.5</v>
      </c>
      <c r="BV99" s="2059"/>
      <c r="BW99" s="2053">
        <f>HO35+HO36</f>
        <v>0</v>
      </c>
      <c r="BX99" s="2053">
        <f>HO49</f>
        <v>0</v>
      </c>
      <c r="BY99" s="2042"/>
      <c r="BZ99" s="2042"/>
      <c r="CA99" s="2042" t="s">
        <v>217</v>
      </c>
      <c r="CB99" s="2042" t="s">
        <v>218</v>
      </c>
      <c r="CC99" s="2042" t="s">
        <v>94</v>
      </c>
      <c r="CD99" s="2042" t="s">
        <v>1160</v>
      </c>
      <c r="CE99" s="2042"/>
      <c r="CF99" s="2042" t="s">
        <v>217</v>
      </c>
      <c r="CG99" s="2042"/>
      <c r="CH99" s="2042" t="s">
        <v>218</v>
      </c>
      <c r="CI99" s="2042" t="s">
        <v>94</v>
      </c>
      <c r="CJ99" s="2042" t="s">
        <v>1160</v>
      </c>
      <c r="CL99" s="2042"/>
      <c r="CM99" s="2042"/>
      <c r="CN99" s="2042"/>
      <c r="CO99" s="2042"/>
      <c r="CP99" s="2042"/>
      <c r="CQ99" s="2042"/>
      <c r="CR99" s="2042"/>
      <c r="CS99" s="2042"/>
      <c r="CT99" s="2042"/>
      <c r="CU99" s="2042"/>
      <c r="CV99" s="2042"/>
      <c r="CW99" s="609" t="str">
        <f>Pflanzen!A95</f>
        <v xml:space="preserve"> +++Schwein, nur Zukauf+++</v>
      </c>
      <c r="CX99" s="2042">
        <f>IFERROR(MATCH($CW99,Pflanzen!$C$5:$C$119,0),1)</f>
        <v>86</v>
      </c>
      <c r="CY99" s="609" cm="1">
        <f t="array" ref="CY99">INDEX(Pflanzen!$I$5:$I$119,'Lagerhaltung (freiwillig)'!CX99)</f>
        <v>0</v>
      </c>
      <c r="CZ99" s="2042">
        <f t="shared" ref="CZ99:DK108" si="222">SUMIFS($CQ$14:$CQ$68,$BW$14:$BW$68,1,$BX$14:$BX$68,CZ$2,$BR$14:$BR$68,$CX99)+    SUMIFS($CQ$14:$CQ$68,$BW$14:$BW$68,"&gt;1",$BX$14:$BX$68,"&lt;="&amp;CZ$2,$BY$14:$BY$68,"&gt;="&amp;CZ$2,$BR$14:$BR$68,$CX99)</f>
        <v>0</v>
      </c>
      <c r="DA99" s="2042">
        <f t="shared" si="222"/>
        <v>0</v>
      </c>
      <c r="DB99" s="2042">
        <f t="shared" si="222"/>
        <v>0</v>
      </c>
      <c r="DC99" s="2042">
        <f t="shared" si="222"/>
        <v>0</v>
      </c>
      <c r="DD99" s="2042">
        <f t="shared" si="222"/>
        <v>0</v>
      </c>
      <c r="DE99" s="2042">
        <f t="shared" si="222"/>
        <v>0</v>
      </c>
      <c r="DF99" s="2042">
        <f t="shared" si="222"/>
        <v>0</v>
      </c>
      <c r="DG99" s="2042">
        <f t="shared" si="222"/>
        <v>0</v>
      </c>
      <c r="DH99" s="2042">
        <f t="shared" si="222"/>
        <v>0</v>
      </c>
      <c r="DI99" s="2042">
        <f t="shared" si="222"/>
        <v>0</v>
      </c>
      <c r="DJ99" s="2042">
        <f t="shared" si="222"/>
        <v>0</v>
      </c>
      <c r="DK99" s="2042">
        <f t="shared" si="222"/>
        <v>0</v>
      </c>
      <c r="DL99" s="2042"/>
      <c r="DM99" s="2042">
        <f t="shared" si="165"/>
        <v>0</v>
      </c>
      <c r="DN99" s="2042">
        <f t="shared" si="220"/>
        <v>0</v>
      </c>
      <c r="DO99" s="2042">
        <f t="shared" si="220"/>
        <v>0</v>
      </c>
      <c r="DP99" s="2042">
        <f t="shared" si="220"/>
        <v>0</v>
      </c>
      <c r="DQ99" s="2042">
        <f t="shared" si="220"/>
        <v>0</v>
      </c>
      <c r="DR99" s="2042">
        <f t="shared" si="220"/>
        <v>0</v>
      </c>
      <c r="DS99" s="2042">
        <f t="shared" si="220"/>
        <v>0</v>
      </c>
      <c r="DT99" s="2042">
        <f t="shared" si="220"/>
        <v>0</v>
      </c>
      <c r="DU99" s="2042">
        <f t="shared" si="220"/>
        <v>0</v>
      </c>
      <c r="DV99" s="2042">
        <f t="shared" si="220"/>
        <v>0</v>
      </c>
      <c r="DW99" s="2042">
        <f t="shared" si="220"/>
        <v>0</v>
      </c>
      <c r="DX99" s="2042">
        <f t="shared" si="220"/>
        <v>0</v>
      </c>
      <c r="DY99" s="2042"/>
      <c r="DZ99" s="2042">
        <f t="shared" ref="DZ99:EK108" si="223">SUMIFS($CL$14:$CL$68,$CC$14:$CC$68,1,$CD$14:$CD$68,DZ$2,$BR$14:$BR$68,$CX99)+         SUMIFS($CL$14:$CL$68,$CC$14:$CC$68,"&gt;1",$CD$14:$CD$68,"&lt;="&amp;DZ$2,$CE$14:$CE$68,"&gt;="&amp;DZ$2,$BR$14:$BR$68,$CX99)</f>
        <v>0</v>
      </c>
      <c r="EA99" s="2042">
        <f t="shared" si="223"/>
        <v>0</v>
      </c>
      <c r="EB99" s="2042">
        <f t="shared" si="223"/>
        <v>0</v>
      </c>
      <c r="EC99" s="2042">
        <f t="shared" si="223"/>
        <v>0</v>
      </c>
      <c r="ED99" s="2042">
        <f t="shared" si="223"/>
        <v>0</v>
      </c>
      <c r="EE99" s="2042">
        <f t="shared" si="223"/>
        <v>0</v>
      </c>
      <c r="EF99" s="2042">
        <f t="shared" si="223"/>
        <v>0</v>
      </c>
      <c r="EG99" s="2042">
        <f t="shared" si="223"/>
        <v>0</v>
      </c>
      <c r="EH99" s="2042">
        <f t="shared" si="223"/>
        <v>0</v>
      </c>
      <c r="EI99" s="2042">
        <f t="shared" si="223"/>
        <v>0</v>
      </c>
      <c r="EJ99" s="2042">
        <f t="shared" si="223"/>
        <v>0</v>
      </c>
      <c r="EK99" s="2042">
        <f t="shared" si="223"/>
        <v>0</v>
      </c>
      <c r="EL99" s="2042"/>
      <c r="EM99" s="2042">
        <f t="shared" si="167"/>
        <v>0</v>
      </c>
      <c r="EN99" s="2042">
        <f t="shared" si="221"/>
        <v>0</v>
      </c>
      <c r="EO99" s="2042">
        <f t="shared" si="221"/>
        <v>0</v>
      </c>
      <c r="EP99" s="2042">
        <f t="shared" si="221"/>
        <v>0</v>
      </c>
      <c r="EQ99" s="2042">
        <f t="shared" si="221"/>
        <v>0</v>
      </c>
      <c r="ER99" s="2042">
        <f t="shared" si="221"/>
        <v>0</v>
      </c>
      <c r="ES99" s="2042">
        <f t="shared" si="221"/>
        <v>0</v>
      </c>
      <c r="ET99" s="2042">
        <f t="shared" si="221"/>
        <v>0</v>
      </c>
      <c r="EU99" s="2042">
        <f t="shared" si="221"/>
        <v>0</v>
      </c>
      <c r="EV99" s="2042">
        <f t="shared" si="221"/>
        <v>0</v>
      </c>
      <c r="EW99" s="2042">
        <f t="shared" si="221"/>
        <v>0</v>
      </c>
      <c r="EX99" s="2042">
        <f t="shared" si="221"/>
        <v>0</v>
      </c>
      <c r="EY99" s="2042"/>
      <c r="EZ99" s="2045">
        <f t="shared" si="195"/>
        <v>0</v>
      </c>
      <c r="FA99" s="2042">
        <f>EZ99+CZ99+DZ99                 -         SUMIF('Berechnung Nährstoffe und Lager'!$AX$113:$AX$155,$CX99,'Berechnung Nährstoffe und Lager'!$U$113:$U$155)/12  -$GB99*$HC99/12</f>
        <v>0</v>
      </c>
      <c r="FB99" s="2042">
        <f>FA99+DA99+EA99                 -         SUMIF('Berechnung Nährstoffe und Lager'!$AX$113:$AX$155,$CX99,'Berechnung Nährstoffe und Lager'!$U$113:$U$155)/12  -$GB99*$HC99/12</f>
        <v>0</v>
      </c>
      <c r="FC99" s="2042">
        <f>FB99+DB99+EB99                 -         SUMIF('Berechnung Nährstoffe und Lager'!$AX$113:$AX$155,$CX99,'Berechnung Nährstoffe und Lager'!$U$113:$U$155)/12  -$GB99*$HC99/12</f>
        <v>0</v>
      </c>
      <c r="FD99" s="2042">
        <f>FC99+DC99+EC99                 -         SUMIF('Berechnung Nährstoffe und Lager'!$AX$113:$AX$155,$CX99,'Berechnung Nährstoffe und Lager'!$U$113:$U$155)/12  -$GB99*$HC99/12</f>
        <v>0</v>
      </c>
      <c r="FE99" s="2042">
        <f>FD99+DD99+ED99                 -         SUMIF('Berechnung Nährstoffe und Lager'!$AX$113:$AX$155,$CX99,'Berechnung Nährstoffe und Lager'!$U$113:$U$155)/12  -$GB99*$HC99/12</f>
        <v>0</v>
      </c>
      <c r="FF99" s="2042">
        <f>FE99+DE99+EE99                 -         SUMIF('Berechnung Nährstoffe und Lager'!$AX$113:$AX$155,$CX99,'Berechnung Nährstoffe und Lager'!$U$113:$U$155)/12  -$GB99*$HC99/12</f>
        <v>0</v>
      </c>
      <c r="FG99" s="2042">
        <f>FF99+DF99+EF99                 -         SUMIF('Berechnung Nährstoffe und Lager'!$AX$113:$AX$155,$CX99,'Berechnung Nährstoffe und Lager'!$U$113:$U$155)/12  -$GB99*$HC99/12</f>
        <v>0</v>
      </c>
      <c r="FH99" s="2042">
        <f>FG99+DG99+EG99                 -         SUMIF('Berechnung Nährstoffe und Lager'!$AX$113:$AX$155,$CX99,'Berechnung Nährstoffe und Lager'!$U$113:$U$155)/12  -$GB99*$HC99/12</f>
        <v>0</v>
      </c>
      <c r="FI99" s="2042">
        <f>FH99+DH99+EH99                 -         SUMIF('Berechnung Nährstoffe und Lager'!$AX$113:$AX$155,$CX99,'Berechnung Nährstoffe und Lager'!$U$113:$U$155)/12  -$GB99*$HC99/12</f>
        <v>0</v>
      </c>
      <c r="FJ99" s="2042">
        <f>FI99+DI99+EI99                 -         SUMIF('Berechnung Nährstoffe und Lager'!$AX$113:$AX$155,$CX99,'Berechnung Nährstoffe und Lager'!$U$113:$U$155)/12  -$GB99*$HC99/12</f>
        <v>0</v>
      </c>
      <c r="FK99" s="2042">
        <f>FJ99+DJ99+EJ99                 -         SUMIF('Berechnung Nährstoffe und Lager'!$AX$113:$AX$155,$CX99,'Berechnung Nährstoffe und Lager'!$U$113:$U$155)/12  -$GB99*$HC99/12</f>
        <v>0</v>
      </c>
      <c r="FL99" s="2042">
        <f>FK99+DK99+EK99                 -         SUMIF('Berechnung Nährstoffe und Lager'!$AX$113:$AX$155,$CX99,'Berechnung Nährstoffe und Lager'!$U$113:$U$155)/12  -$GB99*$HC99/12</f>
        <v>0</v>
      </c>
      <c r="FM99" s="2042"/>
      <c r="FN99" s="2045">
        <f t="shared" si="196"/>
        <v>0</v>
      </c>
      <c r="FO99" s="2042">
        <f>FN99+DM99+EM99                 -         SUMIF('Berechnung Nährstoffe und Lager'!$AX$113:$AX$155,$CX99,'Berechnung Nährstoffe und Lager'!$V$113:$V$155)/12  -$GC99*$HC99/12</f>
        <v>0</v>
      </c>
      <c r="FP99" s="2042">
        <f>FO99+DN99+EN99                 -         SUMIF('Berechnung Nährstoffe und Lager'!$AX$113:$AX$155,$CX99,'Berechnung Nährstoffe und Lager'!$V$113:$V$155)/12  -$GC99*$HC99/12</f>
        <v>0</v>
      </c>
      <c r="FQ99" s="2042">
        <f>FP99+DO99+EO99                 -         SUMIF('Berechnung Nährstoffe und Lager'!$AX$113:$AX$155,$CX99,'Berechnung Nährstoffe und Lager'!$V$113:$V$155)/12  -$GC99*$HC99/12</f>
        <v>0</v>
      </c>
      <c r="FR99" s="2042">
        <f>FQ99+DP99+EP99                 -         SUMIF('Berechnung Nährstoffe und Lager'!$AX$113:$AX$155,$CX99,'Berechnung Nährstoffe und Lager'!$V$113:$V$155)/12  -$GC99*$HC99/12</f>
        <v>0</v>
      </c>
      <c r="FS99" s="2042">
        <f>FR99+DQ99+EQ99                 -         SUMIF('Berechnung Nährstoffe und Lager'!$AX$113:$AX$155,$CX99,'Berechnung Nährstoffe und Lager'!$V$113:$V$155)/12  -$GC99*$HC99/12</f>
        <v>0</v>
      </c>
      <c r="FT99" s="2042">
        <f>FS99+DR99+ER99                 -         SUMIF('Berechnung Nährstoffe und Lager'!$AX$113:$AX$155,$CX99,'Berechnung Nährstoffe und Lager'!$V$113:$V$155)/12  -$GC99*$HC99/12</f>
        <v>0</v>
      </c>
      <c r="FU99" s="2042">
        <f>FT99+DS99+ES99                 -         SUMIF('Berechnung Nährstoffe und Lager'!$AX$113:$AX$155,$CX99,'Berechnung Nährstoffe und Lager'!$V$113:$V$155)/12  -$GC99*$HC99/12</f>
        <v>0</v>
      </c>
      <c r="FV99" s="2042">
        <f>FU99+DT99+ET99                 -         SUMIF('Berechnung Nährstoffe und Lager'!$AX$113:$AX$155,$CX99,'Berechnung Nährstoffe und Lager'!$V$113:$V$155)/12  -$GC99*$HC99/12</f>
        <v>0</v>
      </c>
      <c r="FW99" s="2042">
        <f>FV99+DU99+EU99                 -         SUMIF('Berechnung Nährstoffe und Lager'!$AX$113:$AX$155,$CX99,'Berechnung Nährstoffe und Lager'!$V$113:$V$155)/12  -$GC99*$HC99/12</f>
        <v>0</v>
      </c>
      <c r="FX99" s="2042">
        <f>FW99+DV99+EV99                 -         SUMIF('Berechnung Nährstoffe und Lager'!$AX$113:$AX$155,$CX99,'Berechnung Nährstoffe und Lager'!$V$113:$V$155)/12  -$GC99*$HC99/12</f>
        <v>0</v>
      </c>
      <c r="FY99" s="2042">
        <f>FX99+DW99+EW99                 -         SUMIF('Berechnung Nährstoffe und Lager'!$AX$113:$AX$155,$CX99,'Berechnung Nährstoffe und Lager'!$V$113:$V$155)/12  -$GC99*$HC99/12</f>
        <v>0</v>
      </c>
      <c r="FZ99" s="2042">
        <f>FY99+DX99+EX99                 -         SUMIF('Berechnung Nährstoffe und Lager'!$AX$113:$AX$155,$CX99,'Berechnung Nährstoffe und Lager'!$V$113:$V$155)/12  -$GC99*$HC99/12</f>
        <v>0</v>
      </c>
      <c r="GA99" s="2042"/>
      <c r="GB99" s="2042">
        <f>SUMIFS($CI$14:$CI$68,$BR$14:$BR$68,$CX99)+SUMIFS($CM$14:$CM$68,$BR$14:$BR$68,$CX99)+SUMIFS($CR$14:$CR$68,$BR$14:$BR$68,$CX99)  -         SUMIF('Berechnung Nährstoffe und Lager'!$AX$113:$AX$155,$CX99,'Berechnung Nährstoffe und Lager'!$U$113:$U$155)</f>
        <v>0</v>
      </c>
      <c r="GC99" s="2042">
        <f>SUMIFS($CJ$14:$CJ$68,$BR$14:$BR$68,$CX99)+SUMIFS($CO$14:$CO$68,$BR$14:$BR$68,$CX99)+SUMIFS($CT$14:$CT$68,$BR$14:$BR$68,$CX99)  -         SUMIF('Berechnung Nährstoffe und Lager'!$AX$113:$AX$155,$CX99,'Berechnung Nährstoffe und Lager'!$V$113:$V$155)</f>
        <v>0</v>
      </c>
      <c r="GD99" s="2042"/>
      <c r="GE99" s="2042"/>
      <c r="GF99" s="2042">
        <f>SUMIF('Berechnung Nährstoffe und Lager'!$AX$113:$AX$155,$CX99,'Berechnung Nährstoffe und Lager'!$U$113:$U$155)</f>
        <v>0</v>
      </c>
      <c r="GG99" s="2042">
        <f>SUMIF('Berechnung Nährstoffe und Lager'!$AX$113:$AX$155,$CX99,'Berechnung Nährstoffe und Lager'!$V$113:$V$155)</f>
        <v>0</v>
      </c>
      <c r="GH99" s="2042">
        <f t="shared" si="197"/>
        <v>0</v>
      </c>
      <c r="GI99" s="2042">
        <f t="shared" si="198"/>
        <v>0</v>
      </c>
      <c r="GJ99" s="2042">
        <f t="shared" si="180"/>
        <v>0</v>
      </c>
      <c r="GK99" s="2042">
        <f t="shared" si="181"/>
        <v>0</v>
      </c>
      <c r="GL99" s="2042">
        <f t="shared" si="182"/>
        <v>0</v>
      </c>
      <c r="GM99" s="2042" cm="1">
        <f t="array" ref="GM99">IF(GL99=0,0,(IFERROR(SUMPRODUCT($J$14:$J$68,$CH$14:$CH$68,($BR$14:$BR$68=CX99)*1)+SUMPRODUCT($L$14:$L$68,$M$14:$M$68,$CK$14:$CK$68,($BR$14:$BR$68=CX99)*1,($BT$14:$BT$68=FALSE)*1)/10+SUMPRODUCT($R$14:$R$68,$CP$14:$CP$68,($BR$14:$BR$68=CX99)*1),0))/GL99)</f>
        <v>0</v>
      </c>
      <c r="GN99" s="2042">
        <f t="shared" si="199"/>
        <v>0</v>
      </c>
      <c r="GO99" s="2042">
        <f>(SUMIF('Berechnung Nährstoffe und Lager'!$AX$113:$AX$130,'Lagerhaltung (freiwillig)'!CX99,'Berechnung Nährstoffe und Lager'!$D$113:$D$130)+SUMIF('Berechnung Nährstoffe und Lager'!$AX$137:$AX$155,'Lagerhaltung (freiwillig)'!CX99,'Berechnung Nährstoffe und Lager'!$E$137:$E$155))</f>
        <v>0</v>
      </c>
      <c r="GP99" s="2042" cm="1">
        <f t="array" ref="GP99">IF(GO99=0,0,(IFERROR(SUMPRODUCT('Berechnung Nährstoffe und Lager'!$D$113:$D$130,'Berechnung Nährstoffe und Lager'!$F$113:$F$130,('Berechnung Nährstoffe und Lager'!$AX$113:$AX$130='Lagerhaltung (freiwillig)'!CX99)*1)+SUMPRODUCT('Berechnung Nährstoffe und Lager'!$E$137:$E$155,'Berechnung Nährstoffe und Lager'!$F$137:$F$155,('Berechnung Nährstoffe und Lager'!$AX$137:$AX$155='Lagerhaltung (freiwillig)'!CX99)*1),0))/GO99)</f>
        <v>0</v>
      </c>
      <c r="GQ99" s="2042">
        <f t="shared" si="200"/>
        <v>0</v>
      </c>
      <c r="GR99" s="2042">
        <f t="shared" si="201"/>
        <v>0</v>
      </c>
      <c r="GS99" s="2042">
        <f t="shared" si="202"/>
        <v>0</v>
      </c>
      <c r="GT99" s="2042">
        <f t="shared" si="203"/>
        <v>0</v>
      </c>
      <c r="GU99" s="2045" t="str">
        <f t="shared" si="175"/>
        <v xml:space="preserve"> </v>
      </c>
      <c r="GV99" s="2045" t="str">
        <f t="shared" si="175"/>
        <v xml:space="preserve"> </v>
      </c>
      <c r="GW99" s="2054">
        <f t="shared" si="183"/>
        <v>0</v>
      </c>
      <c r="GX99" s="2042">
        <f t="shared" si="184"/>
        <v>0</v>
      </c>
      <c r="GY99" s="2042" t="str">
        <f t="shared" si="174"/>
        <v>a</v>
      </c>
      <c r="GZ99" s="2055">
        <f t="shared" si="185"/>
        <v>0</v>
      </c>
      <c r="HA99" s="2055">
        <f t="shared" si="186"/>
        <v>0</v>
      </c>
      <c r="HB99" s="2055"/>
      <c r="HC99" s="2046">
        <f t="shared" si="187"/>
        <v>0</v>
      </c>
      <c r="HD99" s="2055">
        <f t="shared" si="188"/>
        <v>0</v>
      </c>
      <c r="HE99" s="2055">
        <f t="shared" si="189"/>
        <v>0</v>
      </c>
      <c r="HF99" s="2055">
        <f t="shared" si="190"/>
        <v>0</v>
      </c>
      <c r="HG99" s="2282" cm="1">
        <f t="array" ref="HG99">IF(AND(HE99=0,GJ99=0),0,IF(HE99=0,1,IF(OR(GJ99*1000/HE99/HF99&gt;INDEX(Pflanzen!$AD$5:$AD$109,CX99)/INDEX(Pflanzen!$M$5:$M$109,CX99)*$HG$2,GJ99*1000/HE99/HF99&lt;INDEX(Pflanzen!$AD$5:$AD$109,CX99)/INDEX(Pflanzen!$M$5:$M$109,CX99)/$HG$2),1,0)))</f>
        <v>0</v>
      </c>
      <c r="HH99" s="2282" cm="1">
        <f t="array" ref="HH99">IF(AND(GK99=0,HE99=0),0,IF(HE99=0,1,IF(OR(GK99*1000/HE99/HF99&gt;INDEX(Pflanzen!$AE$5:$AE$109,CX99)/INDEX(Pflanzen!$M$5:$M$109,CX99)*$HG$2,GK99*1000/HE99/HF99&lt;INDEX(Pflanzen!$AE$5:$AE$109,CX99)/INDEX(Pflanzen!$M$5:$M$109,CX99)/$HG$2),1,0)))</f>
        <v>0</v>
      </c>
      <c r="HI99" s="2042">
        <f t="shared" si="191"/>
        <v>3</v>
      </c>
      <c r="HJ99" s="2042"/>
      <c r="HL99" s="2042"/>
      <c r="HM99" s="2042"/>
      <c r="HN99" s="2042"/>
      <c r="HO99" s="2042"/>
      <c r="HP99" s="2042"/>
      <c r="HQ99" s="2042"/>
      <c r="HR99" s="2042"/>
      <c r="HS99" s="2042"/>
      <c r="HT99" s="2042"/>
      <c r="HU99" s="2042"/>
      <c r="HV99" s="2042"/>
      <c r="HW99" s="2042"/>
      <c r="HX99" s="2042"/>
      <c r="HY99" s="2042"/>
      <c r="HZ99" s="2042"/>
      <c r="IA99" s="2042"/>
      <c r="IB99" s="2042"/>
      <c r="IC99" s="2042"/>
      <c r="ID99" s="2042"/>
      <c r="IE99" s="2042"/>
      <c r="IF99" s="2042"/>
      <c r="IG99" s="2042"/>
      <c r="IH99" s="2042"/>
      <c r="II99" s="2042"/>
      <c r="IJ99" s="2042"/>
    </row>
    <row r="100" spans="1:244" ht="15.6" customHeight="1" x14ac:dyDescent="0.2">
      <c r="A100" s="3108"/>
      <c r="B100" s="2025"/>
      <c r="C100" s="2025"/>
      <c r="D100" s="2025"/>
      <c r="E100" s="2026"/>
      <c r="F100" s="3067"/>
      <c r="G100" s="3068"/>
      <c r="H100" s="3110" t="s">
        <v>1153</v>
      </c>
      <c r="I100" s="3111"/>
      <c r="J100" s="3111"/>
      <c r="K100" s="3112"/>
      <c r="L100" s="2274" cm="1">
        <f t="array" ref="L100">INDEX(Tierprodukte!$C$7:$C$19,BQ100)</f>
        <v>0</v>
      </c>
      <c r="M100" s="2279" cm="1">
        <f t="array" ref="M100">INDEX(Tierprodukte!$D$7:$D$19,BQ100)</f>
        <v>0</v>
      </c>
      <c r="N100" s="3105">
        <f>IF(BT100=1,F100*L100*-1/1000,F100/BU100*L100*-1/1000)</f>
        <v>0</v>
      </c>
      <c r="O100" s="3106"/>
      <c r="P100" s="3086">
        <f>IF(BT100=1,F100*M100*-1/1000,F100/BU100*M100*-1/1000)</f>
        <v>0</v>
      </c>
      <c r="Q100" s="3087"/>
      <c r="R100" s="402" t="str">
        <f>IF(AND(BT100=2,BU100=1),"Schlachtgewicht nicht möglich","")</f>
        <v/>
      </c>
      <c r="S100" s="402"/>
      <c r="T100" s="1118"/>
      <c r="U100" s="510"/>
      <c r="V100" s="510"/>
      <c r="Y100" s="2005" t="str" cm="1">
        <f t="array" ref="Y100">IFERROR(INDEX($CW$4:$CW$171,AY100),"")</f>
        <v/>
      </c>
      <c r="Z100" s="510"/>
      <c r="AA100" s="510"/>
      <c r="AB100" s="510"/>
      <c r="AC100" s="2031" t="str" cm="1">
        <f t="array" ref="AC100">IFERROR(INDEX($GL$4:$GL$171,AY100),"")</f>
        <v/>
      </c>
      <c r="AD100" s="2031" t="str" cm="1">
        <f t="array" ref="AD100">IFERROR(INDEX($GM$4:$GM$171,AY100),"")</f>
        <v/>
      </c>
      <c r="AE100" s="2031" t="str" cm="1">
        <f t="array" ref="AE100">IFERROR(INDEX($GH$4:$GH$171,AY100),"")</f>
        <v/>
      </c>
      <c r="AF100" s="2031" t="str" cm="1">
        <f t="array" ref="AF100">IFERROR(INDEX($GI$4:$GI$171,AY100),"")</f>
        <v/>
      </c>
      <c r="AG100" s="2031" t="str" cm="1">
        <f t="array" ref="AG100">IFERROR(INDEX($GO$4:$GO$171,AY100),"")</f>
        <v/>
      </c>
      <c r="AH100" s="2031" t="str" cm="1">
        <f t="array" ref="AH100">IFERROR(INDEX($GP$4:$GP$171,AY100),"")</f>
        <v/>
      </c>
      <c r="AI100" s="2031" t="str" cm="1">
        <f t="array" ref="AI100">IFERROR(INDEX($GF$4:$GF$171,AY100),"")</f>
        <v/>
      </c>
      <c r="AJ100" s="2031" t="str" cm="1">
        <f t="array" ref="AJ100">IFERROR(INDEX($GG$4:$GG$171,AY100),"")</f>
        <v/>
      </c>
      <c r="AK100" s="2031" t="str" cm="1">
        <f t="array" ref="AK100">IFERROR(INDEX($GS$4:$GS$171,AY100),"")</f>
        <v/>
      </c>
      <c r="AL100" s="2032" t="str" cm="1">
        <f t="array" ref="AL100">IFERROR(INDEX($GT$4:$GT$171,AY100),"")</f>
        <v/>
      </c>
      <c r="AM100" s="2031" t="str" cm="1">
        <f t="array" ref="AM100">IFERROR(INDEX($GB$4:$GB$171,AY100),"")</f>
        <v/>
      </c>
      <c r="AN100" s="2031" t="str" cm="1">
        <f t="array" ref="AN100">IFERROR(INDEX($GC$4:$GC$171,AY100),"")</f>
        <v/>
      </c>
      <c r="AO100" s="2031" t="str" cm="1">
        <f t="array" ref="AO100">IFERROR(INDEX($GU$4:$GU$171,AY100),"")</f>
        <v/>
      </c>
      <c r="AP100" s="2031" t="str" cm="1">
        <f t="array" ref="AP100">IFERROR(INDEX($GX$4:$GX$171,AY100),"")</f>
        <v/>
      </c>
      <c r="AQ100" s="1316"/>
      <c r="AR100" s="2031" t="str" cm="1">
        <f t="array" ref="AR100">IFERROR(INDEX($HD$4:$HD$171,AY100),"")</f>
        <v/>
      </c>
      <c r="AS100" s="2031" t="str" cm="1">
        <f t="array" ref="AS100">IFERROR(INDEX($HE$4:$HE$171,AY100),"")</f>
        <v/>
      </c>
      <c r="AT100" s="2031" t="str" cm="1">
        <f t="array" ref="AT100">IFERROR(INDEX($HF$4:$HF$171,AY100),"")</f>
        <v/>
      </c>
      <c r="AU100" s="2031" t="str" cm="1">
        <f t="array" ref="AU100">IFERROR(INDEX($GJ$4:$GJ$171,AY100),"")</f>
        <v/>
      </c>
      <c r="AV100" s="2031" t="str" cm="1">
        <f t="array" ref="AV100">IFERROR(INDEX($GK$4:$GK$171,AY100),"")</f>
        <v/>
      </c>
      <c r="AY100" s="2042" t="str" cm="1">
        <f t="array" ref="AY100">IFERROR(SMALL(IF($HI$4:$HI$171=1,ROW($HI$4:$HI$171)-3),ROW(W85)),IFERROR(SMALL(IF($HI$4:$HI$171=2,ROW($HI$4:$HI$171)-3),ROW(W85)-COUNTIF($HI$4:$HI$171,1)),IFERROR(SMALL(IF($HI$4:$HI$171=0,ROW($HI$4:$HI$171)-3),ROW(W85)-COUNTIF($HI$4:$HI$171,1)-COUNTIF($HI$4:$HI$171,2)),"")))</f>
        <v/>
      </c>
      <c r="AZ100" s="2042" t="str">
        <f t="shared" si="215"/>
        <v>a</v>
      </c>
      <c r="BA100" s="2053" t="e">
        <f t="shared" si="172"/>
        <v>#VALUE!</v>
      </c>
      <c r="BB100" s="2053" cm="1">
        <f t="array" ref="BB100">IFERROR(INDEX($HI$4:$HI$171,AY100),0)</f>
        <v>0</v>
      </c>
      <c r="BC100" s="2053">
        <f t="shared" si="173"/>
        <v>0</v>
      </c>
      <c r="BD100" s="2053"/>
      <c r="BE100" s="2307"/>
      <c r="BF100" s="2307"/>
      <c r="BG100" s="2307"/>
      <c r="BH100" s="2307"/>
      <c r="BI100" s="2307"/>
      <c r="BJ100" s="2307"/>
      <c r="BK100" s="2307"/>
      <c r="BL100" s="2307"/>
      <c r="BM100" s="2307"/>
      <c r="BN100" s="2307"/>
      <c r="BO100" s="2307"/>
      <c r="BP100" s="2043"/>
      <c r="BQ100" s="2042">
        <v>1</v>
      </c>
      <c r="BR100" s="2042" cm="1">
        <f t="array" ref="BR100">INDEX(Tierprodukte!$J$7:$J$19,'Lagerhaltung (freiwillig)'!BQ100)</f>
        <v>0</v>
      </c>
      <c r="BS100" s="2042"/>
      <c r="BT100" s="2042">
        <v>1</v>
      </c>
      <c r="BU100" s="2059" cm="1">
        <f t="array" ref="BU100">INDEX(Tierprodukte!$K$7:$K$19,BQ100)</f>
        <v>0.5</v>
      </c>
      <c r="BV100" s="2059"/>
      <c r="BW100" s="2065" t="s">
        <v>8393</v>
      </c>
      <c r="BX100" s="2045" t="s">
        <v>8400</v>
      </c>
      <c r="BY100" s="2042"/>
      <c r="BZ100" s="2042" t="s">
        <v>1065</v>
      </c>
      <c r="CA100" s="2042">
        <f>SUMIF($HP$4:$HP$65,IC5,$HV$4:$HV$65)</f>
        <v>0</v>
      </c>
      <c r="CB100" s="2042">
        <f>SUMIF($HP$4:$HP$65,IC6,$HV$4:$HV$65)</f>
        <v>0</v>
      </c>
      <c r="CC100" s="2042">
        <f>SUMIF($HP$4:$HP$65,IC7,$HV$4:$HV$65)</f>
        <v>0</v>
      </c>
      <c r="CD100" s="2042">
        <f>SUMIF($HP$4:$HP$65,IC8,$HV$4:$HV$65)</f>
        <v>0</v>
      </c>
      <c r="CE100" s="2042"/>
      <c r="CF100" s="2276">
        <f>CA102-N98</f>
        <v>0</v>
      </c>
      <c r="CG100" s="2276"/>
      <c r="CH100" s="2045">
        <f>CB102</f>
        <v>0</v>
      </c>
      <c r="CI100" s="2276">
        <f>CC102-N102</f>
        <v>0</v>
      </c>
      <c r="CJ100" s="2276">
        <f>CD102-N103</f>
        <v>0</v>
      </c>
      <c r="CL100" s="2042"/>
      <c r="CM100" s="2042"/>
      <c r="CN100" s="2042"/>
      <c r="CO100" s="2042"/>
      <c r="CP100" s="2042"/>
      <c r="CQ100" s="2042"/>
      <c r="CR100" s="2042"/>
      <c r="CS100" s="2042"/>
      <c r="CT100" s="2042"/>
      <c r="CU100" s="2042"/>
      <c r="CV100" s="2042"/>
      <c r="CW100" s="609" t="str">
        <f>Pflanzen!A96</f>
        <v xml:space="preserve">Mastschweinegülle, Standardfutter </v>
      </c>
      <c r="CX100" s="2042">
        <f>IFERROR(MATCH($CW100,Pflanzen!$C$5:$C$119,0),1)</f>
        <v>87</v>
      </c>
      <c r="CY100" s="609" cm="1">
        <f t="array" ref="CY100">INDEX(Pflanzen!$I$5:$I$119,'Lagerhaltung (freiwillig)'!CX100)</f>
        <v>0</v>
      </c>
      <c r="CZ100" s="2042">
        <f t="shared" si="222"/>
        <v>0</v>
      </c>
      <c r="DA100" s="2042">
        <f t="shared" si="222"/>
        <v>0</v>
      </c>
      <c r="DB100" s="2042">
        <f t="shared" si="222"/>
        <v>0</v>
      </c>
      <c r="DC100" s="2042">
        <f t="shared" si="222"/>
        <v>0</v>
      </c>
      <c r="DD100" s="2042">
        <f t="shared" si="222"/>
        <v>0</v>
      </c>
      <c r="DE100" s="2042">
        <f t="shared" si="222"/>
        <v>0</v>
      </c>
      <c r="DF100" s="2042">
        <f t="shared" si="222"/>
        <v>0</v>
      </c>
      <c r="DG100" s="2042">
        <f t="shared" si="222"/>
        <v>0</v>
      </c>
      <c r="DH100" s="2042">
        <f t="shared" si="222"/>
        <v>0</v>
      </c>
      <c r="DI100" s="2042">
        <f t="shared" si="222"/>
        <v>0</v>
      </c>
      <c r="DJ100" s="2042">
        <f t="shared" si="222"/>
        <v>0</v>
      </c>
      <c r="DK100" s="2042">
        <f t="shared" si="222"/>
        <v>0</v>
      </c>
      <c r="DL100" s="2042"/>
      <c r="DM100" s="2042">
        <f t="shared" si="165"/>
        <v>0</v>
      </c>
      <c r="DN100" s="2042">
        <f t="shared" si="220"/>
        <v>0</v>
      </c>
      <c r="DO100" s="2042">
        <f t="shared" si="220"/>
        <v>0</v>
      </c>
      <c r="DP100" s="2042">
        <f t="shared" si="220"/>
        <v>0</v>
      </c>
      <c r="DQ100" s="2042">
        <f t="shared" si="220"/>
        <v>0</v>
      </c>
      <c r="DR100" s="2042">
        <f t="shared" si="220"/>
        <v>0</v>
      </c>
      <c r="DS100" s="2042">
        <f t="shared" si="220"/>
        <v>0</v>
      </c>
      <c r="DT100" s="2042">
        <f t="shared" si="220"/>
        <v>0</v>
      </c>
      <c r="DU100" s="2042">
        <f t="shared" si="220"/>
        <v>0</v>
      </c>
      <c r="DV100" s="2042">
        <f t="shared" si="220"/>
        <v>0</v>
      </c>
      <c r="DW100" s="2042">
        <f t="shared" si="220"/>
        <v>0</v>
      </c>
      <c r="DX100" s="2042">
        <f t="shared" si="220"/>
        <v>0</v>
      </c>
      <c r="DY100" s="2042"/>
      <c r="DZ100" s="2042">
        <f t="shared" si="223"/>
        <v>0</v>
      </c>
      <c r="EA100" s="2042">
        <f t="shared" si="223"/>
        <v>0</v>
      </c>
      <c r="EB100" s="2042">
        <f t="shared" si="223"/>
        <v>0</v>
      </c>
      <c r="EC100" s="2042">
        <f t="shared" si="223"/>
        <v>0</v>
      </c>
      <c r="ED100" s="2042">
        <f t="shared" si="223"/>
        <v>0</v>
      </c>
      <c r="EE100" s="2042">
        <f t="shared" si="223"/>
        <v>0</v>
      </c>
      <c r="EF100" s="2042">
        <f t="shared" si="223"/>
        <v>0</v>
      </c>
      <c r="EG100" s="2042">
        <f t="shared" si="223"/>
        <v>0</v>
      </c>
      <c r="EH100" s="2042">
        <f t="shared" si="223"/>
        <v>0</v>
      </c>
      <c r="EI100" s="2042">
        <f t="shared" si="223"/>
        <v>0</v>
      </c>
      <c r="EJ100" s="2042">
        <f t="shared" si="223"/>
        <v>0</v>
      </c>
      <c r="EK100" s="2042">
        <f t="shared" si="223"/>
        <v>0</v>
      </c>
      <c r="EL100" s="2042"/>
      <c r="EM100" s="2042">
        <f t="shared" si="167"/>
        <v>0</v>
      </c>
      <c r="EN100" s="2042">
        <f t="shared" si="221"/>
        <v>0</v>
      </c>
      <c r="EO100" s="2042">
        <f t="shared" si="221"/>
        <v>0</v>
      </c>
      <c r="EP100" s="2042">
        <f t="shared" si="221"/>
        <v>0</v>
      </c>
      <c r="EQ100" s="2042">
        <f t="shared" si="221"/>
        <v>0</v>
      </c>
      <c r="ER100" s="2042">
        <f t="shared" si="221"/>
        <v>0</v>
      </c>
      <c r="ES100" s="2042">
        <f t="shared" si="221"/>
        <v>0</v>
      </c>
      <c r="ET100" s="2042">
        <f t="shared" si="221"/>
        <v>0</v>
      </c>
      <c r="EU100" s="2042">
        <f t="shared" si="221"/>
        <v>0</v>
      </c>
      <c r="EV100" s="2042">
        <f t="shared" si="221"/>
        <v>0</v>
      </c>
      <c r="EW100" s="2042">
        <f t="shared" si="221"/>
        <v>0</v>
      </c>
      <c r="EX100" s="2042">
        <f t="shared" si="221"/>
        <v>0</v>
      </c>
      <c r="EY100" s="2042"/>
      <c r="EZ100" s="2045">
        <f t="shared" si="195"/>
        <v>0</v>
      </c>
      <c r="FA100" s="2042">
        <f>EZ100+CZ100+DZ100                 -         SUMIF('Berechnung Nährstoffe und Lager'!$AX$113:$AX$155,$CX100,'Berechnung Nährstoffe und Lager'!$U$113:$U$155)/12  -$GB100*$HC100/12</f>
        <v>0</v>
      </c>
      <c r="FB100" s="2042">
        <f>FA100+DA100+EA100                 -         SUMIF('Berechnung Nährstoffe und Lager'!$AX$113:$AX$155,$CX100,'Berechnung Nährstoffe und Lager'!$U$113:$U$155)/12  -$GB100*$HC100/12</f>
        <v>0</v>
      </c>
      <c r="FC100" s="2042">
        <f>FB100+DB100+EB100                 -         SUMIF('Berechnung Nährstoffe und Lager'!$AX$113:$AX$155,$CX100,'Berechnung Nährstoffe und Lager'!$U$113:$U$155)/12  -$GB100*$HC100/12</f>
        <v>0</v>
      </c>
      <c r="FD100" s="2042">
        <f>FC100+DC100+EC100                 -         SUMIF('Berechnung Nährstoffe und Lager'!$AX$113:$AX$155,$CX100,'Berechnung Nährstoffe und Lager'!$U$113:$U$155)/12  -$GB100*$HC100/12</f>
        <v>0</v>
      </c>
      <c r="FE100" s="2042">
        <f>FD100+DD100+ED100                 -         SUMIF('Berechnung Nährstoffe und Lager'!$AX$113:$AX$155,$CX100,'Berechnung Nährstoffe und Lager'!$U$113:$U$155)/12  -$GB100*$HC100/12</f>
        <v>0</v>
      </c>
      <c r="FF100" s="2042">
        <f>FE100+DE100+EE100                 -         SUMIF('Berechnung Nährstoffe und Lager'!$AX$113:$AX$155,$CX100,'Berechnung Nährstoffe und Lager'!$U$113:$U$155)/12  -$GB100*$HC100/12</f>
        <v>0</v>
      </c>
      <c r="FG100" s="2042">
        <f>FF100+DF100+EF100                 -         SUMIF('Berechnung Nährstoffe und Lager'!$AX$113:$AX$155,$CX100,'Berechnung Nährstoffe und Lager'!$U$113:$U$155)/12  -$GB100*$HC100/12</f>
        <v>0</v>
      </c>
      <c r="FH100" s="2042">
        <f>FG100+DG100+EG100                 -         SUMIF('Berechnung Nährstoffe und Lager'!$AX$113:$AX$155,$CX100,'Berechnung Nährstoffe und Lager'!$U$113:$U$155)/12  -$GB100*$HC100/12</f>
        <v>0</v>
      </c>
      <c r="FI100" s="2042">
        <f>FH100+DH100+EH100                 -         SUMIF('Berechnung Nährstoffe und Lager'!$AX$113:$AX$155,$CX100,'Berechnung Nährstoffe und Lager'!$U$113:$U$155)/12  -$GB100*$HC100/12</f>
        <v>0</v>
      </c>
      <c r="FJ100" s="2042">
        <f>FI100+DI100+EI100                 -         SUMIF('Berechnung Nährstoffe und Lager'!$AX$113:$AX$155,$CX100,'Berechnung Nährstoffe und Lager'!$U$113:$U$155)/12  -$GB100*$HC100/12</f>
        <v>0</v>
      </c>
      <c r="FK100" s="2042">
        <f>FJ100+DJ100+EJ100                 -         SUMIF('Berechnung Nährstoffe und Lager'!$AX$113:$AX$155,$CX100,'Berechnung Nährstoffe und Lager'!$U$113:$U$155)/12  -$GB100*$HC100/12</f>
        <v>0</v>
      </c>
      <c r="FL100" s="2042">
        <f>FK100+DK100+EK100                 -         SUMIF('Berechnung Nährstoffe und Lager'!$AX$113:$AX$155,$CX100,'Berechnung Nährstoffe und Lager'!$U$113:$U$155)/12  -$GB100*$HC100/12</f>
        <v>0</v>
      </c>
      <c r="FM100" s="2042"/>
      <c r="FN100" s="2045">
        <f t="shared" si="196"/>
        <v>0</v>
      </c>
      <c r="FO100" s="2042">
        <f>FN100+DM100+EM100                 -         SUMIF('Berechnung Nährstoffe und Lager'!$AX$113:$AX$155,$CX100,'Berechnung Nährstoffe und Lager'!$V$113:$V$155)/12  -$GC100*$HC100/12</f>
        <v>0</v>
      </c>
      <c r="FP100" s="2042">
        <f>FO100+DN100+EN100                 -         SUMIF('Berechnung Nährstoffe und Lager'!$AX$113:$AX$155,$CX100,'Berechnung Nährstoffe und Lager'!$V$113:$V$155)/12  -$GC100*$HC100/12</f>
        <v>0</v>
      </c>
      <c r="FQ100" s="2042">
        <f>FP100+DO100+EO100                 -         SUMIF('Berechnung Nährstoffe und Lager'!$AX$113:$AX$155,$CX100,'Berechnung Nährstoffe und Lager'!$V$113:$V$155)/12  -$GC100*$HC100/12</f>
        <v>0</v>
      </c>
      <c r="FR100" s="2042">
        <f>FQ100+DP100+EP100                 -         SUMIF('Berechnung Nährstoffe und Lager'!$AX$113:$AX$155,$CX100,'Berechnung Nährstoffe und Lager'!$V$113:$V$155)/12  -$GC100*$HC100/12</f>
        <v>0</v>
      </c>
      <c r="FS100" s="2042">
        <f>FR100+DQ100+EQ100                 -         SUMIF('Berechnung Nährstoffe und Lager'!$AX$113:$AX$155,$CX100,'Berechnung Nährstoffe und Lager'!$V$113:$V$155)/12  -$GC100*$HC100/12</f>
        <v>0</v>
      </c>
      <c r="FT100" s="2042">
        <f>FS100+DR100+ER100                 -         SUMIF('Berechnung Nährstoffe und Lager'!$AX$113:$AX$155,$CX100,'Berechnung Nährstoffe und Lager'!$V$113:$V$155)/12  -$GC100*$HC100/12</f>
        <v>0</v>
      </c>
      <c r="FU100" s="2042">
        <f>FT100+DS100+ES100                 -         SUMIF('Berechnung Nährstoffe und Lager'!$AX$113:$AX$155,$CX100,'Berechnung Nährstoffe und Lager'!$V$113:$V$155)/12  -$GC100*$HC100/12</f>
        <v>0</v>
      </c>
      <c r="FV100" s="2042">
        <f>FU100+DT100+ET100                 -         SUMIF('Berechnung Nährstoffe und Lager'!$AX$113:$AX$155,$CX100,'Berechnung Nährstoffe und Lager'!$V$113:$V$155)/12  -$GC100*$HC100/12</f>
        <v>0</v>
      </c>
      <c r="FW100" s="2042">
        <f>FV100+DU100+EU100                 -         SUMIF('Berechnung Nährstoffe und Lager'!$AX$113:$AX$155,$CX100,'Berechnung Nährstoffe und Lager'!$V$113:$V$155)/12  -$GC100*$HC100/12</f>
        <v>0</v>
      </c>
      <c r="FX100" s="2042">
        <f>FW100+DV100+EV100                 -         SUMIF('Berechnung Nährstoffe und Lager'!$AX$113:$AX$155,$CX100,'Berechnung Nährstoffe und Lager'!$V$113:$V$155)/12  -$GC100*$HC100/12</f>
        <v>0</v>
      </c>
      <c r="FY100" s="2042">
        <f>FX100+DW100+EW100                 -         SUMIF('Berechnung Nährstoffe und Lager'!$AX$113:$AX$155,$CX100,'Berechnung Nährstoffe und Lager'!$V$113:$V$155)/12  -$GC100*$HC100/12</f>
        <v>0</v>
      </c>
      <c r="FZ100" s="2042">
        <f>FY100+DX100+EX100                 -         SUMIF('Berechnung Nährstoffe und Lager'!$AX$113:$AX$155,$CX100,'Berechnung Nährstoffe und Lager'!$V$113:$V$155)/12  -$GC100*$HC100/12</f>
        <v>0</v>
      </c>
      <c r="GA100" s="2042"/>
      <c r="GB100" s="2042">
        <f>SUMIFS($CI$14:$CI$68,$BR$14:$BR$68,$CX100)+SUMIFS($CM$14:$CM$68,$BR$14:$BR$68,$CX100)+SUMIFS($CR$14:$CR$68,$BR$14:$BR$68,$CX100)  -         SUMIF('Berechnung Nährstoffe und Lager'!$AX$113:$AX$155,$CX100,'Berechnung Nährstoffe und Lager'!$U$113:$U$155)</f>
        <v>0</v>
      </c>
      <c r="GC100" s="2042">
        <f>SUMIFS($CJ$14:$CJ$68,$BR$14:$BR$68,$CX100)+SUMIFS($CO$14:$CO$68,$BR$14:$BR$68,$CX100)+SUMIFS($CT$14:$CT$68,$BR$14:$BR$68,$CX100)  -         SUMIF('Berechnung Nährstoffe und Lager'!$AX$113:$AX$155,$CX100,'Berechnung Nährstoffe und Lager'!$V$113:$V$155)</f>
        <v>0</v>
      </c>
      <c r="GD100" s="2042"/>
      <c r="GE100" s="2042"/>
      <c r="GF100" s="2042">
        <f>SUMIF('Berechnung Nährstoffe und Lager'!$AX$113:$AX$155,$CX100,'Berechnung Nährstoffe und Lager'!$U$113:$U$155)</f>
        <v>0</v>
      </c>
      <c r="GG100" s="2042">
        <f>SUMIF('Berechnung Nährstoffe und Lager'!$AX$113:$AX$155,$CX100,'Berechnung Nährstoffe und Lager'!$V$113:$V$155)</f>
        <v>0</v>
      </c>
      <c r="GH100" s="2042">
        <f t="shared" si="197"/>
        <v>0</v>
      </c>
      <c r="GI100" s="2042">
        <f t="shared" si="198"/>
        <v>0</v>
      </c>
      <c r="GJ100" s="2042">
        <f t="shared" si="180"/>
        <v>0</v>
      </c>
      <c r="GK100" s="2042">
        <f t="shared" si="181"/>
        <v>0</v>
      </c>
      <c r="GL100" s="2042">
        <f t="shared" si="182"/>
        <v>0</v>
      </c>
      <c r="GM100" s="2042" cm="1">
        <f t="array" ref="GM100">IF(GL100=0,0,(IFERROR(SUMPRODUCT($J$14:$J$68,$CH$14:$CH$68,($BR$14:$BR$68=CX100)*1)+SUMPRODUCT($L$14:$L$68,$M$14:$M$68,$CK$14:$CK$68,($BR$14:$BR$68=CX100)*1,($BT$14:$BT$68=FALSE)*1)/10+SUMPRODUCT($R$14:$R$68,$CP$14:$CP$68,($BR$14:$BR$68=CX100)*1),0))/GL100)</f>
        <v>0</v>
      </c>
      <c r="GN100" s="2042">
        <f t="shared" si="199"/>
        <v>0</v>
      </c>
      <c r="GO100" s="2042">
        <f>(SUMIF('Berechnung Nährstoffe und Lager'!$AX$113:$AX$130,'Lagerhaltung (freiwillig)'!CX100,'Berechnung Nährstoffe und Lager'!$D$113:$D$130)+SUMIF('Berechnung Nährstoffe und Lager'!$AX$137:$AX$155,'Lagerhaltung (freiwillig)'!CX100,'Berechnung Nährstoffe und Lager'!$E$137:$E$155))</f>
        <v>0</v>
      </c>
      <c r="GP100" s="2042" cm="1">
        <f t="array" ref="GP100">IF(GO100=0,0,(IFERROR(SUMPRODUCT('Berechnung Nährstoffe und Lager'!$D$113:$D$130,'Berechnung Nährstoffe und Lager'!$F$113:$F$130,('Berechnung Nährstoffe und Lager'!$AX$113:$AX$130='Lagerhaltung (freiwillig)'!CX100)*1)+SUMPRODUCT('Berechnung Nährstoffe und Lager'!$E$137:$E$155,'Berechnung Nährstoffe und Lager'!$F$137:$F$155,('Berechnung Nährstoffe und Lager'!$AX$137:$AX$155='Lagerhaltung (freiwillig)'!CX100)*1),0))/GO100)</f>
        <v>0</v>
      </c>
      <c r="GQ100" s="2042">
        <f t="shared" si="200"/>
        <v>0</v>
      </c>
      <c r="GR100" s="2042">
        <f t="shared" si="201"/>
        <v>0</v>
      </c>
      <c r="GS100" s="2042">
        <f t="shared" si="202"/>
        <v>0</v>
      </c>
      <c r="GT100" s="2042">
        <f t="shared" si="203"/>
        <v>0</v>
      </c>
      <c r="GU100" s="2045" t="str">
        <f t="shared" si="175"/>
        <v xml:space="preserve"> </v>
      </c>
      <c r="GV100" s="2045" t="str">
        <f t="shared" si="175"/>
        <v xml:space="preserve"> </v>
      </c>
      <c r="GW100" s="2054">
        <f t="shared" si="183"/>
        <v>0</v>
      </c>
      <c r="GX100" s="2042">
        <f t="shared" si="184"/>
        <v>0</v>
      </c>
      <c r="GY100" s="2042" t="str">
        <f t="shared" si="174"/>
        <v>a</v>
      </c>
      <c r="GZ100" s="2055">
        <f t="shared" si="185"/>
        <v>0</v>
      </c>
      <c r="HA100" s="2055">
        <f t="shared" si="186"/>
        <v>0</v>
      </c>
      <c r="HB100" s="2055"/>
      <c r="HC100" s="2046">
        <f t="shared" si="187"/>
        <v>0</v>
      </c>
      <c r="HD100" s="2055">
        <f t="shared" si="188"/>
        <v>0</v>
      </c>
      <c r="HE100" s="2055">
        <f t="shared" si="189"/>
        <v>0</v>
      </c>
      <c r="HF100" s="2055">
        <f t="shared" si="190"/>
        <v>0</v>
      </c>
      <c r="HG100" s="2282" cm="1">
        <f t="array" ref="HG100">IF(AND(HE100=0,GJ100=0),0,IF(HE100=0,1,IF(OR(GJ100*1000/HE100/HF100&gt;INDEX(Pflanzen!$AD$5:$AD$109,CX100)/INDEX(Pflanzen!$M$5:$M$109,CX100)*$HG$2,GJ100*1000/HE100/HF100&lt;INDEX(Pflanzen!$AD$5:$AD$109,CX100)/INDEX(Pflanzen!$M$5:$M$109,CX100)/$HG$2),1,0)))</f>
        <v>0</v>
      </c>
      <c r="HH100" s="2282" cm="1">
        <f t="array" ref="HH100">IF(AND(GK100=0,HE100=0),0,IF(HE100=0,1,IF(OR(GK100*1000/HE100/HF100&gt;INDEX(Pflanzen!$AE$5:$AE$109,CX100)/INDEX(Pflanzen!$M$5:$M$109,CX100)*$HG$2,GK100*1000/HE100/HF100&lt;INDEX(Pflanzen!$AE$5:$AE$109,CX100)/INDEX(Pflanzen!$M$5:$M$109,CX100)/$HG$2),1,0)))</f>
        <v>0</v>
      </c>
      <c r="HI100" s="2042">
        <f t="shared" si="191"/>
        <v>3</v>
      </c>
      <c r="HJ100" s="2042"/>
      <c r="HL100" s="2042"/>
      <c r="HM100" s="2042"/>
      <c r="HN100" s="2042"/>
      <c r="HO100" s="2042"/>
      <c r="HP100" s="2042"/>
      <c r="HQ100" s="2042"/>
      <c r="HR100" s="2042"/>
      <c r="HS100" s="2042"/>
      <c r="HT100" s="2042"/>
      <c r="HU100" s="2042"/>
      <c r="HV100" s="2042"/>
      <c r="HW100" s="2042"/>
      <c r="HX100" s="2042"/>
      <c r="HY100" s="2042"/>
      <c r="HZ100" s="2042"/>
      <c r="IA100" s="2042"/>
      <c r="IB100" s="2042"/>
      <c r="IC100" s="2042"/>
      <c r="ID100" s="2042"/>
      <c r="IE100" s="2042"/>
      <c r="IF100" s="2042"/>
      <c r="IG100" s="2042"/>
      <c r="IH100" s="2042"/>
      <c r="II100" s="2042"/>
      <c r="IJ100" s="2042"/>
    </row>
    <row r="101" spans="1:244" ht="15.6" customHeight="1" x14ac:dyDescent="0.2">
      <c r="A101" s="3109"/>
      <c r="B101" s="2025"/>
      <c r="C101" s="2025"/>
      <c r="D101" s="2025"/>
      <c r="E101" s="2026"/>
      <c r="F101" s="3067"/>
      <c r="G101" s="3068"/>
      <c r="H101" s="3110" t="s">
        <v>1153</v>
      </c>
      <c r="I101" s="3111"/>
      <c r="J101" s="3111"/>
      <c r="K101" s="3112"/>
      <c r="L101" s="2274" cm="1">
        <f t="array" ref="L101">INDEX(Tierprodukte!$C$7:$C$19,BQ101)</f>
        <v>0</v>
      </c>
      <c r="M101" s="2279" cm="1">
        <f t="array" ref="M101">INDEX(Tierprodukte!$D$7:$D$19,BQ101)</f>
        <v>0</v>
      </c>
      <c r="N101" s="3105">
        <f>IF(BT101=1,F101*L101*-1/1000,F101/BU101*L101*-1/1000)</f>
        <v>0</v>
      </c>
      <c r="O101" s="3106"/>
      <c r="P101" s="3086">
        <f>IF(BT101=1,F101*M101*-1/1000,F101/BU101*M101*-1/1000)</f>
        <v>0</v>
      </c>
      <c r="Q101" s="3087"/>
      <c r="R101" s="402" t="str">
        <f>IF(AND(BT101=2,BU101=1),"Schlachtgewicht nicht möglich","")</f>
        <v/>
      </c>
      <c r="S101" s="402"/>
      <c r="T101" s="1118"/>
      <c r="U101" s="510"/>
      <c r="V101" s="510"/>
      <c r="Y101" s="2005" t="str" cm="1">
        <f t="array" ref="Y101">IFERROR(INDEX($CW$4:$CW$171,AY101),"")</f>
        <v/>
      </c>
      <c r="Z101" s="510"/>
      <c r="AA101" s="510"/>
      <c r="AB101" s="510"/>
      <c r="AC101" s="2031" t="str" cm="1">
        <f t="array" ref="AC101">IFERROR(INDEX($GL$4:$GL$171,AY101),"")</f>
        <v/>
      </c>
      <c r="AD101" s="2031" t="str" cm="1">
        <f t="array" ref="AD101">IFERROR(INDEX($GM$4:$GM$171,AY101),"")</f>
        <v/>
      </c>
      <c r="AE101" s="2031" t="str" cm="1">
        <f t="array" ref="AE101">IFERROR(INDEX($GH$4:$GH$171,AY101),"")</f>
        <v/>
      </c>
      <c r="AF101" s="2031" t="str" cm="1">
        <f t="array" ref="AF101">IFERROR(INDEX($GI$4:$GI$171,AY101),"")</f>
        <v/>
      </c>
      <c r="AG101" s="2031" t="str" cm="1">
        <f t="array" ref="AG101">IFERROR(INDEX($GO$4:$GO$171,AY101),"")</f>
        <v/>
      </c>
      <c r="AH101" s="2031" t="str" cm="1">
        <f t="array" ref="AH101">IFERROR(INDEX($GP$4:$GP$171,AY101),"")</f>
        <v/>
      </c>
      <c r="AI101" s="2031" t="str" cm="1">
        <f t="array" ref="AI101">IFERROR(INDEX($GF$4:$GF$171,AY101),"")</f>
        <v/>
      </c>
      <c r="AJ101" s="2031" t="str" cm="1">
        <f t="array" ref="AJ101">IFERROR(INDEX($GG$4:$GG$171,AY101),"")</f>
        <v/>
      </c>
      <c r="AK101" s="2031" t="str" cm="1">
        <f t="array" ref="AK101">IFERROR(INDEX($GS$4:$GS$171,AY101),"")</f>
        <v/>
      </c>
      <c r="AL101" s="2032" t="str" cm="1">
        <f t="array" ref="AL101">IFERROR(INDEX($GT$4:$GT$171,AY101),"")</f>
        <v/>
      </c>
      <c r="AM101" s="2031" t="str" cm="1">
        <f t="array" ref="AM101">IFERROR(INDEX($GB$4:$GB$171,AY101),"")</f>
        <v/>
      </c>
      <c r="AN101" s="2031" t="str" cm="1">
        <f t="array" ref="AN101">IFERROR(INDEX($GC$4:$GC$171,AY101),"")</f>
        <v/>
      </c>
      <c r="AO101" s="2031" t="str" cm="1">
        <f t="array" ref="AO101">IFERROR(INDEX($GU$4:$GU$171,AY101),"")</f>
        <v/>
      </c>
      <c r="AP101" s="2031" t="str" cm="1">
        <f t="array" ref="AP101">IFERROR(INDEX($GX$4:$GX$171,AY101),"")</f>
        <v/>
      </c>
      <c r="AQ101" s="1316"/>
      <c r="AR101" s="2031" t="str" cm="1">
        <f t="array" ref="AR101">IFERROR(INDEX($HD$4:$HD$171,AY101),"")</f>
        <v/>
      </c>
      <c r="AS101" s="2031" t="str" cm="1">
        <f t="array" ref="AS101">IFERROR(INDEX($HE$4:$HE$171,AY101),"")</f>
        <v/>
      </c>
      <c r="AT101" s="2031" t="str" cm="1">
        <f t="array" ref="AT101">IFERROR(INDEX($HF$4:$HF$171,AY101),"")</f>
        <v/>
      </c>
      <c r="AU101" s="2031" t="str" cm="1">
        <f t="array" ref="AU101">IFERROR(INDEX($GJ$4:$GJ$171,AY101),"")</f>
        <v/>
      </c>
      <c r="AV101" s="2031" t="str" cm="1">
        <f t="array" ref="AV101">IFERROR(INDEX($GK$4:$GK$171,AY101),"")</f>
        <v/>
      </c>
      <c r="AY101" s="2042" t="str" cm="1">
        <f t="array" ref="AY101">IFERROR(SMALL(IF($HI$4:$HI$171=1,ROW($HI$4:$HI$171)-3),ROW(W86)),IFERROR(SMALL(IF($HI$4:$HI$171=2,ROW($HI$4:$HI$171)-3),ROW(W86)-COUNTIF($HI$4:$HI$171,1)),IFERROR(SMALL(IF($HI$4:$HI$171=0,ROW($HI$4:$HI$171)-3),ROW(W86)-COUNTIF($HI$4:$HI$171,1)-COUNTIF($HI$4:$HI$171,2)),"")))</f>
        <v/>
      </c>
      <c r="AZ101" s="2042" t="str">
        <f t="shared" si="215"/>
        <v>a</v>
      </c>
      <c r="BA101" s="2053" t="e">
        <f t="shared" si="172"/>
        <v>#VALUE!</v>
      </c>
      <c r="BB101" s="2053" cm="1">
        <f t="array" ref="BB101">IFERROR(INDEX($HI$4:$HI$171,AY101),0)</f>
        <v>0</v>
      </c>
      <c r="BC101" s="2053">
        <f t="shared" si="173"/>
        <v>0</v>
      </c>
      <c r="BD101" s="2053"/>
      <c r="BE101" s="2307"/>
      <c r="BF101" s="2307"/>
      <c r="BG101" s="2307"/>
      <c r="BH101" s="2307"/>
      <c r="BI101" s="2307"/>
      <c r="BJ101" s="2307"/>
      <c r="BK101" s="2307"/>
      <c r="BL101" s="2307"/>
      <c r="BM101" s="2307"/>
      <c r="BN101" s="2307"/>
      <c r="BO101" s="2307"/>
      <c r="BP101" s="2043"/>
      <c r="BQ101" s="2042">
        <v>1</v>
      </c>
      <c r="BR101" s="2042" cm="1">
        <f t="array" ref="BR101">INDEX(Tierprodukte!$J$7:$J$19,'Lagerhaltung (freiwillig)'!BQ101)</f>
        <v>0</v>
      </c>
      <c r="BS101" s="2042"/>
      <c r="BT101" s="2045">
        <v>1</v>
      </c>
      <c r="BU101" s="2059" cm="1">
        <f t="array" ref="BU101">INDEX(Tierprodukte!$K$7:$K$19,BQ101)</f>
        <v>0.5</v>
      </c>
      <c r="BV101" s="2059"/>
      <c r="BW101" s="2042">
        <f>Tierprodukte!L52</f>
        <v>240</v>
      </c>
      <c r="BX101" s="2042">
        <f>Tierprodukte!L60</f>
        <v>4</v>
      </c>
      <c r="BY101" s="2042"/>
      <c r="BZ101" s="2042" t="s">
        <v>8405</v>
      </c>
      <c r="CA101" s="2042">
        <f>SUMIF($BR$99:$BR$101,1,$N$99:$O$101)*-1</f>
        <v>0</v>
      </c>
      <c r="CB101" s="2042">
        <f>SUMIF($BR$99:$BR$101,2,$N$99:$O$101)*-1</f>
        <v>0</v>
      </c>
      <c r="CC101" s="2042">
        <f>SUMIF($BR$99:$BR$101,3,$N$99:$O$101)*-1</f>
        <v>0</v>
      </c>
      <c r="CD101" s="2042">
        <f>SUMIF($BR$99:$BR$101,4,$N$99:$O$101)*-1</f>
        <v>0</v>
      </c>
      <c r="CE101" s="2042"/>
      <c r="CF101" s="2042"/>
      <c r="CG101" s="2042"/>
      <c r="CH101" s="2042"/>
      <c r="CI101" s="2042"/>
      <c r="CJ101" s="2042"/>
      <c r="CK101" s="2042"/>
      <c r="CL101" s="2042"/>
      <c r="CM101" s="2042"/>
      <c r="CN101" s="2042"/>
      <c r="CO101" s="2042"/>
      <c r="CP101" s="2042"/>
      <c r="CQ101" s="2042"/>
      <c r="CR101" s="2042"/>
      <c r="CS101" s="2042"/>
      <c r="CT101" s="2042"/>
      <c r="CU101" s="2042"/>
      <c r="CV101" s="2042"/>
      <c r="CW101" s="609" t="str">
        <f>Pflanzen!A97</f>
        <v>Mastschweinegülle, N-/P-red. Fütterung</v>
      </c>
      <c r="CX101" s="2042">
        <f>IFERROR(MATCH($CW101,Pflanzen!$C$5:$C$119,0),1)</f>
        <v>88</v>
      </c>
      <c r="CY101" s="609" cm="1">
        <f t="array" ref="CY101">INDEX(Pflanzen!$I$5:$I$119,'Lagerhaltung (freiwillig)'!CX101)</f>
        <v>0</v>
      </c>
      <c r="CZ101" s="2042">
        <f t="shared" si="222"/>
        <v>0</v>
      </c>
      <c r="DA101" s="2042">
        <f t="shared" si="222"/>
        <v>0</v>
      </c>
      <c r="DB101" s="2042">
        <f t="shared" si="222"/>
        <v>0</v>
      </c>
      <c r="DC101" s="2042">
        <f t="shared" si="222"/>
        <v>0</v>
      </c>
      <c r="DD101" s="2042">
        <f t="shared" si="222"/>
        <v>0</v>
      </c>
      <c r="DE101" s="2042">
        <f t="shared" si="222"/>
        <v>0</v>
      </c>
      <c r="DF101" s="2042">
        <f t="shared" si="222"/>
        <v>0</v>
      </c>
      <c r="DG101" s="2042">
        <f t="shared" si="222"/>
        <v>0</v>
      </c>
      <c r="DH101" s="2042">
        <f t="shared" si="222"/>
        <v>0</v>
      </c>
      <c r="DI101" s="2042">
        <f t="shared" si="222"/>
        <v>0</v>
      </c>
      <c r="DJ101" s="2042">
        <f t="shared" si="222"/>
        <v>0</v>
      </c>
      <c r="DK101" s="2042">
        <f t="shared" si="222"/>
        <v>0</v>
      </c>
      <c r="DL101" s="2042"/>
      <c r="DM101" s="2042">
        <f t="shared" si="165"/>
        <v>0</v>
      </c>
      <c r="DN101" s="2042">
        <f t="shared" si="220"/>
        <v>0</v>
      </c>
      <c r="DO101" s="2042">
        <f t="shared" si="220"/>
        <v>0</v>
      </c>
      <c r="DP101" s="2042">
        <f t="shared" si="220"/>
        <v>0</v>
      </c>
      <c r="DQ101" s="2042">
        <f t="shared" si="220"/>
        <v>0</v>
      </c>
      <c r="DR101" s="2042">
        <f t="shared" si="220"/>
        <v>0</v>
      </c>
      <c r="DS101" s="2042">
        <f t="shared" si="220"/>
        <v>0</v>
      </c>
      <c r="DT101" s="2042">
        <f t="shared" si="220"/>
        <v>0</v>
      </c>
      <c r="DU101" s="2042">
        <f t="shared" si="220"/>
        <v>0</v>
      </c>
      <c r="DV101" s="2042">
        <f t="shared" si="220"/>
        <v>0</v>
      </c>
      <c r="DW101" s="2042">
        <f t="shared" si="220"/>
        <v>0</v>
      </c>
      <c r="DX101" s="2042">
        <f t="shared" si="220"/>
        <v>0</v>
      </c>
      <c r="DY101" s="2042"/>
      <c r="DZ101" s="2042">
        <f t="shared" si="223"/>
        <v>0</v>
      </c>
      <c r="EA101" s="2042">
        <f t="shared" si="223"/>
        <v>0</v>
      </c>
      <c r="EB101" s="2042">
        <f t="shared" si="223"/>
        <v>0</v>
      </c>
      <c r="EC101" s="2042">
        <f t="shared" si="223"/>
        <v>0</v>
      </c>
      <c r="ED101" s="2042">
        <f t="shared" si="223"/>
        <v>0</v>
      </c>
      <c r="EE101" s="2042">
        <f t="shared" si="223"/>
        <v>0</v>
      </c>
      <c r="EF101" s="2042">
        <f t="shared" si="223"/>
        <v>0</v>
      </c>
      <c r="EG101" s="2042">
        <f t="shared" si="223"/>
        <v>0</v>
      </c>
      <c r="EH101" s="2042">
        <f t="shared" si="223"/>
        <v>0</v>
      </c>
      <c r="EI101" s="2042">
        <f t="shared" si="223"/>
        <v>0</v>
      </c>
      <c r="EJ101" s="2042">
        <f t="shared" si="223"/>
        <v>0</v>
      </c>
      <c r="EK101" s="2042">
        <f t="shared" si="223"/>
        <v>0</v>
      </c>
      <c r="EL101" s="2042"/>
      <c r="EM101" s="2042">
        <f t="shared" si="167"/>
        <v>0</v>
      </c>
      <c r="EN101" s="2042">
        <f t="shared" si="221"/>
        <v>0</v>
      </c>
      <c r="EO101" s="2042">
        <f t="shared" si="221"/>
        <v>0</v>
      </c>
      <c r="EP101" s="2042">
        <f t="shared" si="221"/>
        <v>0</v>
      </c>
      <c r="EQ101" s="2042">
        <f t="shared" si="221"/>
        <v>0</v>
      </c>
      <c r="ER101" s="2042">
        <f t="shared" si="221"/>
        <v>0</v>
      </c>
      <c r="ES101" s="2042">
        <f t="shared" si="221"/>
        <v>0</v>
      </c>
      <c r="ET101" s="2042">
        <f t="shared" si="221"/>
        <v>0</v>
      </c>
      <c r="EU101" s="2042">
        <f t="shared" si="221"/>
        <v>0</v>
      </c>
      <c r="EV101" s="2042">
        <f t="shared" si="221"/>
        <v>0</v>
      </c>
      <c r="EW101" s="2042">
        <f t="shared" si="221"/>
        <v>0</v>
      </c>
      <c r="EX101" s="2042">
        <f t="shared" si="221"/>
        <v>0</v>
      </c>
      <c r="EY101" s="2042"/>
      <c r="EZ101" s="2045">
        <f t="shared" si="195"/>
        <v>0</v>
      </c>
      <c r="FA101" s="2042">
        <f>EZ101+CZ101+DZ101                 -         SUMIF('Berechnung Nährstoffe und Lager'!$AX$113:$AX$155,$CX101,'Berechnung Nährstoffe und Lager'!$U$113:$U$155)/12  -$GB101*$HC101/12</f>
        <v>0</v>
      </c>
      <c r="FB101" s="2042">
        <f>FA101+DA101+EA101                 -         SUMIF('Berechnung Nährstoffe und Lager'!$AX$113:$AX$155,$CX101,'Berechnung Nährstoffe und Lager'!$U$113:$U$155)/12  -$GB101*$HC101/12</f>
        <v>0</v>
      </c>
      <c r="FC101" s="2042">
        <f>FB101+DB101+EB101                 -         SUMIF('Berechnung Nährstoffe und Lager'!$AX$113:$AX$155,$CX101,'Berechnung Nährstoffe und Lager'!$U$113:$U$155)/12  -$GB101*$HC101/12</f>
        <v>0</v>
      </c>
      <c r="FD101" s="2042">
        <f>FC101+DC101+EC101                 -         SUMIF('Berechnung Nährstoffe und Lager'!$AX$113:$AX$155,$CX101,'Berechnung Nährstoffe und Lager'!$U$113:$U$155)/12  -$GB101*$HC101/12</f>
        <v>0</v>
      </c>
      <c r="FE101" s="2042">
        <f>FD101+DD101+ED101                 -         SUMIF('Berechnung Nährstoffe und Lager'!$AX$113:$AX$155,$CX101,'Berechnung Nährstoffe und Lager'!$U$113:$U$155)/12  -$GB101*$HC101/12</f>
        <v>0</v>
      </c>
      <c r="FF101" s="2042">
        <f>FE101+DE101+EE101                 -         SUMIF('Berechnung Nährstoffe und Lager'!$AX$113:$AX$155,$CX101,'Berechnung Nährstoffe und Lager'!$U$113:$U$155)/12  -$GB101*$HC101/12</f>
        <v>0</v>
      </c>
      <c r="FG101" s="2042">
        <f>FF101+DF101+EF101                 -         SUMIF('Berechnung Nährstoffe und Lager'!$AX$113:$AX$155,$CX101,'Berechnung Nährstoffe und Lager'!$U$113:$U$155)/12  -$GB101*$HC101/12</f>
        <v>0</v>
      </c>
      <c r="FH101" s="2042">
        <f>FG101+DG101+EG101                 -         SUMIF('Berechnung Nährstoffe und Lager'!$AX$113:$AX$155,$CX101,'Berechnung Nährstoffe und Lager'!$U$113:$U$155)/12  -$GB101*$HC101/12</f>
        <v>0</v>
      </c>
      <c r="FI101" s="2042">
        <f>FH101+DH101+EH101                 -         SUMIF('Berechnung Nährstoffe und Lager'!$AX$113:$AX$155,$CX101,'Berechnung Nährstoffe und Lager'!$U$113:$U$155)/12  -$GB101*$HC101/12</f>
        <v>0</v>
      </c>
      <c r="FJ101" s="2042">
        <f>FI101+DI101+EI101                 -         SUMIF('Berechnung Nährstoffe und Lager'!$AX$113:$AX$155,$CX101,'Berechnung Nährstoffe und Lager'!$U$113:$U$155)/12  -$GB101*$HC101/12</f>
        <v>0</v>
      </c>
      <c r="FK101" s="2042">
        <f>FJ101+DJ101+EJ101                 -         SUMIF('Berechnung Nährstoffe und Lager'!$AX$113:$AX$155,$CX101,'Berechnung Nährstoffe und Lager'!$U$113:$U$155)/12  -$GB101*$HC101/12</f>
        <v>0</v>
      </c>
      <c r="FL101" s="2042">
        <f>FK101+DK101+EK101                 -         SUMIF('Berechnung Nährstoffe und Lager'!$AX$113:$AX$155,$CX101,'Berechnung Nährstoffe und Lager'!$U$113:$U$155)/12  -$GB101*$HC101/12</f>
        <v>0</v>
      </c>
      <c r="FM101" s="2042"/>
      <c r="FN101" s="2045">
        <f t="shared" si="196"/>
        <v>0</v>
      </c>
      <c r="FO101" s="2042">
        <f>FN101+DM101+EM101                 -         SUMIF('Berechnung Nährstoffe und Lager'!$AX$113:$AX$155,$CX101,'Berechnung Nährstoffe und Lager'!$V$113:$V$155)/12  -$GC101*$HC101/12</f>
        <v>0</v>
      </c>
      <c r="FP101" s="2042">
        <f>FO101+DN101+EN101                 -         SUMIF('Berechnung Nährstoffe und Lager'!$AX$113:$AX$155,$CX101,'Berechnung Nährstoffe und Lager'!$V$113:$V$155)/12  -$GC101*$HC101/12</f>
        <v>0</v>
      </c>
      <c r="FQ101" s="2042">
        <f>FP101+DO101+EO101                 -         SUMIF('Berechnung Nährstoffe und Lager'!$AX$113:$AX$155,$CX101,'Berechnung Nährstoffe und Lager'!$V$113:$V$155)/12  -$GC101*$HC101/12</f>
        <v>0</v>
      </c>
      <c r="FR101" s="2042">
        <f>FQ101+DP101+EP101                 -         SUMIF('Berechnung Nährstoffe und Lager'!$AX$113:$AX$155,$CX101,'Berechnung Nährstoffe und Lager'!$V$113:$V$155)/12  -$GC101*$HC101/12</f>
        <v>0</v>
      </c>
      <c r="FS101" s="2042">
        <f>FR101+DQ101+EQ101                 -         SUMIF('Berechnung Nährstoffe und Lager'!$AX$113:$AX$155,$CX101,'Berechnung Nährstoffe und Lager'!$V$113:$V$155)/12  -$GC101*$HC101/12</f>
        <v>0</v>
      </c>
      <c r="FT101" s="2042">
        <f>FS101+DR101+ER101                 -         SUMIF('Berechnung Nährstoffe und Lager'!$AX$113:$AX$155,$CX101,'Berechnung Nährstoffe und Lager'!$V$113:$V$155)/12  -$GC101*$HC101/12</f>
        <v>0</v>
      </c>
      <c r="FU101" s="2042">
        <f>FT101+DS101+ES101                 -         SUMIF('Berechnung Nährstoffe und Lager'!$AX$113:$AX$155,$CX101,'Berechnung Nährstoffe und Lager'!$V$113:$V$155)/12  -$GC101*$HC101/12</f>
        <v>0</v>
      </c>
      <c r="FV101" s="2042">
        <f>FU101+DT101+ET101                 -         SUMIF('Berechnung Nährstoffe und Lager'!$AX$113:$AX$155,$CX101,'Berechnung Nährstoffe und Lager'!$V$113:$V$155)/12  -$GC101*$HC101/12</f>
        <v>0</v>
      </c>
      <c r="FW101" s="2042">
        <f>FV101+DU101+EU101                 -         SUMIF('Berechnung Nährstoffe und Lager'!$AX$113:$AX$155,$CX101,'Berechnung Nährstoffe und Lager'!$V$113:$V$155)/12  -$GC101*$HC101/12</f>
        <v>0</v>
      </c>
      <c r="FX101" s="2042">
        <f>FW101+DV101+EV101                 -         SUMIF('Berechnung Nährstoffe und Lager'!$AX$113:$AX$155,$CX101,'Berechnung Nährstoffe und Lager'!$V$113:$V$155)/12  -$GC101*$HC101/12</f>
        <v>0</v>
      </c>
      <c r="FY101" s="2042">
        <f>FX101+DW101+EW101                 -         SUMIF('Berechnung Nährstoffe und Lager'!$AX$113:$AX$155,$CX101,'Berechnung Nährstoffe und Lager'!$V$113:$V$155)/12  -$GC101*$HC101/12</f>
        <v>0</v>
      </c>
      <c r="FZ101" s="2042">
        <f>FY101+DX101+EX101                 -         SUMIF('Berechnung Nährstoffe und Lager'!$AX$113:$AX$155,$CX101,'Berechnung Nährstoffe und Lager'!$V$113:$V$155)/12  -$GC101*$HC101/12</f>
        <v>0</v>
      </c>
      <c r="GA101" s="2042"/>
      <c r="GB101" s="2042">
        <f>SUMIFS($CI$14:$CI$68,$BR$14:$BR$68,$CX101)+SUMIFS($CM$14:$CM$68,$BR$14:$BR$68,$CX101)+SUMIFS($CR$14:$CR$68,$BR$14:$BR$68,$CX101)  -         SUMIF('Berechnung Nährstoffe und Lager'!$AX$113:$AX$155,$CX101,'Berechnung Nährstoffe und Lager'!$U$113:$U$155)</f>
        <v>0</v>
      </c>
      <c r="GC101" s="2042">
        <f>SUMIFS($CJ$14:$CJ$68,$BR$14:$BR$68,$CX101)+SUMIFS($CO$14:$CO$68,$BR$14:$BR$68,$CX101)+SUMIFS($CT$14:$CT$68,$BR$14:$BR$68,$CX101)  -         SUMIF('Berechnung Nährstoffe und Lager'!$AX$113:$AX$155,$CX101,'Berechnung Nährstoffe und Lager'!$V$113:$V$155)</f>
        <v>0</v>
      </c>
      <c r="GD101" s="2042"/>
      <c r="GE101" s="2042"/>
      <c r="GF101" s="2042">
        <f>SUMIF('Berechnung Nährstoffe und Lager'!$AX$113:$AX$155,$CX101,'Berechnung Nährstoffe und Lager'!$U$113:$U$155)</f>
        <v>0</v>
      </c>
      <c r="GG101" s="2042">
        <f>SUMIF('Berechnung Nährstoffe und Lager'!$AX$113:$AX$155,$CX101,'Berechnung Nährstoffe und Lager'!$V$113:$V$155)</f>
        <v>0</v>
      </c>
      <c r="GH101" s="2042">
        <f t="shared" si="197"/>
        <v>0</v>
      </c>
      <c r="GI101" s="2042">
        <f t="shared" si="198"/>
        <v>0</v>
      </c>
      <c r="GJ101" s="2042">
        <f t="shared" si="180"/>
        <v>0</v>
      </c>
      <c r="GK101" s="2042">
        <f t="shared" si="181"/>
        <v>0</v>
      </c>
      <c r="GL101" s="2042">
        <f t="shared" si="182"/>
        <v>0</v>
      </c>
      <c r="GM101" s="2042" cm="1">
        <f t="array" ref="GM101">IF(GL101=0,0,(IFERROR(SUMPRODUCT($J$14:$J$68,$CH$14:$CH$68,($BR$14:$BR$68=CX101)*1)+SUMPRODUCT($L$14:$L$68,$M$14:$M$68,$CK$14:$CK$68,($BR$14:$BR$68=CX101)*1,($BT$14:$BT$68=FALSE)*1)/10+SUMPRODUCT($R$14:$R$68,$CP$14:$CP$68,($BR$14:$BR$68=CX101)*1),0))/GL101)</f>
        <v>0</v>
      </c>
      <c r="GN101" s="2042">
        <f t="shared" si="199"/>
        <v>0</v>
      </c>
      <c r="GO101" s="2042">
        <f>(SUMIF('Berechnung Nährstoffe und Lager'!$AX$113:$AX$130,'Lagerhaltung (freiwillig)'!CX101,'Berechnung Nährstoffe und Lager'!$D$113:$D$130)+SUMIF('Berechnung Nährstoffe und Lager'!$AX$137:$AX$155,'Lagerhaltung (freiwillig)'!CX101,'Berechnung Nährstoffe und Lager'!$E$137:$E$155))</f>
        <v>0</v>
      </c>
      <c r="GP101" s="2042" cm="1">
        <f t="array" ref="GP101">IF(GO101=0,0,(IFERROR(SUMPRODUCT('Berechnung Nährstoffe und Lager'!$D$113:$D$130,'Berechnung Nährstoffe und Lager'!$F$113:$F$130,('Berechnung Nährstoffe und Lager'!$AX$113:$AX$130='Lagerhaltung (freiwillig)'!CX101)*1)+SUMPRODUCT('Berechnung Nährstoffe und Lager'!$E$137:$E$155,'Berechnung Nährstoffe und Lager'!$F$137:$F$155,('Berechnung Nährstoffe und Lager'!$AX$137:$AX$155='Lagerhaltung (freiwillig)'!CX101)*1),0))/GO101)</f>
        <v>0</v>
      </c>
      <c r="GQ101" s="2042">
        <f t="shared" si="200"/>
        <v>0</v>
      </c>
      <c r="GR101" s="2042">
        <f t="shared" si="201"/>
        <v>0</v>
      </c>
      <c r="GS101" s="2042">
        <f t="shared" si="202"/>
        <v>0</v>
      </c>
      <c r="GT101" s="2042">
        <f t="shared" si="203"/>
        <v>0</v>
      </c>
      <c r="GU101" s="2045" t="str">
        <f t="shared" si="175"/>
        <v xml:space="preserve"> </v>
      </c>
      <c r="GV101" s="2045" t="str">
        <f t="shared" si="175"/>
        <v xml:space="preserve"> </v>
      </c>
      <c r="GW101" s="2054">
        <f t="shared" si="183"/>
        <v>0</v>
      </c>
      <c r="GX101" s="2042">
        <f t="shared" si="184"/>
        <v>0</v>
      </c>
      <c r="GY101" s="2042" t="str">
        <f t="shared" si="174"/>
        <v>a</v>
      </c>
      <c r="GZ101" s="2055">
        <f t="shared" si="185"/>
        <v>0</v>
      </c>
      <c r="HA101" s="2055">
        <f t="shared" si="186"/>
        <v>0</v>
      </c>
      <c r="HB101" s="2055"/>
      <c r="HC101" s="2046">
        <f t="shared" si="187"/>
        <v>0</v>
      </c>
      <c r="HD101" s="2055">
        <f t="shared" si="188"/>
        <v>0</v>
      </c>
      <c r="HE101" s="2055">
        <f t="shared" si="189"/>
        <v>0</v>
      </c>
      <c r="HF101" s="2055">
        <f t="shared" si="190"/>
        <v>0</v>
      </c>
      <c r="HG101" s="2282" cm="1">
        <f t="array" ref="HG101">IF(AND(HE101=0,GJ101=0),0,IF(HE101=0,1,IF(OR(GJ101*1000/HE101/HF101&gt;INDEX(Pflanzen!$AD$5:$AD$109,CX101)/INDEX(Pflanzen!$M$5:$M$109,CX101)*$HG$2,GJ101*1000/HE101/HF101&lt;INDEX(Pflanzen!$AD$5:$AD$109,CX101)/INDEX(Pflanzen!$M$5:$M$109,CX101)/$HG$2),1,0)))</f>
        <v>0</v>
      </c>
      <c r="HH101" s="2282" cm="1">
        <f t="array" ref="HH101">IF(AND(GK101=0,HE101=0),0,IF(HE101=0,1,IF(OR(GK101*1000/HE101/HF101&gt;INDEX(Pflanzen!$AE$5:$AE$109,CX101)/INDEX(Pflanzen!$M$5:$M$109,CX101)*$HG$2,GK101*1000/HE101/HF101&lt;INDEX(Pflanzen!$AE$5:$AE$109,CX101)/INDEX(Pflanzen!$M$5:$M$109,CX101)/$HG$2),1,0)))</f>
        <v>0</v>
      </c>
      <c r="HI101" s="2042">
        <f t="shared" si="191"/>
        <v>3</v>
      </c>
      <c r="HJ101" s="2042"/>
      <c r="HL101" s="2042"/>
      <c r="HM101" s="2042"/>
      <c r="HN101" s="2042"/>
      <c r="HO101" s="2042"/>
      <c r="HP101" s="2042"/>
      <c r="HQ101" s="2042"/>
      <c r="HR101" s="2042"/>
      <c r="HS101" s="2042"/>
      <c r="HT101" s="2042"/>
      <c r="HU101" s="2042"/>
      <c r="HV101" s="2042"/>
      <c r="HW101" s="2042"/>
      <c r="HX101" s="2042"/>
      <c r="HY101" s="2042"/>
      <c r="HZ101" s="2042"/>
      <c r="IA101" s="2042"/>
      <c r="IB101" s="2042"/>
      <c r="IC101" s="2042"/>
      <c r="ID101" s="2042"/>
      <c r="IE101" s="2042"/>
      <c r="IF101" s="2042"/>
      <c r="IG101" s="2042"/>
      <c r="IH101" s="2042"/>
      <c r="II101" s="2042"/>
      <c r="IJ101" s="2042"/>
    </row>
    <row r="102" spans="1:244" ht="15.6" customHeight="1" x14ac:dyDescent="0.2">
      <c r="A102" s="2374" t="s">
        <v>1144</v>
      </c>
      <c r="B102" s="2026"/>
      <c r="C102" s="2026"/>
      <c r="D102" s="2026"/>
      <c r="E102" s="2026"/>
      <c r="F102" s="3067"/>
      <c r="G102" s="3068"/>
      <c r="H102" s="3113" t="s">
        <v>8452</v>
      </c>
      <c r="I102" s="3114"/>
      <c r="J102" s="3114"/>
      <c r="K102" s="3115"/>
      <c r="L102" s="2274" cm="1">
        <f t="array" ref="L102">INDEX(Tierprodukte!C51:C52,BQ102)</f>
        <v>0</v>
      </c>
      <c r="M102" s="2279" cm="1">
        <f t="array" ref="M102">INDEX(Tierprodukte!D51:D52,BQ102)</f>
        <v>0</v>
      </c>
      <c r="N102" s="3105">
        <f>F102*L102*-1/1000</f>
        <v>0</v>
      </c>
      <c r="O102" s="3106"/>
      <c r="P102" s="3086">
        <f t="shared" ref="P102:P103" si="224">F102*M102*-1/1000</f>
        <v>0</v>
      </c>
      <c r="Q102" s="3087"/>
      <c r="R102" s="2029" t="str">
        <f>IF(AND(BW99&gt;0,F102=""),"Leistung angeben",IF(OR(F102&lt;BW107,F102&gt;BW109),"Leistung nicht plausibel",""))</f>
        <v/>
      </c>
      <c r="S102" s="510"/>
      <c r="T102" s="1118"/>
      <c r="U102" s="510"/>
      <c r="V102" s="510"/>
      <c r="Y102" s="2005" t="str" cm="1">
        <f t="array" ref="Y102">IFERROR(INDEX($CW$4:$CW$171,AY102),"")</f>
        <v/>
      </c>
      <c r="Z102" s="510"/>
      <c r="AA102" s="510"/>
      <c r="AB102" s="510"/>
      <c r="AC102" s="2031" t="str" cm="1">
        <f t="array" ref="AC102">IFERROR(INDEX($GL$4:$GL$171,AY102),"")</f>
        <v/>
      </c>
      <c r="AD102" s="2031" t="str" cm="1">
        <f t="array" ref="AD102">IFERROR(INDEX($GM$4:$GM$171,AY102),"")</f>
        <v/>
      </c>
      <c r="AE102" s="2031" t="str" cm="1">
        <f t="array" ref="AE102">IFERROR(INDEX($GH$4:$GH$171,AY102),"")</f>
        <v/>
      </c>
      <c r="AF102" s="2031" t="str" cm="1">
        <f t="array" ref="AF102">IFERROR(INDEX($GI$4:$GI$171,AY102),"")</f>
        <v/>
      </c>
      <c r="AG102" s="2031" t="str" cm="1">
        <f t="array" ref="AG102">IFERROR(INDEX($GO$4:$GO$171,AY102),"")</f>
        <v/>
      </c>
      <c r="AH102" s="2031" t="str" cm="1">
        <f t="array" ref="AH102">IFERROR(INDEX($GP$4:$GP$171,AY102),"")</f>
        <v/>
      </c>
      <c r="AI102" s="2031" t="str" cm="1">
        <f t="array" ref="AI102">IFERROR(INDEX($GF$4:$GF$171,AY102),"")</f>
        <v/>
      </c>
      <c r="AJ102" s="2031" t="str" cm="1">
        <f t="array" ref="AJ102">IFERROR(INDEX($GG$4:$GG$171,AY102),"")</f>
        <v/>
      </c>
      <c r="AK102" s="2031" t="str" cm="1">
        <f t="array" ref="AK102">IFERROR(INDEX($GS$4:$GS$171,AY102),"")</f>
        <v/>
      </c>
      <c r="AL102" s="2032" t="str" cm="1">
        <f t="array" ref="AL102">IFERROR(INDEX($GT$4:$GT$171,AY102),"")</f>
        <v/>
      </c>
      <c r="AM102" s="2031" t="str" cm="1">
        <f t="array" ref="AM102">IFERROR(INDEX($GB$4:$GB$171,AY102),"")</f>
        <v/>
      </c>
      <c r="AN102" s="2031" t="str" cm="1">
        <f t="array" ref="AN102">IFERROR(INDEX($GC$4:$GC$171,AY102),"")</f>
        <v/>
      </c>
      <c r="AO102" s="2031" t="str" cm="1">
        <f t="array" ref="AO102">IFERROR(INDEX($GU$4:$GU$171,AY102),"")</f>
        <v/>
      </c>
      <c r="AP102" s="2031" t="str" cm="1">
        <f t="array" ref="AP102">IFERROR(INDEX($GX$4:$GX$171,AY102),"")</f>
        <v/>
      </c>
      <c r="AQ102" s="1316"/>
      <c r="AR102" s="2031" t="str" cm="1">
        <f t="array" ref="AR102">IFERROR(INDEX($HD$4:$HD$171,AY102),"")</f>
        <v/>
      </c>
      <c r="AS102" s="2031" t="str" cm="1">
        <f t="array" ref="AS102">IFERROR(INDEX($HE$4:$HE$171,AY102),"")</f>
        <v/>
      </c>
      <c r="AT102" s="2031" t="str" cm="1">
        <f t="array" ref="AT102">IFERROR(INDEX($HF$4:$HF$171,AY102),"")</f>
        <v/>
      </c>
      <c r="AU102" s="2031" t="str" cm="1">
        <f t="array" ref="AU102">IFERROR(INDEX($GJ$4:$GJ$171,AY102),"")</f>
        <v/>
      </c>
      <c r="AV102" s="2031" t="str" cm="1">
        <f t="array" ref="AV102">IFERROR(INDEX($GK$4:$GK$171,AY102),"")</f>
        <v/>
      </c>
      <c r="AY102" s="2042" t="str" cm="1">
        <f t="array" ref="AY102">IFERROR(SMALL(IF($HI$4:$HI$171=1,ROW($HI$4:$HI$171)-3),ROW(W87)),IFERROR(SMALL(IF($HI$4:$HI$171=2,ROW($HI$4:$HI$171)-3),ROW(W87)-COUNTIF($HI$4:$HI$171,1)),IFERROR(SMALL(IF($HI$4:$HI$171=0,ROW($HI$4:$HI$171)-3),ROW(W87)-COUNTIF($HI$4:$HI$171,1)-COUNTIF($HI$4:$HI$171,2)),"")))</f>
        <v/>
      </c>
      <c r="AZ102" s="2042" t="str">
        <f t="shared" si="215"/>
        <v>a</v>
      </c>
      <c r="BA102" s="2053" t="e">
        <f t="shared" si="172"/>
        <v>#VALUE!</v>
      </c>
      <c r="BB102" s="2053" cm="1">
        <f t="array" ref="BB102">IFERROR(INDEX($HI$4:$HI$171,AY102),0)</f>
        <v>0</v>
      </c>
      <c r="BC102" s="2053">
        <f t="shared" si="173"/>
        <v>0</v>
      </c>
      <c r="BD102" s="2053"/>
      <c r="BE102" s="2307"/>
      <c r="BF102" s="2307"/>
      <c r="BG102" s="2307"/>
      <c r="BH102" s="2307"/>
      <c r="BI102" s="2307"/>
      <c r="BJ102" s="2307"/>
      <c r="BK102" s="2307"/>
      <c r="BL102" s="2307"/>
      <c r="BM102" s="2307"/>
      <c r="BN102" s="2307"/>
      <c r="BO102" s="2307"/>
      <c r="BP102" s="2043"/>
      <c r="BQ102" s="2042">
        <v>1</v>
      </c>
      <c r="BR102" s="2042" cm="1">
        <f t="array" ref="BR102">INDEX(Tierprodukte!$J$51:$J$52,'Lagerhaltung (freiwillig)'!BQ102)</f>
        <v>0</v>
      </c>
      <c r="BS102" s="2042"/>
      <c r="BT102" s="2042"/>
      <c r="BU102" s="2059"/>
      <c r="BV102" s="2059"/>
      <c r="BW102" s="2045" t="s">
        <v>8397</v>
      </c>
      <c r="BX102" s="2045" t="s">
        <v>8401</v>
      </c>
      <c r="BY102" s="2042"/>
      <c r="BZ102" s="2045" t="s">
        <v>8447</v>
      </c>
      <c r="CA102" s="2042">
        <f>CA101</f>
        <v>0</v>
      </c>
      <c r="CB102" s="2042">
        <f t="shared" ref="CB102:CD102" si="225">CB101</f>
        <v>0</v>
      </c>
      <c r="CC102" s="2042">
        <f t="shared" si="225"/>
        <v>0</v>
      </c>
      <c r="CD102" s="2042">
        <f t="shared" si="225"/>
        <v>0</v>
      </c>
      <c r="CE102" s="2042"/>
      <c r="CF102" s="2045" t="s">
        <v>1046</v>
      </c>
      <c r="CG102" s="2045"/>
      <c r="CH102" s="2042"/>
      <c r="CI102" s="2042"/>
      <c r="CJ102" s="2042"/>
      <c r="CK102" s="2042"/>
      <c r="CL102" s="2042"/>
      <c r="CM102" s="2042"/>
      <c r="CN102" s="2042"/>
      <c r="CO102" s="2042"/>
      <c r="CP102" s="2042"/>
      <c r="CQ102" s="2042"/>
      <c r="CR102" s="2042"/>
      <c r="CS102" s="2042"/>
      <c r="CT102" s="2042"/>
      <c r="CU102" s="2042"/>
      <c r="CV102" s="2042"/>
      <c r="CW102" s="609" t="str">
        <f>Pflanzen!A98</f>
        <v>Mastschweinegülle, stark N-/P-red. Fütterung</v>
      </c>
      <c r="CX102" s="2042">
        <f>IFERROR(MATCH($CW102,Pflanzen!$C$5:$C$119,0),1)</f>
        <v>89</v>
      </c>
      <c r="CY102" s="609" cm="1">
        <f t="array" ref="CY102">INDEX(Pflanzen!$I$5:$I$119,'Lagerhaltung (freiwillig)'!CX102)</f>
        <v>0</v>
      </c>
      <c r="CZ102" s="2042">
        <f t="shared" si="222"/>
        <v>0</v>
      </c>
      <c r="DA102" s="2042">
        <f t="shared" si="222"/>
        <v>0</v>
      </c>
      <c r="DB102" s="2042">
        <f t="shared" si="222"/>
        <v>0</v>
      </c>
      <c r="DC102" s="2042">
        <f t="shared" si="222"/>
        <v>0</v>
      </c>
      <c r="DD102" s="2042">
        <f t="shared" si="222"/>
        <v>0</v>
      </c>
      <c r="DE102" s="2042">
        <f t="shared" si="222"/>
        <v>0</v>
      </c>
      <c r="DF102" s="2042">
        <f t="shared" si="222"/>
        <v>0</v>
      </c>
      <c r="DG102" s="2042">
        <f t="shared" si="222"/>
        <v>0</v>
      </c>
      <c r="DH102" s="2042">
        <f t="shared" si="222"/>
        <v>0</v>
      </c>
      <c r="DI102" s="2042">
        <f t="shared" si="222"/>
        <v>0</v>
      </c>
      <c r="DJ102" s="2042">
        <f t="shared" si="222"/>
        <v>0</v>
      </c>
      <c r="DK102" s="2042">
        <f t="shared" si="222"/>
        <v>0</v>
      </c>
      <c r="DL102" s="2042"/>
      <c r="DM102" s="2042">
        <f t="shared" si="165"/>
        <v>0</v>
      </c>
      <c r="DN102" s="2042">
        <f t="shared" si="220"/>
        <v>0</v>
      </c>
      <c r="DO102" s="2042">
        <f t="shared" si="220"/>
        <v>0</v>
      </c>
      <c r="DP102" s="2042">
        <f t="shared" si="220"/>
        <v>0</v>
      </c>
      <c r="DQ102" s="2042">
        <f t="shared" si="220"/>
        <v>0</v>
      </c>
      <c r="DR102" s="2042">
        <f t="shared" si="220"/>
        <v>0</v>
      </c>
      <c r="DS102" s="2042">
        <f t="shared" si="220"/>
        <v>0</v>
      </c>
      <c r="DT102" s="2042">
        <f t="shared" si="220"/>
        <v>0</v>
      </c>
      <c r="DU102" s="2042">
        <f t="shared" si="220"/>
        <v>0</v>
      </c>
      <c r="DV102" s="2042">
        <f t="shared" si="220"/>
        <v>0</v>
      </c>
      <c r="DW102" s="2042">
        <f t="shared" si="220"/>
        <v>0</v>
      </c>
      <c r="DX102" s="2042">
        <f t="shared" si="220"/>
        <v>0</v>
      </c>
      <c r="DY102" s="2042"/>
      <c r="DZ102" s="2042">
        <f t="shared" si="223"/>
        <v>0</v>
      </c>
      <c r="EA102" s="2042">
        <f t="shared" si="223"/>
        <v>0</v>
      </c>
      <c r="EB102" s="2042">
        <f t="shared" si="223"/>
        <v>0</v>
      </c>
      <c r="EC102" s="2042">
        <f t="shared" si="223"/>
        <v>0</v>
      </c>
      <c r="ED102" s="2042">
        <f t="shared" si="223"/>
        <v>0</v>
      </c>
      <c r="EE102" s="2042">
        <f t="shared" si="223"/>
        <v>0</v>
      </c>
      <c r="EF102" s="2042">
        <f t="shared" si="223"/>
        <v>0</v>
      </c>
      <c r="EG102" s="2042">
        <f t="shared" si="223"/>
        <v>0</v>
      </c>
      <c r="EH102" s="2042">
        <f t="shared" si="223"/>
        <v>0</v>
      </c>
      <c r="EI102" s="2042">
        <f t="shared" si="223"/>
        <v>0</v>
      </c>
      <c r="EJ102" s="2042">
        <f t="shared" si="223"/>
        <v>0</v>
      </c>
      <c r="EK102" s="2042">
        <f t="shared" si="223"/>
        <v>0</v>
      </c>
      <c r="EL102" s="2042"/>
      <c r="EM102" s="2042">
        <f t="shared" si="167"/>
        <v>0</v>
      </c>
      <c r="EN102" s="2042">
        <f t="shared" si="221"/>
        <v>0</v>
      </c>
      <c r="EO102" s="2042">
        <f t="shared" si="221"/>
        <v>0</v>
      </c>
      <c r="EP102" s="2042">
        <f t="shared" si="221"/>
        <v>0</v>
      </c>
      <c r="EQ102" s="2042">
        <f t="shared" si="221"/>
        <v>0</v>
      </c>
      <c r="ER102" s="2042">
        <f t="shared" si="221"/>
        <v>0</v>
      </c>
      <c r="ES102" s="2042">
        <f t="shared" si="221"/>
        <v>0</v>
      </c>
      <c r="ET102" s="2042">
        <f t="shared" si="221"/>
        <v>0</v>
      </c>
      <c r="EU102" s="2042">
        <f t="shared" si="221"/>
        <v>0</v>
      </c>
      <c r="EV102" s="2042">
        <f t="shared" si="221"/>
        <v>0</v>
      </c>
      <c r="EW102" s="2042">
        <f t="shared" si="221"/>
        <v>0</v>
      </c>
      <c r="EX102" s="2042">
        <f t="shared" si="221"/>
        <v>0</v>
      </c>
      <c r="EY102" s="2042"/>
      <c r="EZ102" s="2045">
        <f t="shared" si="195"/>
        <v>0</v>
      </c>
      <c r="FA102" s="2042">
        <f>EZ102+CZ102+DZ102                 -         SUMIF('Berechnung Nährstoffe und Lager'!$AX$113:$AX$155,$CX102,'Berechnung Nährstoffe und Lager'!$U$113:$U$155)/12  -$GB102*$HC102/12</f>
        <v>0</v>
      </c>
      <c r="FB102" s="2042">
        <f>FA102+DA102+EA102                 -         SUMIF('Berechnung Nährstoffe und Lager'!$AX$113:$AX$155,$CX102,'Berechnung Nährstoffe und Lager'!$U$113:$U$155)/12  -$GB102*$HC102/12</f>
        <v>0</v>
      </c>
      <c r="FC102" s="2042">
        <f>FB102+DB102+EB102                 -         SUMIF('Berechnung Nährstoffe und Lager'!$AX$113:$AX$155,$CX102,'Berechnung Nährstoffe und Lager'!$U$113:$U$155)/12  -$GB102*$HC102/12</f>
        <v>0</v>
      </c>
      <c r="FD102" s="2042">
        <f>FC102+DC102+EC102                 -         SUMIF('Berechnung Nährstoffe und Lager'!$AX$113:$AX$155,$CX102,'Berechnung Nährstoffe und Lager'!$U$113:$U$155)/12  -$GB102*$HC102/12</f>
        <v>0</v>
      </c>
      <c r="FE102" s="2042">
        <f>FD102+DD102+ED102                 -         SUMIF('Berechnung Nährstoffe und Lager'!$AX$113:$AX$155,$CX102,'Berechnung Nährstoffe und Lager'!$U$113:$U$155)/12  -$GB102*$HC102/12</f>
        <v>0</v>
      </c>
      <c r="FF102" s="2042">
        <f>FE102+DE102+EE102                 -         SUMIF('Berechnung Nährstoffe und Lager'!$AX$113:$AX$155,$CX102,'Berechnung Nährstoffe und Lager'!$U$113:$U$155)/12  -$GB102*$HC102/12</f>
        <v>0</v>
      </c>
      <c r="FG102" s="2042">
        <f>FF102+DF102+EF102                 -         SUMIF('Berechnung Nährstoffe und Lager'!$AX$113:$AX$155,$CX102,'Berechnung Nährstoffe und Lager'!$U$113:$U$155)/12  -$GB102*$HC102/12</f>
        <v>0</v>
      </c>
      <c r="FH102" s="2042">
        <f>FG102+DG102+EG102                 -         SUMIF('Berechnung Nährstoffe und Lager'!$AX$113:$AX$155,$CX102,'Berechnung Nährstoffe und Lager'!$U$113:$U$155)/12  -$GB102*$HC102/12</f>
        <v>0</v>
      </c>
      <c r="FI102" s="2042">
        <f>FH102+DH102+EH102                 -         SUMIF('Berechnung Nährstoffe und Lager'!$AX$113:$AX$155,$CX102,'Berechnung Nährstoffe und Lager'!$U$113:$U$155)/12  -$GB102*$HC102/12</f>
        <v>0</v>
      </c>
      <c r="FJ102" s="2042">
        <f>FI102+DI102+EI102                 -         SUMIF('Berechnung Nährstoffe und Lager'!$AX$113:$AX$155,$CX102,'Berechnung Nährstoffe und Lager'!$U$113:$U$155)/12  -$GB102*$HC102/12</f>
        <v>0</v>
      </c>
      <c r="FK102" s="2042">
        <f>FJ102+DJ102+EJ102                 -         SUMIF('Berechnung Nährstoffe und Lager'!$AX$113:$AX$155,$CX102,'Berechnung Nährstoffe und Lager'!$U$113:$U$155)/12  -$GB102*$HC102/12</f>
        <v>0</v>
      </c>
      <c r="FL102" s="2042">
        <f>FK102+DK102+EK102                 -         SUMIF('Berechnung Nährstoffe und Lager'!$AX$113:$AX$155,$CX102,'Berechnung Nährstoffe und Lager'!$U$113:$U$155)/12  -$GB102*$HC102/12</f>
        <v>0</v>
      </c>
      <c r="FM102" s="2042"/>
      <c r="FN102" s="2045">
        <f t="shared" si="196"/>
        <v>0</v>
      </c>
      <c r="FO102" s="2042">
        <f>FN102+DM102+EM102                 -         SUMIF('Berechnung Nährstoffe und Lager'!$AX$113:$AX$155,$CX102,'Berechnung Nährstoffe und Lager'!$V$113:$V$155)/12  -$GC102*$HC102/12</f>
        <v>0</v>
      </c>
      <c r="FP102" s="2042">
        <f>FO102+DN102+EN102                 -         SUMIF('Berechnung Nährstoffe und Lager'!$AX$113:$AX$155,$CX102,'Berechnung Nährstoffe und Lager'!$V$113:$V$155)/12  -$GC102*$HC102/12</f>
        <v>0</v>
      </c>
      <c r="FQ102" s="2042">
        <f>FP102+DO102+EO102                 -         SUMIF('Berechnung Nährstoffe und Lager'!$AX$113:$AX$155,$CX102,'Berechnung Nährstoffe und Lager'!$V$113:$V$155)/12  -$GC102*$HC102/12</f>
        <v>0</v>
      </c>
      <c r="FR102" s="2042">
        <f>FQ102+DP102+EP102                 -         SUMIF('Berechnung Nährstoffe und Lager'!$AX$113:$AX$155,$CX102,'Berechnung Nährstoffe und Lager'!$V$113:$V$155)/12  -$GC102*$HC102/12</f>
        <v>0</v>
      </c>
      <c r="FS102" s="2042">
        <f>FR102+DQ102+EQ102                 -         SUMIF('Berechnung Nährstoffe und Lager'!$AX$113:$AX$155,$CX102,'Berechnung Nährstoffe und Lager'!$V$113:$V$155)/12  -$GC102*$HC102/12</f>
        <v>0</v>
      </c>
      <c r="FT102" s="2042">
        <f>FS102+DR102+ER102                 -         SUMIF('Berechnung Nährstoffe und Lager'!$AX$113:$AX$155,$CX102,'Berechnung Nährstoffe und Lager'!$V$113:$V$155)/12  -$GC102*$HC102/12</f>
        <v>0</v>
      </c>
      <c r="FU102" s="2042">
        <f>FT102+DS102+ES102                 -         SUMIF('Berechnung Nährstoffe und Lager'!$AX$113:$AX$155,$CX102,'Berechnung Nährstoffe und Lager'!$V$113:$V$155)/12  -$GC102*$HC102/12</f>
        <v>0</v>
      </c>
      <c r="FV102" s="2042">
        <f>FU102+DT102+ET102                 -         SUMIF('Berechnung Nährstoffe und Lager'!$AX$113:$AX$155,$CX102,'Berechnung Nährstoffe und Lager'!$V$113:$V$155)/12  -$GC102*$HC102/12</f>
        <v>0</v>
      </c>
      <c r="FW102" s="2042">
        <f>FV102+DU102+EU102                 -         SUMIF('Berechnung Nährstoffe und Lager'!$AX$113:$AX$155,$CX102,'Berechnung Nährstoffe und Lager'!$V$113:$V$155)/12  -$GC102*$HC102/12</f>
        <v>0</v>
      </c>
      <c r="FX102" s="2042">
        <f>FW102+DV102+EV102                 -         SUMIF('Berechnung Nährstoffe und Lager'!$AX$113:$AX$155,$CX102,'Berechnung Nährstoffe und Lager'!$V$113:$V$155)/12  -$GC102*$HC102/12</f>
        <v>0</v>
      </c>
      <c r="FY102" s="2042">
        <f>FX102+DW102+EW102                 -         SUMIF('Berechnung Nährstoffe und Lager'!$AX$113:$AX$155,$CX102,'Berechnung Nährstoffe und Lager'!$V$113:$V$155)/12  -$GC102*$HC102/12</f>
        <v>0</v>
      </c>
      <c r="FZ102" s="2042">
        <f>FY102+DX102+EX102                 -         SUMIF('Berechnung Nährstoffe und Lager'!$AX$113:$AX$155,$CX102,'Berechnung Nährstoffe und Lager'!$V$113:$V$155)/12  -$GC102*$HC102/12</f>
        <v>0</v>
      </c>
      <c r="GA102" s="2042"/>
      <c r="GB102" s="2042">
        <f>SUMIFS($CI$14:$CI$68,$BR$14:$BR$68,$CX102)+SUMIFS($CM$14:$CM$68,$BR$14:$BR$68,$CX102)+SUMIFS($CR$14:$CR$68,$BR$14:$BR$68,$CX102)  -         SUMIF('Berechnung Nährstoffe und Lager'!$AX$113:$AX$155,$CX102,'Berechnung Nährstoffe und Lager'!$U$113:$U$155)</f>
        <v>0</v>
      </c>
      <c r="GC102" s="2042">
        <f>SUMIFS($CJ$14:$CJ$68,$BR$14:$BR$68,$CX102)+SUMIFS($CO$14:$CO$68,$BR$14:$BR$68,$CX102)+SUMIFS($CT$14:$CT$68,$BR$14:$BR$68,$CX102)  -         SUMIF('Berechnung Nährstoffe und Lager'!$AX$113:$AX$155,$CX102,'Berechnung Nährstoffe und Lager'!$V$113:$V$155)</f>
        <v>0</v>
      </c>
      <c r="GD102" s="2042"/>
      <c r="GE102" s="2042"/>
      <c r="GF102" s="2042">
        <f>SUMIF('Berechnung Nährstoffe und Lager'!$AX$113:$AX$155,$CX102,'Berechnung Nährstoffe und Lager'!$U$113:$U$155)</f>
        <v>0</v>
      </c>
      <c r="GG102" s="2042">
        <f>SUMIF('Berechnung Nährstoffe und Lager'!$AX$113:$AX$155,$CX102,'Berechnung Nährstoffe und Lager'!$V$113:$V$155)</f>
        <v>0</v>
      </c>
      <c r="GH102" s="2042">
        <f t="shared" si="197"/>
        <v>0</v>
      </c>
      <c r="GI102" s="2042">
        <f t="shared" si="198"/>
        <v>0</v>
      </c>
      <c r="GJ102" s="2042">
        <f t="shared" si="180"/>
        <v>0</v>
      </c>
      <c r="GK102" s="2042">
        <f t="shared" si="181"/>
        <v>0</v>
      </c>
      <c r="GL102" s="2042">
        <f t="shared" si="182"/>
        <v>0</v>
      </c>
      <c r="GM102" s="2042" cm="1">
        <f t="array" ref="GM102">IF(GL102=0,0,(IFERROR(SUMPRODUCT($J$14:$J$68,$CH$14:$CH$68,($BR$14:$BR$68=CX102)*1)+SUMPRODUCT($L$14:$L$68,$M$14:$M$68,$CK$14:$CK$68,($BR$14:$BR$68=CX102)*1,($BT$14:$BT$68=FALSE)*1)/10+SUMPRODUCT($R$14:$R$68,$CP$14:$CP$68,($BR$14:$BR$68=CX102)*1),0))/GL102)</f>
        <v>0</v>
      </c>
      <c r="GN102" s="2042">
        <f t="shared" si="199"/>
        <v>0</v>
      </c>
      <c r="GO102" s="2042">
        <f>(SUMIF('Berechnung Nährstoffe und Lager'!$AX$113:$AX$130,'Lagerhaltung (freiwillig)'!CX102,'Berechnung Nährstoffe und Lager'!$D$113:$D$130)+SUMIF('Berechnung Nährstoffe und Lager'!$AX$137:$AX$155,'Lagerhaltung (freiwillig)'!CX102,'Berechnung Nährstoffe und Lager'!$E$137:$E$155))</f>
        <v>0</v>
      </c>
      <c r="GP102" s="2042" cm="1">
        <f t="array" ref="GP102">IF(GO102=0,0,(IFERROR(SUMPRODUCT('Berechnung Nährstoffe und Lager'!$D$113:$D$130,'Berechnung Nährstoffe und Lager'!$F$113:$F$130,('Berechnung Nährstoffe und Lager'!$AX$113:$AX$130='Lagerhaltung (freiwillig)'!CX102)*1)+SUMPRODUCT('Berechnung Nährstoffe und Lager'!$E$137:$E$155,'Berechnung Nährstoffe und Lager'!$F$137:$F$155,('Berechnung Nährstoffe und Lager'!$AX$137:$AX$155='Lagerhaltung (freiwillig)'!CX102)*1),0))/GO102)</f>
        <v>0</v>
      </c>
      <c r="GQ102" s="2042">
        <f t="shared" si="200"/>
        <v>0</v>
      </c>
      <c r="GR102" s="2042">
        <f t="shared" si="201"/>
        <v>0</v>
      </c>
      <c r="GS102" s="2042">
        <f t="shared" si="202"/>
        <v>0</v>
      </c>
      <c r="GT102" s="2042">
        <f t="shared" si="203"/>
        <v>0</v>
      </c>
      <c r="GU102" s="2045" t="str">
        <f t="shared" si="175"/>
        <v xml:space="preserve"> </v>
      </c>
      <c r="GV102" s="2045" t="str">
        <f t="shared" si="175"/>
        <v xml:space="preserve"> </v>
      </c>
      <c r="GW102" s="2054">
        <f t="shared" si="183"/>
        <v>0</v>
      </c>
      <c r="GX102" s="2042">
        <f t="shared" si="184"/>
        <v>0</v>
      </c>
      <c r="GY102" s="2042" t="str">
        <f t="shared" si="174"/>
        <v>a</v>
      </c>
      <c r="GZ102" s="2055">
        <f t="shared" si="185"/>
        <v>0</v>
      </c>
      <c r="HA102" s="2055">
        <f t="shared" si="186"/>
        <v>0</v>
      </c>
      <c r="HB102" s="2055"/>
      <c r="HC102" s="2046">
        <f t="shared" si="187"/>
        <v>0</v>
      </c>
      <c r="HD102" s="2055">
        <f t="shared" si="188"/>
        <v>0</v>
      </c>
      <c r="HE102" s="2055">
        <f t="shared" si="189"/>
        <v>0</v>
      </c>
      <c r="HF102" s="2055">
        <f t="shared" si="190"/>
        <v>0</v>
      </c>
      <c r="HG102" s="2282" cm="1">
        <f t="array" ref="HG102">IF(AND(HE102=0,GJ102=0),0,IF(HE102=0,1,IF(OR(GJ102*1000/HE102/HF102&gt;INDEX(Pflanzen!$AD$5:$AD$109,CX102)/INDEX(Pflanzen!$M$5:$M$109,CX102)*$HG$2,GJ102*1000/HE102/HF102&lt;INDEX(Pflanzen!$AD$5:$AD$109,CX102)/INDEX(Pflanzen!$M$5:$M$109,CX102)/$HG$2),1,0)))</f>
        <v>0</v>
      </c>
      <c r="HH102" s="2282" cm="1">
        <f t="array" ref="HH102">IF(AND(GK102=0,HE102=0),0,IF(HE102=0,1,IF(OR(GK102*1000/HE102/HF102&gt;INDEX(Pflanzen!$AE$5:$AE$109,CX102)/INDEX(Pflanzen!$M$5:$M$109,CX102)*$HG$2,GK102*1000/HE102/HF102&lt;INDEX(Pflanzen!$AE$5:$AE$109,CX102)/INDEX(Pflanzen!$M$5:$M$109,CX102)/$HG$2),1,0)))</f>
        <v>0</v>
      </c>
      <c r="HI102" s="2042">
        <f t="shared" si="191"/>
        <v>3</v>
      </c>
      <c r="HJ102" s="2042"/>
      <c r="HL102" s="2042"/>
      <c r="HM102" s="2042"/>
      <c r="HN102" s="2042"/>
      <c r="HO102" s="2042"/>
      <c r="HP102" s="2042"/>
      <c r="HQ102" s="2042"/>
      <c r="HR102" s="2042"/>
      <c r="HS102" s="2042"/>
      <c r="HT102" s="2042"/>
      <c r="HU102" s="2042"/>
      <c r="HV102" s="2042"/>
      <c r="HW102" s="2042"/>
      <c r="HX102" s="2042"/>
      <c r="HY102" s="2042"/>
      <c r="HZ102" s="2042"/>
      <c r="IA102" s="2042"/>
      <c r="IB102" s="2042"/>
      <c r="IC102" s="2042"/>
      <c r="ID102" s="2042"/>
      <c r="IE102" s="2042"/>
      <c r="IF102" s="2042"/>
      <c r="IG102" s="2042"/>
      <c r="IH102" s="2042"/>
      <c r="II102" s="2042"/>
      <c r="IJ102" s="2042"/>
    </row>
    <row r="103" spans="1:244" ht="15" customHeight="1" thickBot="1" x14ac:dyDescent="0.25">
      <c r="A103" s="2375" t="s">
        <v>1138</v>
      </c>
      <c r="B103" s="2175"/>
      <c r="C103" s="2175"/>
      <c r="D103" s="2175"/>
      <c r="E103" s="2175"/>
      <c r="F103" s="3008"/>
      <c r="G103" s="3134"/>
      <c r="H103" s="3137" t="s">
        <v>1148</v>
      </c>
      <c r="I103" s="3138"/>
      <c r="J103" s="3138"/>
      <c r="K103" s="3139"/>
      <c r="L103" s="2275" cm="1">
        <f t="array" ref="L103">INDEX(Tierprodukte!C59:C60,BQ103)</f>
        <v>0</v>
      </c>
      <c r="M103" s="2280" cm="1">
        <f t="array" ref="M103">INDEX(Tierprodukte!D59:D60,BQ103)</f>
        <v>0</v>
      </c>
      <c r="N103" s="3140">
        <f>F103*L103*-1/1000</f>
        <v>0</v>
      </c>
      <c r="O103" s="3141"/>
      <c r="P103" s="3119">
        <f t="shared" si="224"/>
        <v>0</v>
      </c>
      <c r="Q103" s="3120"/>
      <c r="R103" s="2029" t="str">
        <f>IF(AND(BX99&gt;0,F103=""),"Leistung angeben",IF(OR(F103&lt;BX107,F103&gt;BX109),"Leistung nicht plausibel",""))</f>
        <v/>
      </c>
      <c r="S103" s="510"/>
      <c r="T103" s="1118"/>
      <c r="U103" s="510"/>
      <c r="V103" s="510"/>
      <c r="Y103" s="2005" t="str" cm="1">
        <f t="array" ref="Y103">IFERROR(INDEX($CW$4:$CW$171,AY103),"")</f>
        <v/>
      </c>
      <c r="Z103" s="510"/>
      <c r="AA103" s="510"/>
      <c r="AB103" s="510"/>
      <c r="AC103" s="2031" t="str" cm="1">
        <f t="array" ref="AC103">IFERROR(INDEX($GL$4:$GL$171,AY103),"")</f>
        <v/>
      </c>
      <c r="AD103" s="2031" t="str" cm="1">
        <f t="array" ref="AD103">IFERROR(INDEX($GM$4:$GM$171,AY103),"")</f>
        <v/>
      </c>
      <c r="AE103" s="2031" t="str" cm="1">
        <f t="array" ref="AE103">IFERROR(INDEX($GH$4:$GH$171,AY103),"")</f>
        <v/>
      </c>
      <c r="AF103" s="2031" t="str" cm="1">
        <f t="array" ref="AF103">IFERROR(INDEX($GI$4:$GI$171,AY103),"")</f>
        <v/>
      </c>
      <c r="AG103" s="2031" t="str" cm="1">
        <f t="array" ref="AG103">IFERROR(INDEX($GO$4:$GO$171,AY103),"")</f>
        <v/>
      </c>
      <c r="AH103" s="2031" t="str" cm="1">
        <f t="array" ref="AH103">IFERROR(INDEX($GP$4:$GP$171,AY103),"")</f>
        <v/>
      </c>
      <c r="AI103" s="2031" t="str" cm="1">
        <f t="array" ref="AI103">IFERROR(INDEX($GF$4:$GF$171,AY103),"")</f>
        <v/>
      </c>
      <c r="AJ103" s="2031" t="str" cm="1">
        <f t="array" ref="AJ103">IFERROR(INDEX($GG$4:$GG$171,AY103),"")</f>
        <v/>
      </c>
      <c r="AK103" s="2031" t="str" cm="1">
        <f t="array" ref="AK103">IFERROR(INDEX($GS$4:$GS$171,AY103),"")</f>
        <v/>
      </c>
      <c r="AL103" s="2032" t="str" cm="1">
        <f t="array" ref="AL103">IFERROR(INDEX($GT$4:$GT$171,AY103),"")</f>
        <v/>
      </c>
      <c r="AM103" s="2031" t="str" cm="1">
        <f t="array" ref="AM103">IFERROR(INDEX($GB$4:$GB$171,AY103),"")</f>
        <v/>
      </c>
      <c r="AN103" s="2031" t="str" cm="1">
        <f t="array" ref="AN103">IFERROR(INDEX($GC$4:$GC$171,AY103),"")</f>
        <v/>
      </c>
      <c r="AO103" s="2031" t="str" cm="1">
        <f t="array" ref="AO103">IFERROR(INDEX($GU$4:$GU$171,AY103),"")</f>
        <v/>
      </c>
      <c r="AP103" s="2031" t="str" cm="1">
        <f t="array" ref="AP103">IFERROR(INDEX($GX$4:$GX$171,AY103),"")</f>
        <v/>
      </c>
      <c r="AQ103" s="1316"/>
      <c r="AR103" s="2031" t="str" cm="1">
        <f t="array" ref="AR103">IFERROR(INDEX($HD$4:$HD$171,AY103),"")</f>
        <v/>
      </c>
      <c r="AS103" s="2031" t="str" cm="1">
        <f t="array" ref="AS103">IFERROR(INDEX($HE$4:$HE$171,AY103),"")</f>
        <v/>
      </c>
      <c r="AT103" s="2031" t="str" cm="1">
        <f t="array" ref="AT103">IFERROR(INDEX($HF$4:$HF$171,AY103),"")</f>
        <v/>
      </c>
      <c r="AU103" s="2031" t="str" cm="1">
        <f t="array" ref="AU103">IFERROR(INDEX($GJ$4:$GJ$171,AY103),"")</f>
        <v/>
      </c>
      <c r="AV103" s="2031" t="str" cm="1">
        <f t="array" ref="AV103">IFERROR(INDEX($GK$4:$GK$171,AY103),"")</f>
        <v/>
      </c>
      <c r="AY103" s="2042" t="str" cm="1">
        <f t="array" ref="AY103">IFERROR(SMALL(IF($HI$4:$HI$171=1,ROW($HI$4:$HI$171)-3),ROW(W88)),IFERROR(SMALL(IF($HI$4:$HI$171=2,ROW($HI$4:$HI$171)-3),ROW(W88)-COUNTIF($HI$4:$HI$171,1)),IFERROR(SMALL(IF($HI$4:$HI$171=0,ROW($HI$4:$HI$171)-3),ROW(W88)-COUNTIF($HI$4:$HI$171,1)-COUNTIF($HI$4:$HI$171,2)),"")))</f>
        <v/>
      </c>
      <c r="AZ103" s="2042" t="str">
        <f t="shared" si="215"/>
        <v>a</v>
      </c>
      <c r="BA103" s="2053" t="e">
        <f t="shared" si="172"/>
        <v>#VALUE!</v>
      </c>
      <c r="BB103" s="2053" cm="1">
        <f t="array" ref="BB103">IFERROR(INDEX($HI$4:$HI$171,AY103),0)</f>
        <v>0</v>
      </c>
      <c r="BC103" s="2053">
        <f t="shared" si="173"/>
        <v>0</v>
      </c>
      <c r="BD103" s="2053"/>
      <c r="BE103" s="2307"/>
      <c r="BF103" s="2307"/>
      <c r="BG103" s="2307"/>
      <c r="BH103" s="2307"/>
      <c r="BI103" s="2307"/>
      <c r="BJ103" s="2307"/>
      <c r="BK103" s="2307"/>
      <c r="BL103" s="2307"/>
      <c r="BM103" s="2307"/>
      <c r="BN103" s="2307"/>
      <c r="BO103" s="2307"/>
      <c r="BP103" s="2043"/>
      <c r="BQ103" s="2042">
        <v>1</v>
      </c>
      <c r="BR103" s="2042" cm="1">
        <f t="array" ref="BR103">INDEX(Tierprodukte!$J$59:$J$60,'Lagerhaltung (freiwillig)'!BQ103)</f>
        <v>0</v>
      </c>
      <c r="BS103" s="2042"/>
      <c r="BT103" s="2042"/>
      <c r="BU103" s="2059"/>
      <c r="BV103" s="2059"/>
      <c r="BW103" s="2042">
        <f>BW99*BW101/1000</f>
        <v>0</v>
      </c>
      <c r="BX103" s="2042">
        <f>BX99*BX101/1000</f>
        <v>0</v>
      </c>
      <c r="BY103" s="2042"/>
      <c r="BZ103" s="2042"/>
      <c r="CA103" s="2042" t="s">
        <v>1242</v>
      </c>
      <c r="CB103" s="2066">
        <v>0.5</v>
      </c>
      <c r="CC103" s="2042">
        <v>0.1</v>
      </c>
      <c r="CD103" s="2045" t="s">
        <v>8446</v>
      </c>
      <c r="CE103" s="2042"/>
      <c r="CF103" s="2042" t="s">
        <v>217</v>
      </c>
      <c r="CG103" s="2042"/>
      <c r="CH103" s="2042" t="s">
        <v>218</v>
      </c>
      <c r="CI103" s="2042" t="s">
        <v>94</v>
      </c>
      <c r="CJ103" s="2042" t="s">
        <v>1160</v>
      </c>
      <c r="CK103" s="2042"/>
      <c r="CL103" s="2042"/>
      <c r="CM103" s="2042"/>
      <c r="CN103" s="2042"/>
      <c r="CO103" s="2042"/>
      <c r="CP103" s="2042"/>
      <c r="CQ103" s="2042"/>
      <c r="CR103" s="2042"/>
      <c r="CS103" s="2042"/>
      <c r="CT103" s="2042"/>
      <c r="CU103" s="2042"/>
      <c r="CV103" s="2042"/>
      <c r="CW103" s="609" t="str">
        <f>Pflanzen!A99</f>
        <v>Zuchtsauengülle, Standardfutter</v>
      </c>
      <c r="CX103" s="2042">
        <f>IFERROR(MATCH($CW103,Pflanzen!$C$5:$C$119,0),1)</f>
        <v>90</v>
      </c>
      <c r="CY103" s="609" cm="1">
        <f t="array" ref="CY103">INDEX(Pflanzen!$I$5:$I$119,'Lagerhaltung (freiwillig)'!CX103)</f>
        <v>0</v>
      </c>
      <c r="CZ103" s="2042">
        <f t="shared" si="222"/>
        <v>0</v>
      </c>
      <c r="DA103" s="2042">
        <f t="shared" si="222"/>
        <v>0</v>
      </c>
      <c r="DB103" s="2042">
        <f t="shared" si="222"/>
        <v>0</v>
      </c>
      <c r="DC103" s="2042">
        <f t="shared" si="222"/>
        <v>0</v>
      </c>
      <c r="DD103" s="2042">
        <f t="shared" si="222"/>
        <v>0</v>
      </c>
      <c r="DE103" s="2042">
        <f t="shared" si="222"/>
        <v>0</v>
      </c>
      <c r="DF103" s="2042">
        <f t="shared" si="222"/>
        <v>0</v>
      </c>
      <c r="DG103" s="2042">
        <f t="shared" si="222"/>
        <v>0</v>
      </c>
      <c r="DH103" s="2042">
        <f t="shared" si="222"/>
        <v>0</v>
      </c>
      <c r="DI103" s="2042">
        <f t="shared" si="222"/>
        <v>0</v>
      </c>
      <c r="DJ103" s="2042">
        <f t="shared" si="222"/>
        <v>0</v>
      </c>
      <c r="DK103" s="2042">
        <f t="shared" si="222"/>
        <v>0</v>
      </c>
      <c r="DL103" s="2042"/>
      <c r="DM103" s="2042">
        <f t="shared" si="165"/>
        <v>0</v>
      </c>
      <c r="DN103" s="2042">
        <f t="shared" si="220"/>
        <v>0</v>
      </c>
      <c r="DO103" s="2042">
        <f t="shared" si="220"/>
        <v>0</v>
      </c>
      <c r="DP103" s="2042">
        <f t="shared" si="220"/>
        <v>0</v>
      </c>
      <c r="DQ103" s="2042">
        <f t="shared" si="220"/>
        <v>0</v>
      </c>
      <c r="DR103" s="2042">
        <f t="shared" si="220"/>
        <v>0</v>
      </c>
      <c r="DS103" s="2042">
        <f t="shared" si="220"/>
        <v>0</v>
      </c>
      <c r="DT103" s="2042">
        <f t="shared" si="220"/>
        <v>0</v>
      </c>
      <c r="DU103" s="2042">
        <f t="shared" si="220"/>
        <v>0</v>
      </c>
      <c r="DV103" s="2042">
        <f t="shared" si="220"/>
        <v>0</v>
      </c>
      <c r="DW103" s="2042">
        <f t="shared" si="220"/>
        <v>0</v>
      </c>
      <c r="DX103" s="2042">
        <f t="shared" si="220"/>
        <v>0</v>
      </c>
      <c r="DY103" s="2042"/>
      <c r="DZ103" s="2042">
        <f t="shared" si="223"/>
        <v>0</v>
      </c>
      <c r="EA103" s="2042">
        <f t="shared" si="223"/>
        <v>0</v>
      </c>
      <c r="EB103" s="2042">
        <f t="shared" si="223"/>
        <v>0</v>
      </c>
      <c r="EC103" s="2042">
        <f t="shared" si="223"/>
        <v>0</v>
      </c>
      <c r="ED103" s="2042">
        <f t="shared" si="223"/>
        <v>0</v>
      </c>
      <c r="EE103" s="2042">
        <f t="shared" si="223"/>
        <v>0</v>
      </c>
      <c r="EF103" s="2042">
        <f t="shared" si="223"/>
        <v>0</v>
      </c>
      <c r="EG103" s="2042">
        <f t="shared" si="223"/>
        <v>0</v>
      </c>
      <c r="EH103" s="2042">
        <f t="shared" si="223"/>
        <v>0</v>
      </c>
      <c r="EI103" s="2042">
        <f t="shared" si="223"/>
        <v>0</v>
      </c>
      <c r="EJ103" s="2042">
        <f t="shared" si="223"/>
        <v>0</v>
      </c>
      <c r="EK103" s="2042">
        <f t="shared" si="223"/>
        <v>0</v>
      </c>
      <c r="EL103" s="2042"/>
      <c r="EM103" s="2042">
        <f t="shared" si="167"/>
        <v>0</v>
      </c>
      <c r="EN103" s="2042">
        <f t="shared" si="221"/>
        <v>0</v>
      </c>
      <c r="EO103" s="2042">
        <f t="shared" si="221"/>
        <v>0</v>
      </c>
      <c r="EP103" s="2042">
        <f t="shared" si="221"/>
        <v>0</v>
      </c>
      <c r="EQ103" s="2042">
        <f t="shared" si="221"/>
        <v>0</v>
      </c>
      <c r="ER103" s="2042">
        <f t="shared" si="221"/>
        <v>0</v>
      </c>
      <c r="ES103" s="2042">
        <f t="shared" si="221"/>
        <v>0</v>
      </c>
      <c r="ET103" s="2042">
        <f t="shared" si="221"/>
        <v>0</v>
      </c>
      <c r="EU103" s="2042">
        <f t="shared" si="221"/>
        <v>0</v>
      </c>
      <c r="EV103" s="2042">
        <f t="shared" si="221"/>
        <v>0</v>
      </c>
      <c r="EW103" s="2042">
        <f t="shared" si="221"/>
        <v>0</v>
      </c>
      <c r="EX103" s="2042">
        <f t="shared" si="221"/>
        <v>0</v>
      </c>
      <c r="EY103" s="2042"/>
      <c r="EZ103" s="2045">
        <f t="shared" si="195"/>
        <v>0</v>
      </c>
      <c r="FA103" s="2042">
        <f>EZ103+CZ103+DZ103                 -         SUMIF('Berechnung Nährstoffe und Lager'!$AX$113:$AX$155,$CX103,'Berechnung Nährstoffe und Lager'!$U$113:$U$155)/12  -$GB103*$HC103/12</f>
        <v>0</v>
      </c>
      <c r="FB103" s="2042">
        <f>FA103+DA103+EA103                 -         SUMIF('Berechnung Nährstoffe und Lager'!$AX$113:$AX$155,$CX103,'Berechnung Nährstoffe und Lager'!$U$113:$U$155)/12  -$GB103*$HC103/12</f>
        <v>0</v>
      </c>
      <c r="FC103" s="2042">
        <f>FB103+DB103+EB103                 -         SUMIF('Berechnung Nährstoffe und Lager'!$AX$113:$AX$155,$CX103,'Berechnung Nährstoffe und Lager'!$U$113:$U$155)/12  -$GB103*$HC103/12</f>
        <v>0</v>
      </c>
      <c r="FD103" s="2042">
        <f>FC103+DC103+EC103                 -         SUMIF('Berechnung Nährstoffe und Lager'!$AX$113:$AX$155,$CX103,'Berechnung Nährstoffe und Lager'!$U$113:$U$155)/12  -$GB103*$HC103/12</f>
        <v>0</v>
      </c>
      <c r="FE103" s="2042">
        <f>FD103+DD103+ED103                 -         SUMIF('Berechnung Nährstoffe und Lager'!$AX$113:$AX$155,$CX103,'Berechnung Nährstoffe und Lager'!$U$113:$U$155)/12  -$GB103*$HC103/12</f>
        <v>0</v>
      </c>
      <c r="FF103" s="2042">
        <f>FE103+DE103+EE103                 -         SUMIF('Berechnung Nährstoffe und Lager'!$AX$113:$AX$155,$CX103,'Berechnung Nährstoffe und Lager'!$U$113:$U$155)/12  -$GB103*$HC103/12</f>
        <v>0</v>
      </c>
      <c r="FG103" s="2042">
        <f>FF103+DF103+EF103                 -         SUMIF('Berechnung Nährstoffe und Lager'!$AX$113:$AX$155,$CX103,'Berechnung Nährstoffe und Lager'!$U$113:$U$155)/12  -$GB103*$HC103/12</f>
        <v>0</v>
      </c>
      <c r="FH103" s="2042">
        <f>FG103+DG103+EG103                 -         SUMIF('Berechnung Nährstoffe und Lager'!$AX$113:$AX$155,$CX103,'Berechnung Nährstoffe und Lager'!$U$113:$U$155)/12  -$GB103*$HC103/12</f>
        <v>0</v>
      </c>
      <c r="FI103" s="2042">
        <f>FH103+DH103+EH103                 -         SUMIF('Berechnung Nährstoffe und Lager'!$AX$113:$AX$155,$CX103,'Berechnung Nährstoffe und Lager'!$U$113:$U$155)/12  -$GB103*$HC103/12</f>
        <v>0</v>
      </c>
      <c r="FJ103" s="2042">
        <f>FI103+DI103+EI103                 -         SUMIF('Berechnung Nährstoffe und Lager'!$AX$113:$AX$155,$CX103,'Berechnung Nährstoffe und Lager'!$U$113:$U$155)/12  -$GB103*$HC103/12</f>
        <v>0</v>
      </c>
      <c r="FK103" s="2042">
        <f>FJ103+DJ103+EJ103                 -         SUMIF('Berechnung Nährstoffe und Lager'!$AX$113:$AX$155,$CX103,'Berechnung Nährstoffe und Lager'!$U$113:$U$155)/12  -$GB103*$HC103/12</f>
        <v>0</v>
      </c>
      <c r="FL103" s="2042">
        <f>FK103+DK103+EK103                 -         SUMIF('Berechnung Nährstoffe und Lager'!$AX$113:$AX$155,$CX103,'Berechnung Nährstoffe und Lager'!$U$113:$U$155)/12  -$GB103*$HC103/12</f>
        <v>0</v>
      </c>
      <c r="FM103" s="2042"/>
      <c r="FN103" s="2045">
        <f t="shared" si="196"/>
        <v>0</v>
      </c>
      <c r="FO103" s="2042">
        <f>FN103+DM103+EM103                 -         SUMIF('Berechnung Nährstoffe und Lager'!$AX$113:$AX$155,$CX103,'Berechnung Nährstoffe und Lager'!$V$113:$V$155)/12  -$GC103*$HC103/12</f>
        <v>0</v>
      </c>
      <c r="FP103" s="2042">
        <f>FO103+DN103+EN103                 -         SUMIF('Berechnung Nährstoffe und Lager'!$AX$113:$AX$155,$CX103,'Berechnung Nährstoffe und Lager'!$V$113:$V$155)/12  -$GC103*$HC103/12</f>
        <v>0</v>
      </c>
      <c r="FQ103" s="2042">
        <f>FP103+DO103+EO103                 -         SUMIF('Berechnung Nährstoffe und Lager'!$AX$113:$AX$155,$CX103,'Berechnung Nährstoffe und Lager'!$V$113:$V$155)/12  -$GC103*$HC103/12</f>
        <v>0</v>
      </c>
      <c r="FR103" s="2042">
        <f>FQ103+DP103+EP103                 -         SUMIF('Berechnung Nährstoffe und Lager'!$AX$113:$AX$155,$CX103,'Berechnung Nährstoffe und Lager'!$V$113:$V$155)/12  -$GC103*$HC103/12</f>
        <v>0</v>
      </c>
      <c r="FS103" s="2042">
        <f>FR103+DQ103+EQ103                 -         SUMIF('Berechnung Nährstoffe und Lager'!$AX$113:$AX$155,$CX103,'Berechnung Nährstoffe und Lager'!$V$113:$V$155)/12  -$GC103*$HC103/12</f>
        <v>0</v>
      </c>
      <c r="FT103" s="2042">
        <f>FS103+DR103+ER103                 -         SUMIF('Berechnung Nährstoffe und Lager'!$AX$113:$AX$155,$CX103,'Berechnung Nährstoffe und Lager'!$V$113:$V$155)/12  -$GC103*$HC103/12</f>
        <v>0</v>
      </c>
      <c r="FU103" s="2042">
        <f>FT103+DS103+ES103                 -         SUMIF('Berechnung Nährstoffe und Lager'!$AX$113:$AX$155,$CX103,'Berechnung Nährstoffe und Lager'!$V$113:$V$155)/12  -$GC103*$HC103/12</f>
        <v>0</v>
      </c>
      <c r="FV103" s="2042">
        <f>FU103+DT103+ET103                 -         SUMIF('Berechnung Nährstoffe und Lager'!$AX$113:$AX$155,$CX103,'Berechnung Nährstoffe und Lager'!$V$113:$V$155)/12  -$GC103*$HC103/12</f>
        <v>0</v>
      </c>
      <c r="FW103" s="2042">
        <f>FV103+DU103+EU103                 -         SUMIF('Berechnung Nährstoffe und Lager'!$AX$113:$AX$155,$CX103,'Berechnung Nährstoffe und Lager'!$V$113:$V$155)/12  -$GC103*$HC103/12</f>
        <v>0</v>
      </c>
      <c r="FX103" s="2042">
        <f>FW103+DV103+EV103                 -         SUMIF('Berechnung Nährstoffe und Lager'!$AX$113:$AX$155,$CX103,'Berechnung Nährstoffe und Lager'!$V$113:$V$155)/12  -$GC103*$HC103/12</f>
        <v>0</v>
      </c>
      <c r="FY103" s="2042">
        <f>FX103+DW103+EW103                 -         SUMIF('Berechnung Nährstoffe und Lager'!$AX$113:$AX$155,$CX103,'Berechnung Nährstoffe und Lager'!$V$113:$V$155)/12  -$GC103*$HC103/12</f>
        <v>0</v>
      </c>
      <c r="FZ103" s="2042">
        <f>FY103+DX103+EX103                 -         SUMIF('Berechnung Nährstoffe und Lager'!$AX$113:$AX$155,$CX103,'Berechnung Nährstoffe und Lager'!$V$113:$V$155)/12  -$GC103*$HC103/12</f>
        <v>0</v>
      </c>
      <c r="GA103" s="2042"/>
      <c r="GB103" s="2042">
        <f>SUMIFS($CI$14:$CI$68,$BR$14:$BR$68,$CX103)+SUMIFS($CM$14:$CM$68,$BR$14:$BR$68,$CX103)+SUMIFS($CR$14:$CR$68,$BR$14:$BR$68,$CX103)  -         SUMIF('Berechnung Nährstoffe und Lager'!$AX$113:$AX$155,$CX103,'Berechnung Nährstoffe und Lager'!$U$113:$U$155)</f>
        <v>0</v>
      </c>
      <c r="GC103" s="2042">
        <f>SUMIFS($CJ$14:$CJ$68,$BR$14:$BR$68,$CX103)+SUMIFS($CO$14:$CO$68,$BR$14:$BR$68,$CX103)+SUMIFS($CT$14:$CT$68,$BR$14:$BR$68,$CX103)  -         SUMIF('Berechnung Nährstoffe und Lager'!$AX$113:$AX$155,$CX103,'Berechnung Nährstoffe und Lager'!$V$113:$V$155)</f>
        <v>0</v>
      </c>
      <c r="GD103" s="2042"/>
      <c r="GE103" s="2042"/>
      <c r="GF103" s="2042">
        <f>SUMIF('Berechnung Nährstoffe und Lager'!$AX$113:$AX$155,$CX103,'Berechnung Nährstoffe und Lager'!$U$113:$U$155)</f>
        <v>0</v>
      </c>
      <c r="GG103" s="2042">
        <f>SUMIF('Berechnung Nährstoffe und Lager'!$AX$113:$AX$155,$CX103,'Berechnung Nährstoffe und Lager'!$V$113:$V$155)</f>
        <v>0</v>
      </c>
      <c r="GH103" s="2042">
        <f t="shared" si="197"/>
        <v>0</v>
      </c>
      <c r="GI103" s="2042">
        <f t="shared" si="198"/>
        <v>0</v>
      </c>
      <c r="GJ103" s="2042">
        <f t="shared" si="180"/>
        <v>0</v>
      </c>
      <c r="GK103" s="2042">
        <f t="shared" si="181"/>
        <v>0</v>
      </c>
      <c r="GL103" s="2042">
        <f t="shared" si="182"/>
        <v>0</v>
      </c>
      <c r="GM103" s="2042" cm="1">
        <f t="array" ref="GM103">IF(GL103=0,0,(IFERROR(SUMPRODUCT($J$14:$J$68,$CH$14:$CH$68,($BR$14:$BR$68=CX103)*1)+SUMPRODUCT($L$14:$L$68,$M$14:$M$68,$CK$14:$CK$68,($BR$14:$BR$68=CX103)*1,($BT$14:$BT$68=FALSE)*1)/10+SUMPRODUCT($R$14:$R$68,$CP$14:$CP$68,($BR$14:$BR$68=CX103)*1),0))/GL103)</f>
        <v>0</v>
      </c>
      <c r="GN103" s="2042">
        <f t="shared" si="199"/>
        <v>0</v>
      </c>
      <c r="GO103" s="2042">
        <f>(SUMIF('Berechnung Nährstoffe und Lager'!$AX$113:$AX$130,'Lagerhaltung (freiwillig)'!CX103,'Berechnung Nährstoffe und Lager'!$D$113:$D$130)+SUMIF('Berechnung Nährstoffe und Lager'!$AX$137:$AX$155,'Lagerhaltung (freiwillig)'!CX103,'Berechnung Nährstoffe und Lager'!$E$137:$E$155))</f>
        <v>0</v>
      </c>
      <c r="GP103" s="2042" cm="1">
        <f t="array" ref="GP103">IF(GO103=0,0,(IFERROR(SUMPRODUCT('Berechnung Nährstoffe und Lager'!$D$113:$D$130,'Berechnung Nährstoffe und Lager'!$F$113:$F$130,('Berechnung Nährstoffe und Lager'!$AX$113:$AX$130='Lagerhaltung (freiwillig)'!CX103)*1)+SUMPRODUCT('Berechnung Nährstoffe und Lager'!$E$137:$E$155,'Berechnung Nährstoffe und Lager'!$F$137:$F$155,('Berechnung Nährstoffe und Lager'!$AX$137:$AX$155='Lagerhaltung (freiwillig)'!CX103)*1),0))/GO103)</f>
        <v>0</v>
      </c>
      <c r="GQ103" s="2042">
        <f t="shared" si="200"/>
        <v>0</v>
      </c>
      <c r="GR103" s="2042">
        <f t="shared" si="201"/>
        <v>0</v>
      </c>
      <c r="GS103" s="2042">
        <f t="shared" si="202"/>
        <v>0</v>
      </c>
      <c r="GT103" s="2042">
        <f t="shared" si="203"/>
        <v>0</v>
      </c>
      <c r="GU103" s="2045" t="str">
        <f t="shared" si="175"/>
        <v xml:space="preserve"> </v>
      </c>
      <c r="GV103" s="2045" t="str">
        <f t="shared" si="175"/>
        <v xml:space="preserve"> </v>
      </c>
      <c r="GW103" s="2054">
        <f t="shared" si="183"/>
        <v>0</v>
      </c>
      <c r="GX103" s="2042">
        <f t="shared" si="184"/>
        <v>0</v>
      </c>
      <c r="GY103" s="2042" t="str">
        <f t="shared" si="174"/>
        <v>a</v>
      </c>
      <c r="GZ103" s="2055">
        <f t="shared" si="185"/>
        <v>0</v>
      </c>
      <c r="HA103" s="2055">
        <f t="shared" si="186"/>
        <v>0</v>
      </c>
      <c r="HB103" s="2055"/>
      <c r="HC103" s="2046">
        <f t="shared" si="187"/>
        <v>0</v>
      </c>
      <c r="HD103" s="2055">
        <f t="shared" si="188"/>
        <v>0</v>
      </c>
      <c r="HE103" s="2055">
        <f t="shared" si="189"/>
        <v>0</v>
      </c>
      <c r="HF103" s="2055">
        <f t="shared" si="190"/>
        <v>0</v>
      </c>
      <c r="HG103" s="2282" cm="1">
        <f t="array" ref="HG103">IF(AND(HE103=0,GJ103=0),0,IF(HE103=0,1,IF(OR(GJ103*1000/HE103/HF103&gt;INDEX(Pflanzen!$AD$5:$AD$109,CX103)/INDEX(Pflanzen!$M$5:$M$109,CX103)*$HG$2,GJ103*1000/HE103/HF103&lt;INDEX(Pflanzen!$AD$5:$AD$109,CX103)/INDEX(Pflanzen!$M$5:$M$109,CX103)/$HG$2),1,0)))</f>
        <v>0</v>
      </c>
      <c r="HH103" s="2282" cm="1">
        <f t="array" ref="HH103">IF(AND(GK103=0,HE103=0),0,IF(HE103=0,1,IF(OR(GK103*1000/HE103/HF103&gt;INDEX(Pflanzen!$AE$5:$AE$109,CX103)/INDEX(Pflanzen!$M$5:$M$109,CX103)*$HG$2,GK103*1000/HE103/HF103&lt;INDEX(Pflanzen!$AE$5:$AE$109,CX103)/INDEX(Pflanzen!$M$5:$M$109,CX103)/$HG$2),1,0)))</f>
        <v>0</v>
      </c>
      <c r="HI103" s="2042">
        <f t="shared" si="191"/>
        <v>3</v>
      </c>
      <c r="HJ103" s="2042"/>
      <c r="HL103" s="2042"/>
      <c r="HM103" s="2042"/>
      <c r="HN103" s="2042"/>
      <c r="HO103" s="2042"/>
      <c r="HP103" s="2042"/>
      <c r="HQ103" s="2042"/>
      <c r="HR103" s="2042"/>
      <c r="HS103" s="2042"/>
      <c r="HT103" s="2042"/>
      <c r="HU103" s="2042"/>
      <c r="HV103" s="2042"/>
      <c r="HW103" s="2042"/>
      <c r="HX103" s="2042"/>
      <c r="HY103" s="2042"/>
      <c r="HZ103" s="2042"/>
      <c r="IA103" s="2042"/>
      <c r="IB103" s="2042"/>
      <c r="IC103" s="2042"/>
      <c r="ID103" s="2042"/>
      <c r="IE103" s="2042"/>
      <c r="IF103" s="2042"/>
      <c r="IG103" s="2042"/>
      <c r="IH103" s="2042"/>
      <c r="II103" s="2042"/>
      <c r="IJ103" s="2042"/>
    </row>
    <row r="104" spans="1:244" ht="15.6" customHeight="1" thickBot="1" x14ac:dyDescent="0.25">
      <c r="A104" s="2027" t="s">
        <v>1151</v>
      </c>
      <c r="B104" s="2028"/>
      <c r="C104" s="1239"/>
      <c r="D104" s="1140"/>
      <c r="E104" s="1140"/>
      <c r="F104" s="1140"/>
      <c r="G104" s="1140"/>
      <c r="H104" s="1140"/>
      <c r="I104" s="3142"/>
      <c r="J104" s="3142"/>
      <c r="K104" s="3142"/>
      <c r="L104" s="2197"/>
      <c r="M104" s="2176"/>
      <c r="N104" s="3146">
        <f>SUM(N98:N103)</f>
        <v>0</v>
      </c>
      <c r="O104" s="3147"/>
      <c r="P104" s="3121">
        <f>SUM(P98:P103)</f>
        <v>0</v>
      </c>
      <c r="Q104" s="3122"/>
      <c r="R104" s="2178" t="str">
        <f>IF(CC105=1,"","Leistung nicht plausibel")</f>
        <v/>
      </c>
      <c r="S104" s="510"/>
      <c r="T104" s="1118"/>
      <c r="U104" s="510"/>
      <c r="V104" s="510"/>
      <c r="Y104" s="2005" t="str" cm="1">
        <f t="array" ref="Y104">IFERROR(INDEX($CW$4:$CW$171,AY104),"")</f>
        <v/>
      </c>
      <c r="Z104" s="510"/>
      <c r="AA104" s="510"/>
      <c r="AB104" s="510"/>
      <c r="AC104" s="2031" t="str" cm="1">
        <f t="array" ref="AC104">IFERROR(INDEX($GL$4:$GL$171,AY104),"")</f>
        <v/>
      </c>
      <c r="AD104" s="2031" t="str" cm="1">
        <f t="array" ref="AD104">IFERROR(INDEX($GM$4:$GM$171,AY104),"")</f>
        <v/>
      </c>
      <c r="AE104" s="2031" t="str" cm="1">
        <f t="array" ref="AE104">IFERROR(INDEX($GH$4:$GH$171,AY104),"")</f>
        <v/>
      </c>
      <c r="AF104" s="2031" t="str" cm="1">
        <f t="array" ref="AF104">IFERROR(INDEX($GI$4:$GI$171,AY104),"")</f>
        <v/>
      </c>
      <c r="AG104" s="2031" t="str" cm="1">
        <f t="array" ref="AG104">IFERROR(INDEX($GO$4:$GO$171,AY104),"")</f>
        <v/>
      </c>
      <c r="AH104" s="2031" t="str" cm="1">
        <f t="array" ref="AH104">IFERROR(INDEX($GP$4:$GP$171,AY104),"")</f>
        <v/>
      </c>
      <c r="AI104" s="2031" t="str" cm="1">
        <f t="array" ref="AI104">IFERROR(INDEX($GF$4:$GF$171,AY104),"")</f>
        <v/>
      </c>
      <c r="AJ104" s="2031" t="str" cm="1">
        <f t="array" ref="AJ104">IFERROR(INDEX($GG$4:$GG$171,AY104),"")</f>
        <v/>
      </c>
      <c r="AK104" s="2031" t="str" cm="1">
        <f t="array" ref="AK104">IFERROR(INDEX($GS$4:$GS$171,AY104),"")</f>
        <v/>
      </c>
      <c r="AL104" s="2032" t="str" cm="1">
        <f t="array" ref="AL104">IFERROR(INDEX($GT$4:$GT$171,AY104),"")</f>
        <v/>
      </c>
      <c r="AM104" s="2031" t="str" cm="1">
        <f t="array" ref="AM104">IFERROR(INDEX($GB$4:$GB$171,AY104),"")</f>
        <v/>
      </c>
      <c r="AN104" s="2031" t="str" cm="1">
        <f t="array" ref="AN104">IFERROR(INDEX($GC$4:$GC$171,AY104),"")</f>
        <v/>
      </c>
      <c r="AO104" s="2031" t="str" cm="1">
        <f t="array" ref="AO104">IFERROR(INDEX($GU$4:$GU$171,AY104),"")</f>
        <v/>
      </c>
      <c r="AP104" s="2031" t="str" cm="1">
        <f t="array" ref="AP104">IFERROR(INDEX($GX$4:$GX$171,AY104),"")</f>
        <v/>
      </c>
      <c r="AQ104" s="1316"/>
      <c r="AR104" s="2031" t="str" cm="1">
        <f t="array" ref="AR104">IFERROR(INDEX($HD$4:$HD$171,AY104),"")</f>
        <v/>
      </c>
      <c r="AS104" s="2031" t="str" cm="1">
        <f t="array" ref="AS104">IFERROR(INDEX($HE$4:$HE$171,AY104),"")</f>
        <v/>
      </c>
      <c r="AT104" s="2031" t="str" cm="1">
        <f t="array" ref="AT104">IFERROR(INDEX($HF$4:$HF$171,AY104),"")</f>
        <v/>
      </c>
      <c r="AU104" s="2031" t="str" cm="1">
        <f t="array" ref="AU104">IFERROR(INDEX($GJ$4:$GJ$171,AY104),"")</f>
        <v/>
      </c>
      <c r="AV104" s="2031" t="str" cm="1">
        <f t="array" ref="AV104">IFERROR(INDEX($GK$4:$GK$171,AY104),"")</f>
        <v/>
      </c>
      <c r="AY104" s="2042" t="str" cm="1">
        <f t="array" ref="AY104">IFERROR(SMALL(IF($HI$4:$HI$171=1,ROW($HI$4:$HI$171)-3),ROW(W89)),IFERROR(SMALL(IF($HI$4:$HI$171=2,ROW($HI$4:$HI$171)-3),ROW(W89)-COUNTIF($HI$4:$HI$171,1)),IFERROR(SMALL(IF($HI$4:$HI$171=0,ROW($HI$4:$HI$171)-3),ROW(W89)-COUNTIF($HI$4:$HI$171,1)-COUNTIF($HI$4:$HI$171,2)),"")))</f>
        <v/>
      </c>
      <c r="AZ104" s="2042" t="str">
        <f t="shared" si="215"/>
        <v>a</v>
      </c>
      <c r="BA104" s="2053" t="e">
        <f t="shared" ref="BA104:BA132" si="226">IF(AK104=" ",0,AK104-AQ104)</f>
        <v>#VALUE!</v>
      </c>
      <c r="BB104" s="2053" cm="1">
        <f t="array" ref="BB104">IFERROR(INDEX($HI$4:$HI$171,AY104),0)</f>
        <v>0</v>
      </c>
      <c r="BC104" s="2053">
        <f t="shared" ref="BC104:BC132" si="227">IFERROR(SUM(INDEX($HG$4:$HG$171,AY104),INDEX($HH$4:$HH$171,AY104)),0)</f>
        <v>0</v>
      </c>
      <c r="BD104" s="2053"/>
      <c r="BE104" s="2307"/>
      <c r="BF104" s="2307"/>
      <c r="BG104" s="2307"/>
      <c r="BH104" s="2307"/>
      <c r="BI104" s="2307"/>
      <c r="BJ104" s="2307"/>
      <c r="BK104" s="2307"/>
      <c r="BL104" s="2307"/>
      <c r="BM104" s="2307"/>
      <c r="BN104" s="2307"/>
      <c r="BO104" s="2307"/>
      <c r="BP104" s="2043"/>
      <c r="BU104" s="2059"/>
      <c r="BV104" s="2059"/>
      <c r="BW104" s="2042" t="s">
        <v>8392</v>
      </c>
      <c r="BX104" s="2045" t="s">
        <v>8392</v>
      </c>
      <c r="BY104" s="2042"/>
      <c r="BZ104" s="2042" t="s">
        <v>1242</v>
      </c>
      <c r="CA104" s="2042">
        <f>CA100*$CB$103+$CC$103</f>
        <v>0.1</v>
      </c>
      <c r="CB104" s="2042">
        <f t="shared" ref="CB104:CC104" si="228">CB100*$CB$103+$CC$103</f>
        <v>0.1</v>
      </c>
      <c r="CC104" s="2042">
        <f t="shared" si="228"/>
        <v>0.1</v>
      </c>
      <c r="CD104" s="2042">
        <f>CD100*$CB$103+$CC$103</f>
        <v>0.1</v>
      </c>
      <c r="CE104" s="2042"/>
      <c r="CF104" s="2276">
        <f>CA107-P98</f>
        <v>0</v>
      </c>
      <c r="CG104" s="2276"/>
      <c r="CH104" s="2042">
        <f>CB107</f>
        <v>0</v>
      </c>
      <c r="CI104" s="2276">
        <f>CC107-P102</f>
        <v>0</v>
      </c>
      <c r="CJ104" s="2276">
        <f>CD107-P103</f>
        <v>0</v>
      </c>
      <c r="CK104" s="2042"/>
      <c r="CL104" s="2042"/>
      <c r="CM104" s="2042"/>
      <c r="CN104" s="2042"/>
      <c r="CO104" s="2042"/>
      <c r="CP104" s="2042"/>
      <c r="CQ104" s="2042"/>
      <c r="CR104" s="2042"/>
      <c r="CS104" s="2042"/>
      <c r="CT104" s="2042"/>
      <c r="CU104" s="2042"/>
      <c r="CV104" s="2042"/>
      <c r="CW104" s="609" t="str">
        <f>Pflanzen!A100</f>
        <v>Zuchtsauengülle, N-/P-red. Fütterung</v>
      </c>
      <c r="CX104" s="2042">
        <f>IFERROR(MATCH($CW104,Pflanzen!$C$5:$C$119,0),1)</f>
        <v>91</v>
      </c>
      <c r="CY104" s="609" cm="1">
        <f t="array" ref="CY104">INDEX(Pflanzen!$I$5:$I$119,'Lagerhaltung (freiwillig)'!CX104)</f>
        <v>0</v>
      </c>
      <c r="CZ104" s="2042">
        <f t="shared" si="222"/>
        <v>0</v>
      </c>
      <c r="DA104" s="2042">
        <f t="shared" si="222"/>
        <v>0</v>
      </c>
      <c r="DB104" s="2042">
        <f t="shared" si="222"/>
        <v>0</v>
      </c>
      <c r="DC104" s="2042">
        <f t="shared" si="222"/>
        <v>0</v>
      </c>
      <c r="DD104" s="2042">
        <f t="shared" si="222"/>
        <v>0</v>
      </c>
      <c r="DE104" s="2042">
        <f t="shared" si="222"/>
        <v>0</v>
      </c>
      <c r="DF104" s="2042">
        <f t="shared" si="222"/>
        <v>0</v>
      </c>
      <c r="DG104" s="2042">
        <f t="shared" si="222"/>
        <v>0</v>
      </c>
      <c r="DH104" s="2042">
        <f t="shared" si="222"/>
        <v>0</v>
      </c>
      <c r="DI104" s="2042">
        <f t="shared" si="222"/>
        <v>0</v>
      </c>
      <c r="DJ104" s="2042">
        <f t="shared" si="222"/>
        <v>0</v>
      </c>
      <c r="DK104" s="2042">
        <f t="shared" si="222"/>
        <v>0</v>
      </c>
      <c r="DL104" s="2042"/>
      <c r="DM104" s="2042">
        <f t="shared" si="165"/>
        <v>0</v>
      </c>
      <c r="DN104" s="2042">
        <f t="shared" si="220"/>
        <v>0</v>
      </c>
      <c r="DO104" s="2042">
        <f t="shared" si="220"/>
        <v>0</v>
      </c>
      <c r="DP104" s="2042">
        <f t="shared" si="220"/>
        <v>0</v>
      </c>
      <c r="DQ104" s="2042">
        <f t="shared" si="220"/>
        <v>0</v>
      </c>
      <c r="DR104" s="2042">
        <f t="shared" si="220"/>
        <v>0</v>
      </c>
      <c r="DS104" s="2042">
        <f t="shared" si="220"/>
        <v>0</v>
      </c>
      <c r="DT104" s="2042">
        <f t="shared" si="220"/>
        <v>0</v>
      </c>
      <c r="DU104" s="2042">
        <f t="shared" si="220"/>
        <v>0</v>
      </c>
      <c r="DV104" s="2042">
        <f t="shared" si="220"/>
        <v>0</v>
      </c>
      <c r="DW104" s="2042">
        <f t="shared" si="220"/>
        <v>0</v>
      </c>
      <c r="DX104" s="2042">
        <f t="shared" si="220"/>
        <v>0</v>
      </c>
      <c r="DY104" s="2042"/>
      <c r="DZ104" s="2042">
        <f t="shared" si="223"/>
        <v>0</v>
      </c>
      <c r="EA104" s="2042">
        <f t="shared" si="223"/>
        <v>0</v>
      </c>
      <c r="EB104" s="2042">
        <f t="shared" si="223"/>
        <v>0</v>
      </c>
      <c r="EC104" s="2042">
        <f t="shared" si="223"/>
        <v>0</v>
      </c>
      <c r="ED104" s="2042">
        <f t="shared" si="223"/>
        <v>0</v>
      </c>
      <c r="EE104" s="2042">
        <f t="shared" si="223"/>
        <v>0</v>
      </c>
      <c r="EF104" s="2042">
        <f t="shared" si="223"/>
        <v>0</v>
      </c>
      <c r="EG104" s="2042">
        <f t="shared" si="223"/>
        <v>0</v>
      </c>
      <c r="EH104" s="2042">
        <f t="shared" si="223"/>
        <v>0</v>
      </c>
      <c r="EI104" s="2042">
        <f t="shared" si="223"/>
        <v>0</v>
      </c>
      <c r="EJ104" s="2042">
        <f t="shared" si="223"/>
        <v>0</v>
      </c>
      <c r="EK104" s="2042">
        <f t="shared" si="223"/>
        <v>0</v>
      </c>
      <c r="EL104" s="2042"/>
      <c r="EM104" s="2042">
        <f t="shared" si="167"/>
        <v>0</v>
      </c>
      <c r="EN104" s="2042">
        <f t="shared" si="221"/>
        <v>0</v>
      </c>
      <c r="EO104" s="2042">
        <f t="shared" si="221"/>
        <v>0</v>
      </c>
      <c r="EP104" s="2042">
        <f t="shared" si="221"/>
        <v>0</v>
      </c>
      <c r="EQ104" s="2042">
        <f t="shared" si="221"/>
        <v>0</v>
      </c>
      <c r="ER104" s="2042">
        <f t="shared" si="221"/>
        <v>0</v>
      </c>
      <c r="ES104" s="2042">
        <f t="shared" si="221"/>
        <v>0</v>
      </c>
      <c r="ET104" s="2042">
        <f t="shared" si="221"/>
        <v>0</v>
      </c>
      <c r="EU104" s="2042">
        <f t="shared" si="221"/>
        <v>0</v>
      </c>
      <c r="EV104" s="2042">
        <f t="shared" si="221"/>
        <v>0</v>
      </c>
      <c r="EW104" s="2042">
        <f t="shared" si="221"/>
        <v>0</v>
      </c>
      <c r="EX104" s="2042">
        <f t="shared" si="221"/>
        <v>0</v>
      </c>
      <c r="EY104" s="2042"/>
      <c r="EZ104" s="2045">
        <f t="shared" si="195"/>
        <v>0</v>
      </c>
      <c r="FA104" s="2042">
        <f>EZ104+CZ104+DZ104                 -         SUMIF('Berechnung Nährstoffe und Lager'!$AX$113:$AX$155,$CX104,'Berechnung Nährstoffe und Lager'!$U$113:$U$155)/12  -$GB104*$HC104/12</f>
        <v>0</v>
      </c>
      <c r="FB104" s="2042">
        <f>FA104+DA104+EA104                 -         SUMIF('Berechnung Nährstoffe und Lager'!$AX$113:$AX$155,$CX104,'Berechnung Nährstoffe und Lager'!$U$113:$U$155)/12  -$GB104*$HC104/12</f>
        <v>0</v>
      </c>
      <c r="FC104" s="2042">
        <f>FB104+DB104+EB104                 -         SUMIF('Berechnung Nährstoffe und Lager'!$AX$113:$AX$155,$CX104,'Berechnung Nährstoffe und Lager'!$U$113:$U$155)/12  -$GB104*$HC104/12</f>
        <v>0</v>
      </c>
      <c r="FD104" s="2042">
        <f>FC104+DC104+EC104                 -         SUMIF('Berechnung Nährstoffe und Lager'!$AX$113:$AX$155,$CX104,'Berechnung Nährstoffe und Lager'!$U$113:$U$155)/12  -$GB104*$HC104/12</f>
        <v>0</v>
      </c>
      <c r="FE104" s="2042">
        <f>FD104+DD104+ED104                 -         SUMIF('Berechnung Nährstoffe und Lager'!$AX$113:$AX$155,$CX104,'Berechnung Nährstoffe und Lager'!$U$113:$U$155)/12  -$GB104*$HC104/12</f>
        <v>0</v>
      </c>
      <c r="FF104" s="2042">
        <f>FE104+DE104+EE104                 -         SUMIF('Berechnung Nährstoffe und Lager'!$AX$113:$AX$155,$CX104,'Berechnung Nährstoffe und Lager'!$U$113:$U$155)/12  -$GB104*$HC104/12</f>
        <v>0</v>
      </c>
      <c r="FG104" s="2042">
        <f>FF104+DF104+EF104                 -         SUMIF('Berechnung Nährstoffe und Lager'!$AX$113:$AX$155,$CX104,'Berechnung Nährstoffe und Lager'!$U$113:$U$155)/12  -$GB104*$HC104/12</f>
        <v>0</v>
      </c>
      <c r="FH104" s="2042">
        <f>FG104+DG104+EG104                 -         SUMIF('Berechnung Nährstoffe und Lager'!$AX$113:$AX$155,$CX104,'Berechnung Nährstoffe und Lager'!$U$113:$U$155)/12  -$GB104*$HC104/12</f>
        <v>0</v>
      </c>
      <c r="FI104" s="2042">
        <f>FH104+DH104+EH104                 -         SUMIF('Berechnung Nährstoffe und Lager'!$AX$113:$AX$155,$CX104,'Berechnung Nährstoffe und Lager'!$U$113:$U$155)/12  -$GB104*$HC104/12</f>
        <v>0</v>
      </c>
      <c r="FJ104" s="2042">
        <f>FI104+DI104+EI104                 -         SUMIF('Berechnung Nährstoffe und Lager'!$AX$113:$AX$155,$CX104,'Berechnung Nährstoffe und Lager'!$U$113:$U$155)/12  -$GB104*$HC104/12</f>
        <v>0</v>
      </c>
      <c r="FK104" s="2042">
        <f>FJ104+DJ104+EJ104                 -         SUMIF('Berechnung Nährstoffe und Lager'!$AX$113:$AX$155,$CX104,'Berechnung Nährstoffe und Lager'!$U$113:$U$155)/12  -$GB104*$HC104/12</f>
        <v>0</v>
      </c>
      <c r="FL104" s="2042">
        <f>FK104+DK104+EK104                 -         SUMIF('Berechnung Nährstoffe und Lager'!$AX$113:$AX$155,$CX104,'Berechnung Nährstoffe und Lager'!$U$113:$U$155)/12  -$GB104*$HC104/12</f>
        <v>0</v>
      </c>
      <c r="FM104" s="2042"/>
      <c r="FN104" s="2045">
        <f t="shared" si="196"/>
        <v>0</v>
      </c>
      <c r="FO104" s="2042">
        <f>FN104+DM104+EM104                 -         SUMIF('Berechnung Nährstoffe und Lager'!$AX$113:$AX$155,$CX104,'Berechnung Nährstoffe und Lager'!$V$113:$V$155)/12  -$GC104*$HC104/12</f>
        <v>0</v>
      </c>
      <c r="FP104" s="2042">
        <f>FO104+DN104+EN104                 -         SUMIF('Berechnung Nährstoffe und Lager'!$AX$113:$AX$155,$CX104,'Berechnung Nährstoffe und Lager'!$V$113:$V$155)/12  -$GC104*$HC104/12</f>
        <v>0</v>
      </c>
      <c r="FQ104" s="2042">
        <f>FP104+DO104+EO104                 -         SUMIF('Berechnung Nährstoffe und Lager'!$AX$113:$AX$155,$CX104,'Berechnung Nährstoffe und Lager'!$V$113:$V$155)/12  -$GC104*$HC104/12</f>
        <v>0</v>
      </c>
      <c r="FR104" s="2042">
        <f>FQ104+DP104+EP104                 -         SUMIF('Berechnung Nährstoffe und Lager'!$AX$113:$AX$155,$CX104,'Berechnung Nährstoffe und Lager'!$V$113:$V$155)/12  -$GC104*$HC104/12</f>
        <v>0</v>
      </c>
      <c r="FS104" s="2042">
        <f>FR104+DQ104+EQ104                 -         SUMIF('Berechnung Nährstoffe und Lager'!$AX$113:$AX$155,$CX104,'Berechnung Nährstoffe und Lager'!$V$113:$V$155)/12  -$GC104*$HC104/12</f>
        <v>0</v>
      </c>
      <c r="FT104" s="2042">
        <f>FS104+DR104+ER104                 -         SUMIF('Berechnung Nährstoffe und Lager'!$AX$113:$AX$155,$CX104,'Berechnung Nährstoffe und Lager'!$V$113:$V$155)/12  -$GC104*$HC104/12</f>
        <v>0</v>
      </c>
      <c r="FU104" s="2042">
        <f>FT104+DS104+ES104                 -         SUMIF('Berechnung Nährstoffe und Lager'!$AX$113:$AX$155,$CX104,'Berechnung Nährstoffe und Lager'!$V$113:$V$155)/12  -$GC104*$HC104/12</f>
        <v>0</v>
      </c>
      <c r="FV104" s="2042">
        <f>FU104+DT104+ET104                 -         SUMIF('Berechnung Nährstoffe und Lager'!$AX$113:$AX$155,$CX104,'Berechnung Nährstoffe und Lager'!$V$113:$V$155)/12  -$GC104*$HC104/12</f>
        <v>0</v>
      </c>
      <c r="FW104" s="2042">
        <f>FV104+DU104+EU104                 -         SUMIF('Berechnung Nährstoffe und Lager'!$AX$113:$AX$155,$CX104,'Berechnung Nährstoffe und Lager'!$V$113:$V$155)/12  -$GC104*$HC104/12</f>
        <v>0</v>
      </c>
      <c r="FX104" s="2042">
        <f>FW104+DV104+EV104                 -         SUMIF('Berechnung Nährstoffe und Lager'!$AX$113:$AX$155,$CX104,'Berechnung Nährstoffe und Lager'!$V$113:$V$155)/12  -$GC104*$HC104/12</f>
        <v>0</v>
      </c>
      <c r="FY104" s="2042">
        <f>FX104+DW104+EW104                 -         SUMIF('Berechnung Nährstoffe und Lager'!$AX$113:$AX$155,$CX104,'Berechnung Nährstoffe und Lager'!$V$113:$V$155)/12  -$GC104*$HC104/12</f>
        <v>0</v>
      </c>
      <c r="FZ104" s="2042">
        <f>FY104+DX104+EX104                 -         SUMIF('Berechnung Nährstoffe und Lager'!$AX$113:$AX$155,$CX104,'Berechnung Nährstoffe und Lager'!$V$113:$V$155)/12  -$GC104*$HC104/12</f>
        <v>0</v>
      </c>
      <c r="GA104" s="2042"/>
      <c r="GB104" s="2042">
        <f>SUMIFS($CI$14:$CI$68,$BR$14:$BR$68,$CX104)+SUMIFS($CM$14:$CM$68,$BR$14:$BR$68,$CX104)+SUMIFS($CR$14:$CR$68,$BR$14:$BR$68,$CX104)  -         SUMIF('Berechnung Nährstoffe und Lager'!$AX$113:$AX$155,$CX104,'Berechnung Nährstoffe und Lager'!$U$113:$U$155)</f>
        <v>0</v>
      </c>
      <c r="GC104" s="2042">
        <f>SUMIFS($CJ$14:$CJ$68,$BR$14:$BR$68,$CX104)+SUMIFS($CO$14:$CO$68,$BR$14:$BR$68,$CX104)+SUMIFS($CT$14:$CT$68,$BR$14:$BR$68,$CX104)  -         SUMIF('Berechnung Nährstoffe und Lager'!$AX$113:$AX$155,$CX104,'Berechnung Nährstoffe und Lager'!$V$113:$V$155)</f>
        <v>0</v>
      </c>
      <c r="GD104" s="2042"/>
      <c r="GE104" s="2042"/>
      <c r="GF104" s="2042">
        <f>SUMIF('Berechnung Nährstoffe und Lager'!$AX$113:$AX$155,$CX104,'Berechnung Nährstoffe und Lager'!$U$113:$U$155)</f>
        <v>0</v>
      </c>
      <c r="GG104" s="2042">
        <f>SUMIF('Berechnung Nährstoffe und Lager'!$AX$113:$AX$155,$CX104,'Berechnung Nährstoffe und Lager'!$V$113:$V$155)</f>
        <v>0</v>
      </c>
      <c r="GH104" s="2042">
        <f t="shared" si="197"/>
        <v>0</v>
      </c>
      <c r="GI104" s="2042">
        <f t="shared" si="198"/>
        <v>0</v>
      </c>
      <c r="GJ104" s="2042">
        <f t="shared" si="180"/>
        <v>0</v>
      </c>
      <c r="GK104" s="2042">
        <f t="shared" si="181"/>
        <v>0</v>
      </c>
      <c r="GL104" s="2042">
        <f t="shared" si="182"/>
        <v>0</v>
      </c>
      <c r="GM104" s="2042" cm="1">
        <f t="array" ref="GM104">IF(GL104=0,0,(IFERROR(SUMPRODUCT($J$14:$J$68,$CH$14:$CH$68,($BR$14:$BR$68=CX104)*1)+SUMPRODUCT($L$14:$L$68,$M$14:$M$68,$CK$14:$CK$68,($BR$14:$BR$68=CX104)*1,($BT$14:$BT$68=FALSE)*1)/10+SUMPRODUCT($R$14:$R$68,$CP$14:$CP$68,($BR$14:$BR$68=CX104)*1),0))/GL104)</f>
        <v>0</v>
      </c>
      <c r="GN104" s="2042">
        <f t="shared" si="199"/>
        <v>0</v>
      </c>
      <c r="GO104" s="2042">
        <f>(SUMIF('Berechnung Nährstoffe und Lager'!$AX$113:$AX$130,'Lagerhaltung (freiwillig)'!CX104,'Berechnung Nährstoffe und Lager'!$D$113:$D$130)+SUMIF('Berechnung Nährstoffe und Lager'!$AX$137:$AX$155,'Lagerhaltung (freiwillig)'!CX104,'Berechnung Nährstoffe und Lager'!$E$137:$E$155))</f>
        <v>0</v>
      </c>
      <c r="GP104" s="2042" cm="1">
        <f t="array" ref="GP104">IF(GO104=0,0,(IFERROR(SUMPRODUCT('Berechnung Nährstoffe und Lager'!$D$113:$D$130,'Berechnung Nährstoffe und Lager'!$F$113:$F$130,('Berechnung Nährstoffe und Lager'!$AX$113:$AX$130='Lagerhaltung (freiwillig)'!CX104)*1)+SUMPRODUCT('Berechnung Nährstoffe und Lager'!$E$137:$E$155,'Berechnung Nährstoffe und Lager'!$F$137:$F$155,('Berechnung Nährstoffe und Lager'!$AX$137:$AX$155='Lagerhaltung (freiwillig)'!CX104)*1),0))/GO104)</f>
        <v>0</v>
      </c>
      <c r="GQ104" s="2042">
        <f t="shared" si="200"/>
        <v>0</v>
      </c>
      <c r="GR104" s="2042">
        <f t="shared" si="201"/>
        <v>0</v>
      </c>
      <c r="GS104" s="2042">
        <f t="shared" si="202"/>
        <v>0</v>
      </c>
      <c r="GT104" s="2042">
        <f t="shared" si="203"/>
        <v>0</v>
      </c>
      <c r="GU104" s="2045" t="str">
        <f t="shared" si="175"/>
        <v xml:space="preserve"> </v>
      </c>
      <c r="GV104" s="2045" t="str">
        <f t="shared" si="175"/>
        <v xml:space="preserve"> </v>
      </c>
      <c r="GW104" s="2054">
        <f t="shared" si="183"/>
        <v>0</v>
      </c>
      <c r="GX104" s="2042">
        <f t="shared" si="184"/>
        <v>0</v>
      </c>
      <c r="GY104" s="2042" t="str">
        <f t="shared" si="174"/>
        <v>a</v>
      </c>
      <c r="GZ104" s="2055">
        <f t="shared" si="185"/>
        <v>0</v>
      </c>
      <c r="HA104" s="2055">
        <f t="shared" si="186"/>
        <v>0</v>
      </c>
      <c r="HB104" s="2055"/>
      <c r="HC104" s="2046">
        <f t="shared" si="187"/>
        <v>0</v>
      </c>
      <c r="HD104" s="2055">
        <f t="shared" si="188"/>
        <v>0</v>
      </c>
      <c r="HE104" s="2055">
        <f t="shared" si="189"/>
        <v>0</v>
      </c>
      <c r="HF104" s="2055">
        <f t="shared" si="190"/>
        <v>0</v>
      </c>
      <c r="HG104" s="2282" cm="1">
        <f t="array" ref="HG104">IF(AND(HE104=0,GJ104=0),0,IF(HE104=0,1,IF(OR(GJ104*1000/HE104/HF104&gt;INDEX(Pflanzen!$AD$5:$AD$109,CX104)/INDEX(Pflanzen!$M$5:$M$109,CX104)*$HG$2,GJ104*1000/HE104/HF104&lt;INDEX(Pflanzen!$AD$5:$AD$109,CX104)/INDEX(Pflanzen!$M$5:$M$109,CX104)/$HG$2),1,0)))</f>
        <v>0</v>
      </c>
      <c r="HH104" s="2282" cm="1">
        <f t="array" ref="HH104">IF(AND(GK104=0,HE104=0),0,IF(HE104=0,1,IF(OR(GK104*1000/HE104/HF104&gt;INDEX(Pflanzen!$AE$5:$AE$109,CX104)/INDEX(Pflanzen!$M$5:$M$109,CX104)*$HG$2,GK104*1000/HE104/HF104&lt;INDEX(Pflanzen!$AE$5:$AE$109,CX104)/INDEX(Pflanzen!$M$5:$M$109,CX104)/$HG$2),1,0)))</f>
        <v>0</v>
      </c>
      <c r="HI104" s="2042">
        <f t="shared" si="191"/>
        <v>3</v>
      </c>
      <c r="HJ104" s="2062"/>
      <c r="HL104" s="2042"/>
      <c r="HM104" s="2042"/>
      <c r="HN104" s="2042"/>
      <c r="HO104" s="2042"/>
      <c r="HP104" s="2042"/>
      <c r="HQ104" s="2042"/>
      <c r="HR104" s="2042"/>
      <c r="HS104" s="2042"/>
      <c r="HT104" s="2042"/>
      <c r="HU104" s="2042"/>
      <c r="HV104" s="2042"/>
      <c r="HW104" s="2042"/>
      <c r="HX104" s="2042"/>
      <c r="HY104" s="2042"/>
      <c r="HZ104" s="2042"/>
      <c r="IA104" s="2042"/>
      <c r="IB104" s="2042"/>
      <c r="IC104" s="2042"/>
      <c r="ID104" s="2042"/>
      <c r="IE104" s="2042"/>
      <c r="IF104" s="2042"/>
      <c r="IG104" s="2042"/>
      <c r="IH104" s="2042"/>
      <c r="II104" s="2042"/>
      <c r="IJ104" s="2042"/>
    </row>
    <row r="105" spans="1:244" ht="3" customHeight="1" x14ac:dyDescent="0.2">
      <c r="Y105" s="2005" t="str" cm="1">
        <f t="array" ref="Y105">IFERROR(INDEX($CW$4:$CW$171,AY105),"")</f>
        <v/>
      </c>
      <c r="Z105" s="510"/>
      <c r="AA105" s="510"/>
      <c r="AB105" s="510"/>
      <c r="AC105" s="2031" t="str" cm="1">
        <f t="array" ref="AC105">IFERROR(INDEX($GL$4:$GL$171,AY105),"")</f>
        <v/>
      </c>
      <c r="AD105" s="2031" t="str" cm="1">
        <f t="array" ref="AD105">IFERROR(INDEX($GM$4:$GM$171,AY105),"")</f>
        <v/>
      </c>
      <c r="AE105" s="2031" t="str" cm="1">
        <f t="array" ref="AE105">IFERROR(INDEX($GH$4:$GH$171,AY105),"")</f>
        <v/>
      </c>
      <c r="AF105" s="2031" t="str" cm="1">
        <f t="array" ref="AF105">IFERROR(INDEX($GI$4:$GI$171,AY105),"")</f>
        <v/>
      </c>
      <c r="AG105" s="2031" t="str" cm="1">
        <f t="array" ref="AG105">IFERROR(INDEX($GO$4:$GO$171,AY105),"")</f>
        <v/>
      </c>
      <c r="AH105" s="2031" t="str" cm="1">
        <f t="array" ref="AH105">IFERROR(INDEX($GP$4:$GP$171,AY105),"")</f>
        <v/>
      </c>
      <c r="AI105" s="2031" t="str" cm="1">
        <f t="array" ref="AI105">IFERROR(INDEX($GF$4:$GF$171,AY105),"")</f>
        <v/>
      </c>
      <c r="AJ105" s="2031" t="str" cm="1">
        <f t="array" ref="AJ105">IFERROR(INDEX($GG$4:$GG$171,AY105),"")</f>
        <v/>
      </c>
      <c r="AK105" s="2031" t="str" cm="1">
        <f t="array" ref="AK105">IFERROR(INDEX($GS$4:$GS$171,AY105),"")</f>
        <v/>
      </c>
      <c r="AL105" s="2032" t="str" cm="1">
        <f t="array" ref="AL105">IFERROR(INDEX($GT$4:$GT$171,AY105),"")</f>
        <v/>
      </c>
      <c r="AM105" s="2031" t="str" cm="1">
        <f t="array" ref="AM105">IFERROR(INDEX($GB$4:$GB$171,AY105),"")</f>
        <v/>
      </c>
      <c r="AN105" s="2031" t="str" cm="1">
        <f t="array" ref="AN105">IFERROR(INDEX($GC$4:$GC$171,AY105),"")</f>
        <v/>
      </c>
      <c r="AO105" s="2031" t="str" cm="1">
        <f t="array" ref="AO105">IFERROR(INDEX($GU$4:$GU$171,AY105),"")</f>
        <v/>
      </c>
      <c r="AP105" s="2031" t="str" cm="1">
        <f t="array" ref="AP105">IFERROR(INDEX($GX$4:$GX$171,AY105),"")</f>
        <v/>
      </c>
      <c r="AQ105" s="1316"/>
      <c r="AR105" s="2031" t="str" cm="1">
        <f t="array" ref="AR105">IFERROR(INDEX($HD$4:$HD$171,AY105),"")</f>
        <v/>
      </c>
      <c r="AS105" s="2031" t="str" cm="1">
        <f t="array" ref="AS105">IFERROR(INDEX($HE$4:$HE$171,AY105),"")</f>
        <v/>
      </c>
      <c r="AT105" s="2031" t="str" cm="1">
        <f t="array" ref="AT105">IFERROR(INDEX($HF$4:$HF$171,AY105),"")</f>
        <v/>
      </c>
      <c r="AU105" s="2031" t="str" cm="1">
        <f t="array" ref="AU105">IFERROR(INDEX($GJ$4:$GJ$171,AY105),"")</f>
        <v/>
      </c>
      <c r="AV105" s="2031" t="str" cm="1">
        <f t="array" ref="AV105">IFERROR(INDEX($GK$4:$GK$171,AY105),"")</f>
        <v/>
      </c>
      <c r="AY105" s="2042" t="str" cm="1">
        <f t="array" ref="AY105">IFERROR(SMALL(IF($HI$4:$HI$171=1,ROW($HI$4:$HI$171)-3),ROW(W90)),IFERROR(SMALL(IF($HI$4:$HI$171=2,ROW($HI$4:$HI$171)-3),ROW(W90)-COUNTIF($HI$4:$HI$171,1)),IFERROR(SMALL(IF($HI$4:$HI$171=0,ROW($HI$4:$HI$171)-3),ROW(W90)-COUNTIF($HI$4:$HI$171,1)-COUNTIF($HI$4:$HI$171,2)),"")))</f>
        <v/>
      </c>
      <c r="AZ105" s="2042" t="str">
        <f t="shared" si="215"/>
        <v>a</v>
      </c>
      <c r="BA105" s="2053" t="e">
        <f t="shared" si="226"/>
        <v>#VALUE!</v>
      </c>
      <c r="BB105" s="2053" cm="1">
        <f t="array" ref="BB105">IFERROR(INDEX($HI$4:$HI$171,AY105),0)</f>
        <v>0</v>
      </c>
      <c r="BC105" s="2053">
        <f t="shared" si="227"/>
        <v>0</v>
      </c>
      <c r="BD105" s="2053"/>
      <c r="BE105" s="2307"/>
      <c r="BF105" s="2307"/>
      <c r="BG105" s="2307"/>
      <c r="BH105" s="2307"/>
      <c r="BI105" s="2307"/>
      <c r="BJ105" s="2307"/>
      <c r="BK105" s="2307"/>
      <c r="BL105" s="2307"/>
      <c r="BM105" s="2307"/>
      <c r="BN105" s="2307"/>
      <c r="BO105" s="2307"/>
      <c r="BP105" s="2043"/>
      <c r="BQ105" s="2042"/>
      <c r="BR105" s="2042"/>
      <c r="BS105" s="2042"/>
      <c r="BT105" s="2042"/>
      <c r="BU105" s="2059"/>
      <c r="BV105" s="2059"/>
      <c r="BW105" s="2068">
        <v>1</v>
      </c>
      <c r="BX105" s="2046">
        <v>1</v>
      </c>
      <c r="BY105" s="2042"/>
      <c r="BZ105" s="2042" t="s">
        <v>8406</v>
      </c>
      <c r="CA105" s="2042"/>
      <c r="CB105" s="2042"/>
      <c r="CC105" s="2042">
        <f>IF(OR(CA101&lt;CA100-CA104,CA101&gt;CA100+CA104,CB101&lt;CB100-CB104,CB101&gt;CB100+CB104,CC101&lt;CC100-CC104,CC101&gt;CC100+CC104,CD101&lt;CD100-CD104,CD101&gt;CD100+CD104),2,1)</f>
        <v>1</v>
      </c>
      <c r="CD105" s="2042"/>
      <c r="CE105" s="2042"/>
      <c r="CF105" s="2042"/>
      <c r="CG105" s="2042"/>
      <c r="CH105" s="2042"/>
      <c r="CI105" s="2042"/>
      <c r="CJ105" s="2042"/>
      <c r="CK105" s="2042"/>
      <c r="CL105" s="2042"/>
      <c r="CM105" s="2042"/>
      <c r="CN105" s="2042"/>
      <c r="CO105" s="2042"/>
      <c r="CP105" s="2042"/>
      <c r="CQ105" s="2042"/>
      <c r="CR105" s="2042"/>
      <c r="CS105" s="2042"/>
      <c r="CT105" s="2042"/>
      <c r="CU105" s="2042"/>
      <c r="CV105" s="2042"/>
      <c r="CW105" s="609" t="str">
        <f>Pflanzen!A101</f>
        <v>Zuchtsauengülle, stark N-/P-red. Fütterung</v>
      </c>
      <c r="CX105" s="2042">
        <f>IFERROR(MATCH($CW105,Pflanzen!$C$5:$C$119,0),1)</f>
        <v>92</v>
      </c>
      <c r="CY105" s="609" cm="1">
        <f t="array" ref="CY105">INDEX(Pflanzen!$I$5:$I$119,'Lagerhaltung (freiwillig)'!CX105)</f>
        <v>0</v>
      </c>
      <c r="CZ105" s="2042">
        <f t="shared" si="222"/>
        <v>0</v>
      </c>
      <c r="DA105" s="2042">
        <f t="shared" si="222"/>
        <v>0</v>
      </c>
      <c r="DB105" s="2042">
        <f t="shared" si="222"/>
        <v>0</v>
      </c>
      <c r="DC105" s="2042">
        <f t="shared" si="222"/>
        <v>0</v>
      </c>
      <c r="DD105" s="2042">
        <f t="shared" si="222"/>
        <v>0</v>
      </c>
      <c r="DE105" s="2042">
        <f t="shared" si="222"/>
        <v>0</v>
      </c>
      <c r="DF105" s="2042">
        <f t="shared" si="222"/>
        <v>0</v>
      </c>
      <c r="DG105" s="2042">
        <f t="shared" si="222"/>
        <v>0</v>
      </c>
      <c r="DH105" s="2042">
        <f t="shared" si="222"/>
        <v>0</v>
      </c>
      <c r="DI105" s="2042">
        <f t="shared" si="222"/>
        <v>0</v>
      </c>
      <c r="DJ105" s="2042">
        <f t="shared" si="222"/>
        <v>0</v>
      </c>
      <c r="DK105" s="2042">
        <f t="shared" si="222"/>
        <v>0</v>
      </c>
      <c r="DL105" s="2042"/>
      <c r="DM105" s="2042">
        <f t="shared" si="165"/>
        <v>0</v>
      </c>
      <c r="DN105" s="2042">
        <f t="shared" si="220"/>
        <v>0</v>
      </c>
      <c r="DO105" s="2042">
        <f t="shared" si="220"/>
        <v>0</v>
      </c>
      <c r="DP105" s="2042">
        <f t="shared" si="220"/>
        <v>0</v>
      </c>
      <c r="DQ105" s="2042">
        <f t="shared" si="220"/>
        <v>0</v>
      </c>
      <c r="DR105" s="2042">
        <f t="shared" si="220"/>
        <v>0</v>
      </c>
      <c r="DS105" s="2042">
        <f t="shared" si="220"/>
        <v>0</v>
      </c>
      <c r="DT105" s="2042">
        <f t="shared" si="220"/>
        <v>0</v>
      </c>
      <c r="DU105" s="2042">
        <f t="shared" si="220"/>
        <v>0</v>
      </c>
      <c r="DV105" s="2042">
        <f t="shared" si="220"/>
        <v>0</v>
      </c>
      <c r="DW105" s="2042">
        <f t="shared" si="220"/>
        <v>0</v>
      </c>
      <c r="DX105" s="2042">
        <f t="shared" si="220"/>
        <v>0</v>
      </c>
      <c r="DY105" s="2042"/>
      <c r="DZ105" s="2042">
        <f t="shared" si="223"/>
        <v>0</v>
      </c>
      <c r="EA105" s="2042">
        <f t="shared" si="223"/>
        <v>0</v>
      </c>
      <c r="EB105" s="2042">
        <f t="shared" si="223"/>
        <v>0</v>
      </c>
      <c r="EC105" s="2042">
        <f t="shared" si="223"/>
        <v>0</v>
      </c>
      <c r="ED105" s="2042">
        <f t="shared" si="223"/>
        <v>0</v>
      </c>
      <c r="EE105" s="2042">
        <f t="shared" si="223"/>
        <v>0</v>
      </c>
      <c r="EF105" s="2042">
        <f t="shared" si="223"/>
        <v>0</v>
      </c>
      <c r="EG105" s="2042">
        <f t="shared" si="223"/>
        <v>0</v>
      </c>
      <c r="EH105" s="2042">
        <f t="shared" si="223"/>
        <v>0</v>
      </c>
      <c r="EI105" s="2042">
        <f t="shared" si="223"/>
        <v>0</v>
      </c>
      <c r="EJ105" s="2042">
        <f t="shared" si="223"/>
        <v>0</v>
      </c>
      <c r="EK105" s="2042">
        <f t="shared" si="223"/>
        <v>0</v>
      </c>
      <c r="EL105" s="2042"/>
      <c r="EM105" s="2042">
        <f t="shared" si="167"/>
        <v>0</v>
      </c>
      <c r="EN105" s="2042">
        <f t="shared" si="221"/>
        <v>0</v>
      </c>
      <c r="EO105" s="2042">
        <f t="shared" si="221"/>
        <v>0</v>
      </c>
      <c r="EP105" s="2042">
        <f t="shared" si="221"/>
        <v>0</v>
      </c>
      <c r="EQ105" s="2042">
        <f t="shared" si="221"/>
        <v>0</v>
      </c>
      <c r="ER105" s="2042">
        <f t="shared" si="221"/>
        <v>0</v>
      </c>
      <c r="ES105" s="2042">
        <f t="shared" si="221"/>
        <v>0</v>
      </c>
      <c r="ET105" s="2042">
        <f t="shared" si="221"/>
        <v>0</v>
      </c>
      <c r="EU105" s="2042">
        <f t="shared" si="221"/>
        <v>0</v>
      </c>
      <c r="EV105" s="2042">
        <f t="shared" si="221"/>
        <v>0</v>
      </c>
      <c r="EW105" s="2042">
        <f t="shared" si="221"/>
        <v>0</v>
      </c>
      <c r="EX105" s="2042">
        <f t="shared" si="221"/>
        <v>0</v>
      </c>
      <c r="EY105" s="2042"/>
      <c r="EZ105" s="2045">
        <f t="shared" si="195"/>
        <v>0</v>
      </c>
      <c r="FA105" s="2042">
        <f>EZ105+CZ105+DZ105                 -         SUMIF('Berechnung Nährstoffe und Lager'!$AX$113:$AX$155,$CX105,'Berechnung Nährstoffe und Lager'!$U$113:$U$155)/12  -$GB105*$HC105/12</f>
        <v>0</v>
      </c>
      <c r="FB105" s="2042">
        <f>FA105+DA105+EA105                 -         SUMIF('Berechnung Nährstoffe und Lager'!$AX$113:$AX$155,$CX105,'Berechnung Nährstoffe und Lager'!$U$113:$U$155)/12  -$GB105*$HC105/12</f>
        <v>0</v>
      </c>
      <c r="FC105" s="2042">
        <f>FB105+DB105+EB105                 -         SUMIF('Berechnung Nährstoffe und Lager'!$AX$113:$AX$155,$CX105,'Berechnung Nährstoffe und Lager'!$U$113:$U$155)/12  -$GB105*$HC105/12</f>
        <v>0</v>
      </c>
      <c r="FD105" s="2042">
        <f>FC105+DC105+EC105                 -         SUMIF('Berechnung Nährstoffe und Lager'!$AX$113:$AX$155,$CX105,'Berechnung Nährstoffe und Lager'!$U$113:$U$155)/12  -$GB105*$HC105/12</f>
        <v>0</v>
      </c>
      <c r="FE105" s="2042">
        <f>FD105+DD105+ED105                 -         SUMIF('Berechnung Nährstoffe und Lager'!$AX$113:$AX$155,$CX105,'Berechnung Nährstoffe und Lager'!$U$113:$U$155)/12  -$GB105*$HC105/12</f>
        <v>0</v>
      </c>
      <c r="FF105" s="2042">
        <f>FE105+DE105+EE105                 -         SUMIF('Berechnung Nährstoffe und Lager'!$AX$113:$AX$155,$CX105,'Berechnung Nährstoffe und Lager'!$U$113:$U$155)/12  -$GB105*$HC105/12</f>
        <v>0</v>
      </c>
      <c r="FG105" s="2042">
        <f>FF105+DF105+EF105                 -         SUMIF('Berechnung Nährstoffe und Lager'!$AX$113:$AX$155,$CX105,'Berechnung Nährstoffe und Lager'!$U$113:$U$155)/12  -$GB105*$HC105/12</f>
        <v>0</v>
      </c>
      <c r="FH105" s="2042">
        <f>FG105+DG105+EG105                 -         SUMIF('Berechnung Nährstoffe und Lager'!$AX$113:$AX$155,$CX105,'Berechnung Nährstoffe und Lager'!$U$113:$U$155)/12  -$GB105*$HC105/12</f>
        <v>0</v>
      </c>
      <c r="FI105" s="2042">
        <f>FH105+DH105+EH105                 -         SUMIF('Berechnung Nährstoffe und Lager'!$AX$113:$AX$155,$CX105,'Berechnung Nährstoffe und Lager'!$U$113:$U$155)/12  -$GB105*$HC105/12</f>
        <v>0</v>
      </c>
      <c r="FJ105" s="2042">
        <f>FI105+DI105+EI105                 -         SUMIF('Berechnung Nährstoffe und Lager'!$AX$113:$AX$155,$CX105,'Berechnung Nährstoffe und Lager'!$U$113:$U$155)/12  -$GB105*$HC105/12</f>
        <v>0</v>
      </c>
      <c r="FK105" s="2042">
        <f>FJ105+DJ105+EJ105                 -         SUMIF('Berechnung Nährstoffe und Lager'!$AX$113:$AX$155,$CX105,'Berechnung Nährstoffe und Lager'!$U$113:$U$155)/12  -$GB105*$HC105/12</f>
        <v>0</v>
      </c>
      <c r="FL105" s="2042">
        <f>FK105+DK105+EK105                 -         SUMIF('Berechnung Nährstoffe und Lager'!$AX$113:$AX$155,$CX105,'Berechnung Nährstoffe und Lager'!$U$113:$U$155)/12  -$GB105*$HC105/12</f>
        <v>0</v>
      </c>
      <c r="FM105" s="2042"/>
      <c r="FN105" s="2045">
        <f t="shared" si="196"/>
        <v>0</v>
      </c>
      <c r="FO105" s="2042">
        <f>FN105+DM105+EM105                 -         SUMIF('Berechnung Nährstoffe und Lager'!$AX$113:$AX$155,$CX105,'Berechnung Nährstoffe und Lager'!$V$113:$V$155)/12  -$GC105*$HC105/12</f>
        <v>0</v>
      </c>
      <c r="FP105" s="2042">
        <f>FO105+DN105+EN105                 -         SUMIF('Berechnung Nährstoffe und Lager'!$AX$113:$AX$155,$CX105,'Berechnung Nährstoffe und Lager'!$V$113:$V$155)/12  -$GC105*$HC105/12</f>
        <v>0</v>
      </c>
      <c r="FQ105" s="2042">
        <f>FP105+DO105+EO105                 -         SUMIF('Berechnung Nährstoffe und Lager'!$AX$113:$AX$155,$CX105,'Berechnung Nährstoffe und Lager'!$V$113:$V$155)/12  -$GC105*$HC105/12</f>
        <v>0</v>
      </c>
      <c r="FR105" s="2042">
        <f>FQ105+DP105+EP105                 -         SUMIF('Berechnung Nährstoffe und Lager'!$AX$113:$AX$155,$CX105,'Berechnung Nährstoffe und Lager'!$V$113:$V$155)/12  -$GC105*$HC105/12</f>
        <v>0</v>
      </c>
      <c r="FS105" s="2042">
        <f>FR105+DQ105+EQ105                 -         SUMIF('Berechnung Nährstoffe und Lager'!$AX$113:$AX$155,$CX105,'Berechnung Nährstoffe und Lager'!$V$113:$V$155)/12  -$GC105*$HC105/12</f>
        <v>0</v>
      </c>
      <c r="FT105" s="2042">
        <f>FS105+DR105+ER105                 -         SUMIF('Berechnung Nährstoffe und Lager'!$AX$113:$AX$155,$CX105,'Berechnung Nährstoffe und Lager'!$V$113:$V$155)/12  -$GC105*$HC105/12</f>
        <v>0</v>
      </c>
      <c r="FU105" s="2042">
        <f>FT105+DS105+ES105                 -         SUMIF('Berechnung Nährstoffe und Lager'!$AX$113:$AX$155,$CX105,'Berechnung Nährstoffe und Lager'!$V$113:$V$155)/12  -$GC105*$HC105/12</f>
        <v>0</v>
      </c>
      <c r="FV105" s="2042">
        <f>FU105+DT105+ET105                 -         SUMIF('Berechnung Nährstoffe und Lager'!$AX$113:$AX$155,$CX105,'Berechnung Nährstoffe und Lager'!$V$113:$V$155)/12  -$GC105*$HC105/12</f>
        <v>0</v>
      </c>
      <c r="FW105" s="2042">
        <f>FV105+DU105+EU105                 -         SUMIF('Berechnung Nährstoffe und Lager'!$AX$113:$AX$155,$CX105,'Berechnung Nährstoffe und Lager'!$V$113:$V$155)/12  -$GC105*$HC105/12</f>
        <v>0</v>
      </c>
      <c r="FX105" s="2042">
        <f>FW105+DV105+EV105                 -         SUMIF('Berechnung Nährstoffe und Lager'!$AX$113:$AX$155,$CX105,'Berechnung Nährstoffe und Lager'!$V$113:$V$155)/12  -$GC105*$HC105/12</f>
        <v>0</v>
      </c>
      <c r="FY105" s="2042">
        <f>FX105+DW105+EW105                 -         SUMIF('Berechnung Nährstoffe und Lager'!$AX$113:$AX$155,$CX105,'Berechnung Nährstoffe und Lager'!$V$113:$V$155)/12  -$GC105*$HC105/12</f>
        <v>0</v>
      </c>
      <c r="FZ105" s="2042">
        <f>FY105+DX105+EX105                 -         SUMIF('Berechnung Nährstoffe und Lager'!$AX$113:$AX$155,$CX105,'Berechnung Nährstoffe und Lager'!$V$113:$V$155)/12  -$GC105*$HC105/12</f>
        <v>0</v>
      </c>
      <c r="GA105" s="2042"/>
      <c r="GB105" s="2042">
        <f>SUMIFS($CI$14:$CI$68,$BR$14:$BR$68,$CX105)+SUMIFS($CM$14:$CM$68,$BR$14:$BR$68,$CX105)+SUMIFS($CR$14:$CR$68,$BR$14:$BR$68,$CX105)  -         SUMIF('Berechnung Nährstoffe und Lager'!$AX$113:$AX$155,$CX105,'Berechnung Nährstoffe und Lager'!$U$113:$U$155)</f>
        <v>0</v>
      </c>
      <c r="GC105" s="2042">
        <f>SUMIFS($CJ$14:$CJ$68,$BR$14:$BR$68,$CX105)+SUMIFS($CO$14:$CO$68,$BR$14:$BR$68,$CX105)+SUMIFS($CT$14:$CT$68,$BR$14:$BR$68,$CX105)  -         SUMIF('Berechnung Nährstoffe und Lager'!$AX$113:$AX$155,$CX105,'Berechnung Nährstoffe und Lager'!$V$113:$V$155)</f>
        <v>0</v>
      </c>
      <c r="GD105" s="2042"/>
      <c r="GE105" s="2042"/>
      <c r="GF105" s="2042">
        <f>SUMIF('Berechnung Nährstoffe und Lager'!$AX$113:$AX$155,$CX105,'Berechnung Nährstoffe und Lager'!$U$113:$U$155)</f>
        <v>0</v>
      </c>
      <c r="GG105" s="2042">
        <f>SUMIF('Berechnung Nährstoffe und Lager'!$AX$113:$AX$155,$CX105,'Berechnung Nährstoffe und Lager'!$V$113:$V$155)</f>
        <v>0</v>
      </c>
      <c r="GH105" s="2042">
        <f t="shared" si="197"/>
        <v>0</v>
      </c>
      <c r="GI105" s="2042">
        <f t="shared" si="198"/>
        <v>0</v>
      </c>
      <c r="GJ105" s="2042">
        <f t="shared" si="180"/>
        <v>0</v>
      </c>
      <c r="GK105" s="2042">
        <f t="shared" si="181"/>
        <v>0</v>
      </c>
      <c r="GL105" s="2042">
        <f t="shared" si="182"/>
        <v>0</v>
      </c>
      <c r="GM105" s="2042" cm="1">
        <f t="array" ref="GM105">IF(GL105=0,0,(IFERROR(SUMPRODUCT($J$14:$J$68,$CH$14:$CH$68,($BR$14:$BR$68=CX105)*1)+SUMPRODUCT($L$14:$L$68,$M$14:$M$68,$CK$14:$CK$68,($BR$14:$BR$68=CX105)*1,($BT$14:$BT$68=FALSE)*1)/10+SUMPRODUCT($R$14:$R$68,$CP$14:$CP$68,($BR$14:$BR$68=CX105)*1),0))/GL105)</f>
        <v>0</v>
      </c>
      <c r="GN105" s="2042">
        <f t="shared" si="199"/>
        <v>0</v>
      </c>
      <c r="GO105" s="2042">
        <f>(SUMIF('Berechnung Nährstoffe und Lager'!$AX$113:$AX$130,'Lagerhaltung (freiwillig)'!CX105,'Berechnung Nährstoffe und Lager'!$D$113:$D$130)+SUMIF('Berechnung Nährstoffe und Lager'!$AX$137:$AX$155,'Lagerhaltung (freiwillig)'!CX105,'Berechnung Nährstoffe und Lager'!$E$137:$E$155))</f>
        <v>0</v>
      </c>
      <c r="GP105" s="2042" cm="1">
        <f t="array" ref="GP105">IF(GO105=0,0,(IFERROR(SUMPRODUCT('Berechnung Nährstoffe und Lager'!$D$113:$D$130,'Berechnung Nährstoffe und Lager'!$F$113:$F$130,('Berechnung Nährstoffe und Lager'!$AX$113:$AX$130='Lagerhaltung (freiwillig)'!CX105)*1)+SUMPRODUCT('Berechnung Nährstoffe und Lager'!$E$137:$E$155,'Berechnung Nährstoffe und Lager'!$F$137:$F$155,('Berechnung Nährstoffe und Lager'!$AX$137:$AX$155='Lagerhaltung (freiwillig)'!CX105)*1),0))/GO105)</f>
        <v>0</v>
      </c>
      <c r="GQ105" s="2042">
        <f t="shared" si="200"/>
        <v>0</v>
      </c>
      <c r="GR105" s="2042">
        <f t="shared" si="201"/>
        <v>0</v>
      </c>
      <c r="GS105" s="2042">
        <f t="shared" si="202"/>
        <v>0</v>
      </c>
      <c r="GT105" s="2042">
        <f t="shared" si="203"/>
        <v>0</v>
      </c>
      <c r="GU105" s="2045" t="str">
        <f t="shared" si="175"/>
        <v xml:space="preserve"> </v>
      </c>
      <c r="GV105" s="2045" t="str">
        <f t="shared" si="175"/>
        <v xml:space="preserve"> </v>
      </c>
      <c r="GW105" s="2054">
        <f t="shared" si="183"/>
        <v>0</v>
      </c>
      <c r="GX105" s="2042">
        <f t="shared" si="184"/>
        <v>0</v>
      </c>
      <c r="GY105" s="2042" t="str">
        <f t="shared" ref="GY105:GY136" si="229">IF(HI105=3,"a",VLOOKUP(CW105,$Y$13:$AZ$132,COLUMN($AZ$1)-COLUMN($Y$1)+1,FALSE))</f>
        <v>a</v>
      </c>
      <c r="GZ105" s="2055">
        <f t="shared" si="185"/>
        <v>0</v>
      </c>
      <c r="HA105" s="2055">
        <f t="shared" si="186"/>
        <v>0</v>
      </c>
      <c r="HB105" s="2055"/>
      <c r="HC105" s="2046">
        <f t="shared" si="187"/>
        <v>0</v>
      </c>
      <c r="HD105" s="2055">
        <f t="shared" si="188"/>
        <v>0</v>
      </c>
      <c r="HE105" s="2055">
        <f t="shared" si="189"/>
        <v>0</v>
      </c>
      <c r="HF105" s="2055">
        <f t="shared" si="190"/>
        <v>0</v>
      </c>
      <c r="HG105" s="2282" cm="1">
        <f t="array" ref="HG105">IF(AND(HE105=0,GJ105=0),0,IF(HE105=0,1,IF(OR(GJ105*1000/HE105/HF105&gt;INDEX(Pflanzen!$AD$5:$AD$109,CX105)/INDEX(Pflanzen!$M$5:$M$109,CX105)*$HG$2,GJ105*1000/HE105/HF105&lt;INDEX(Pflanzen!$AD$5:$AD$109,CX105)/INDEX(Pflanzen!$M$5:$M$109,CX105)/$HG$2),1,0)))</f>
        <v>0</v>
      </c>
      <c r="HH105" s="2282" cm="1">
        <f t="array" ref="HH105">IF(AND(GK105=0,HE105=0),0,IF(HE105=0,1,IF(OR(GK105*1000/HE105/HF105&gt;INDEX(Pflanzen!$AE$5:$AE$109,CX105)/INDEX(Pflanzen!$M$5:$M$109,CX105)*$HG$2,GK105*1000/HE105/HF105&lt;INDEX(Pflanzen!$AE$5:$AE$109,CX105)/INDEX(Pflanzen!$M$5:$M$109,CX105)/$HG$2),1,0)))</f>
        <v>0</v>
      </c>
      <c r="HI105" s="2042">
        <f t="shared" si="191"/>
        <v>3</v>
      </c>
      <c r="HJ105" s="2216"/>
      <c r="HL105" s="2042"/>
      <c r="HM105" s="2042"/>
      <c r="HN105" s="2042"/>
      <c r="HO105" s="2042"/>
      <c r="HP105" s="2042"/>
      <c r="HQ105" s="2042"/>
      <c r="HR105" s="2042"/>
      <c r="HS105" s="2042"/>
      <c r="HT105" s="2042"/>
      <c r="HU105" s="2042"/>
      <c r="HV105" s="2042"/>
      <c r="HW105" s="2042"/>
      <c r="HX105" s="2042"/>
      <c r="HY105" s="2042"/>
      <c r="HZ105" s="2042"/>
      <c r="IA105" s="2042"/>
      <c r="IB105" s="2042"/>
      <c r="IC105" s="2042"/>
      <c r="ID105" s="2042"/>
      <c r="IE105" s="2042"/>
      <c r="IF105" s="2042"/>
      <c r="IG105" s="2042"/>
      <c r="IH105" s="2042"/>
      <c r="II105" s="2042"/>
      <c r="IJ105" s="2042"/>
    </row>
    <row r="106" spans="1:244" ht="15.75" customHeight="1" x14ac:dyDescent="0.2">
      <c r="Y106" s="2005" t="str" cm="1">
        <f t="array" ref="Y106">IFERROR(INDEX($CW$4:$CW$171,AY106),"")</f>
        <v/>
      </c>
      <c r="Z106" s="510"/>
      <c r="AA106" s="510"/>
      <c r="AB106" s="510"/>
      <c r="AC106" s="2031" t="str" cm="1">
        <f t="array" ref="AC106">IFERROR(INDEX($GL$4:$GL$171,AY106),"")</f>
        <v/>
      </c>
      <c r="AD106" s="2031" t="str" cm="1">
        <f t="array" ref="AD106">IFERROR(INDEX($GM$4:$GM$171,AY106),"")</f>
        <v/>
      </c>
      <c r="AE106" s="2031" t="str" cm="1">
        <f t="array" ref="AE106">IFERROR(INDEX($GH$4:$GH$171,AY106),"")</f>
        <v/>
      </c>
      <c r="AF106" s="2031" t="str" cm="1">
        <f t="array" ref="AF106">IFERROR(INDEX($GI$4:$GI$171,AY106),"")</f>
        <v/>
      </c>
      <c r="AG106" s="2031" t="str" cm="1">
        <f t="array" ref="AG106">IFERROR(INDEX($GO$4:$GO$171,AY106),"")</f>
        <v/>
      </c>
      <c r="AH106" s="2031" t="str" cm="1">
        <f t="array" ref="AH106">IFERROR(INDEX($GP$4:$GP$171,AY106),"")</f>
        <v/>
      </c>
      <c r="AI106" s="2031" t="str" cm="1">
        <f t="array" ref="AI106">IFERROR(INDEX($GF$4:$GF$171,AY106),"")</f>
        <v/>
      </c>
      <c r="AJ106" s="2031" t="str" cm="1">
        <f t="array" ref="AJ106">IFERROR(INDEX($GG$4:$GG$171,AY106),"")</f>
        <v/>
      </c>
      <c r="AK106" s="2031" t="str" cm="1">
        <f t="array" ref="AK106">IFERROR(INDEX($GS$4:$GS$171,AY106),"")</f>
        <v/>
      </c>
      <c r="AL106" s="2032" t="str" cm="1">
        <f t="array" ref="AL106">IFERROR(INDEX($GT$4:$GT$171,AY106),"")</f>
        <v/>
      </c>
      <c r="AM106" s="2031" t="str" cm="1">
        <f t="array" ref="AM106">IFERROR(INDEX($GB$4:$GB$171,AY106),"")</f>
        <v/>
      </c>
      <c r="AN106" s="2031" t="str" cm="1">
        <f t="array" ref="AN106">IFERROR(INDEX($GC$4:$GC$171,AY106),"")</f>
        <v/>
      </c>
      <c r="AO106" s="2031" t="str" cm="1">
        <f t="array" ref="AO106">IFERROR(INDEX($GU$4:$GU$171,AY106),"")</f>
        <v/>
      </c>
      <c r="AP106" s="2031" t="str" cm="1">
        <f t="array" ref="AP106">IFERROR(INDEX($GX$4:$GX$171,AY106),"")</f>
        <v/>
      </c>
      <c r="AQ106" s="1316"/>
      <c r="AR106" s="2031" t="str" cm="1">
        <f t="array" ref="AR106">IFERROR(INDEX($HD$4:$HD$171,AY106),"")</f>
        <v/>
      </c>
      <c r="AS106" s="2031" t="str" cm="1">
        <f t="array" ref="AS106">IFERROR(INDEX($HE$4:$HE$171,AY106),"")</f>
        <v/>
      </c>
      <c r="AT106" s="2031" t="str" cm="1">
        <f t="array" ref="AT106">IFERROR(INDEX($HF$4:$HF$171,AY106),"")</f>
        <v/>
      </c>
      <c r="AU106" s="2031" t="str" cm="1">
        <f t="array" ref="AU106">IFERROR(INDEX($GJ$4:$GJ$171,AY106),"")</f>
        <v/>
      </c>
      <c r="AV106" s="2031" t="str" cm="1">
        <f t="array" ref="AV106">IFERROR(INDEX($GK$4:$GK$171,AY106),"")</f>
        <v/>
      </c>
      <c r="AY106" s="2042" t="str" cm="1">
        <f t="array" ref="AY106">IFERROR(SMALL(IF($HI$4:$HI$171=1,ROW($HI$4:$HI$171)-3),ROW(W91)),IFERROR(SMALL(IF($HI$4:$HI$171=2,ROW($HI$4:$HI$171)-3),ROW(W91)-COUNTIF($HI$4:$HI$171,1)),IFERROR(SMALL(IF($HI$4:$HI$171=0,ROW($HI$4:$HI$171)-3),ROW(W91)-COUNTIF($HI$4:$HI$171,1)-COUNTIF($HI$4:$HI$171,2)),"")))</f>
        <v/>
      </c>
      <c r="AZ106" s="2042" t="str">
        <f t="shared" si="215"/>
        <v>a</v>
      </c>
      <c r="BA106" s="2053" t="e">
        <f t="shared" si="226"/>
        <v>#VALUE!</v>
      </c>
      <c r="BB106" s="2053" cm="1">
        <f t="array" ref="BB106">IFERROR(INDEX($HI$4:$HI$171,AY106),0)</f>
        <v>0</v>
      </c>
      <c r="BC106" s="2053">
        <f t="shared" si="227"/>
        <v>0</v>
      </c>
      <c r="BD106" s="2053"/>
      <c r="BE106" s="2307"/>
      <c r="BF106" s="2307"/>
      <c r="BG106" s="2307"/>
      <c r="BH106" s="2307"/>
      <c r="BI106" s="2307"/>
      <c r="BJ106" s="2307"/>
      <c r="BK106" s="2307"/>
      <c r="BL106" s="2307"/>
      <c r="BM106" s="2307"/>
      <c r="BN106" s="2307"/>
      <c r="BO106" s="2307"/>
      <c r="BP106" s="2043"/>
      <c r="BQ106" s="2042"/>
      <c r="BR106" s="2042"/>
      <c r="BS106" s="2042"/>
      <c r="BT106" s="2042"/>
      <c r="BU106" s="2059"/>
      <c r="BV106" s="2059"/>
      <c r="BW106" s="2045" t="s">
        <v>8395</v>
      </c>
      <c r="BX106" s="2045" t="s">
        <v>8402</v>
      </c>
      <c r="BY106" s="2042"/>
      <c r="BZ106" s="2042"/>
      <c r="CA106" s="2042"/>
      <c r="CB106" s="2042"/>
      <c r="CC106" s="2042"/>
      <c r="CD106" s="2042"/>
      <c r="CE106" s="2042"/>
      <c r="CF106" s="2042"/>
      <c r="CG106" s="2042"/>
      <c r="CH106" s="2042"/>
      <c r="CI106" s="2042"/>
      <c r="CJ106" s="2042"/>
      <c r="CK106" s="2042"/>
      <c r="CL106" s="2042"/>
      <c r="CM106" s="2042"/>
      <c r="CN106" s="2042"/>
      <c r="CO106" s="2042"/>
      <c r="CP106" s="2042"/>
      <c r="CQ106" s="2042"/>
      <c r="CR106" s="2042"/>
      <c r="CS106" s="2042"/>
      <c r="CT106" s="2042"/>
      <c r="CU106" s="2042"/>
      <c r="CV106" s="2042"/>
      <c r="CW106" s="609" t="str">
        <f>Pflanzen!A102</f>
        <v>Schweinemist, geringe Einstreu</v>
      </c>
      <c r="CX106" s="2042">
        <f>IFERROR(MATCH($CW106,Pflanzen!$C$5:$C$119,0),1)</f>
        <v>93</v>
      </c>
      <c r="CY106" s="609" cm="1">
        <f t="array" ref="CY106">INDEX(Pflanzen!$I$5:$I$119,'Lagerhaltung (freiwillig)'!CX106)</f>
        <v>0</v>
      </c>
      <c r="CZ106" s="2042">
        <f t="shared" si="222"/>
        <v>0</v>
      </c>
      <c r="DA106" s="2042">
        <f t="shared" si="222"/>
        <v>0</v>
      </c>
      <c r="DB106" s="2042">
        <f t="shared" si="222"/>
        <v>0</v>
      </c>
      <c r="DC106" s="2042">
        <f t="shared" si="222"/>
        <v>0</v>
      </c>
      <c r="DD106" s="2042">
        <f t="shared" si="222"/>
        <v>0</v>
      </c>
      <c r="DE106" s="2042">
        <f t="shared" si="222"/>
        <v>0</v>
      </c>
      <c r="DF106" s="2042">
        <f t="shared" si="222"/>
        <v>0</v>
      </c>
      <c r="DG106" s="2042">
        <f t="shared" si="222"/>
        <v>0</v>
      </c>
      <c r="DH106" s="2042">
        <f t="shared" si="222"/>
        <v>0</v>
      </c>
      <c r="DI106" s="2042">
        <f t="shared" si="222"/>
        <v>0</v>
      </c>
      <c r="DJ106" s="2042">
        <f t="shared" si="222"/>
        <v>0</v>
      </c>
      <c r="DK106" s="2042">
        <f t="shared" si="222"/>
        <v>0</v>
      </c>
      <c r="DL106" s="2042"/>
      <c r="DM106" s="2042">
        <f t="shared" si="165"/>
        <v>0</v>
      </c>
      <c r="DN106" s="2042">
        <f t="shared" ref="DN106:DX115" si="230">SUMIFS($CS$14:$CS$68,$BW$14:$BW$68,1,$BX$14:$BX$68,DN$2,$BR$14:$BR$68,$CX106)+    SUMIFS($CS$14:$CS$68,$BW$14:$BW$68,"&gt;1",$BX$14:$BX$68,"&lt;="&amp;DN$2,$BY$14:$BY$68,"&gt;="&amp;DN$2,$BR$14:$BR$68,$CX106)</f>
        <v>0</v>
      </c>
      <c r="DO106" s="2042">
        <f t="shared" si="230"/>
        <v>0</v>
      </c>
      <c r="DP106" s="2042">
        <f t="shared" si="230"/>
        <v>0</v>
      </c>
      <c r="DQ106" s="2042">
        <f t="shared" si="230"/>
        <v>0</v>
      </c>
      <c r="DR106" s="2042">
        <f t="shared" si="230"/>
        <v>0</v>
      </c>
      <c r="DS106" s="2042">
        <f t="shared" si="230"/>
        <v>0</v>
      </c>
      <c r="DT106" s="2042">
        <f t="shared" si="230"/>
        <v>0</v>
      </c>
      <c r="DU106" s="2042">
        <f t="shared" si="230"/>
        <v>0</v>
      </c>
      <c r="DV106" s="2042">
        <f t="shared" si="230"/>
        <v>0</v>
      </c>
      <c r="DW106" s="2042">
        <f t="shared" si="230"/>
        <v>0</v>
      </c>
      <c r="DX106" s="2042">
        <f t="shared" si="230"/>
        <v>0</v>
      </c>
      <c r="DY106" s="2042"/>
      <c r="DZ106" s="2042">
        <f t="shared" si="223"/>
        <v>0</v>
      </c>
      <c r="EA106" s="2042">
        <f t="shared" si="223"/>
        <v>0</v>
      </c>
      <c r="EB106" s="2042">
        <f t="shared" si="223"/>
        <v>0</v>
      </c>
      <c r="EC106" s="2042">
        <f t="shared" si="223"/>
        <v>0</v>
      </c>
      <c r="ED106" s="2042">
        <f t="shared" si="223"/>
        <v>0</v>
      </c>
      <c r="EE106" s="2042">
        <f t="shared" si="223"/>
        <v>0</v>
      </c>
      <c r="EF106" s="2042">
        <f t="shared" si="223"/>
        <v>0</v>
      </c>
      <c r="EG106" s="2042">
        <f t="shared" si="223"/>
        <v>0</v>
      </c>
      <c r="EH106" s="2042">
        <f t="shared" si="223"/>
        <v>0</v>
      </c>
      <c r="EI106" s="2042">
        <f t="shared" si="223"/>
        <v>0</v>
      </c>
      <c r="EJ106" s="2042">
        <f t="shared" si="223"/>
        <v>0</v>
      </c>
      <c r="EK106" s="2042">
        <f t="shared" si="223"/>
        <v>0</v>
      </c>
      <c r="EL106" s="2042"/>
      <c r="EM106" s="2042">
        <f t="shared" si="167"/>
        <v>0</v>
      </c>
      <c r="EN106" s="2042">
        <f t="shared" ref="EN106:EX115" si="231">SUMIFS($CN$14:$CN$68,$CC$14:$CC$68,1,$CD$14:$CD$68,EN$2,$BR$14:$BR$68,$CX106)+         SUMIFS($CN$14:$CN$68,$CC$14:$CC$68,"&gt;1",$CD$14:$CD$68,"&lt;="&amp;EN$2,$CE$14:$CE$68,"&gt;="&amp;EN$2,$BR$14:$BR$68,$CX106)</f>
        <v>0</v>
      </c>
      <c r="EO106" s="2042">
        <f t="shared" si="231"/>
        <v>0</v>
      </c>
      <c r="EP106" s="2042">
        <f t="shared" si="231"/>
        <v>0</v>
      </c>
      <c r="EQ106" s="2042">
        <f t="shared" si="231"/>
        <v>0</v>
      </c>
      <c r="ER106" s="2042">
        <f t="shared" si="231"/>
        <v>0</v>
      </c>
      <c r="ES106" s="2042">
        <f t="shared" si="231"/>
        <v>0</v>
      </c>
      <c r="ET106" s="2042">
        <f t="shared" si="231"/>
        <v>0</v>
      </c>
      <c r="EU106" s="2042">
        <f t="shared" si="231"/>
        <v>0</v>
      </c>
      <c r="EV106" s="2042">
        <f t="shared" si="231"/>
        <v>0</v>
      </c>
      <c r="EW106" s="2042">
        <f t="shared" si="231"/>
        <v>0</v>
      </c>
      <c r="EX106" s="2042">
        <f t="shared" si="231"/>
        <v>0</v>
      </c>
      <c r="EY106" s="2042"/>
      <c r="EZ106" s="2045">
        <f t="shared" si="195"/>
        <v>0</v>
      </c>
      <c r="FA106" s="2042">
        <f>EZ106+CZ106+DZ106                 -         SUMIF('Berechnung Nährstoffe und Lager'!$AX$113:$AX$155,$CX106,'Berechnung Nährstoffe und Lager'!$U$113:$U$155)/12  -$GB106*$HC106/12</f>
        <v>0</v>
      </c>
      <c r="FB106" s="2042">
        <f>FA106+DA106+EA106                 -         SUMIF('Berechnung Nährstoffe und Lager'!$AX$113:$AX$155,$CX106,'Berechnung Nährstoffe und Lager'!$U$113:$U$155)/12  -$GB106*$HC106/12</f>
        <v>0</v>
      </c>
      <c r="FC106" s="2042">
        <f>FB106+DB106+EB106                 -         SUMIF('Berechnung Nährstoffe und Lager'!$AX$113:$AX$155,$CX106,'Berechnung Nährstoffe und Lager'!$U$113:$U$155)/12  -$GB106*$HC106/12</f>
        <v>0</v>
      </c>
      <c r="FD106" s="2042">
        <f>FC106+DC106+EC106                 -         SUMIF('Berechnung Nährstoffe und Lager'!$AX$113:$AX$155,$CX106,'Berechnung Nährstoffe und Lager'!$U$113:$U$155)/12  -$GB106*$HC106/12</f>
        <v>0</v>
      </c>
      <c r="FE106" s="2042">
        <f>FD106+DD106+ED106                 -         SUMIF('Berechnung Nährstoffe und Lager'!$AX$113:$AX$155,$CX106,'Berechnung Nährstoffe und Lager'!$U$113:$U$155)/12  -$GB106*$HC106/12</f>
        <v>0</v>
      </c>
      <c r="FF106" s="2042">
        <f>FE106+DE106+EE106                 -         SUMIF('Berechnung Nährstoffe und Lager'!$AX$113:$AX$155,$CX106,'Berechnung Nährstoffe und Lager'!$U$113:$U$155)/12  -$GB106*$HC106/12</f>
        <v>0</v>
      </c>
      <c r="FG106" s="2042">
        <f>FF106+DF106+EF106                 -         SUMIF('Berechnung Nährstoffe und Lager'!$AX$113:$AX$155,$CX106,'Berechnung Nährstoffe und Lager'!$U$113:$U$155)/12  -$GB106*$HC106/12</f>
        <v>0</v>
      </c>
      <c r="FH106" s="2042">
        <f>FG106+DG106+EG106                 -         SUMIF('Berechnung Nährstoffe und Lager'!$AX$113:$AX$155,$CX106,'Berechnung Nährstoffe und Lager'!$U$113:$U$155)/12  -$GB106*$HC106/12</f>
        <v>0</v>
      </c>
      <c r="FI106" s="2042">
        <f>FH106+DH106+EH106                 -         SUMIF('Berechnung Nährstoffe und Lager'!$AX$113:$AX$155,$CX106,'Berechnung Nährstoffe und Lager'!$U$113:$U$155)/12  -$GB106*$HC106/12</f>
        <v>0</v>
      </c>
      <c r="FJ106" s="2042">
        <f>FI106+DI106+EI106                 -         SUMIF('Berechnung Nährstoffe und Lager'!$AX$113:$AX$155,$CX106,'Berechnung Nährstoffe und Lager'!$U$113:$U$155)/12  -$GB106*$HC106/12</f>
        <v>0</v>
      </c>
      <c r="FK106" s="2042">
        <f>FJ106+DJ106+EJ106                 -         SUMIF('Berechnung Nährstoffe und Lager'!$AX$113:$AX$155,$CX106,'Berechnung Nährstoffe und Lager'!$U$113:$U$155)/12  -$GB106*$HC106/12</f>
        <v>0</v>
      </c>
      <c r="FL106" s="2042">
        <f>FK106+DK106+EK106                 -         SUMIF('Berechnung Nährstoffe und Lager'!$AX$113:$AX$155,$CX106,'Berechnung Nährstoffe und Lager'!$U$113:$U$155)/12  -$GB106*$HC106/12</f>
        <v>0</v>
      </c>
      <c r="FM106" s="2042"/>
      <c r="FN106" s="2045">
        <f t="shared" si="196"/>
        <v>0</v>
      </c>
      <c r="FO106" s="2042">
        <f>FN106+DM106+EM106                 -         SUMIF('Berechnung Nährstoffe und Lager'!$AX$113:$AX$155,$CX106,'Berechnung Nährstoffe und Lager'!$V$113:$V$155)/12  -$GC106*$HC106/12</f>
        <v>0</v>
      </c>
      <c r="FP106" s="2042">
        <f>FO106+DN106+EN106                 -         SUMIF('Berechnung Nährstoffe und Lager'!$AX$113:$AX$155,$CX106,'Berechnung Nährstoffe und Lager'!$V$113:$V$155)/12  -$GC106*$HC106/12</f>
        <v>0</v>
      </c>
      <c r="FQ106" s="2042">
        <f>FP106+DO106+EO106                 -         SUMIF('Berechnung Nährstoffe und Lager'!$AX$113:$AX$155,$CX106,'Berechnung Nährstoffe und Lager'!$V$113:$V$155)/12  -$GC106*$HC106/12</f>
        <v>0</v>
      </c>
      <c r="FR106" s="2042">
        <f>FQ106+DP106+EP106                 -         SUMIF('Berechnung Nährstoffe und Lager'!$AX$113:$AX$155,$CX106,'Berechnung Nährstoffe und Lager'!$V$113:$V$155)/12  -$GC106*$HC106/12</f>
        <v>0</v>
      </c>
      <c r="FS106" s="2042">
        <f>FR106+DQ106+EQ106                 -         SUMIF('Berechnung Nährstoffe und Lager'!$AX$113:$AX$155,$CX106,'Berechnung Nährstoffe und Lager'!$V$113:$V$155)/12  -$GC106*$HC106/12</f>
        <v>0</v>
      </c>
      <c r="FT106" s="2042">
        <f>FS106+DR106+ER106                 -         SUMIF('Berechnung Nährstoffe und Lager'!$AX$113:$AX$155,$CX106,'Berechnung Nährstoffe und Lager'!$V$113:$V$155)/12  -$GC106*$HC106/12</f>
        <v>0</v>
      </c>
      <c r="FU106" s="2042">
        <f>FT106+DS106+ES106                 -         SUMIF('Berechnung Nährstoffe und Lager'!$AX$113:$AX$155,$CX106,'Berechnung Nährstoffe und Lager'!$V$113:$V$155)/12  -$GC106*$HC106/12</f>
        <v>0</v>
      </c>
      <c r="FV106" s="2042">
        <f>FU106+DT106+ET106                 -         SUMIF('Berechnung Nährstoffe und Lager'!$AX$113:$AX$155,$CX106,'Berechnung Nährstoffe und Lager'!$V$113:$V$155)/12  -$GC106*$HC106/12</f>
        <v>0</v>
      </c>
      <c r="FW106" s="2042">
        <f>FV106+DU106+EU106                 -         SUMIF('Berechnung Nährstoffe und Lager'!$AX$113:$AX$155,$CX106,'Berechnung Nährstoffe und Lager'!$V$113:$V$155)/12  -$GC106*$HC106/12</f>
        <v>0</v>
      </c>
      <c r="FX106" s="2042">
        <f>FW106+DV106+EV106                 -         SUMIF('Berechnung Nährstoffe und Lager'!$AX$113:$AX$155,$CX106,'Berechnung Nährstoffe und Lager'!$V$113:$V$155)/12  -$GC106*$HC106/12</f>
        <v>0</v>
      </c>
      <c r="FY106" s="2042">
        <f>FX106+DW106+EW106                 -         SUMIF('Berechnung Nährstoffe und Lager'!$AX$113:$AX$155,$CX106,'Berechnung Nährstoffe und Lager'!$V$113:$V$155)/12  -$GC106*$HC106/12</f>
        <v>0</v>
      </c>
      <c r="FZ106" s="2042">
        <f>FY106+DX106+EX106                 -         SUMIF('Berechnung Nährstoffe und Lager'!$AX$113:$AX$155,$CX106,'Berechnung Nährstoffe und Lager'!$V$113:$V$155)/12  -$GC106*$HC106/12</f>
        <v>0</v>
      </c>
      <c r="GA106" s="2042"/>
      <c r="GB106" s="2042">
        <f>SUMIFS($CI$14:$CI$68,$BR$14:$BR$68,$CX106)+SUMIFS($CM$14:$CM$68,$BR$14:$BR$68,$CX106)+SUMIFS($CR$14:$CR$68,$BR$14:$BR$68,$CX106)  -         SUMIF('Berechnung Nährstoffe und Lager'!$AX$113:$AX$155,$CX106,'Berechnung Nährstoffe und Lager'!$U$113:$U$155)</f>
        <v>0</v>
      </c>
      <c r="GC106" s="2042">
        <f>SUMIFS($CJ$14:$CJ$68,$BR$14:$BR$68,$CX106)+SUMIFS($CO$14:$CO$68,$BR$14:$BR$68,$CX106)+SUMIFS($CT$14:$CT$68,$BR$14:$BR$68,$CX106)  -         SUMIF('Berechnung Nährstoffe und Lager'!$AX$113:$AX$155,$CX106,'Berechnung Nährstoffe und Lager'!$V$113:$V$155)</f>
        <v>0</v>
      </c>
      <c r="GD106" s="2042"/>
      <c r="GE106" s="2042"/>
      <c r="GF106" s="2042">
        <f>SUMIF('Berechnung Nährstoffe und Lager'!$AX$113:$AX$155,$CX106,'Berechnung Nährstoffe und Lager'!$U$113:$U$155)</f>
        <v>0</v>
      </c>
      <c r="GG106" s="2042">
        <f>SUMIF('Berechnung Nährstoffe und Lager'!$AX$113:$AX$155,$CX106,'Berechnung Nährstoffe und Lager'!$V$113:$V$155)</f>
        <v>0</v>
      </c>
      <c r="GH106" s="2042">
        <f t="shared" si="197"/>
        <v>0</v>
      </c>
      <c r="GI106" s="2042">
        <f t="shared" si="198"/>
        <v>0</v>
      </c>
      <c r="GJ106" s="2042">
        <f t="shared" si="180"/>
        <v>0</v>
      </c>
      <c r="GK106" s="2042">
        <f t="shared" si="181"/>
        <v>0</v>
      </c>
      <c r="GL106" s="2042">
        <f t="shared" si="182"/>
        <v>0</v>
      </c>
      <c r="GM106" s="2042" cm="1">
        <f t="array" ref="GM106">IF(GL106=0,0,(IFERROR(SUMPRODUCT($J$14:$J$68,$CH$14:$CH$68,($BR$14:$BR$68=CX106)*1)+SUMPRODUCT($L$14:$L$68,$M$14:$M$68,$CK$14:$CK$68,($BR$14:$BR$68=CX106)*1,($BT$14:$BT$68=FALSE)*1)/10+SUMPRODUCT($R$14:$R$68,$CP$14:$CP$68,($BR$14:$BR$68=CX106)*1),0))/GL106)</f>
        <v>0</v>
      </c>
      <c r="GN106" s="2042">
        <f t="shared" si="199"/>
        <v>0</v>
      </c>
      <c r="GO106" s="2042">
        <f>(SUMIF('Berechnung Nährstoffe und Lager'!$AX$113:$AX$130,'Lagerhaltung (freiwillig)'!CX106,'Berechnung Nährstoffe und Lager'!$D$113:$D$130)+SUMIF('Berechnung Nährstoffe und Lager'!$AX$137:$AX$155,'Lagerhaltung (freiwillig)'!CX106,'Berechnung Nährstoffe und Lager'!$E$137:$E$155))</f>
        <v>0</v>
      </c>
      <c r="GP106" s="2042" cm="1">
        <f t="array" ref="GP106">IF(GO106=0,0,(IFERROR(SUMPRODUCT('Berechnung Nährstoffe und Lager'!$D$113:$D$130,'Berechnung Nährstoffe und Lager'!$F$113:$F$130,('Berechnung Nährstoffe und Lager'!$AX$113:$AX$130='Lagerhaltung (freiwillig)'!CX106)*1)+SUMPRODUCT('Berechnung Nährstoffe und Lager'!$E$137:$E$155,'Berechnung Nährstoffe und Lager'!$F$137:$F$155,('Berechnung Nährstoffe und Lager'!$AX$137:$AX$155='Lagerhaltung (freiwillig)'!CX106)*1),0))/GO106)</f>
        <v>0</v>
      </c>
      <c r="GQ106" s="2042">
        <f t="shared" si="200"/>
        <v>0</v>
      </c>
      <c r="GR106" s="2042">
        <f t="shared" si="201"/>
        <v>0</v>
      </c>
      <c r="GS106" s="2042">
        <f t="shared" si="202"/>
        <v>0</v>
      </c>
      <c r="GT106" s="2042">
        <f t="shared" si="203"/>
        <v>0</v>
      </c>
      <c r="GU106" s="2045" t="str">
        <f t="shared" si="175"/>
        <v xml:space="preserve"> </v>
      </c>
      <c r="GV106" s="2045" t="str">
        <f t="shared" si="175"/>
        <v xml:space="preserve"> </v>
      </c>
      <c r="GW106" s="2054">
        <f t="shared" si="183"/>
        <v>0</v>
      </c>
      <c r="GX106" s="2042">
        <f t="shared" si="184"/>
        <v>0</v>
      </c>
      <c r="GY106" s="2042" t="str">
        <f t="shared" si="229"/>
        <v>a</v>
      </c>
      <c r="GZ106" s="2055">
        <f t="shared" si="185"/>
        <v>0</v>
      </c>
      <c r="HA106" s="2055">
        <f t="shared" si="186"/>
        <v>0</v>
      </c>
      <c r="HB106" s="2055"/>
      <c r="HC106" s="2046">
        <f t="shared" si="187"/>
        <v>0</v>
      </c>
      <c r="HD106" s="2055">
        <f t="shared" si="188"/>
        <v>0</v>
      </c>
      <c r="HE106" s="2055">
        <f t="shared" si="189"/>
        <v>0</v>
      </c>
      <c r="HF106" s="2055">
        <f t="shared" si="190"/>
        <v>0</v>
      </c>
      <c r="HG106" s="2282" cm="1">
        <f t="array" ref="HG106">IF(AND(HE106=0,GJ106=0),0,IF(HE106=0,1,IF(OR(GJ106*1000/HE106/HF106&gt;INDEX(Pflanzen!$AD$5:$AD$109,CX106)/INDEX(Pflanzen!$M$5:$M$109,CX106)*$HG$2,GJ106*1000/HE106/HF106&lt;INDEX(Pflanzen!$AD$5:$AD$109,CX106)/INDEX(Pflanzen!$M$5:$M$109,CX106)/$HG$2),1,0)))</f>
        <v>0</v>
      </c>
      <c r="HH106" s="2282" cm="1">
        <f t="array" ref="HH106">IF(AND(GK106=0,HE106=0),0,IF(HE106=0,1,IF(OR(GK106*1000/HE106/HF106&gt;INDEX(Pflanzen!$AE$5:$AE$109,CX106)/INDEX(Pflanzen!$M$5:$M$109,CX106)*$HG$2,GK106*1000/HE106/HF106&lt;INDEX(Pflanzen!$AE$5:$AE$109,CX106)/INDEX(Pflanzen!$M$5:$M$109,CX106)/$HG$2),1,0)))</f>
        <v>0</v>
      </c>
      <c r="HI106" s="2042">
        <f t="shared" si="191"/>
        <v>3</v>
      </c>
      <c r="HJ106" s="2216"/>
      <c r="HL106" s="2042"/>
      <c r="HM106" s="2042"/>
      <c r="HN106" s="2042"/>
      <c r="HO106" s="2042"/>
      <c r="HP106" s="2042"/>
      <c r="HQ106" s="2042"/>
      <c r="HR106" s="2042"/>
      <c r="HS106" s="2042"/>
      <c r="HT106" s="2042"/>
      <c r="HU106" s="2042"/>
      <c r="HV106" s="2042"/>
      <c r="HW106" s="2042"/>
      <c r="HX106" s="2042"/>
      <c r="HY106" s="2042"/>
      <c r="HZ106" s="2042"/>
      <c r="IA106" s="2042"/>
      <c r="IB106" s="2042"/>
      <c r="IC106" s="2042"/>
      <c r="ID106" s="2042"/>
      <c r="IE106" s="2042"/>
      <c r="IF106" s="2042"/>
      <c r="IG106" s="2042"/>
      <c r="IH106" s="2042"/>
      <c r="II106" s="2042"/>
      <c r="IJ106" s="2042"/>
    </row>
    <row r="107" spans="1:244" ht="15.75" customHeight="1" x14ac:dyDescent="0.2">
      <c r="Y107" s="2005" t="str" cm="1">
        <f t="array" ref="Y107">IFERROR(INDEX($CW$4:$CW$171,AY107),"")</f>
        <v/>
      </c>
      <c r="Z107" s="510"/>
      <c r="AA107" s="510"/>
      <c r="AB107" s="510"/>
      <c r="AC107" s="2031" t="str" cm="1">
        <f t="array" ref="AC107">IFERROR(INDEX($GL$4:$GL$171,AY107),"")</f>
        <v/>
      </c>
      <c r="AD107" s="2031" t="str" cm="1">
        <f t="array" ref="AD107">IFERROR(INDEX($GM$4:$GM$171,AY107),"")</f>
        <v/>
      </c>
      <c r="AE107" s="2031" t="str" cm="1">
        <f t="array" ref="AE107">IFERROR(INDEX($GH$4:$GH$171,AY107),"")</f>
        <v/>
      </c>
      <c r="AF107" s="2031" t="str" cm="1">
        <f t="array" ref="AF107">IFERROR(INDEX($GI$4:$GI$171,AY107),"")</f>
        <v/>
      </c>
      <c r="AG107" s="2031" t="str" cm="1">
        <f t="array" ref="AG107">IFERROR(INDEX($GO$4:$GO$171,AY107),"")</f>
        <v/>
      </c>
      <c r="AH107" s="2031" t="str" cm="1">
        <f t="array" ref="AH107">IFERROR(INDEX($GP$4:$GP$171,AY107),"")</f>
        <v/>
      </c>
      <c r="AI107" s="2031" t="str" cm="1">
        <f t="array" ref="AI107">IFERROR(INDEX($GF$4:$GF$171,AY107),"")</f>
        <v/>
      </c>
      <c r="AJ107" s="2031" t="str" cm="1">
        <f t="array" ref="AJ107">IFERROR(INDEX($GG$4:$GG$171,AY107),"")</f>
        <v/>
      </c>
      <c r="AK107" s="2031" t="str" cm="1">
        <f t="array" ref="AK107">IFERROR(INDEX($GS$4:$GS$171,AY107),"")</f>
        <v/>
      </c>
      <c r="AL107" s="2032" t="str" cm="1">
        <f t="array" ref="AL107">IFERROR(INDEX($GT$4:$GT$171,AY107),"")</f>
        <v/>
      </c>
      <c r="AM107" s="2031" t="str" cm="1">
        <f t="array" ref="AM107">IFERROR(INDEX($GB$4:$GB$171,AY107),"")</f>
        <v/>
      </c>
      <c r="AN107" s="2031" t="str" cm="1">
        <f t="array" ref="AN107">IFERROR(INDEX($GC$4:$GC$171,AY107),"")</f>
        <v/>
      </c>
      <c r="AO107" s="2031" t="str" cm="1">
        <f t="array" ref="AO107">IFERROR(INDEX($GU$4:$GU$171,AY107),"")</f>
        <v/>
      </c>
      <c r="AP107" s="2031" t="str" cm="1">
        <f t="array" ref="AP107">IFERROR(INDEX($GX$4:$GX$171,AY107),"")</f>
        <v/>
      </c>
      <c r="AQ107" s="1316"/>
      <c r="AR107" s="2031" t="str" cm="1">
        <f t="array" ref="AR107">IFERROR(INDEX($HD$4:$HD$171,AY107),"")</f>
        <v/>
      </c>
      <c r="AS107" s="2031" t="str" cm="1">
        <f t="array" ref="AS107">IFERROR(INDEX($HE$4:$HE$171,AY107),"")</f>
        <v/>
      </c>
      <c r="AT107" s="2031" t="str" cm="1">
        <f t="array" ref="AT107">IFERROR(INDEX($HF$4:$HF$171,AY107),"")</f>
        <v/>
      </c>
      <c r="AU107" s="2031" t="str" cm="1">
        <f t="array" ref="AU107">IFERROR(INDEX($GJ$4:$GJ$171,AY107),"")</f>
        <v/>
      </c>
      <c r="AV107" s="2031" t="str" cm="1">
        <f t="array" ref="AV107">IFERROR(INDEX($GK$4:$GK$171,AY107),"")</f>
        <v/>
      </c>
      <c r="AY107" s="2042" t="str" cm="1">
        <f t="array" ref="AY107">IFERROR(SMALL(IF($HI$4:$HI$171=1,ROW($HI$4:$HI$171)-3),ROW(W92)),IFERROR(SMALL(IF($HI$4:$HI$171=2,ROW($HI$4:$HI$171)-3),ROW(W92)-COUNTIF($HI$4:$HI$171,1)),IFERROR(SMALL(IF($HI$4:$HI$171=0,ROW($HI$4:$HI$171)-3),ROW(W92)-COUNTIF($HI$4:$HI$171,1)-COUNTIF($HI$4:$HI$171,2)),"")))</f>
        <v/>
      </c>
      <c r="AZ107" s="2042" t="str">
        <f t="shared" si="215"/>
        <v>a</v>
      </c>
      <c r="BA107" s="2053" t="e">
        <f t="shared" si="226"/>
        <v>#VALUE!</v>
      </c>
      <c r="BB107" s="2053" cm="1">
        <f t="array" ref="BB107">IFERROR(INDEX($HI$4:$HI$171,AY107),0)</f>
        <v>0</v>
      </c>
      <c r="BC107" s="2053">
        <f t="shared" si="227"/>
        <v>0</v>
      </c>
      <c r="BD107" s="2053"/>
      <c r="BE107" s="2307"/>
      <c r="BF107" s="2307"/>
      <c r="BG107" s="2307"/>
      <c r="BH107" s="2307"/>
      <c r="BI107" s="2307"/>
      <c r="BJ107" s="2307"/>
      <c r="BK107" s="2307"/>
      <c r="BL107" s="2307"/>
      <c r="BM107" s="2307"/>
      <c r="BN107" s="2307"/>
      <c r="BO107" s="2307"/>
      <c r="BP107" s="2043"/>
      <c r="BQ107" s="2042"/>
      <c r="BR107" s="2042"/>
      <c r="BS107" s="2042"/>
      <c r="BT107" s="2042"/>
      <c r="BU107" s="2059"/>
      <c r="BV107" s="2059"/>
      <c r="BW107" s="2042">
        <f>BW103-BW103*BW105</f>
        <v>0</v>
      </c>
      <c r="BX107" s="2042">
        <f>BX103-BX103*BX105</f>
        <v>0</v>
      </c>
      <c r="BY107" s="2042"/>
      <c r="BZ107" s="2045" t="s">
        <v>8503</v>
      </c>
      <c r="CA107" s="2042">
        <f>SUMIF($BR$99:$BR$101,1,$P$99:$Q$101)*-1</f>
        <v>0</v>
      </c>
      <c r="CB107" s="2042">
        <f>SUMIF($BR$99:$BR$101,2,$P$99:$Q$101)*-1</f>
        <v>0</v>
      </c>
      <c r="CC107" s="2042">
        <f>SUMIF($BR$99:$BR$101,3,$P$99:$Q$101)*-1</f>
        <v>0</v>
      </c>
      <c r="CD107" s="2042">
        <f>SUMIF($BR$99:$BR$101,4,$P$99:$Q$101)*-1</f>
        <v>0</v>
      </c>
      <c r="CE107" s="2042"/>
      <c r="CF107" s="2042"/>
      <c r="CG107" s="2042"/>
      <c r="CH107" s="2045"/>
      <c r="CI107" s="2042"/>
      <c r="CJ107" s="2042"/>
      <c r="CK107" s="2042"/>
      <c r="CL107" s="2042"/>
      <c r="CM107" s="2042"/>
      <c r="CN107" s="2042"/>
      <c r="CO107" s="2042"/>
      <c r="CP107" s="2042"/>
      <c r="CQ107" s="2042"/>
      <c r="CR107" s="2042"/>
      <c r="CS107" s="2042"/>
      <c r="CT107" s="2042"/>
      <c r="CU107" s="2042"/>
      <c r="CV107" s="2042"/>
      <c r="CW107" s="609" t="str">
        <f>Pflanzen!A103</f>
        <v>Schweinemist, hohe Einstreu</v>
      </c>
      <c r="CX107" s="2042">
        <f>IFERROR(MATCH($CW107,Pflanzen!$C$5:$C$119,0),1)</f>
        <v>94</v>
      </c>
      <c r="CY107" s="609" cm="1">
        <f t="array" ref="CY107">INDEX(Pflanzen!$I$5:$I$119,'Lagerhaltung (freiwillig)'!CX107)</f>
        <v>0</v>
      </c>
      <c r="CZ107" s="2042">
        <f t="shared" si="222"/>
        <v>0</v>
      </c>
      <c r="DA107" s="2042">
        <f t="shared" si="222"/>
        <v>0</v>
      </c>
      <c r="DB107" s="2042">
        <f t="shared" si="222"/>
        <v>0</v>
      </c>
      <c r="DC107" s="2042">
        <f t="shared" si="222"/>
        <v>0</v>
      </c>
      <c r="DD107" s="2042">
        <f t="shared" si="222"/>
        <v>0</v>
      </c>
      <c r="DE107" s="2042">
        <f t="shared" si="222"/>
        <v>0</v>
      </c>
      <c r="DF107" s="2042">
        <f t="shared" si="222"/>
        <v>0</v>
      </c>
      <c r="DG107" s="2042">
        <f t="shared" si="222"/>
        <v>0</v>
      </c>
      <c r="DH107" s="2042">
        <f t="shared" si="222"/>
        <v>0</v>
      </c>
      <c r="DI107" s="2042">
        <f t="shared" si="222"/>
        <v>0</v>
      </c>
      <c r="DJ107" s="2042">
        <f t="shared" si="222"/>
        <v>0</v>
      </c>
      <c r="DK107" s="2042">
        <f t="shared" si="222"/>
        <v>0</v>
      </c>
      <c r="DL107" s="2042"/>
      <c r="DM107" s="2042">
        <f t="shared" si="165"/>
        <v>0</v>
      </c>
      <c r="DN107" s="2042">
        <f t="shared" si="230"/>
        <v>0</v>
      </c>
      <c r="DO107" s="2042">
        <f t="shared" si="230"/>
        <v>0</v>
      </c>
      <c r="DP107" s="2042">
        <f t="shared" si="230"/>
        <v>0</v>
      </c>
      <c r="DQ107" s="2042">
        <f t="shared" si="230"/>
        <v>0</v>
      </c>
      <c r="DR107" s="2042">
        <f t="shared" si="230"/>
        <v>0</v>
      </c>
      <c r="DS107" s="2042">
        <f t="shared" si="230"/>
        <v>0</v>
      </c>
      <c r="DT107" s="2042">
        <f t="shared" si="230"/>
        <v>0</v>
      </c>
      <c r="DU107" s="2042">
        <f t="shared" si="230"/>
        <v>0</v>
      </c>
      <c r="DV107" s="2042">
        <f t="shared" si="230"/>
        <v>0</v>
      </c>
      <c r="DW107" s="2042">
        <f t="shared" si="230"/>
        <v>0</v>
      </c>
      <c r="DX107" s="2042">
        <f t="shared" si="230"/>
        <v>0</v>
      </c>
      <c r="DY107" s="2042"/>
      <c r="DZ107" s="2042">
        <f t="shared" si="223"/>
        <v>0</v>
      </c>
      <c r="EA107" s="2042">
        <f t="shared" si="223"/>
        <v>0</v>
      </c>
      <c r="EB107" s="2042">
        <f t="shared" si="223"/>
        <v>0</v>
      </c>
      <c r="EC107" s="2042">
        <f t="shared" si="223"/>
        <v>0</v>
      </c>
      <c r="ED107" s="2042">
        <f t="shared" si="223"/>
        <v>0</v>
      </c>
      <c r="EE107" s="2042">
        <f t="shared" si="223"/>
        <v>0</v>
      </c>
      <c r="EF107" s="2042">
        <f t="shared" si="223"/>
        <v>0</v>
      </c>
      <c r="EG107" s="2042">
        <f t="shared" si="223"/>
        <v>0</v>
      </c>
      <c r="EH107" s="2042">
        <f t="shared" si="223"/>
        <v>0</v>
      </c>
      <c r="EI107" s="2042">
        <f t="shared" si="223"/>
        <v>0</v>
      </c>
      <c r="EJ107" s="2042">
        <f t="shared" si="223"/>
        <v>0</v>
      </c>
      <c r="EK107" s="2042">
        <f t="shared" si="223"/>
        <v>0</v>
      </c>
      <c r="EL107" s="2042"/>
      <c r="EM107" s="2042">
        <f t="shared" si="167"/>
        <v>0</v>
      </c>
      <c r="EN107" s="2042">
        <f t="shared" si="231"/>
        <v>0</v>
      </c>
      <c r="EO107" s="2042">
        <f t="shared" si="231"/>
        <v>0</v>
      </c>
      <c r="EP107" s="2042">
        <f t="shared" si="231"/>
        <v>0</v>
      </c>
      <c r="EQ107" s="2042">
        <f t="shared" si="231"/>
        <v>0</v>
      </c>
      <c r="ER107" s="2042">
        <f t="shared" si="231"/>
        <v>0</v>
      </c>
      <c r="ES107" s="2042">
        <f t="shared" si="231"/>
        <v>0</v>
      </c>
      <c r="ET107" s="2042">
        <f t="shared" si="231"/>
        <v>0</v>
      </c>
      <c r="EU107" s="2042">
        <f t="shared" si="231"/>
        <v>0</v>
      </c>
      <c r="EV107" s="2042">
        <f t="shared" si="231"/>
        <v>0</v>
      </c>
      <c r="EW107" s="2042">
        <f t="shared" si="231"/>
        <v>0</v>
      </c>
      <c r="EX107" s="2042">
        <f t="shared" si="231"/>
        <v>0</v>
      </c>
      <c r="EY107" s="2042"/>
      <c r="EZ107" s="2045">
        <f t="shared" si="195"/>
        <v>0</v>
      </c>
      <c r="FA107" s="2042">
        <f>EZ107+CZ107+DZ107                 -         SUMIF('Berechnung Nährstoffe und Lager'!$AX$113:$AX$155,$CX107,'Berechnung Nährstoffe und Lager'!$U$113:$U$155)/12  -$GB107*$HC107/12</f>
        <v>0</v>
      </c>
      <c r="FB107" s="2042">
        <f>FA107+DA107+EA107                 -         SUMIF('Berechnung Nährstoffe und Lager'!$AX$113:$AX$155,$CX107,'Berechnung Nährstoffe und Lager'!$U$113:$U$155)/12  -$GB107*$HC107/12</f>
        <v>0</v>
      </c>
      <c r="FC107" s="2042">
        <f>FB107+DB107+EB107                 -         SUMIF('Berechnung Nährstoffe und Lager'!$AX$113:$AX$155,$CX107,'Berechnung Nährstoffe und Lager'!$U$113:$U$155)/12  -$GB107*$HC107/12</f>
        <v>0</v>
      </c>
      <c r="FD107" s="2042">
        <f>FC107+DC107+EC107                 -         SUMIF('Berechnung Nährstoffe und Lager'!$AX$113:$AX$155,$CX107,'Berechnung Nährstoffe und Lager'!$U$113:$U$155)/12  -$GB107*$HC107/12</f>
        <v>0</v>
      </c>
      <c r="FE107" s="2042">
        <f>FD107+DD107+ED107                 -         SUMIF('Berechnung Nährstoffe und Lager'!$AX$113:$AX$155,$CX107,'Berechnung Nährstoffe und Lager'!$U$113:$U$155)/12  -$GB107*$HC107/12</f>
        <v>0</v>
      </c>
      <c r="FF107" s="2042">
        <f>FE107+DE107+EE107                 -         SUMIF('Berechnung Nährstoffe und Lager'!$AX$113:$AX$155,$CX107,'Berechnung Nährstoffe und Lager'!$U$113:$U$155)/12  -$GB107*$HC107/12</f>
        <v>0</v>
      </c>
      <c r="FG107" s="2042">
        <f>FF107+DF107+EF107                 -         SUMIF('Berechnung Nährstoffe und Lager'!$AX$113:$AX$155,$CX107,'Berechnung Nährstoffe und Lager'!$U$113:$U$155)/12  -$GB107*$HC107/12</f>
        <v>0</v>
      </c>
      <c r="FH107" s="2042">
        <f>FG107+DG107+EG107                 -         SUMIF('Berechnung Nährstoffe und Lager'!$AX$113:$AX$155,$CX107,'Berechnung Nährstoffe und Lager'!$U$113:$U$155)/12  -$GB107*$HC107/12</f>
        <v>0</v>
      </c>
      <c r="FI107" s="2042">
        <f>FH107+DH107+EH107                 -         SUMIF('Berechnung Nährstoffe und Lager'!$AX$113:$AX$155,$CX107,'Berechnung Nährstoffe und Lager'!$U$113:$U$155)/12  -$GB107*$HC107/12</f>
        <v>0</v>
      </c>
      <c r="FJ107" s="2042">
        <f>FI107+DI107+EI107                 -         SUMIF('Berechnung Nährstoffe und Lager'!$AX$113:$AX$155,$CX107,'Berechnung Nährstoffe und Lager'!$U$113:$U$155)/12  -$GB107*$HC107/12</f>
        <v>0</v>
      </c>
      <c r="FK107" s="2042">
        <f>FJ107+DJ107+EJ107                 -         SUMIF('Berechnung Nährstoffe und Lager'!$AX$113:$AX$155,$CX107,'Berechnung Nährstoffe und Lager'!$U$113:$U$155)/12  -$GB107*$HC107/12</f>
        <v>0</v>
      </c>
      <c r="FL107" s="2042">
        <f>FK107+DK107+EK107                 -         SUMIF('Berechnung Nährstoffe und Lager'!$AX$113:$AX$155,$CX107,'Berechnung Nährstoffe und Lager'!$U$113:$U$155)/12  -$GB107*$HC107/12</f>
        <v>0</v>
      </c>
      <c r="FM107" s="2042"/>
      <c r="FN107" s="2045">
        <f t="shared" si="196"/>
        <v>0</v>
      </c>
      <c r="FO107" s="2042">
        <f>FN107+DM107+EM107                 -         SUMIF('Berechnung Nährstoffe und Lager'!$AX$113:$AX$155,$CX107,'Berechnung Nährstoffe und Lager'!$V$113:$V$155)/12  -$GC107*$HC107/12</f>
        <v>0</v>
      </c>
      <c r="FP107" s="2042">
        <f>FO107+DN107+EN107                 -         SUMIF('Berechnung Nährstoffe und Lager'!$AX$113:$AX$155,$CX107,'Berechnung Nährstoffe und Lager'!$V$113:$V$155)/12  -$GC107*$HC107/12</f>
        <v>0</v>
      </c>
      <c r="FQ107" s="2042">
        <f>FP107+DO107+EO107                 -         SUMIF('Berechnung Nährstoffe und Lager'!$AX$113:$AX$155,$CX107,'Berechnung Nährstoffe und Lager'!$V$113:$V$155)/12  -$GC107*$HC107/12</f>
        <v>0</v>
      </c>
      <c r="FR107" s="2042">
        <f>FQ107+DP107+EP107                 -         SUMIF('Berechnung Nährstoffe und Lager'!$AX$113:$AX$155,$CX107,'Berechnung Nährstoffe und Lager'!$V$113:$V$155)/12  -$GC107*$HC107/12</f>
        <v>0</v>
      </c>
      <c r="FS107" s="2042">
        <f>FR107+DQ107+EQ107                 -         SUMIF('Berechnung Nährstoffe und Lager'!$AX$113:$AX$155,$CX107,'Berechnung Nährstoffe und Lager'!$V$113:$V$155)/12  -$GC107*$HC107/12</f>
        <v>0</v>
      </c>
      <c r="FT107" s="2042">
        <f>FS107+DR107+ER107                 -         SUMIF('Berechnung Nährstoffe und Lager'!$AX$113:$AX$155,$CX107,'Berechnung Nährstoffe und Lager'!$V$113:$V$155)/12  -$GC107*$HC107/12</f>
        <v>0</v>
      </c>
      <c r="FU107" s="2042">
        <f>FT107+DS107+ES107                 -         SUMIF('Berechnung Nährstoffe und Lager'!$AX$113:$AX$155,$CX107,'Berechnung Nährstoffe und Lager'!$V$113:$V$155)/12  -$GC107*$HC107/12</f>
        <v>0</v>
      </c>
      <c r="FV107" s="2042">
        <f>FU107+DT107+ET107                 -         SUMIF('Berechnung Nährstoffe und Lager'!$AX$113:$AX$155,$CX107,'Berechnung Nährstoffe und Lager'!$V$113:$V$155)/12  -$GC107*$HC107/12</f>
        <v>0</v>
      </c>
      <c r="FW107" s="2042">
        <f>FV107+DU107+EU107                 -         SUMIF('Berechnung Nährstoffe und Lager'!$AX$113:$AX$155,$CX107,'Berechnung Nährstoffe und Lager'!$V$113:$V$155)/12  -$GC107*$HC107/12</f>
        <v>0</v>
      </c>
      <c r="FX107" s="2042">
        <f>FW107+DV107+EV107                 -         SUMIF('Berechnung Nährstoffe und Lager'!$AX$113:$AX$155,$CX107,'Berechnung Nährstoffe und Lager'!$V$113:$V$155)/12  -$GC107*$HC107/12</f>
        <v>0</v>
      </c>
      <c r="FY107" s="2042">
        <f>FX107+DW107+EW107                 -         SUMIF('Berechnung Nährstoffe und Lager'!$AX$113:$AX$155,$CX107,'Berechnung Nährstoffe und Lager'!$V$113:$V$155)/12  -$GC107*$HC107/12</f>
        <v>0</v>
      </c>
      <c r="FZ107" s="2042">
        <f>FY107+DX107+EX107                 -         SUMIF('Berechnung Nährstoffe und Lager'!$AX$113:$AX$155,$CX107,'Berechnung Nährstoffe und Lager'!$V$113:$V$155)/12  -$GC107*$HC107/12</f>
        <v>0</v>
      </c>
      <c r="GA107" s="2042"/>
      <c r="GB107" s="2042">
        <f>SUMIFS($CI$14:$CI$68,$BR$14:$BR$68,$CX107)+SUMIFS($CM$14:$CM$68,$BR$14:$BR$68,$CX107)+SUMIFS($CR$14:$CR$68,$BR$14:$BR$68,$CX107)  -         SUMIF('Berechnung Nährstoffe und Lager'!$AX$113:$AX$155,$CX107,'Berechnung Nährstoffe und Lager'!$U$113:$U$155)</f>
        <v>0</v>
      </c>
      <c r="GC107" s="2042">
        <f>SUMIFS($CJ$14:$CJ$68,$BR$14:$BR$68,$CX107)+SUMIFS($CO$14:$CO$68,$BR$14:$BR$68,$CX107)+SUMIFS($CT$14:$CT$68,$BR$14:$BR$68,$CX107)  -         SUMIF('Berechnung Nährstoffe und Lager'!$AX$113:$AX$155,$CX107,'Berechnung Nährstoffe und Lager'!$V$113:$V$155)</f>
        <v>0</v>
      </c>
      <c r="GD107" s="2042"/>
      <c r="GE107" s="2042"/>
      <c r="GF107" s="2042">
        <f>SUMIF('Berechnung Nährstoffe und Lager'!$AX$113:$AX$155,$CX107,'Berechnung Nährstoffe und Lager'!$U$113:$U$155)</f>
        <v>0</v>
      </c>
      <c r="GG107" s="2042">
        <f>SUMIF('Berechnung Nährstoffe und Lager'!$AX$113:$AX$155,$CX107,'Berechnung Nährstoffe und Lager'!$V$113:$V$155)</f>
        <v>0</v>
      </c>
      <c r="GH107" s="2042">
        <f t="shared" si="197"/>
        <v>0</v>
      </c>
      <c r="GI107" s="2042">
        <f t="shared" si="198"/>
        <v>0</v>
      </c>
      <c r="GJ107" s="2042">
        <f t="shared" ref="GJ107:GJ138" si="232">GB107-GB107*HC107</f>
        <v>0</v>
      </c>
      <c r="GK107" s="2042">
        <f t="shared" ref="GK107:GK138" si="233">GC107-GC107*HC107</f>
        <v>0</v>
      </c>
      <c r="GL107" s="2042">
        <f t="shared" ref="GL107:GL121" si="234">SUMIF($BR$14:$BR$68,CX107,$CU$14:$CU$68)</f>
        <v>0</v>
      </c>
      <c r="GM107" s="2042" cm="1">
        <f t="array" ref="GM107">IF(GL107=0,0,(IFERROR(SUMPRODUCT($J$14:$J$68,$CH$14:$CH$68,($BR$14:$BR$68=CX107)*1)+SUMPRODUCT($L$14:$L$68,$M$14:$M$68,$CK$14:$CK$68,($BR$14:$BR$68=CX107)*1,($BT$14:$BT$68=FALSE)*1)/10+SUMPRODUCT($R$14:$R$68,$CP$14:$CP$68,($BR$14:$BR$68=CX107)*1),0))/GL107)</f>
        <v>0</v>
      </c>
      <c r="GN107" s="2042">
        <f t="shared" si="199"/>
        <v>0</v>
      </c>
      <c r="GO107" s="2042">
        <f>(SUMIF('Berechnung Nährstoffe und Lager'!$AX$113:$AX$130,'Lagerhaltung (freiwillig)'!CX107,'Berechnung Nährstoffe und Lager'!$D$113:$D$130)+SUMIF('Berechnung Nährstoffe und Lager'!$AX$137:$AX$155,'Lagerhaltung (freiwillig)'!CX107,'Berechnung Nährstoffe und Lager'!$E$137:$E$155))</f>
        <v>0</v>
      </c>
      <c r="GP107" s="2042" cm="1">
        <f t="array" ref="GP107">IF(GO107=0,0,(IFERROR(SUMPRODUCT('Berechnung Nährstoffe und Lager'!$D$113:$D$130,'Berechnung Nährstoffe und Lager'!$F$113:$F$130,('Berechnung Nährstoffe und Lager'!$AX$113:$AX$130='Lagerhaltung (freiwillig)'!CX107)*1)+SUMPRODUCT('Berechnung Nährstoffe und Lager'!$E$137:$E$155,'Berechnung Nährstoffe und Lager'!$F$137:$F$155,('Berechnung Nährstoffe und Lager'!$AX$137:$AX$155='Lagerhaltung (freiwillig)'!CX107)*1),0))/GO107)</f>
        <v>0</v>
      </c>
      <c r="GQ107" s="2042">
        <f t="shared" si="200"/>
        <v>0</v>
      </c>
      <c r="GR107" s="2042">
        <f t="shared" si="201"/>
        <v>0</v>
      </c>
      <c r="GS107" s="2042">
        <f t="shared" si="202"/>
        <v>0</v>
      </c>
      <c r="GT107" s="2042">
        <f t="shared" si="203"/>
        <v>0</v>
      </c>
      <c r="GU107" s="2045" t="str">
        <f t="shared" si="175"/>
        <v xml:space="preserve"> </v>
      </c>
      <c r="GV107" s="2045" t="str">
        <f t="shared" si="175"/>
        <v xml:space="preserve"> </v>
      </c>
      <c r="GW107" s="2054">
        <f t="shared" ref="GW107:GW138" si="235">IF(OR(HI107=3,GS107&lt;=0),0,IF(CY107=$CY$4,$GV$4/$GE$4,IF(CY107=$CY$6,$GV$6/$GE$6,0)))</f>
        <v>0</v>
      </c>
      <c r="GX107" s="2042">
        <f t="shared" ref="GX107:GX138" si="236">GS107*GW107</f>
        <v>0</v>
      </c>
      <c r="GY107" s="2042" t="str">
        <f t="shared" si="229"/>
        <v>a</v>
      </c>
      <c r="GZ107" s="2055">
        <f t="shared" ref="GZ107:GZ138" si="237">IF(GY107="a",0,GB107*HC107)</f>
        <v>0</v>
      </c>
      <c r="HA107" s="2055">
        <f t="shared" ref="HA107:HA138" si="238">IF(GY107="a",0,GB107*(1-HC107))</f>
        <v>0</v>
      </c>
      <c r="HB107" s="2055"/>
      <c r="HC107" s="2046">
        <f t="shared" ref="HC107:HC138" si="239">IF(OR(HI107=3,GS107&lt;=0),0,IF(GY107&lt;&gt;"a",IF(GS107=0,0,MIN(1,GY107/GS107)),IF(CY107=$CY$4,IF($GE$4-$HA$4-$GZ$4=0,0,$HB$4/($GE$4-$HA$4-$GZ$4)),IF(CY107=$CY$6,IF($GE$6-$HA$6-$GZ$6=0,0,$HB$6/($GE$6-$HA$6-$GZ$6)),0))))</f>
        <v>0</v>
      </c>
      <c r="HD107" s="2055">
        <f t="shared" ref="HD107:HD138" si="240">MAX(0,GS107*HC107)</f>
        <v>0</v>
      </c>
      <c r="HE107" s="2055">
        <f t="shared" ref="HE107:HE138" si="241">GS107-HD107</f>
        <v>0</v>
      </c>
      <c r="HF107" s="2055">
        <f t="shared" ref="HF107:HF138" si="242">GM107</f>
        <v>0</v>
      </c>
      <c r="HG107" s="2282" cm="1">
        <f t="array" ref="HG107">IF(AND(HE107=0,GJ107=0),0,IF(HE107=0,1,IF(OR(GJ107*1000/HE107/HF107&gt;INDEX(Pflanzen!$AD$5:$AD$109,CX107)/INDEX(Pflanzen!$M$5:$M$109,CX107)*$HG$2,GJ107*1000/HE107/HF107&lt;INDEX(Pflanzen!$AD$5:$AD$109,CX107)/INDEX(Pflanzen!$M$5:$M$109,CX107)/$HG$2),1,0)))</f>
        <v>0</v>
      </c>
      <c r="HH107" s="2282" cm="1">
        <f t="array" ref="HH107">IF(AND(GK107=0,HE107=0),0,IF(HE107=0,1,IF(OR(GK107*1000/HE107/HF107&gt;INDEX(Pflanzen!$AE$5:$AE$109,CX107)/INDEX(Pflanzen!$M$5:$M$109,CX107)*$HG$2,GK107*1000/HE107/HF107&lt;INDEX(Pflanzen!$AE$5:$AE$109,CX107)/INDEX(Pflanzen!$M$5:$M$109,CX107)/$HG$2),1,0)))</f>
        <v>0</v>
      </c>
      <c r="HI107" s="2042">
        <f t="shared" ref="HI107:HI138" si="243">IF(AND(GB107=0,GF107=0,GH107=0),3,CY107)</f>
        <v>3</v>
      </c>
      <c r="HJ107" s="2216"/>
      <c r="HL107" s="2042"/>
      <c r="HM107" s="2042"/>
      <c r="HN107" s="2042"/>
      <c r="HO107" s="2042"/>
      <c r="HP107" s="2042"/>
      <c r="HQ107" s="2042"/>
      <c r="HR107" s="2042"/>
      <c r="HS107" s="2042"/>
      <c r="HT107" s="2042"/>
      <c r="HU107" s="2042"/>
      <c r="HV107" s="2042"/>
      <c r="HW107" s="2042"/>
      <c r="HX107" s="2042"/>
      <c r="HY107" s="2042"/>
      <c r="HZ107" s="2042"/>
      <c r="IA107" s="2042"/>
      <c r="IB107" s="2042"/>
      <c r="IC107" s="2042"/>
      <c r="ID107" s="2042"/>
      <c r="IE107" s="2042"/>
      <c r="IF107" s="2042"/>
      <c r="IG107" s="2042"/>
      <c r="IH107" s="2042"/>
      <c r="II107" s="2042"/>
      <c r="IJ107" s="2042"/>
    </row>
    <row r="108" spans="1:244" ht="15.75" customHeight="1" x14ac:dyDescent="0.2">
      <c r="Y108" s="2005" t="str" cm="1">
        <f t="array" ref="Y108">IFERROR(INDEX($CW$4:$CW$171,AY108),"")</f>
        <v/>
      </c>
      <c r="Z108" s="510"/>
      <c r="AA108" s="510"/>
      <c r="AB108" s="510"/>
      <c r="AC108" s="2031" t="str" cm="1">
        <f t="array" ref="AC108">IFERROR(INDEX($GL$4:$GL$171,AY108),"")</f>
        <v/>
      </c>
      <c r="AD108" s="2031" t="str" cm="1">
        <f t="array" ref="AD108">IFERROR(INDEX($GM$4:$GM$171,AY108),"")</f>
        <v/>
      </c>
      <c r="AE108" s="2031" t="str" cm="1">
        <f t="array" ref="AE108">IFERROR(INDEX($GH$4:$GH$171,AY108),"")</f>
        <v/>
      </c>
      <c r="AF108" s="2031" t="str" cm="1">
        <f t="array" ref="AF108">IFERROR(INDEX($GI$4:$GI$171,AY108),"")</f>
        <v/>
      </c>
      <c r="AG108" s="2031" t="str" cm="1">
        <f t="array" ref="AG108">IFERROR(INDEX($GO$4:$GO$171,AY108),"")</f>
        <v/>
      </c>
      <c r="AH108" s="2031" t="str" cm="1">
        <f t="array" ref="AH108">IFERROR(INDEX($GP$4:$GP$171,AY108),"")</f>
        <v/>
      </c>
      <c r="AI108" s="2031" t="str" cm="1">
        <f t="array" ref="AI108">IFERROR(INDEX($GF$4:$GF$171,AY108),"")</f>
        <v/>
      </c>
      <c r="AJ108" s="2031" t="str" cm="1">
        <f t="array" ref="AJ108">IFERROR(INDEX($GG$4:$GG$171,AY108),"")</f>
        <v/>
      </c>
      <c r="AK108" s="2031" t="str" cm="1">
        <f t="array" ref="AK108">IFERROR(INDEX($GS$4:$GS$171,AY108),"")</f>
        <v/>
      </c>
      <c r="AL108" s="2032" t="str" cm="1">
        <f t="array" ref="AL108">IFERROR(INDEX($GT$4:$GT$171,AY108),"")</f>
        <v/>
      </c>
      <c r="AM108" s="2031" t="str" cm="1">
        <f t="array" ref="AM108">IFERROR(INDEX($GB$4:$GB$171,AY108),"")</f>
        <v/>
      </c>
      <c r="AN108" s="2031" t="str" cm="1">
        <f t="array" ref="AN108">IFERROR(INDEX($GC$4:$GC$171,AY108),"")</f>
        <v/>
      </c>
      <c r="AO108" s="2031" t="str" cm="1">
        <f t="array" ref="AO108">IFERROR(INDEX($GU$4:$GU$171,AY108),"")</f>
        <v/>
      </c>
      <c r="AP108" s="2031" t="str" cm="1">
        <f t="array" ref="AP108">IFERROR(INDEX($GX$4:$GX$171,AY108),"")</f>
        <v/>
      </c>
      <c r="AQ108" s="1316"/>
      <c r="AR108" s="2031" t="str" cm="1">
        <f t="array" ref="AR108">IFERROR(INDEX($HD$4:$HD$171,AY108),"")</f>
        <v/>
      </c>
      <c r="AS108" s="2031" t="str" cm="1">
        <f t="array" ref="AS108">IFERROR(INDEX($HE$4:$HE$171,AY108),"")</f>
        <v/>
      </c>
      <c r="AT108" s="2031" t="str" cm="1">
        <f t="array" ref="AT108">IFERROR(INDEX($HF$4:$HF$171,AY108),"")</f>
        <v/>
      </c>
      <c r="AU108" s="2031" t="str" cm="1">
        <f t="array" ref="AU108">IFERROR(INDEX($GJ$4:$GJ$171,AY108),"")</f>
        <v/>
      </c>
      <c r="AV108" s="2031" t="str" cm="1">
        <f t="array" ref="AV108">IFERROR(INDEX($GK$4:$GK$171,AY108),"")</f>
        <v/>
      </c>
      <c r="AY108" s="2042" t="str" cm="1">
        <f t="array" ref="AY108">IFERROR(SMALL(IF($HI$4:$HI$171=1,ROW($HI$4:$HI$171)-3),ROW(W93)),IFERROR(SMALL(IF($HI$4:$HI$171=2,ROW($HI$4:$HI$171)-3),ROW(W93)-COUNTIF($HI$4:$HI$171,1)),IFERROR(SMALL(IF($HI$4:$HI$171=0,ROW($HI$4:$HI$171)-3),ROW(W93)-COUNTIF($HI$4:$HI$171,1)-COUNTIF($HI$4:$HI$171,2)),"")))</f>
        <v/>
      </c>
      <c r="AZ108" s="2042" t="str">
        <f t="shared" si="215"/>
        <v>a</v>
      </c>
      <c r="BA108" s="2053" t="e">
        <f t="shared" si="226"/>
        <v>#VALUE!</v>
      </c>
      <c r="BB108" s="2053" cm="1">
        <f t="array" ref="BB108">IFERROR(INDEX($HI$4:$HI$171,AY108),0)</f>
        <v>0</v>
      </c>
      <c r="BC108" s="2053">
        <f t="shared" si="227"/>
        <v>0</v>
      </c>
      <c r="BD108" s="2053"/>
      <c r="BE108" s="2307"/>
      <c r="BF108" s="2307"/>
      <c r="BG108" s="2307"/>
      <c r="BH108" s="2307"/>
      <c r="BI108" s="2307"/>
      <c r="BJ108" s="2307"/>
      <c r="BK108" s="2307"/>
      <c r="BL108" s="2307"/>
      <c r="BM108" s="2307"/>
      <c r="BN108" s="2307"/>
      <c r="BO108" s="2307"/>
      <c r="BP108" s="2043"/>
      <c r="BQ108" s="2042"/>
      <c r="BR108" s="2042"/>
      <c r="BS108" s="2042"/>
      <c r="BT108" s="2042"/>
      <c r="BU108" s="2059"/>
      <c r="BV108" s="2059"/>
      <c r="BW108" s="2045" t="s">
        <v>8396</v>
      </c>
      <c r="BX108" s="2045" t="s">
        <v>8403</v>
      </c>
      <c r="BY108" s="2042"/>
      <c r="BZ108" s="2042"/>
      <c r="CA108" s="2042"/>
      <c r="CB108" s="2042"/>
      <c r="CC108" s="2042"/>
      <c r="CD108" s="2042"/>
      <c r="CE108" s="2042"/>
      <c r="CF108" s="2042"/>
      <c r="CG108" s="2042"/>
      <c r="CH108" s="2042"/>
      <c r="CI108" s="2042"/>
      <c r="CJ108" s="2042"/>
      <c r="CK108" s="2042"/>
      <c r="CL108" s="2042"/>
      <c r="CM108" s="2059"/>
      <c r="CN108" s="2059"/>
      <c r="CO108" s="2059"/>
      <c r="CP108" s="2059"/>
      <c r="CQ108" s="2042"/>
      <c r="CR108" s="2042"/>
      <c r="CS108" s="2042"/>
      <c r="CT108" s="2042"/>
      <c r="CU108" s="2042"/>
      <c r="CV108" s="2042"/>
      <c r="CW108" s="609" t="str">
        <f>Pflanzen!A104</f>
        <v>Schweinejauche</v>
      </c>
      <c r="CX108" s="2042">
        <f>IFERROR(MATCH($CW108,Pflanzen!$C$5:$C$119,0),1)</f>
        <v>95</v>
      </c>
      <c r="CY108" s="609" cm="1">
        <f t="array" ref="CY108">INDEX(Pflanzen!$I$5:$I$119,'Lagerhaltung (freiwillig)'!CX108)</f>
        <v>0</v>
      </c>
      <c r="CZ108" s="2042">
        <f t="shared" si="222"/>
        <v>0</v>
      </c>
      <c r="DA108" s="2042">
        <f t="shared" si="222"/>
        <v>0</v>
      </c>
      <c r="DB108" s="2042">
        <f t="shared" si="222"/>
        <v>0</v>
      </c>
      <c r="DC108" s="2042">
        <f t="shared" si="222"/>
        <v>0</v>
      </c>
      <c r="DD108" s="2042">
        <f t="shared" si="222"/>
        <v>0</v>
      </c>
      <c r="DE108" s="2042">
        <f t="shared" si="222"/>
        <v>0</v>
      </c>
      <c r="DF108" s="2042">
        <f t="shared" si="222"/>
        <v>0</v>
      </c>
      <c r="DG108" s="2042">
        <f t="shared" si="222"/>
        <v>0</v>
      </c>
      <c r="DH108" s="2042">
        <f t="shared" si="222"/>
        <v>0</v>
      </c>
      <c r="DI108" s="2042">
        <f t="shared" si="222"/>
        <v>0</v>
      </c>
      <c r="DJ108" s="2042">
        <f t="shared" si="222"/>
        <v>0</v>
      </c>
      <c r="DK108" s="2042">
        <f t="shared" si="222"/>
        <v>0</v>
      </c>
      <c r="DL108" s="2062"/>
      <c r="DM108" s="2042">
        <f t="shared" si="165"/>
        <v>0</v>
      </c>
      <c r="DN108" s="2042">
        <f t="shared" si="230"/>
        <v>0</v>
      </c>
      <c r="DO108" s="2042">
        <f t="shared" si="230"/>
        <v>0</v>
      </c>
      <c r="DP108" s="2042">
        <f t="shared" si="230"/>
        <v>0</v>
      </c>
      <c r="DQ108" s="2042">
        <f t="shared" si="230"/>
        <v>0</v>
      </c>
      <c r="DR108" s="2042">
        <f t="shared" si="230"/>
        <v>0</v>
      </c>
      <c r="DS108" s="2042">
        <f t="shared" si="230"/>
        <v>0</v>
      </c>
      <c r="DT108" s="2042">
        <f t="shared" si="230"/>
        <v>0</v>
      </c>
      <c r="DU108" s="2042">
        <f t="shared" si="230"/>
        <v>0</v>
      </c>
      <c r="DV108" s="2042">
        <f t="shared" si="230"/>
        <v>0</v>
      </c>
      <c r="DW108" s="2042">
        <f t="shared" si="230"/>
        <v>0</v>
      </c>
      <c r="DX108" s="2042">
        <f t="shared" si="230"/>
        <v>0</v>
      </c>
      <c r="DY108" s="2216"/>
      <c r="DZ108" s="2042">
        <f t="shared" si="223"/>
        <v>0</v>
      </c>
      <c r="EA108" s="2042">
        <f t="shared" si="223"/>
        <v>0</v>
      </c>
      <c r="EB108" s="2042">
        <f t="shared" si="223"/>
        <v>0</v>
      </c>
      <c r="EC108" s="2042">
        <f t="shared" si="223"/>
        <v>0</v>
      </c>
      <c r="ED108" s="2042">
        <f t="shared" si="223"/>
        <v>0</v>
      </c>
      <c r="EE108" s="2042">
        <f t="shared" si="223"/>
        <v>0</v>
      </c>
      <c r="EF108" s="2042">
        <f t="shared" si="223"/>
        <v>0</v>
      </c>
      <c r="EG108" s="2042">
        <f t="shared" si="223"/>
        <v>0</v>
      </c>
      <c r="EH108" s="2042">
        <f t="shared" si="223"/>
        <v>0</v>
      </c>
      <c r="EI108" s="2042">
        <f t="shared" si="223"/>
        <v>0</v>
      </c>
      <c r="EJ108" s="2042">
        <f t="shared" si="223"/>
        <v>0</v>
      </c>
      <c r="EK108" s="2042">
        <f t="shared" si="223"/>
        <v>0</v>
      </c>
      <c r="EL108" s="2062"/>
      <c r="EM108" s="2042">
        <f t="shared" si="167"/>
        <v>0</v>
      </c>
      <c r="EN108" s="2042">
        <f t="shared" si="231"/>
        <v>0</v>
      </c>
      <c r="EO108" s="2042">
        <f t="shared" si="231"/>
        <v>0</v>
      </c>
      <c r="EP108" s="2042">
        <f t="shared" si="231"/>
        <v>0</v>
      </c>
      <c r="EQ108" s="2042">
        <f t="shared" si="231"/>
        <v>0</v>
      </c>
      <c r="ER108" s="2042">
        <f t="shared" si="231"/>
        <v>0</v>
      </c>
      <c r="ES108" s="2042">
        <f t="shared" si="231"/>
        <v>0</v>
      </c>
      <c r="ET108" s="2042">
        <f t="shared" si="231"/>
        <v>0</v>
      </c>
      <c r="EU108" s="2042">
        <f t="shared" si="231"/>
        <v>0</v>
      </c>
      <c r="EV108" s="2042">
        <f t="shared" si="231"/>
        <v>0</v>
      </c>
      <c r="EW108" s="2042">
        <f t="shared" si="231"/>
        <v>0</v>
      </c>
      <c r="EX108" s="2042">
        <f t="shared" si="231"/>
        <v>0</v>
      </c>
      <c r="EY108" s="2216"/>
      <c r="EZ108" s="2045">
        <f t="shared" si="195"/>
        <v>0</v>
      </c>
      <c r="FA108" s="2042">
        <f>EZ108+CZ108+DZ108                 -         SUMIF('Berechnung Nährstoffe und Lager'!$AX$113:$AX$155,$CX108,'Berechnung Nährstoffe und Lager'!$U$113:$U$155)/12  -$GB108*$HC108/12</f>
        <v>0</v>
      </c>
      <c r="FB108" s="2042">
        <f>FA108+DA108+EA108                 -         SUMIF('Berechnung Nährstoffe und Lager'!$AX$113:$AX$155,$CX108,'Berechnung Nährstoffe und Lager'!$U$113:$U$155)/12  -$GB108*$HC108/12</f>
        <v>0</v>
      </c>
      <c r="FC108" s="2042">
        <f>FB108+DB108+EB108                 -         SUMIF('Berechnung Nährstoffe und Lager'!$AX$113:$AX$155,$CX108,'Berechnung Nährstoffe und Lager'!$U$113:$U$155)/12  -$GB108*$HC108/12</f>
        <v>0</v>
      </c>
      <c r="FD108" s="2042">
        <f>FC108+DC108+EC108                 -         SUMIF('Berechnung Nährstoffe und Lager'!$AX$113:$AX$155,$CX108,'Berechnung Nährstoffe und Lager'!$U$113:$U$155)/12  -$GB108*$HC108/12</f>
        <v>0</v>
      </c>
      <c r="FE108" s="2042">
        <f>FD108+DD108+ED108                 -         SUMIF('Berechnung Nährstoffe und Lager'!$AX$113:$AX$155,$CX108,'Berechnung Nährstoffe und Lager'!$U$113:$U$155)/12  -$GB108*$HC108/12</f>
        <v>0</v>
      </c>
      <c r="FF108" s="2042">
        <f>FE108+DE108+EE108                 -         SUMIF('Berechnung Nährstoffe und Lager'!$AX$113:$AX$155,$CX108,'Berechnung Nährstoffe und Lager'!$U$113:$U$155)/12  -$GB108*$HC108/12</f>
        <v>0</v>
      </c>
      <c r="FG108" s="2042">
        <f>FF108+DF108+EF108                 -         SUMIF('Berechnung Nährstoffe und Lager'!$AX$113:$AX$155,$CX108,'Berechnung Nährstoffe und Lager'!$U$113:$U$155)/12  -$GB108*$HC108/12</f>
        <v>0</v>
      </c>
      <c r="FH108" s="2042">
        <f>FG108+DG108+EG108                 -         SUMIF('Berechnung Nährstoffe und Lager'!$AX$113:$AX$155,$CX108,'Berechnung Nährstoffe und Lager'!$U$113:$U$155)/12  -$GB108*$HC108/12</f>
        <v>0</v>
      </c>
      <c r="FI108" s="2042">
        <f>FH108+DH108+EH108                 -         SUMIF('Berechnung Nährstoffe und Lager'!$AX$113:$AX$155,$CX108,'Berechnung Nährstoffe und Lager'!$U$113:$U$155)/12  -$GB108*$HC108/12</f>
        <v>0</v>
      </c>
      <c r="FJ108" s="2042">
        <f>FI108+DI108+EI108                 -         SUMIF('Berechnung Nährstoffe und Lager'!$AX$113:$AX$155,$CX108,'Berechnung Nährstoffe und Lager'!$U$113:$U$155)/12  -$GB108*$HC108/12</f>
        <v>0</v>
      </c>
      <c r="FK108" s="2042">
        <f>FJ108+DJ108+EJ108                 -         SUMIF('Berechnung Nährstoffe und Lager'!$AX$113:$AX$155,$CX108,'Berechnung Nährstoffe und Lager'!$U$113:$U$155)/12  -$GB108*$HC108/12</f>
        <v>0</v>
      </c>
      <c r="FL108" s="2042">
        <f>FK108+DK108+EK108                 -         SUMIF('Berechnung Nährstoffe und Lager'!$AX$113:$AX$155,$CX108,'Berechnung Nährstoffe und Lager'!$U$113:$U$155)/12  -$GB108*$HC108/12</f>
        <v>0</v>
      </c>
      <c r="FM108" s="2062"/>
      <c r="FN108" s="2045">
        <f t="shared" si="196"/>
        <v>0</v>
      </c>
      <c r="FO108" s="2042">
        <f>FN108+DM108+EM108                 -         SUMIF('Berechnung Nährstoffe und Lager'!$AX$113:$AX$155,$CX108,'Berechnung Nährstoffe und Lager'!$V$113:$V$155)/12  -$GC108*$HC108/12</f>
        <v>0</v>
      </c>
      <c r="FP108" s="2042">
        <f>FO108+DN108+EN108                 -         SUMIF('Berechnung Nährstoffe und Lager'!$AX$113:$AX$155,$CX108,'Berechnung Nährstoffe und Lager'!$V$113:$V$155)/12  -$GC108*$HC108/12</f>
        <v>0</v>
      </c>
      <c r="FQ108" s="2042">
        <f>FP108+DO108+EO108                 -         SUMIF('Berechnung Nährstoffe und Lager'!$AX$113:$AX$155,$CX108,'Berechnung Nährstoffe und Lager'!$V$113:$V$155)/12  -$GC108*$HC108/12</f>
        <v>0</v>
      </c>
      <c r="FR108" s="2042">
        <f>FQ108+DP108+EP108                 -         SUMIF('Berechnung Nährstoffe und Lager'!$AX$113:$AX$155,$CX108,'Berechnung Nährstoffe und Lager'!$V$113:$V$155)/12  -$GC108*$HC108/12</f>
        <v>0</v>
      </c>
      <c r="FS108" s="2042">
        <f>FR108+DQ108+EQ108                 -         SUMIF('Berechnung Nährstoffe und Lager'!$AX$113:$AX$155,$CX108,'Berechnung Nährstoffe und Lager'!$V$113:$V$155)/12  -$GC108*$HC108/12</f>
        <v>0</v>
      </c>
      <c r="FT108" s="2042">
        <f>FS108+DR108+ER108                 -         SUMIF('Berechnung Nährstoffe und Lager'!$AX$113:$AX$155,$CX108,'Berechnung Nährstoffe und Lager'!$V$113:$V$155)/12  -$GC108*$HC108/12</f>
        <v>0</v>
      </c>
      <c r="FU108" s="2042">
        <f>FT108+DS108+ES108                 -         SUMIF('Berechnung Nährstoffe und Lager'!$AX$113:$AX$155,$CX108,'Berechnung Nährstoffe und Lager'!$V$113:$V$155)/12  -$GC108*$HC108/12</f>
        <v>0</v>
      </c>
      <c r="FV108" s="2042">
        <f>FU108+DT108+ET108                 -         SUMIF('Berechnung Nährstoffe und Lager'!$AX$113:$AX$155,$CX108,'Berechnung Nährstoffe und Lager'!$V$113:$V$155)/12  -$GC108*$HC108/12</f>
        <v>0</v>
      </c>
      <c r="FW108" s="2042">
        <f>FV108+DU108+EU108                 -         SUMIF('Berechnung Nährstoffe und Lager'!$AX$113:$AX$155,$CX108,'Berechnung Nährstoffe und Lager'!$V$113:$V$155)/12  -$GC108*$HC108/12</f>
        <v>0</v>
      </c>
      <c r="FX108" s="2042">
        <f>FW108+DV108+EV108                 -         SUMIF('Berechnung Nährstoffe und Lager'!$AX$113:$AX$155,$CX108,'Berechnung Nährstoffe und Lager'!$V$113:$V$155)/12  -$GC108*$HC108/12</f>
        <v>0</v>
      </c>
      <c r="FY108" s="2042">
        <f>FX108+DW108+EW108                 -         SUMIF('Berechnung Nährstoffe und Lager'!$AX$113:$AX$155,$CX108,'Berechnung Nährstoffe und Lager'!$V$113:$V$155)/12  -$GC108*$HC108/12</f>
        <v>0</v>
      </c>
      <c r="FZ108" s="2042">
        <f>FY108+DX108+EX108                 -         SUMIF('Berechnung Nährstoffe und Lager'!$AX$113:$AX$155,$CX108,'Berechnung Nährstoffe und Lager'!$V$113:$V$155)/12  -$GC108*$HC108/12</f>
        <v>0</v>
      </c>
      <c r="GA108" s="2216"/>
      <c r="GB108" s="2042">
        <f>SUMIFS($CI$14:$CI$68,$BR$14:$BR$68,$CX108)+SUMIFS($CM$14:$CM$68,$BR$14:$BR$68,$CX108)+SUMIFS($CR$14:$CR$68,$BR$14:$BR$68,$CX108)  -         SUMIF('Berechnung Nährstoffe und Lager'!$AX$113:$AX$155,$CX108,'Berechnung Nährstoffe und Lager'!$U$113:$U$155)</f>
        <v>0</v>
      </c>
      <c r="GC108" s="2042">
        <f>SUMIFS($CJ$14:$CJ$68,$BR$14:$BR$68,$CX108)+SUMIFS($CO$14:$CO$68,$BR$14:$BR$68,$CX108)+SUMIFS($CT$14:$CT$68,$BR$14:$BR$68,$CX108)  -         SUMIF('Berechnung Nährstoffe und Lager'!$AX$113:$AX$155,$CX108,'Berechnung Nährstoffe und Lager'!$V$113:$V$155)</f>
        <v>0</v>
      </c>
      <c r="GD108" s="2062"/>
      <c r="GE108" s="2062"/>
      <c r="GF108" s="2042">
        <f>SUMIF('Berechnung Nährstoffe und Lager'!$AX$113:$AX$155,$CX108,'Berechnung Nährstoffe und Lager'!$U$113:$U$155)</f>
        <v>0</v>
      </c>
      <c r="GG108" s="2042">
        <f>SUMIF('Berechnung Nährstoffe und Lager'!$AX$113:$AX$155,$CX108,'Berechnung Nährstoffe und Lager'!$V$113:$V$155)</f>
        <v>0</v>
      </c>
      <c r="GH108" s="2042">
        <f t="shared" si="197"/>
        <v>0</v>
      </c>
      <c r="GI108" s="2042">
        <f t="shared" si="198"/>
        <v>0</v>
      </c>
      <c r="GJ108" s="2042">
        <f t="shared" si="232"/>
        <v>0</v>
      </c>
      <c r="GK108" s="2042">
        <f t="shared" si="233"/>
        <v>0</v>
      </c>
      <c r="GL108" s="2042">
        <f t="shared" si="234"/>
        <v>0</v>
      </c>
      <c r="GM108" s="2042" cm="1">
        <f t="array" ref="GM108">IF(GL108=0,0,(IFERROR(SUMPRODUCT($J$14:$J$68,$CH$14:$CH$68,($BR$14:$BR$68=CX108)*1)+SUMPRODUCT($L$14:$L$68,$M$14:$M$68,$CK$14:$CK$68,($BR$14:$BR$68=CX108)*1,($BT$14:$BT$68=FALSE)*1)/10+SUMPRODUCT($R$14:$R$68,$CP$14:$CP$68,($BR$14:$BR$68=CX108)*1),0))/GL108)</f>
        <v>0</v>
      </c>
      <c r="GN108" s="2042">
        <f t="shared" si="199"/>
        <v>0</v>
      </c>
      <c r="GO108" s="2042">
        <f>(SUMIF('Berechnung Nährstoffe und Lager'!$AX$113:$AX$130,'Lagerhaltung (freiwillig)'!CX108,'Berechnung Nährstoffe und Lager'!$D$113:$D$130)+SUMIF('Berechnung Nährstoffe und Lager'!$AX$137:$AX$155,'Lagerhaltung (freiwillig)'!CX108,'Berechnung Nährstoffe und Lager'!$E$137:$E$155))</f>
        <v>0</v>
      </c>
      <c r="GP108" s="2042" cm="1">
        <f t="array" ref="GP108">IF(GO108=0,0,(IFERROR(SUMPRODUCT('Berechnung Nährstoffe und Lager'!$D$113:$D$130,'Berechnung Nährstoffe und Lager'!$F$113:$F$130,('Berechnung Nährstoffe und Lager'!$AX$113:$AX$130='Lagerhaltung (freiwillig)'!CX108)*1)+SUMPRODUCT('Berechnung Nährstoffe und Lager'!$E$137:$E$155,'Berechnung Nährstoffe und Lager'!$F$137:$F$155,('Berechnung Nährstoffe und Lager'!$AX$137:$AX$155='Lagerhaltung (freiwillig)'!CX108)*1),0))/GO108)</f>
        <v>0</v>
      </c>
      <c r="GQ108" s="2042">
        <f t="shared" si="200"/>
        <v>0</v>
      </c>
      <c r="GR108" s="2042">
        <f t="shared" si="201"/>
        <v>0</v>
      </c>
      <c r="GS108" s="2042">
        <f t="shared" si="202"/>
        <v>0</v>
      </c>
      <c r="GT108" s="2042">
        <f t="shared" si="203"/>
        <v>0</v>
      </c>
      <c r="GU108" s="1731" t="str">
        <f t="shared" si="175"/>
        <v xml:space="preserve"> </v>
      </c>
      <c r="GV108" s="1731" t="str">
        <f t="shared" si="175"/>
        <v xml:space="preserve"> </v>
      </c>
      <c r="GW108" s="2054">
        <f t="shared" si="235"/>
        <v>0</v>
      </c>
      <c r="GX108" s="2042">
        <f t="shared" si="236"/>
        <v>0</v>
      </c>
      <c r="GY108" s="2042" t="str">
        <f t="shared" si="229"/>
        <v>a</v>
      </c>
      <c r="GZ108" s="2067">
        <f t="shared" si="237"/>
        <v>0</v>
      </c>
      <c r="HA108" s="2067">
        <f t="shared" si="238"/>
        <v>0</v>
      </c>
      <c r="HB108" s="2067"/>
      <c r="HC108" s="2046">
        <f t="shared" si="239"/>
        <v>0</v>
      </c>
      <c r="HD108" s="2055">
        <f t="shared" si="240"/>
        <v>0</v>
      </c>
      <c r="HE108" s="2067">
        <f t="shared" si="241"/>
        <v>0</v>
      </c>
      <c r="HF108" s="2055">
        <f t="shared" si="242"/>
        <v>0</v>
      </c>
      <c r="HG108" s="2282" cm="1">
        <f t="array" ref="HG108">IF(AND(HE108=0,GJ108=0),0,IF(HE108=0,1,IF(OR(GJ108*1000/HE108/HF108&gt;INDEX(Pflanzen!$AD$5:$AD$109,CX108)/INDEX(Pflanzen!$M$5:$M$109,CX108)*$HG$2,GJ108*1000/HE108/HF108&lt;INDEX(Pflanzen!$AD$5:$AD$109,CX108)/INDEX(Pflanzen!$M$5:$M$109,CX108)/$HG$2),1,0)))</f>
        <v>0</v>
      </c>
      <c r="HH108" s="2282" cm="1">
        <f t="array" ref="HH108">IF(AND(GK108=0,HE108=0),0,IF(HE108=0,1,IF(OR(GK108*1000/HE108/HF108&gt;INDEX(Pflanzen!$AE$5:$AE$109,CX108)/INDEX(Pflanzen!$M$5:$M$109,CX108)*$HG$2,GK108*1000/HE108/HF108&lt;INDEX(Pflanzen!$AE$5:$AE$109,CX108)/INDEX(Pflanzen!$M$5:$M$109,CX108)/$HG$2),1,0)))</f>
        <v>0</v>
      </c>
      <c r="HI108" s="2062">
        <f t="shared" si="243"/>
        <v>3</v>
      </c>
      <c r="HJ108" s="2216"/>
      <c r="HL108" s="2042"/>
      <c r="HM108" s="2042"/>
      <c r="HN108" s="2042"/>
      <c r="HO108" s="2042"/>
      <c r="HP108" s="2042"/>
      <c r="HQ108" s="2042"/>
      <c r="HR108" s="2042"/>
      <c r="HS108" s="2042"/>
      <c r="HT108" s="2042"/>
      <c r="HU108" s="2042"/>
      <c r="HV108" s="2042"/>
      <c r="HW108" s="2042"/>
      <c r="HX108" s="2042"/>
      <c r="HY108" s="2042"/>
      <c r="HZ108" s="2042"/>
      <c r="IA108" s="2042"/>
      <c r="IB108" s="2042"/>
      <c r="IC108" s="2042"/>
      <c r="ID108" s="2042"/>
      <c r="IE108" s="2042"/>
      <c r="IF108" s="2042"/>
      <c r="IG108" s="2042"/>
      <c r="IH108" s="2042"/>
      <c r="II108" s="2042"/>
      <c r="IJ108" s="2042"/>
    </row>
    <row r="109" spans="1:244" ht="15.75" customHeight="1" x14ac:dyDescent="0.2">
      <c r="Y109" s="2005" t="str" cm="1">
        <f t="array" ref="Y109">IFERROR(INDEX($CW$4:$CW$171,AY109),"")</f>
        <v/>
      </c>
      <c r="Z109" s="510"/>
      <c r="AA109" s="510"/>
      <c r="AB109" s="510"/>
      <c r="AC109" s="2031" t="str" cm="1">
        <f t="array" ref="AC109">IFERROR(INDEX($GL$4:$GL$171,AY109),"")</f>
        <v/>
      </c>
      <c r="AD109" s="2031" t="str" cm="1">
        <f t="array" ref="AD109">IFERROR(INDEX($GM$4:$GM$171,AY109),"")</f>
        <v/>
      </c>
      <c r="AE109" s="2031" t="str" cm="1">
        <f t="array" ref="AE109">IFERROR(INDEX($GH$4:$GH$171,AY109),"")</f>
        <v/>
      </c>
      <c r="AF109" s="2031" t="str" cm="1">
        <f t="array" ref="AF109">IFERROR(INDEX($GI$4:$GI$171,AY109),"")</f>
        <v/>
      </c>
      <c r="AG109" s="2031" t="str" cm="1">
        <f t="array" ref="AG109">IFERROR(INDEX($GO$4:$GO$171,AY109),"")</f>
        <v/>
      </c>
      <c r="AH109" s="2031" t="str" cm="1">
        <f t="array" ref="AH109">IFERROR(INDEX($GP$4:$GP$171,AY109),"")</f>
        <v/>
      </c>
      <c r="AI109" s="2031" t="str" cm="1">
        <f t="array" ref="AI109">IFERROR(INDEX($GF$4:$GF$171,AY109),"")</f>
        <v/>
      </c>
      <c r="AJ109" s="2031" t="str" cm="1">
        <f t="array" ref="AJ109">IFERROR(INDEX($GG$4:$GG$171,AY109),"")</f>
        <v/>
      </c>
      <c r="AK109" s="2031" t="str" cm="1">
        <f t="array" ref="AK109">IFERROR(INDEX($GS$4:$GS$171,AY109),"")</f>
        <v/>
      </c>
      <c r="AL109" s="2032" t="str" cm="1">
        <f t="array" ref="AL109">IFERROR(INDEX($GT$4:$GT$171,AY109),"")</f>
        <v/>
      </c>
      <c r="AM109" s="2031" t="str" cm="1">
        <f t="array" ref="AM109">IFERROR(INDEX($GB$4:$GB$171,AY109),"")</f>
        <v/>
      </c>
      <c r="AN109" s="2031" t="str" cm="1">
        <f t="array" ref="AN109">IFERROR(INDEX($GC$4:$GC$171,AY109),"")</f>
        <v/>
      </c>
      <c r="AO109" s="2031" t="str" cm="1">
        <f t="array" ref="AO109">IFERROR(INDEX($GU$4:$GU$171,AY109),"")</f>
        <v/>
      </c>
      <c r="AP109" s="2031" t="str" cm="1">
        <f t="array" ref="AP109">IFERROR(INDEX($GX$4:$GX$171,AY109),"")</f>
        <v/>
      </c>
      <c r="AQ109" s="1316"/>
      <c r="AR109" s="2031" t="str" cm="1">
        <f t="array" ref="AR109">IFERROR(INDEX($HD$4:$HD$171,AY109),"")</f>
        <v/>
      </c>
      <c r="AS109" s="2031" t="str" cm="1">
        <f t="array" ref="AS109">IFERROR(INDEX($HE$4:$HE$171,AY109),"")</f>
        <v/>
      </c>
      <c r="AT109" s="2031" t="str" cm="1">
        <f t="array" ref="AT109">IFERROR(INDEX($HF$4:$HF$171,AY109),"")</f>
        <v/>
      </c>
      <c r="AU109" s="2031" t="str" cm="1">
        <f t="array" ref="AU109">IFERROR(INDEX($GJ$4:$GJ$171,AY109),"")</f>
        <v/>
      </c>
      <c r="AV109" s="2031" t="str" cm="1">
        <f t="array" ref="AV109">IFERROR(INDEX($GK$4:$GK$171,AY109),"")</f>
        <v/>
      </c>
      <c r="AY109" s="2042" t="str" cm="1">
        <f t="array" ref="AY109">IFERROR(SMALL(IF($HI$4:$HI$171=1,ROW($HI$4:$HI$171)-3),ROW(W94)),IFERROR(SMALL(IF($HI$4:$HI$171=2,ROW($HI$4:$HI$171)-3),ROW(W94)-COUNTIF($HI$4:$HI$171,1)),IFERROR(SMALL(IF($HI$4:$HI$171=0,ROW($HI$4:$HI$171)-3),ROW(W94)-COUNTIF($HI$4:$HI$171,1)-COUNTIF($HI$4:$HI$171,2)),"")))</f>
        <v/>
      </c>
      <c r="AZ109" s="2042" t="str">
        <f t="shared" si="215"/>
        <v>a</v>
      </c>
      <c r="BA109" s="2053" t="e">
        <f t="shared" si="226"/>
        <v>#VALUE!</v>
      </c>
      <c r="BB109" s="2053" cm="1">
        <f t="array" ref="BB109">IFERROR(INDEX($HI$4:$HI$171,AY109),0)</f>
        <v>0</v>
      </c>
      <c r="BC109" s="2053">
        <f t="shared" si="227"/>
        <v>0</v>
      </c>
      <c r="BD109" s="2053"/>
      <c r="BE109" s="2307"/>
      <c r="BF109" s="2307"/>
      <c r="BG109" s="2307"/>
      <c r="BH109" s="2307"/>
      <c r="BI109" s="2307"/>
      <c r="BJ109" s="2307"/>
      <c r="BK109" s="2307"/>
      <c r="BL109" s="2307"/>
      <c r="BM109" s="2307"/>
      <c r="BN109" s="2307"/>
      <c r="BO109" s="2307"/>
      <c r="BP109" s="2043"/>
      <c r="BQ109" s="2042"/>
      <c r="BR109" s="2042"/>
      <c r="BS109" s="2042"/>
      <c r="BT109" s="2042"/>
      <c r="BU109" s="2059"/>
      <c r="BV109" s="2070"/>
      <c r="BW109" s="2070">
        <f>BW103+BW103*BW105</f>
        <v>0</v>
      </c>
      <c r="BX109" s="2070">
        <f>BX103+BX103*BX105</f>
        <v>0</v>
      </c>
      <c r="BY109" s="2070"/>
      <c r="BZ109" s="2070"/>
      <c r="CA109" s="2070"/>
      <c r="CB109" s="2070"/>
      <c r="CC109" s="2070"/>
      <c r="CD109" s="2070"/>
      <c r="CE109" s="2070"/>
      <c r="CF109" s="2070"/>
      <c r="CG109" s="2070"/>
      <c r="CH109" s="2070"/>
      <c r="CI109" s="2070"/>
      <c r="CJ109" s="2070"/>
      <c r="CK109" s="2070"/>
      <c r="CL109" s="2042"/>
      <c r="CM109" s="2070"/>
      <c r="CN109" s="2070"/>
      <c r="CO109" s="2070"/>
      <c r="CP109" s="2070"/>
      <c r="CQ109" s="2042"/>
      <c r="CR109" s="2042"/>
      <c r="CS109" s="2042"/>
      <c r="CT109" s="2042"/>
      <c r="CU109" s="2042"/>
      <c r="CV109" s="2042"/>
      <c r="CW109" s="609" t="str">
        <f>Pflanzen!A105</f>
        <v>Sonstige Wirtschaftsdünger - Schwein</v>
      </c>
      <c r="CX109" s="2042">
        <f>IFERROR(MATCH($CW109,Pflanzen!$C$5:$C$119,0),1)</f>
        <v>113</v>
      </c>
      <c r="CY109" s="609" cm="1">
        <f t="array" ref="CY109">INDEX(Pflanzen!$I$5:$I$119,'Lagerhaltung (freiwillig)'!CX109)</f>
        <v>0</v>
      </c>
      <c r="CZ109" s="2042">
        <f t="shared" ref="CZ109:DK121" si="244">SUMIFS($CQ$14:$CQ$68,$BW$14:$BW$68,1,$BX$14:$BX$68,CZ$2,$BR$14:$BR$68,$CX109)+    SUMIFS($CQ$14:$CQ$68,$BW$14:$BW$68,"&gt;1",$BX$14:$BX$68,"&lt;="&amp;CZ$2,$BY$14:$BY$68,"&gt;="&amp;CZ$2,$BR$14:$BR$68,$CX109)</f>
        <v>0</v>
      </c>
      <c r="DA109" s="2042">
        <f t="shared" si="244"/>
        <v>0</v>
      </c>
      <c r="DB109" s="2042">
        <f t="shared" si="244"/>
        <v>0</v>
      </c>
      <c r="DC109" s="2042">
        <f t="shared" si="244"/>
        <v>0</v>
      </c>
      <c r="DD109" s="2042">
        <f t="shared" si="244"/>
        <v>0</v>
      </c>
      <c r="DE109" s="2042">
        <f t="shared" si="244"/>
        <v>0</v>
      </c>
      <c r="DF109" s="2042">
        <f t="shared" si="244"/>
        <v>0</v>
      </c>
      <c r="DG109" s="2042">
        <f t="shared" si="244"/>
        <v>0</v>
      </c>
      <c r="DH109" s="2042">
        <f t="shared" si="244"/>
        <v>0</v>
      </c>
      <c r="DI109" s="2042">
        <f t="shared" si="244"/>
        <v>0</v>
      </c>
      <c r="DJ109" s="2042">
        <f t="shared" si="244"/>
        <v>0</v>
      </c>
      <c r="DK109" s="2042">
        <f t="shared" si="244"/>
        <v>0</v>
      </c>
      <c r="DL109" s="2216"/>
      <c r="DM109" s="2042">
        <f t="shared" si="165"/>
        <v>0</v>
      </c>
      <c r="DN109" s="2042">
        <f t="shared" si="230"/>
        <v>0</v>
      </c>
      <c r="DO109" s="2042">
        <f t="shared" si="230"/>
        <v>0</v>
      </c>
      <c r="DP109" s="2042">
        <f t="shared" si="230"/>
        <v>0</v>
      </c>
      <c r="DQ109" s="2042">
        <f t="shared" si="230"/>
        <v>0</v>
      </c>
      <c r="DR109" s="2042">
        <f t="shared" si="230"/>
        <v>0</v>
      </c>
      <c r="DS109" s="2042">
        <f t="shared" si="230"/>
        <v>0</v>
      </c>
      <c r="DT109" s="2042">
        <f t="shared" si="230"/>
        <v>0</v>
      </c>
      <c r="DU109" s="2042">
        <f t="shared" si="230"/>
        <v>0</v>
      </c>
      <c r="DV109" s="2042">
        <f t="shared" si="230"/>
        <v>0</v>
      </c>
      <c r="DW109" s="2042">
        <f t="shared" si="230"/>
        <v>0</v>
      </c>
      <c r="DX109" s="2042">
        <f t="shared" si="230"/>
        <v>0</v>
      </c>
      <c r="DY109" s="2216"/>
      <c r="DZ109" s="2042">
        <f t="shared" ref="DZ109:EK121" si="245">SUMIFS($CL$14:$CL$68,$CC$14:$CC$68,1,$CD$14:$CD$68,DZ$2,$BR$14:$BR$68,$CX109)+         SUMIFS($CL$14:$CL$68,$CC$14:$CC$68,"&gt;1",$CD$14:$CD$68,"&lt;="&amp;DZ$2,$CE$14:$CE$68,"&gt;="&amp;DZ$2,$BR$14:$BR$68,$CX109)</f>
        <v>0</v>
      </c>
      <c r="EA109" s="2042">
        <f t="shared" si="245"/>
        <v>0</v>
      </c>
      <c r="EB109" s="2042">
        <f t="shared" si="245"/>
        <v>0</v>
      </c>
      <c r="EC109" s="2042">
        <f t="shared" si="245"/>
        <v>0</v>
      </c>
      <c r="ED109" s="2042">
        <f t="shared" si="245"/>
        <v>0</v>
      </c>
      <c r="EE109" s="2042">
        <f t="shared" si="245"/>
        <v>0</v>
      </c>
      <c r="EF109" s="2042">
        <f t="shared" si="245"/>
        <v>0</v>
      </c>
      <c r="EG109" s="2042">
        <f t="shared" si="245"/>
        <v>0</v>
      </c>
      <c r="EH109" s="2042">
        <f t="shared" si="245"/>
        <v>0</v>
      </c>
      <c r="EI109" s="2042">
        <f t="shared" si="245"/>
        <v>0</v>
      </c>
      <c r="EJ109" s="2042">
        <f t="shared" si="245"/>
        <v>0</v>
      </c>
      <c r="EK109" s="2042">
        <f t="shared" si="245"/>
        <v>0</v>
      </c>
      <c r="EL109" s="2216"/>
      <c r="EM109" s="2042">
        <f t="shared" si="167"/>
        <v>0</v>
      </c>
      <c r="EN109" s="2042">
        <f t="shared" si="231"/>
        <v>0</v>
      </c>
      <c r="EO109" s="2042">
        <f t="shared" si="231"/>
        <v>0</v>
      </c>
      <c r="EP109" s="2042">
        <f t="shared" si="231"/>
        <v>0</v>
      </c>
      <c r="EQ109" s="2042">
        <f t="shared" si="231"/>
        <v>0</v>
      </c>
      <c r="ER109" s="2042">
        <f t="shared" si="231"/>
        <v>0</v>
      </c>
      <c r="ES109" s="2042">
        <f t="shared" si="231"/>
        <v>0</v>
      </c>
      <c r="ET109" s="2042">
        <f t="shared" si="231"/>
        <v>0</v>
      </c>
      <c r="EU109" s="2042">
        <f t="shared" si="231"/>
        <v>0</v>
      </c>
      <c r="EV109" s="2042">
        <f t="shared" si="231"/>
        <v>0</v>
      </c>
      <c r="EW109" s="2042">
        <f t="shared" si="231"/>
        <v>0</v>
      </c>
      <c r="EX109" s="2042">
        <f t="shared" si="231"/>
        <v>0</v>
      </c>
      <c r="EY109" s="2216"/>
      <c r="EZ109" s="2045">
        <f t="shared" si="195"/>
        <v>0</v>
      </c>
      <c r="FA109" s="2042">
        <f>EZ109+CZ109+DZ109                 -         SUMIF('Berechnung Nährstoffe und Lager'!$AX$113:$AX$155,$CX109,'Berechnung Nährstoffe und Lager'!$U$113:$U$155)/12  -$GB109*$HC109/12</f>
        <v>0</v>
      </c>
      <c r="FB109" s="2042">
        <f>FA109+DA109+EA109                 -         SUMIF('Berechnung Nährstoffe und Lager'!$AX$113:$AX$155,$CX109,'Berechnung Nährstoffe und Lager'!$U$113:$U$155)/12  -$GB109*$HC109/12</f>
        <v>0</v>
      </c>
      <c r="FC109" s="2042">
        <f>FB109+DB109+EB109                 -         SUMIF('Berechnung Nährstoffe und Lager'!$AX$113:$AX$155,$CX109,'Berechnung Nährstoffe und Lager'!$U$113:$U$155)/12  -$GB109*$HC109/12</f>
        <v>0</v>
      </c>
      <c r="FD109" s="2042">
        <f>FC109+DC109+EC109                 -         SUMIF('Berechnung Nährstoffe und Lager'!$AX$113:$AX$155,$CX109,'Berechnung Nährstoffe und Lager'!$U$113:$U$155)/12  -$GB109*$HC109/12</f>
        <v>0</v>
      </c>
      <c r="FE109" s="2042">
        <f>FD109+DD109+ED109                 -         SUMIF('Berechnung Nährstoffe und Lager'!$AX$113:$AX$155,$CX109,'Berechnung Nährstoffe und Lager'!$U$113:$U$155)/12  -$GB109*$HC109/12</f>
        <v>0</v>
      </c>
      <c r="FF109" s="2042">
        <f>FE109+DE109+EE109                 -         SUMIF('Berechnung Nährstoffe und Lager'!$AX$113:$AX$155,$CX109,'Berechnung Nährstoffe und Lager'!$U$113:$U$155)/12  -$GB109*$HC109/12</f>
        <v>0</v>
      </c>
      <c r="FG109" s="2042">
        <f>FF109+DF109+EF109                 -         SUMIF('Berechnung Nährstoffe und Lager'!$AX$113:$AX$155,$CX109,'Berechnung Nährstoffe und Lager'!$U$113:$U$155)/12  -$GB109*$HC109/12</f>
        <v>0</v>
      </c>
      <c r="FH109" s="2042">
        <f>FG109+DG109+EG109                 -         SUMIF('Berechnung Nährstoffe und Lager'!$AX$113:$AX$155,$CX109,'Berechnung Nährstoffe und Lager'!$U$113:$U$155)/12  -$GB109*$HC109/12</f>
        <v>0</v>
      </c>
      <c r="FI109" s="2042">
        <f>FH109+DH109+EH109                 -         SUMIF('Berechnung Nährstoffe und Lager'!$AX$113:$AX$155,$CX109,'Berechnung Nährstoffe und Lager'!$U$113:$U$155)/12  -$GB109*$HC109/12</f>
        <v>0</v>
      </c>
      <c r="FJ109" s="2042">
        <f>FI109+DI109+EI109                 -         SUMIF('Berechnung Nährstoffe und Lager'!$AX$113:$AX$155,$CX109,'Berechnung Nährstoffe und Lager'!$U$113:$U$155)/12  -$GB109*$HC109/12</f>
        <v>0</v>
      </c>
      <c r="FK109" s="2042">
        <f>FJ109+DJ109+EJ109                 -         SUMIF('Berechnung Nährstoffe und Lager'!$AX$113:$AX$155,$CX109,'Berechnung Nährstoffe und Lager'!$U$113:$U$155)/12  -$GB109*$HC109/12</f>
        <v>0</v>
      </c>
      <c r="FL109" s="2042">
        <f>FK109+DK109+EK109                 -         SUMIF('Berechnung Nährstoffe und Lager'!$AX$113:$AX$155,$CX109,'Berechnung Nährstoffe und Lager'!$U$113:$U$155)/12  -$GB109*$HC109/12</f>
        <v>0</v>
      </c>
      <c r="FM109" s="2216"/>
      <c r="FN109" s="2045">
        <f t="shared" si="196"/>
        <v>0</v>
      </c>
      <c r="FO109" s="2042">
        <f>FN109+DM109+EM109                 -         SUMIF('Berechnung Nährstoffe und Lager'!$AX$113:$AX$155,$CX109,'Berechnung Nährstoffe und Lager'!$V$113:$V$155)/12  -$GC109*$HC109/12</f>
        <v>0</v>
      </c>
      <c r="FP109" s="2042">
        <f>FO109+DN109+EN109                 -         SUMIF('Berechnung Nährstoffe und Lager'!$AX$113:$AX$155,$CX109,'Berechnung Nährstoffe und Lager'!$V$113:$V$155)/12  -$GC109*$HC109/12</f>
        <v>0</v>
      </c>
      <c r="FQ109" s="2042">
        <f>FP109+DO109+EO109                 -         SUMIF('Berechnung Nährstoffe und Lager'!$AX$113:$AX$155,$CX109,'Berechnung Nährstoffe und Lager'!$V$113:$V$155)/12  -$GC109*$HC109/12</f>
        <v>0</v>
      </c>
      <c r="FR109" s="2042">
        <f>FQ109+DP109+EP109                 -         SUMIF('Berechnung Nährstoffe und Lager'!$AX$113:$AX$155,$CX109,'Berechnung Nährstoffe und Lager'!$V$113:$V$155)/12  -$GC109*$HC109/12</f>
        <v>0</v>
      </c>
      <c r="FS109" s="2042">
        <f>FR109+DQ109+EQ109                 -         SUMIF('Berechnung Nährstoffe und Lager'!$AX$113:$AX$155,$CX109,'Berechnung Nährstoffe und Lager'!$V$113:$V$155)/12  -$GC109*$HC109/12</f>
        <v>0</v>
      </c>
      <c r="FT109" s="2042">
        <f>FS109+DR109+ER109                 -         SUMIF('Berechnung Nährstoffe und Lager'!$AX$113:$AX$155,$CX109,'Berechnung Nährstoffe und Lager'!$V$113:$V$155)/12  -$GC109*$HC109/12</f>
        <v>0</v>
      </c>
      <c r="FU109" s="2042">
        <f>FT109+DS109+ES109                 -         SUMIF('Berechnung Nährstoffe und Lager'!$AX$113:$AX$155,$CX109,'Berechnung Nährstoffe und Lager'!$V$113:$V$155)/12  -$GC109*$HC109/12</f>
        <v>0</v>
      </c>
      <c r="FV109" s="2042">
        <f>FU109+DT109+ET109                 -         SUMIF('Berechnung Nährstoffe und Lager'!$AX$113:$AX$155,$CX109,'Berechnung Nährstoffe und Lager'!$V$113:$V$155)/12  -$GC109*$HC109/12</f>
        <v>0</v>
      </c>
      <c r="FW109" s="2042">
        <f>FV109+DU109+EU109                 -         SUMIF('Berechnung Nährstoffe und Lager'!$AX$113:$AX$155,$CX109,'Berechnung Nährstoffe und Lager'!$V$113:$V$155)/12  -$GC109*$HC109/12</f>
        <v>0</v>
      </c>
      <c r="FX109" s="2042">
        <f>FW109+DV109+EV109                 -         SUMIF('Berechnung Nährstoffe und Lager'!$AX$113:$AX$155,$CX109,'Berechnung Nährstoffe und Lager'!$V$113:$V$155)/12  -$GC109*$HC109/12</f>
        <v>0</v>
      </c>
      <c r="FY109" s="2042">
        <f>FX109+DW109+EW109                 -         SUMIF('Berechnung Nährstoffe und Lager'!$AX$113:$AX$155,$CX109,'Berechnung Nährstoffe und Lager'!$V$113:$V$155)/12  -$GC109*$HC109/12</f>
        <v>0</v>
      </c>
      <c r="FZ109" s="2042">
        <f>FY109+DX109+EX109                 -         SUMIF('Berechnung Nährstoffe und Lager'!$AX$113:$AX$155,$CX109,'Berechnung Nährstoffe und Lager'!$V$113:$V$155)/12  -$GC109*$HC109/12</f>
        <v>0</v>
      </c>
      <c r="GA109" s="2216"/>
      <c r="GB109" s="2042">
        <f>SUMIFS($CI$14:$CI$68,$BR$14:$BR$68,$CX109)+SUMIFS($CM$14:$CM$68,$BR$14:$BR$68,$CX109)+SUMIFS($CR$14:$CR$68,$BR$14:$BR$68,$CX109)  -         SUMIF('Berechnung Nährstoffe und Lager'!$AX$113:$AX$155,$CX109,'Berechnung Nährstoffe und Lager'!$U$113:$U$155)</f>
        <v>0</v>
      </c>
      <c r="GC109" s="2042">
        <f>SUMIFS($CJ$14:$CJ$68,$BR$14:$BR$68,$CX109)+SUMIFS($CO$14:$CO$68,$BR$14:$BR$68,$CX109)+SUMIFS($CT$14:$CT$68,$BR$14:$BR$68,$CX109)  -         SUMIF('Berechnung Nährstoffe und Lager'!$AX$113:$AX$155,$CX109,'Berechnung Nährstoffe und Lager'!$V$113:$V$155)</f>
        <v>0</v>
      </c>
      <c r="GD109" s="2216"/>
      <c r="GE109" s="2216"/>
      <c r="GF109" s="2042">
        <f>SUMIF('Berechnung Nährstoffe und Lager'!$AX$113:$AX$155,$CX109,'Berechnung Nährstoffe und Lager'!$U$113:$U$155)</f>
        <v>0</v>
      </c>
      <c r="GG109" s="2042">
        <f>SUMIF('Berechnung Nährstoffe und Lager'!$AX$113:$AX$155,$CX109,'Berechnung Nährstoffe und Lager'!$V$113:$V$155)</f>
        <v>0</v>
      </c>
      <c r="GH109" s="2042">
        <f t="shared" si="197"/>
        <v>0</v>
      </c>
      <c r="GI109" s="2042">
        <f t="shared" si="198"/>
        <v>0</v>
      </c>
      <c r="GJ109" s="2042">
        <f t="shared" si="232"/>
        <v>0</v>
      </c>
      <c r="GK109" s="2042">
        <f t="shared" si="233"/>
        <v>0</v>
      </c>
      <c r="GL109" s="2042">
        <f t="shared" si="234"/>
        <v>0</v>
      </c>
      <c r="GM109" s="2042" cm="1">
        <f t="array" ref="GM109">IF(GL109=0,0,(IFERROR(SUMPRODUCT($J$14:$J$68,$CH$14:$CH$68,($BR$14:$BR$68=CX109)*1)+SUMPRODUCT($L$14:$L$68,$M$14:$M$68,$CK$14:$CK$68,($BR$14:$BR$68=CX109)*1,($BT$14:$BT$68=FALSE)*1)/10+SUMPRODUCT($R$14:$R$68,$CP$14:$CP$68,($BR$14:$BR$68=CX109)*1),0))/GL109)</f>
        <v>0</v>
      </c>
      <c r="GN109" s="2042">
        <f t="shared" si="199"/>
        <v>0</v>
      </c>
      <c r="GO109" s="2042">
        <f>(SUMIF('Berechnung Nährstoffe und Lager'!$AX$113:$AX$130,'Lagerhaltung (freiwillig)'!CX109,'Berechnung Nährstoffe und Lager'!$D$113:$D$130)+SUMIF('Berechnung Nährstoffe und Lager'!$AX$137:$AX$155,'Lagerhaltung (freiwillig)'!CX109,'Berechnung Nährstoffe und Lager'!$E$137:$E$155))</f>
        <v>0</v>
      </c>
      <c r="GP109" s="2042" cm="1">
        <f t="array" ref="GP109">IF(GO109=0,0,(IFERROR(SUMPRODUCT('Berechnung Nährstoffe und Lager'!$D$113:$D$130,'Berechnung Nährstoffe und Lager'!$F$113:$F$130,('Berechnung Nährstoffe und Lager'!$AX$113:$AX$130='Lagerhaltung (freiwillig)'!CX109)*1)+SUMPRODUCT('Berechnung Nährstoffe und Lager'!$E$137:$E$155,'Berechnung Nährstoffe und Lager'!$F$137:$F$155,('Berechnung Nährstoffe und Lager'!$AX$137:$AX$155='Lagerhaltung (freiwillig)'!CX109)*1),0))/GO109)</f>
        <v>0</v>
      </c>
      <c r="GQ109" s="2042">
        <f t="shared" si="200"/>
        <v>0</v>
      </c>
      <c r="GR109" s="2042">
        <f t="shared" si="201"/>
        <v>0</v>
      </c>
      <c r="GS109" s="2042">
        <f t="shared" si="202"/>
        <v>0</v>
      </c>
      <c r="GT109" s="2042">
        <f t="shared" si="203"/>
        <v>0</v>
      </c>
      <c r="GU109" s="2253" t="str">
        <f t="shared" si="175"/>
        <v xml:space="preserve"> </v>
      </c>
      <c r="GV109" s="2253" t="str">
        <f t="shared" si="175"/>
        <v xml:space="preserve"> </v>
      </c>
      <c r="GW109" s="2054">
        <f t="shared" si="235"/>
        <v>0</v>
      </c>
      <c r="GX109" s="2042">
        <f t="shared" si="236"/>
        <v>0</v>
      </c>
      <c r="GY109" s="2042" t="str">
        <f t="shared" si="229"/>
        <v>a</v>
      </c>
      <c r="GZ109" s="2067">
        <f t="shared" si="237"/>
        <v>0</v>
      </c>
      <c r="HA109" s="2067">
        <f t="shared" si="238"/>
        <v>0</v>
      </c>
      <c r="HB109" s="2254"/>
      <c r="HC109" s="2046">
        <f t="shared" si="239"/>
        <v>0</v>
      </c>
      <c r="HD109" s="2055">
        <f t="shared" si="240"/>
        <v>0</v>
      </c>
      <c r="HE109" s="2067">
        <f t="shared" si="241"/>
        <v>0</v>
      </c>
      <c r="HF109" s="2055">
        <f t="shared" si="242"/>
        <v>0</v>
      </c>
      <c r="HG109" s="2282" cm="1">
        <f t="array" ref="HG109">IF(AND(HE109=0,GJ109=0),0,IF(HE109=0,1,IF(OR(GJ109*1000/HE109/HF109&gt;INDEX(Pflanzen!$AD$5:$AD$109,CX109)/INDEX(Pflanzen!$M$5:$M$109,CX109)*$HG$2,GJ109*1000/HE109/HF109&lt;INDEX(Pflanzen!$AD$5:$AD$109,CX109)/INDEX(Pflanzen!$M$5:$M$109,CX109)/$HG$2),1,0)))</f>
        <v>0</v>
      </c>
      <c r="HH109" s="2282" cm="1">
        <f t="array" ref="HH109">IF(AND(GK109=0,HE109=0),0,IF(HE109=0,1,IF(OR(GK109*1000/HE109/HF109&gt;INDEX(Pflanzen!$AE$5:$AE$109,CX109)/INDEX(Pflanzen!$M$5:$M$109,CX109)*$HG$2,GK109*1000/HE109/HF109&lt;INDEX(Pflanzen!$AE$5:$AE$109,CX109)/INDEX(Pflanzen!$M$5:$M$109,CX109)/$HG$2),1,0)))</f>
        <v>0</v>
      </c>
      <c r="HI109" s="2062">
        <f t="shared" si="243"/>
        <v>3</v>
      </c>
      <c r="HJ109" s="2216"/>
      <c r="HL109" s="2042"/>
      <c r="HM109" s="2042"/>
      <c r="HN109" s="2042"/>
      <c r="HO109" s="2042"/>
      <c r="HP109" s="2042"/>
      <c r="HQ109" s="2042"/>
      <c r="HR109" s="2042"/>
      <c r="HS109" s="2042"/>
      <c r="HT109" s="2042"/>
      <c r="HU109" s="2042"/>
      <c r="HV109" s="2042"/>
      <c r="HW109" s="2042"/>
      <c r="HX109" s="2042"/>
      <c r="HY109" s="2042"/>
      <c r="HZ109" s="2042"/>
      <c r="IA109" s="2042"/>
      <c r="IB109" s="2042"/>
      <c r="IC109" s="2042"/>
      <c r="ID109" s="2042"/>
      <c r="IE109" s="2042"/>
      <c r="IF109" s="2042"/>
      <c r="IG109" s="2042"/>
      <c r="IH109" s="2042"/>
      <c r="II109" s="2042"/>
      <c r="IJ109" s="2042"/>
    </row>
    <row r="110" spans="1:244" ht="15.75" customHeight="1" x14ac:dyDescent="0.2">
      <c r="Y110" s="2005" t="str" cm="1">
        <f t="array" ref="Y110">IFERROR(INDEX($CW$4:$CW$171,AY110),"")</f>
        <v/>
      </c>
      <c r="Z110" s="510"/>
      <c r="AA110" s="510"/>
      <c r="AB110" s="510"/>
      <c r="AC110" s="2031" t="str" cm="1">
        <f t="array" ref="AC110">IFERROR(INDEX($GL$4:$GL$171,AY110),"")</f>
        <v/>
      </c>
      <c r="AD110" s="2031" t="str" cm="1">
        <f t="array" ref="AD110">IFERROR(INDEX($GM$4:$GM$171,AY110),"")</f>
        <v/>
      </c>
      <c r="AE110" s="2031" t="str" cm="1">
        <f t="array" ref="AE110">IFERROR(INDEX($GH$4:$GH$171,AY110),"")</f>
        <v/>
      </c>
      <c r="AF110" s="2031" t="str" cm="1">
        <f t="array" ref="AF110">IFERROR(INDEX($GI$4:$GI$171,AY110),"")</f>
        <v/>
      </c>
      <c r="AG110" s="2031" t="str" cm="1">
        <f t="array" ref="AG110">IFERROR(INDEX($GO$4:$GO$171,AY110),"")</f>
        <v/>
      </c>
      <c r="AH110" s="2031" t="str" cm="1">
        <f t="array" ref="AH110">IFERROR(INDEX($GP$4:$GP$171,AY110),"")</f>
        <v/>
      </c>
      <c r="AI110" s="2031" t="str" cm="1">
        <f t="array" ref="AI110">IFERROR(INDEX($GF$4:$GF$171,AY110),"")</f>
        <v/>
      </c>
      <c r="AJ110" s="2031" t="str" cm="1">
        <f t="array" ref="AJ110">IFERROR(INDEX($GG$4:$GG$171,AY110),"")</f>
        <v/>
      </c>
      <c r="AK110" s="2031" t="str" cm="1">
        <f t="array" ref="AK110">IFERROR(INDEX($GS$4:$GS$171,AY110),"")</f>
        <v/>
      </c>
      <c r="AL110" s="2032" t="str" cm="1">
        <f t="array" ref="AL110">IFERROR(INDEX($GT$4:$GT$171,AY110),"")</f>
        <v/>
      </c>
      <c r="AM110" s="2031" t="str" cm="1">
        <f t="array" ref="AM110">IFERROR(INDEX($GB$4:$GB$171,AY110),"")</f>
        <v/>
      </c>
      <c r="AN110" s="2031" t="str" cm="1">
        <f t="array" ref="AN110">IFERROR(INDEX($GC$4:$GC$171,AY110),"")</f>
        <v/>
      </c>
      <c r="AO110" s="2031" t="str" cm="1">
        <f t="array" ref="AO110">IFERROR(INDEX($GU$4:$GU$171,AY110),"")</f>
        <v/>
      </c>
      <c r="AP110" s="2031" t="str" cm="1">
        <f t="array" ref="AP110">IFERROR(INDEX($GX$4:$GX$171,AY110),"")</f>
        <v/>
      </c>
      <c r="AQ110" s="1316"/>
      <c r="AR110" s="2031" t="str" cm="1">
        <f t="array" ref="AR110">IFERROR(INDEX($HD$4:$HD$171,AY110),"")</f>
        <v/>
      </c>
      <c r="AS110" s="2031" t="str" cm="1">
        <f t="array" ref="AS110">IFERROR(INDEX($HE$4:$HE$171,AY110),"")</f>
        <v/>
      </c>
      <c r="AT110" s="2031" t="str" cm="1">
        <f t="array" ref="AT110">IFERROR(INDEX($HF$4:$HF$171,AY110),"")</f>
        <v/>
      </c>
      <c r="AU110" s="2031" t="str" cm="1">
        <f t="array" ref="AU110">IFERROR(INDEX($GJ$4:$GJ$171,AY110),"")</f>
        <v/>
      </c>
      <c r="AV110" s="2031" t="str" cm="1">
        <f t="array" ref="AV110">IFERROR(INDEX($GK$4:$GK$171,AY110),"")</f>
        <v/>
      </c>
      <c r="AY110" s="2042" t="str" cm="1">
        <f t="array" ref="AY110">IFERROR(SMALL(IF($HI$4:$HI$171=1,ROW($HI$4:$HI$171)-3),ROW(W95)),IFERROR(SMALL(IF($HI$4:$HI$171=2,ROW($HI$4:$HI$171)-3),ROW(W95)-COUNTIF($HI$4:$HI$171,1)),IFERROR(SMALL(IF($HI$4:$HI$171=0,ROW($HI$4:$HI$171)-3),ROW(W95)-COUNTIF($HI$4:$HI$171,1)-COUNTIF($HI$4:$HI$171,2)),"")))</f>
        <v/>
      </c>
      <c r="AZ110" s="2042" t="str">
        <f t="shared" si="215"/>
        <v>a</v>
      </c>
      <c r="BA110" s="2053" t="e">
        <f t="shared" si="226"/>
        <v>#VALUE!</v>
      </c>
      <c r="BB110" s="2053" cm="1">
        <f t="array" ref="BB110">IFERROR(INDEX($HI$4:$HI$171,AY110),0)</f>
        <v>0</v>
      </c>
      <c r="BC110" s="2053">
        <f t="shared" si="227"/>
        <v>0</v>
      </c>
      <c r="BD110" s="2053"/>
      <c r="BE110" s="2307"/>
      <c r="BF110" s="2307"/>
      <c r="BG110" s="2307"/>
      <c r="BH110" s="2307"/>
      <c r="BI110" s="2307"/>
      <c r="BJ110" s="2307"/>
      <c r="BK110" s="2307"/>
      <c r="BL110" s="2307"/>
      <c r="BM110" s="2307"/>
      <c r="BN110" s="2307"/>
      <c r="BO110" s="2307"/>
      <c r="BP110" s="2043"/>
      <c r="BQ110" s="2042"/>
      <c r="BR110" s="2042"/>
      <c r="BS110" s="2042"/>
      <c r="BT110" s="2042"/>
      <c r="BU110" s="2059"/>
      <c r="BV110" s="2277"/>
      <c r="BW110" s="2277"/>
      <c r="BX110" s="2277"/>
      <c r="BY110" s="2277"/>
      <c r="BZ110" s="2277"/>
      <c r="CA110" s="2277"/>
      <c r="CB110" s="2277"/>
      <c r="CC110" s="2277"/>
      <c r="CD110" s="2277"/>
      <c r="CE110" s="2277"/>
      <c r="CF110" s="2277"/>
      <c r="CG110" s="2277"/>
      <c r="CH110" s="2277"/>
      <c r="CI110" s="2277"/>
      <c r="CJ110" s="2277"/>
      <c r="CK110" s="2277"/>
      <c r="CL110" s="2042"/>
      <c r="CM110" s="2042"/>
      <c r="CN110" s="2042"/>
      <c r="CO110" s="2042"/>
      <c r="CP110" s="2042"/>
      <c r="CQ110" s="2042"/>
      <c r="CR110" s="2042"/>
      <c r="CS110" s="2042"/>
      <c r="CT110" s="2042"/>
      <c r="CU110" s="2042"/>
      <c r="CV110" s="2042"/>
      <c r="CW110" s="609" t="str">
        <f>Pflanzen!A106</f>
        <v xml:space="preserve"> +++Geflügel, nur Zukauf+++</v>
      </c>
      <c r="CX110" s="2042">
        <f>IFERROR(MATCH($CW110,Pflanzen!$C$5:$C$119,0),1)</f>
        <v>96</v>
      </c>
      <c r="CY110" s="609" cm="1">
        <f t="array" ref="CY110">INDEX(Pflanzen!$I$5:$I$119,'Lagerhaltung (freiwillig)'!CX110)</f>
        <v>0</v>
      </c>
      <c r="CZ110" s="2042">
        <f t="shared" si="244"/>
        <v>0</v>
      </c>
      <c r="DA110" s="2042">
        <f t="shared" si="244"/>
        <v>0</v>
      </c>
      <c r="DB110" s="2042">
        <f t="shared" si="244"/>
        <v>0</v>
      </c>
      <c r="DC110" s="2042">
        <f t="shared" si="244"/>
        <v>0</v>
      </c>
      <c r="DD110" s="2042">
        <f t="shared" si="244"/>
        <v>0</v>
      </c>
      <c r="DE110" s="2042">
        <f t="shared" si="244"/>
        <v>0</v>
      </c>
      <c r="DF110" s="2042">
        <f t="shared" si="244"/>
        <v>0</v>
      </c>
      <c r="DG110" s="2042">
        <f t="shared" si="244"/>
        <v>0</v>
      </c>
      <c r="DH110" s="2042">
        <f t="shared" si="244"/>
        <v>0</v>
      </c>
      <c r="DI110" s="2042">
        <f t="shared" si="244"/>
        <v>0</v>
      </c>
      <c r="DJ110" s="2042">
        <f t="shared" si="244"/>
        <v>0</v>
      </c>
      <c r="DK110" s="2042">
        <f t="shared" si="244"/>
        <v>0</v>
      </c>
      <c r="DL110" s="2216"/>
      <c r="DM110" s="2042">
        <f t="shared" si="165"/>
        <v>0</v>
      </c>
      <c r="DN110" s="2042">
        <f t="shared" si="230"/>
        <v>0</v>
      </c>
      <c r="DO110" s="2042">
        <f t="shared" si="230"/>
        <v>0</v>
      </c>
      <c r="DP110" s="2042">
        <f t="shared" si="230"/>
        <v>0</v>
      </c>
      <c r="DQ110" s="2042">
        <f t="shared" si="230"/>
        <v>0</v>
      </c>
      <c r="DR110" s="2042">
        <f t="shared" si="230"/>
        <v>0</v>
      </c>
      <c r="DS110" s="2042">
        <f t="shared" si="230"/>
        <v>0</v>
      </c>
      <c r="DT110" s="2042">
        <f t="shared" si="230"/>
        <v>0</v>
      </c>
      <c r="DU110" s="2042">
        <f t="shared" si="230"/>
        <v>0</v>
      </c>
      <c r="DV110" s="2042">
        <f t="shared" si="230"/>
        <v>0</v>
      </c>
      <c r="DW110" s="2042">
        <f t="shared" si="230"/>
        <v>0</v>
      </c>
      <c r="DX110" s="2042">
        <f t="shared" si="230"/>
        <v>0</v>
      </c>
      <c r="DY110" s="2216"/>
      <c r="DZ110" s="2042">
        <f t="shared" si="245"/>
        <v>0</v>
      </c>
      <c r="EA110" s="2042">
        <f t="shared" si="245"/>
        <v>0</v>
      </c>
      <c r="EB110" s="2042">
        <f t="shared" si="245"/>
        <v>0</v>
      </c>
      <c r="EC110" s="2042">
        <f t="shared" si="245"/>
        <v>0</v>
      </c>
      <c r="ED110" s="2042">
        <f t="shared" si="245"/>
        <v>0</v>
      </c>
      <c r="EE110" s="2042">
        <f t="shared" si="245"/>
        <v>0</v>
      </c>
      <c r="EF110" s="2042">
        <f t="shared" si="245"/>
        <v>0</v>
      </c>
      <c r="EG110" s="2042">
        <f t="shared" si="245"/>
        <v>0</v>
      </c>
      <c r="EH110" s="2042">
        <f t="shared" si="245"/>
        <v>0</v>
      </c>
      <c r="EI110" s="2042">
        <f t="shared" si="245"/>
        <v>0</v>
      </c>
      <c r="EJ110" s="2042">
        <f t="shared" si="245"/>
        <v>0</v>
      </c>
      <c r="EK110" s="2042">
        <f t="shared" si="245"/>
        <v>0</v>
      </c>
      <c r="EL110" s="2216"/>
      <c r="EM110" s="2042">
        <f t="shared" si="167"/>
        <v>0</v>
      </c>
      <c r="EN110" s="2042">
        <f t="shared" si="231"/>
        <v>0</v>
      </c>
      <c r="EO110" s="2042">
        <f t="shared" si="231"/>
        <v>0</v>
      </c>
      <c r="EP110" s="2042">
        <f t="shared" si="231"/>
        <v>0</v>
      </c>
      <c r="EQ110" s="2042">
        <f t="shared" si="231"/>
        <v>0</v>
      </c>
      <c r="ER110" s="2042">
        <f t="shared" si="231"/>
        <v>0</v>
      </c>
      <c r="ES110" s="2042">
        <f t="shared" si="231"/>
        <v>0</v>
      </c>
      <c r="ET110" s="2042">
        <f t="shared" si="231"/>
        <v>0</v>
      </c>
      <c r="EU110" s="2042">
        <f t="shared" si="231"/>
        <v>0</v>
      </c>
      <c r="EV110" s="2042">
        <f t="shared" si="231"/>
        <v>0</v>
      </c>
      <c r="EW110" s="2042">
        <f t="shared" si="231"/>
        <v>0</v>
      </c>
      <c r="EX110" s="2042">
        <f t="shared" si="231"/>
        <v>0</v>
      </c>
      <c r="EY110" s="2216"/>
      <c r="EZ110" s="2045">
        <f t="shared" si="195"/>
        <v>0</v>
      </c>
      <c r="FA110" s="2042">
        <f>EZ110+CZ110+DZ110                 -         SUMIF('Berechnung Nährstoffe und Lager'!$AX$113:$AX$155,$CX110,'Berechnung Nährstoffe und Lager'!$U$113:$U$155)/12  -$GB110*$HC110/12</f>
        <v>0</v>
      </c>
      <c r="FB110" s="2042">
        <f>FA110+DA110+EA110                 -         SUMIF('Berechnung Nährstoffe und Lager'!$AX$113:$AX$155,$CX110,'Berechnung Nährstoffe und Lager'!$U$113:$U$155)/12  -$GB110*$HC110/12</f>
        <v>0</v>
      </c>
      <c r="FC110" s="2042">
        <f>FB110+DB110+EB110                 -         SUMIF('Berechnung Nährstoffe und Lager'!$AX$113:$AX$155,$CX110,'Berechnung Nährstoffe und Lager'!$U$113:$U$155)/12  -$GB110*$HC110/12</f>
        <v>0</v>
      </c>
      <c r="FD110" s="2042">
        <f>FC110+DC110+EC110                 -         SUMIF('Berechnung Nährstoffe und Lager'!$AX$113:$AX$155,$CX110,'Berechnung Nährstoffe und Lager'!$U$113:$U$155)/12  -$GB110*$HC110/12</f>
        <v>0</v>
      </c>
      <c r="FE110" s="2042">
        <f>FD110+DD110+ED110                 -         SUMIF('Berechnung Nährstoffe und Lager'!$AX$113:$AX$155,$CX110,'Berechnung Nährstoffe und Lager'!$U$113:$U$155)/12  -$GB110*$HC110/12</f>
        <v>0</v>
      </c>
      <c r="FF110" s="2042">
        <f>FE110+DE110+EE110                 -         SUMIF('Berechnung Nährstoffe und Lager'!$AX$113:$AX$155,$CX110,'Berechnung Nährstoffe und Lager'!$U$113:$U$155)/12  -$GB110*$HC110/12</f>
        <v>0</v>
      </c>
      <c r="FG110" s="2042">
        <f>FF110+DF110+EF110                 -         SUMIF('Berechnung Nährstoffe und Lager'!$AX$113:$AX$155,$CX110,'Berechnung Nährstoffe und Lager'!$U$113:$U$155)/12  -$GB110*$HC110/12</f>
        <v>0</v>
      </c>
      <c r="FH110" s="2042">
        <f>FG110+DG110+EG110                 -         SUMIF('Berechnung Nährstoffe und Lager'!$AX$113:$AX$155,$CX110,'Berechnung Nährstoffe und Lager'!$U$113:$U$155)/12  -$GB110*$HC110/12</f>
        <v>0</v>
      </c>
      <c r="FI110" s="2042">
        <f>FH110+DH110+EH110                 -         SUMIF('Berechnung Nährstoffe und Lager'!$AX$113:$AX$155,$CX110,'Berechnung Nährstoffe und Lager'!$U$113:$U$155)/12  -$GB110*$HC110/12</f>
        <v>0</v>
      </c>
      <c r="FJ110" s="2042">
        <f>FI110+DI110+EI110                 -         SUMIF('Berechnung Nährstoffe und Lager'!$AX$113:$AX$155,$CX110,'Berechnung Nährstoffe und Lager'!$U$113:$U$155)/12  -$GB110*$HC110/12</f>
        <v>0</v>
      </c>
      <c r="FK110" s="2042">
        <f>FJ110+DJ110+EJ110                 -         SUMIF('Berechnung Nährstoffe und Lager'!$AX$113:$AX$155,$CX110,'Berechnung Nährstoffe und Lager'!$U$113:$U$155)/12  -$GB110*$HC110/12</f>
        <v>0</v>
      </c>
      <c r="FL110" s="2042">
        <f>FK110+DK110+EK110                 -         SUMIF('Berechnung Nährstoffe und Lager'!$AX$113:$AX$155,$CX110,'Berechnung Nährstoffe und Lager'!$U$113:$U$155)/12  -$GB110*$HC110/12</f>
        <v>0</v>
      </c>
      <c r="FM110" s="2216"/>
      <c r="FN110" s="2045">
        <f t="shared" si="196"/>
        <v>0</v>
      </c>
      <c r="FO110" s="2042">
        <f>FN110+DM110+EM110                 -         SUMIF('Berechnung Nährstoffe und Lager'!$AX$113:$AX$155,$CX110,'Berechnung Nährstoffe und Lager'!$V$113:$V$155)/12  -$GC110*$HC110/12</f>
        <v>0</v>
      </c>
      <c r="FP110" s="2042">
        <f>FO110+DN110+EN110                 -         SUMIF('Berechnung Nährstoffe und Lager'!$AX$113:$AX$155,$CX110,'Berechnung Nährstoffe und Lager'!$V$113:$V$155)/12  -$GC110*$HC110/12</f>
        <v>0</v>
      </c>
      <c r="FQ110" s="2042">
        <f>FP110+DO110+EO110                 -         SUMIF('Berechnung Nährstoffe und Lager'!$AX$113:$AX$155,$CX110,'Berechnung Nährstoffe und Lager'!$V$113:$V$155)/12  -$GC110*$HC110/12</f>
        <v>0</v>
      </c>
      <c r="FR110" s="2042">
        <f>FQ110+DP110+EP110                 -         SUMIF('Berechnung Nährstoffe und Lager'!$AX$113:$AX$155,$CX110,'Berechnung Nährstoffe und Lager'!$V$113:$V$155)/12  -$GC110*$HC110/12</f>
        <v>0</v>
      </c>
      <c r="FS110" s="2042">
        <f>FR110+DQ110+EQ110                 -         SUMIF('Berechnung Nährstoffe und Lager'!$AX$113:$AX$155,$CX110,'Berechnung Nährstoffe und Lager'!$V$113:$V$155)/12  -$GC110*$HC110/12</f>
        <v>0</v>
      </c>
      <c r="FT110" s="2042">
        <f>FS110+DR110+ER110                 -         SUMIF('Berechnung Nährstoffe und Lager'!$AX$113:$AX$155,$CX110,'Berechnung Nährstoffe und Lager'!$V$113:$V$155)/12  -$GC110*$HC110/12</f>
        <v>0</v>
      </c>
      <c r="FU110" s="2042">
        <f>FT110+DS110+ES110                 -         SUMIF('Berechnung Nährstoffe und Lager'!$AX$113:$AX$155,$CX110,'Berechnung Nährstoffe und Lager'!$V$113:$V$155)/12  -$GC110*$HC110/12</f>
        <v>0</v>
      </c>
      <c r="FV110" s="2042">
        <f>FU110+DT110+ET110                 -         SUMIF('Berechnung Nährstoffe und Lager'!$AX$113:$AX$155,$CX110,'Berechnung Nährstoffe und Lager'!$V$113:$V$155)/12  -$GC110*$HC110/12</f>
        <v>0</v>
      </c>
      <c r="FW110" s="2042">
        <f>FV110+DU110+EU110                 -         SUMIF('Berechnung Nährstoffe und Lager'!$AX$113:$AX$155,$CX110,'Berechnung Nährstoffe und Lager'!$V$113:$V$155)/12  -$GC110*$HC110/12</f>
        <v>0</v>
      </c>
      <c r="FX110" s="2042">
        <f>FW110+DV110+EV110                 -         SUMIF('Berechnung Nährstoffe und Lager'!$AX$113:$AX$155,$CX110,'Berechnung Nährstoffe und Lager'!$V$113:$V$155)/12  -$GC110*$HC110/12</f>
        <v>0</v>
      </c>
      <c r="FY110" s="2042">
        <f>FX110+DW110+EW110                 -         SUMIF('Berechnung Nährstoffe und Lager'!$AX$113:$AX$155,$CX110,'Berechnung Nährstoffe und Lager'!$V$113:$V$155)/12  -$GC110*$HC110/12</f>
        <v>0</v>
      </c>
      <c r="FZ110" s="2042">
        <f>FY110+DX110+EX110                 -         SUMIF('Berechnung Nährstoffe und Lager'!$AX$113:$AX$155,$CX110,'Berechnung Nährstoffe und Lager'!$V$113:$V$155)/12  -$GC110*$HC110/12</f>
        <v>0</v>
      </c>
      <c r="GA110" s="2216"/>
      <c r="GB110" s="2042">
        <f>SUMIFS($CI$14:$CI$68,$BR$14:$BR$68,$CX110)+SUMIFS($CM$14:$CM$68,$BR$14:$BR$68,$CX110)+SUMIFS($CR$14:$CR$68,$BR$14:$BR$68,$CX110)  -         SUMIF('Berechnung Nährstoffe und Lager'!$AX$113:$AX$155,$CX110,'Berechnung Nährstoffe und Lager'!$U$113:$U$155)</f>
        <v>0</v>
      </c>
      <c r="GC110" s="2042">
        <f>SUMIFS($CJ$14:$CJ$68,$BR$14:$BR$68,$CX110)+SUMIFS($CO$14:$CO$68,$BR$14:$BR$68,$CX110)+SUMIFS($CT$14:$CT$68,$BR$14:$BR$68,$CX110)  -         SUMIF('Berechnung Nährstoffe und Lager'!$AX$113:$AX$155,$CX110,'Berechnung Nährstoffe und Lager'!$V$113:$V$155)</f>
        <v>0</v>
      </c>
      <c r="GD110" s="2216"/>
      <c r="GE110" s="2216"/>
      <c r="GF110" s="2042">
        <f>SUMIF('Berechnung Nährstoffe und Lager'!$AX$113:$AX$155,$CX110,'Berechnung Nährstoffe und Lager'!$U$113:$U$155)</f>
        <v>0</v>
      </c>
      <c r="GG110" s="2042">
        <f>SUMIF('Berechnung Nährstoffe und Lager'!$AX$113:$AX$155,$CX110,'Berechnung Nährstoffe und Lager'!$V$113:$V$155)</f>
        <v>0</v>
      </c>
      <c r="GH110" s="2042">
        <f t="shared" si="197"/>
        <v>0</v>
      </c>
      <c r="GI110" s="2042">
        <f t="shared" si="198"/>
        <v>0</v>
      </c>
      <c r="GJ110" s="2042">
        <f t="shared" si="232"/>
        <v>0</v>
      </c>
      <c r="GK110" s="2042">
        <f t="shared" si="233"/>
        <v>0</v>
      </c>
      <c r="GL110" s="2042">
        <f t="shared" si="234"/>
        <v>0</v>
      </c>
      <c r="GM110" s="2042" cm="1">
        <f t="array" ref="GM110">IF(GL110=0,0,(IFERROR(SUMPRODUCT($J$14:$J$68,$CH$14:$CH$68,($BR$14:$BR$68=CX110)*1)+SUMPRODUCT($L$14:$L$68,$M$14:$M$68,$CK$14:$CK$68,($BR$14:$BR$68=CX110)*1,($BT$14:$BT$68=FALSE)*1)/10+SUMPRODUCT($R$14:$R$68,$CP$14:$CP$68,($BR$14:$BR$68=CX110)*1),0))/GL110)</f>
        <v>0</v>
      </c>
      <c r="GN110" s="2042">
        <f t="shared" si="199"/>
        <v>0</v>
      </c>
      <c r="GO110" s="2042">
        <f>(SUMIF('Berechnung Nährstoffe und Lager'!$AX$113:$AX$130,'Lagerhaltung (freiwillig)'!CX110,'Berechnung Nährstoffe und Lager'!$D$113:$D$130)+SUMIF('Berechnung Nährstoffe und Lager'!$AX$137:$AX$155,'Lagerhaltung (freiwillig)'!CX110,'Berechnung Nährstoffe und Lager'!$E$137:$E$155))</f>
        <v>0</v>
      </c>
      <c r="GP110" s="2042" cm="1">
        <f t="array" ref="GP110">IF(GO110=0,0,(IFERROR(SUMPRODUCT('Berechnung Nährstoffe und Lager'!$D$113:$D$130,'Berechnung Nährstoffe und Lager'!$F$113:$F$130,('Berechnung Nährstoffe und Lager'!$AX$113:$AX$130='Lagerhaltung (freiwillig)'!CX110)*1)+SUMPRODUCT('Berechnung Nährstoffe und Lager'!$E$137:$E$155,'Berechnung Nährstoffe und Lager'!$F$137:$F$155,('Berechnung Nährstoffe und Lager'!$AX$137:$AX$155='Lagerhaltung (freiwillig)'!CX110)*1),0))/GO110)</f>
        <v>0</v>
      </c>
      <c r="GQ110" s="2042">
        <f t="shared" si="200"/>
        <v>0</v>
      </c>
      <c r="GR110" s="2042">
        <f t="shared" si="201"/>
        <v>0</v>
      </c>
      <c r="GS110" s="2042">
        <f t="shared" si="202"/>
        <v>0</v>
      </c>
      <c r="GT110" s="2042">
        <f t="shared" si="203"/>
        <v>0</v>
      </c>
      <c r="GU110" s="2253" t="str">
        <f t="shared" si="175"/>
        <v xml:space="preserve"> </v>
      </c>
      <c r="GV110" s="2253" t="str">
        <f t="shared" si="175"/>
        <v xml:space="preserve"> </v>
      </c>
      <c r="GW110" s="2054">
        <f t="shared" si="235"/>
        <v>0</v>
      </c>
      <c r="GX110" s="2042">
        <f t="shared" si="236"/>
        <v>0</v>
      </c>
      <c r="GY110" s="2042" t="str">
        <f t="shared" si="229"/>
        <v>a</v>
      </c>
      <c r="GZ110" s="2067">
        <f t="shared" si="237"/>
        <v>0</v>
      </c>
      <c r="HA110" s="2067">
        <f t="shared" si="238"/>
        <v>0</v>
      </c>
      <c r="HB110" s="2254"/>
      <c r="HC110" s="2046">
        <f t="shared" si="239"/>
        <v>0</v>
      </c>
      <c r="HD110" s="2055">
        <f t="shared" si="240"/>
        <v>0</v>
      </c>
      <c r="HE110" s="2067">
        <f t="shared" si="241"/>
        <v>0</v>
      </c>
      <c r="HF110" s="2055">
        <f t="shared" si="242"/>
        <v>0</v>
      </c>
      <c r="HG110" s="2282" cm="1">
        <f t="array" ref="HG110">IF(AND(HE110=0,GJ110=0),0,IF(HE110=0,1,IF(OR(GJ110*1000/HE110/HF110&gt;INDEX(Pflanzen!$AD$5:$AD$109,CX110)/INDEX(Pflanzen!$M$5:$M$109,CX110)*$HG$2,GJ110*1000/HE110/HF110&lt;INDEX(Pflanzen!$AD$5:$AD$109,CX110)/INDEX(Pflanzen!$M$5:$M$109,CX110)/$HG$2),1,0)))</f>
        <v>0</v>
      </c>
      <c r="HH110" s="2282" cm="1">
        <f t="array" ref="HH110">IF(AND(GK110=0,HE110=0),0,IF(HE110=0,1,IF(OR(GK110*1000/HE110/HF110&gt;INDEX(Pflanzen!$AE$5:$AE$109,CX110)/INDEX(Pflanzen!$M$5:$M$109,CX110)*$HG$2,GK110*1000/HE110/HF110&lt;INDEX(Pflanzen!$AE$5:$AE$109,CX110)/INDEX(Pflanzen!$M$5:$M$109,CX110)/$HG$2),1,0)))</f>
        <v>0</v>
      </c>
      <c r="HI110" s="2062">
        <f t="shared" si="243"/>
        <v>3</v>
      </c>
      <c r="HJ110" s="2216"/>
      <c r="HL110" s="2042"/>
      <c r="HM110" s="2042"/>
      <c r="HN110" s="2042"/>
      <c r="HO110" s="2042"/>
      <c r="HP110" s="2042"/>
      <c r="HQ110" s="2042"/>
      <c r="HR110" s="2042"/>
      <c r="HS110" s="2042"/>
      <c r="HT110" s="2042"/>
      <c r="HU110" s="2042"/>
      <c r="HV110" s="2042"/>
      <c r="HW110" s="2042"/>
      <c r="HX110" s="2042"/>
      <c r="HY110" s="2042"/>
      <c r="HZ110" s="2042"/>
      <c r="IA110" s="2042"/>
      <c r="IB110" s="2042"/>
      <c r="IC110" s="2042"/>
      <c r="ID110" s="2042"/>
      <c r="IE110" s="2042"/>
      <c r="IF110" s="2042"/>
      <c r="IG110" s="2042"/>
      <c r="IH110" s="2042"/>
      <c r="II110" s="2042"/>
      <c r="IJ110" s="2042"/>
    </row>
    <row r="111" spans="1:244" ht="15.75" customHeight="1" x14ac:dyDescent="0.2">
      <c r="Y111" s="2005" t="str" cm="1">
        <f t="array" ref="Y111">IFERROR(INDEX($CW$4:$CW$171,AY111),"")</f>
        <v/>
      </c>
      <c r="Z111" s="510"/>
      <c r="AA111" s="510"/>
      <c r="AB111" s="510"/>
      <c r="AC111" s="2031" t="str" cm="1">
        <f t="array" ref="AC111">IFERROR(INDEX($GL$4:$GL$171,AY111),"")</f>
        <v/>
      </c>
      <c r="AD111" s="2031" t="str" cm="1">
        <f t="array" ref="AD111">IFERROR(INDEX($GM$4:$GM$171,AY111),"")</f>
        <v/>
      </c>
      <c r="AE111" s="2031" t="str" cm="1">
        <f t="array" ref="AE111">IFERROR(INDEX($GH$4:$GH$171,AY111),"")</f>
        <v/>
      </c>
      <c r="AF111" s="2031" t="str" cm="1">
        <f t="array" ref="AF111">IFERROR(INDEX($GI$4:$GI$171,AY111),"")</f>
        <v/>
      </c>
      <c r="AG111" s="2031" t="str" cm="1">
        <f t="array" ref="AG111">IFERROR(INDEX($GO$4:$GO$171,AY111),"")</f>
        <v/>
      </c>
      <c r="AH111" s="2031" t="str" cm="1">
        <f t="array" ref="AH111">IFERROR(INDEX($GP$4:$GP$171,AY111),"")</f>
        <v/>
      </c>
      <c r="AI111" s="2031" t="str" cm="1">
        <f t="array" ref="AI111">IFERROR(INDEX($GF$4:$GF$171,AY111),"")</f>
        <v/>
      </c>
      <c r="AJ111" s="2031" t="str" cm="1">
        <f t="array" ref="AJ111">IFERROR(INDEX($GG$4:$GG$171,AY111),"")</f>
        <v/>
      </c>
      <c r="AK111" s="2031" t="str" cm="1">
        <f t="array" ref="AK111">IFERROR(INDEX($GS$4:$GS$171,AY111),"")</f>
        <v/>
      </c>
      <c r="AL111" s="2032" t="str" cm="1">
        <f t="array" ref="AL111">IFERROR(INDEX($GT$4:$GT$171,AY111),"")</f>
        <v/>
      </c>
      <c r="AM111" s="2031" t="str" cm="1">
        <f t="array" ref="AM111">IFERROR(INDEX($GB$4:$GB$171,AY111),"")</f>
        <v/>
      </c>
      <c r="AN111" s="2031" t="str" cm="1">
        <f t="array" ref="AN111">IFERROR(INDEX($GC$4:$GC$171,AY111),"")</f>
        <v/>
      </c>
      <c r="AO111" s="2031" t="str" cm="1">
        <f t="array" ref="AO111">IFERROR(INDEX($GU$4:$GU$171,AY111),"")</f>
        <v/>
      </c>
      <c r="AP111" s="2031" t="str" cm="1">
        <f t="array" ref="AP111">IFERROR(INDEX($GX$4:$GX$171,AY111),"")</f>
        <v/>
      </c>
      <c r="AQ111" s="1316"/>
      <c r="AR111" s="2031" t="str" cm="1">
        <f t="array" ref="AR111">IFERROR(INDEX($HD$4:$HD$171,AY111),"")</f>
        <v/>
      </c>
      <c r="AS111" s="2031" t="str" cm="1">
        <f t="array" ref="AS111">IFERROR(INDEX($HE$4:$HE$171,AY111),"")</f>
        <v/>
      </c>
      <c r="AT111" s="2031" t="str" cm="1">
        <f t="array" ref="AT111">IFERROR(INDEX($HF$4:$HF$171,AY111),"")</f>
        <v/>
      </c>
      <c r="AU111" s="2031" t="str" cm="1">
        <f t="array" ref="AU111">IFERROR(INDEX($GJ$4:$GJ$171,AY111),"")</f>
        <v/>
      </c>
      <c r="AV111" s="2031" t="str" cm="1">
        <f t="array" ref="AV111">IFERROR(INDEX($GK$4:$GK$171,AY111),"")</f>
        <v/>
      </c>
      <c r="AY111" s="2042" t="str" cm="1">
        <f t="array" ref="AY111">IFERROR(SMALL(IF($HI$4:$HI$171=1,ROW($HI$4:$HI$171)-3),ROW(W96)),IFERROR(SMALL(IF($HI$4:$HI$171=2,ROW($HI$4:$HI$171)-3),ROW(W96)-COUNTIF($HI$4:$HI$171,1)),IFERROR(SMALL(IF($HI$4:$HI$171=0,ROW($HI$4:$HI$171)-3),ROW(W96)-COUNTIF($HI$4:$HI$171,1)-COUNTIF($HI$4:$HI$171,2)),"")))</f>
        <v/>
      </c>
      <c r="AZ111" s="2042" t="str">
        <f t="shared" si="215"/>
        <v>a</v>
      </c>
      <c r="BA111" s="2053" t="e">
        <f t="shared" si="226"/>
        <v>#VALUE!</v>
      </c>
      <c r="BB111" s="2053" cm="1">
        <f t="array" ref="BB111">IFERROR(INDEX($HI$4:$HI$171,AY111),0)</f>
        <v>0</v>
      </c>
      <c r="BC111" s="2053">
        <f t="shared" si="227"/>
        <v>0</v>
      </c>
      <c r="BD111" s="2053"/>
      <c r="BE111" s="2307"/>
      <c r="BF111" s="2307"/>
      <c r="BG111" s="2307"/>
      <c r="BH111" s="2307"/>
      <c r="BI111" s="2307"/>
      <c r="BJ111" s="2307"/>
      <c r="BK111" s="2307"/>
      <c r="BL111" s="2307"/>
      <c r="BM111" s="2307"/>
      <c r="BN111" s="2307"/>
      <c r="BO111" s="2307"/>
      <c r="BP111" s="2043"/>
      <c r="BQ111" s="2042"/>
      <c r="BR111" s="2042"/>
      <c r="BS111" s="2042"/>
      <c r="BT111" s="2042"/>
      <c r="BU111" s="2059"/>
      <c r="BV111" s="2277"/>
      <c r="BW111" s="2277"/>
      <c r="BX111" s="2277"/>
      <c r="BY111" s="2277"/>
      <c r="BZ111" s="2277"/>
      <c r="CA111" s="2277"/>
      <c r="CB111" s="2277"/>
      <c r="CC111" s="2277"/>
      <c r="CD111" s="2277"/>
      <c r="CE111" s="2277"/>
      <c r="CF111" s="2277"/>
      <c r="CG111" s="2277"/>
      <c r="CH111" s="2277"/>
      <c r="CI111" s="2277"/>
      <c r="CJ111" s="2277"/>
      <c r="CK111" s="2277"/>
      <c r="CL111" s="2042"/>
      <c r="CM111" s="2042"/>
      <c r="CN111" s="2042"/>
      <c r="CO111" s="2042"/>
      <c r="CP111" s="2042"/>
      <c r="CQ111" s="2042"/>
      <c r="CR111" s="2042"/>
      <c r="CS111" s="2042"/>
      <c r="CT111" s="2042"/>
      <c r="CU111" s="2042"/>
      <c r="CV111" s="2042"/>
      <c r="CW111" s="609" t="str">
        <f>Pflanzen!A107</f>
        <v>Hühnermist</v>
      </c>
      <c r="CX111" s="2042">
        <f>IFERROR(MATCH($CW111,Pflanzen!$C$5:$C$119,0),1)</f>
        <v>97</v>
      </c>
      <c r="CY111" s="609" cm="1">
        <f t="array" ref="CY111">INDEX(Pflanzen!$I$5:$I$119,'Lagerhaltung (freiwillig)'!CX111)</f>
        <v>0</v>
      </c>
      <c r="CZ111" s="2042">
        <f t="shared" si="244"/>
        <v>0</v>
      </c>
      <c r="DA111" s="2042">
        <f t="shared" si="244"/>
        <v>0</v>
      </c>
      <c r="DB111" s="2042">
        <f t="shared" si="244"/>
        <v>0</v>
      </c>
      <c r="DC111" s="2042">
        <f t="shared" si="244"/>
        <v>0</v>
      </c>
      <c r="DD111" s="2042">
        <f t="shared" si="244"/>
        <v>0</v>
      </c>
      <c r="DE111" s="2042">
        <f t="shared" si="244"/>
        <v>0</v>
      </c>
      <c r="DF111" s="2042">
        <f t="shared" si="244"/>
        <v>0</v>
      </c>
      <c r="DG111" s="2042">
        <f t="shared" si="244"/>
        <v>0</v>
      </c>
      <c r="DH111" s="2042">
        <f t="shared" si="244"/>
        <v>0</v>
      </c>
      <c r="DI111" s="2042">
        <f t="shared" si="244"/>
        <v>0</v>
      </c>
      <c r="DJ111" s="2042">
        <f t="shared" si="244"/>
        <v>0</v>
      </c>
      <c r="DK111" s="2042">
        <f t="shared" si="244"/>
        <v>0</v>
      </c>
      <c r="DL111" s="2216"/>
      <c r="DM111" s="2042">
        <f t="shared" si="165"/>
        <v>0</v>
      </c>
      <c r="DN111" s="2042">
        <f t="shared" si="230"/>
        <v>0</v>
      </c>
      <c r="DO111" s="2042">
        <f t="shared" si="230"/>
        <v>0</v>
      </c>
      <c r="DP111" s="2042">
        <f t="shared" si="230"/>
        <v>0</v>
      </c>
      <c r="DQ111" s="2042">
        <f t="shared" si="230"/>
        <v>0</v>
      </c>
      <c r="DR111" s="2042">
        <f t="shared" si="230"/>
        <v>0</v>
      </c>
      <c r="DS111" s="2042">
        <f t="shared" si="230"/>
        <v>0</v>
      </c>
      <c r="DT111" s="2042">
        <f t="shared" si="230"/>
        <v>0</v>
      </c>
      <c r="DU111" s="2042">
        <f t="shared" si="230"/>
        <v>0</v>
      </c>
      <c r="DV111" s="2042">
        <f t="shared" si="230"/>
        <v>0</v>
      </c>
      <c r="DW111" s="2042">
        <f t="shared" si="230"/>
        <v>0</v>
      </c>
      <c r="DX111" s="2042">
        <f t="shared" si="230"/>
        <v>0</v>
      </c>
      <c r="DY111" s="2216"/>
      <c r="DZ111" s="2042">
        <f t="shared" si="245"/>
        <v>0</v>
      </c>
      <c r="EA111" s="2042">
        <f t="shared" si="245"/>
        <v>0</v>
      </c>
      <c r="EB111" s="2042">
        <f t="shared" si="245"/>
        <v>0</v>
      </c>
      <c r="EC111" s="2042">
        <f t="shared" si="245"/>
        <v>0</v>
      </c>
      <c r="ED111" s="2042">
        <f t="shared" si="245"/>
        <v>0</v>
      </c>
      <c r="EE111" s="2042">
        <f t="shared" si="245"/>
        <v>0</v>
      </c>
      <c r="EF111" s="2042">
        <f t="shared" si="245"/>
        <v>0</v>
      </c>
      <c r="EG111" s="2042">
        <f t="shared" si="245"/>
        <v>0</v>
      </c>
      <c r="EH111" s="2042">
        <f t="shared" si="245"/>
        <v>0</v>
      </c>
      <c r="EI111" s="2042">
        <f t="shared" si="245"/>
        <v>0</v>
      </c>
      <c r="EJ111" s="2042">
        <f t="shared" si="245"/>
        <v>0</v>
      </c>
      <c r="EK111" s="2042">
        <f t="shared" si="245"/>
        <v>0</v>
      </c>
      <c r="EL111" s="2216"/>
      <c r="EM111" s="2042">
        <f t="shared" si="167"/>
        <v>0</v>
      </c>
      <c r="EN111" s="2042">
        <f t="shared" si="231"/>
        <v>0</v>
      </c>
      <c r="EO111" s="2042">
        <f t="shared" si="231"/>
        <v>0</v>
      </c>
      <c r="EP111" s="2042">
        <f t="shared" si="231"/>
        <v>0</v>
      </c>
      <c r="EQ111" s="2042">
        <f t="shared" si="231"/>
        <v>0</v>
      </c>
      <c r="ER111" s="2042">
        <f t="shared" si="231"/>
        <v>0</v>
      </c>
      <c r="ES111" s="2042">
        <f t="shared" si="231"/>
        <v>0</v>
      </c>
      <c r="ET111" s="2042">
        <f t="shared" si="231"/>
        <v>0</v>
      </c>
      <c r="EU111" s="2042">
        <f t="shared" si="231"/>
        <v>0</v>
      </c>
      <c r="EV111" s="2042">
        <f t="shared" si="231"/>
        <v>0</v>
      </c>
      <c r="EW111" s="2042">
        <f t="shared" si="231"/>
        <v>0</v>
      </c>
      <c r="EX111" s="2042">
        <f t="shared" si="231"/>
        <v>0</v>
      </c>
      <c r="EY111" s="2216"/>
      <c r="EZ111" s="2045">
        <f t="shared" si="195"/>
        <v>0</v>
      </c>
      <c r="FA111" s="2042">
        <f>EZ111+CZ111+DZ111                 -         SUMIF('Berechnung Nährstoffe und Lager'!$AX$113:$AX$155,$CX111,'Berechnung Nährstoffe und Lager'!$U$113:$U$155)/12  -$GB111*$HC111/12</f>
        <v>0</v>
      </c>
      <c r="FB111" s="2042">
        <f>FA111+DA111+EA111                 -         SUMIF('Berechnung Nährstoffe und Lager'!$AX$113:$AX$155,$CX111,'Berechnung Nährstoffe und Lager'!$U$113:$U$155)/12  -$GB111*$HC111/12</f>
        <v>0</v>
      </c>
      <c r="FC111" s="2042">
        <f>FB111+DB111+EB111                 -         SUMIF('Berechnung Nährstoffe und Lager'!$AX$113:$AX$155,$CX111,'Berechnung Nährstoffe und Lager'!$U$113:$U$155)/12  -$GB111*$HC111/12</f>
        <v>0</v>
      </c>
      <c r="FD111" s="2042">
        <f>FC111+DC111+EC111                 -         SUMIF('Berechnung Nährstoffe und Lager'!$AX$113:$AX$155,$CX111,'Berechnung Nährstoffe und Lager'!$U$113:$U$155)/12  -$GB111*$HC111/12</f>
        <v>0</v>
      </c>
      <c r="FE111" s="2042">
        <f>FD111+DD111+ED111                 -         SUMIF('Berechnung Nährstoffe und Lager'!$AX$113:$AX$155,$CX111,'Berechnung Nährstoffe und Lager'!$U$113:$U$155)/12  -$GB111*$HC111/12</f>
        <v>0</v>
      </c>
      <c r="FF111" s="2042">
        <f>FE111+DE111+EE111                 -         SUMIF('Berechnung Nährstoffe und Lager'!$AX$113:$AX$155,$CX111,'Berechnung Nährstoffe und Lager'!$U$113:$U$155)/12  -$GB111*$HC111/12</f>
        <v>0</v>
      </c>
      <c r="FG111" s="2042">
        <f>FF111+DF111+EF111                 -         SUMIF('Berechnung Nährstoffe und Lager'!$AX$113:$AX$155,$CX111,'Berechnung Nährstoffe und Lager'!$U$113:$U$155)/12  -$GB111*$HC111/12</f>
        <v>0</v>
      </c>
      <c r="FH111" s="2042">
        <f>FG111+DG111+EG111                 -         SUMIF('Berechnung Nährstoffe und Lager'!$AX$113:$AX$155,$CX111,'Berechnung Nährstoffe und Lager'!$U$113:$U$155)/12  -$GB111*$HC111/12</f>
        <v>0</v>
      </c>
      <c r="FI111" s="2042">
        <f>FH111+DH111+EH111                 -         SUMIF('Berechnung Nährstoffe und Lager'!$AX$113:$AX$155,$CX111,'Berechnung Nährstoffe und Lager'!$U$113:$U$155)/12  -$GB111*$HC111/12</f>
        <v>0</v>
      </c>
      <c r="FJ111" s="2042">
        <f>FI111+DI111+EI111                 -         SUMIF('Berechnung Nährstoffe und Lager'!$AX$113:$AX$155,$CX111,'Berechnung Nährstoffe und Lager'!$U$113:$U$155)/12  -$GB111*$HC111/12</f>
        <v>0</v>
      </c>
      <c r="FK111" s="2042">
        <f>FJ111+DJ111+EJ111                 -         SUMIF('Berechnung Nährstoffe und Lager'!$AX$113:$AX$155,$CX111,'Berechnung Nährstoffe und Lager'!$U$113:$U$155)/12  -$GB111*$HC111/12</f>
        <v>0</v>
      </c>
      <c r="FL111" s="2042">
        <f>FK111+DK111+EK111                 -         SUMIF('Berechnung Nährstoffe und Lager'!$AX$113:$AX$155,$CX111,'Berechnung Nährstoffe und Lager'!$U$113:$U$155)/12  -$GB111*$HC111/12</f>
        <v>0</v>
      </c>
      <c r="FM111" s="2216"/>
      <c r="FN111" s="2045">
        <f t="shared" si="196"/>
        <v>0</v>
      </c>
      <c r="FO111" s="2042">
        <f>FN111+DM111+EM111                 -         SUMIF('Berechnung Nährstoffe und Lager'!$AX$113:$AX$155,$CX111,'Berechnung Nährstoffe und Lager'!$V$113:$V$155)/12  -$GC111*$HC111/12</f>
        <v>0</v>
      </c>
      <c r="FP111" s="2042">
        <f>FO111+DN111+EN111                 -         SUMIF('Berechnung Nährstoffe und Lager'!$AX$113:$AX$155,$CX111,'Berechnung Nährstoffe und Lager'!$V$113:$V$155)/12  -$GC111*$HC111/12</f>
        <v>0</v>
      </c>
      <c r="FQ111" s="2042">
        <f>FP111+DO111+EO111                 -         SUMIF('Berechnung Nährstoffe und Lager'!$AX$113:$AX$155,$CX111,'Berechnung Nährstoffe und Lager'!$V$113:$V$155)/12  -$GC111*$HC111/12</f>
        <v>0</v>
      </c>
      <c r="FR111" s="2042">
        <f>FQ111+DP111+EP111                 -         SUMIF('Berechnung Nährstoffe und Lager'!$AX$113:$AX$155,$CX111,'Berechnung Nährstoffe und Lager'!$V$113:$V$155)/12  -$GC111*$HC111/12</f>
        <v>0</v>
      </c>
      <c r="FS111" s="2042">
        <f>FR111+DQ111+EQ111                 -         SUMIF('Berechnung Nährstoffe und Lager'!$AX$113:$AX$155,$CX111,'Berechnung Nährstoffe und Lager'!$V$113:$V$155)/12  -$GC111*$HC111/12</f>
        <v>0</v>
      </c>
      <c r="FT111" s="2042">
        <f>FS111+DR111+ER111                 -         SUMIF('Berechnung Nährstoffe und Lager'!$AX$113:$AX$155,$CX111,'Berechnung Nährstoffe und Lager'!$V$113:$V$155)/12  -$GC111*$HC111/12</f>
        <v>0</v>
      </c>
      <c r="FU111" s="2042">
        <f>FT111+DS111+ES111                 -         SUMIF('Berechnung Nährstoffe und Lager'!$AX$113:$AX$155,$CX111,'Berechnung Nährstoffe und Lager'!$V$113:$V$155)/12  -$GC111*$HC111/12</f>
        <v>0</v>
      </c>
      <c r="FV111" s="2042">
        <f>FU111+DT111+ET111                 -         SUMIF('Berechnung Nährstoffe und Lager'!$AX$113:$AX$155,$CX111,'Berechnung Nährstoffe und Lager'!$V$113:$V$155)/12  -$GC111*$HC111/12</f>
        <v>0</v>
      </c>
      <c r="FW111" s="2042">
        <f>FV111+DU111+EU111                 -         SUMIF('Berechnung Nährstoffe und Lager'!$AX$113:$AX$155,$CX111,'Berechnung Nährstoffe und Lager'!$V$113:$V$155)/12  -$GC111*$HC111/12</f>
        <v>0</v>
      </c>
      <c r="FX111" s="2042">
        <f>FW111+DV111+EV111                 -         SUMIF('Berechnung Nährstoffe und Lager'!$AX$113:$AX$155,$CX111,'Berechnung Nährstoffe und Lager'!$V$113:$V$155)/12  -$GC111*$HC111/12</f>
        <v>0</v>
      </c>
      <c r="FY111" s="2042">
        <f>FX111+DW111+EW111                 -         SUMIF('Berechnung Nährstoffe und Lager'!$AX$113:$AX$155,$CX111,'Berechnung Nährstoffe und Lager'!$V$113:$V$155)/12  -$GC111*$HC111/12</f>
        <v>0</v>
      </c>
      <c r="FZ111" s="2042">
        <f>FY111+DX111+EX111                 -         SUMIF('Berechnung Nährstoffe und Lager'!$AX$113:$AX$155,$CX111,'Berechnung Nährstoffe und Lager'!$V$113:$V$155)/12  -$GC111*$HC111/12</f>
        <v>0</v>
      </c>
      <c r="GA111" s="2216"/>
      <c r="GB111" s="2042">
        <f>SUMIFS($CI$14:$CI$68,$BR$14:$BR$68,$CX111)+SUMIFS($CM$14:$CM$68,$BR$14:$BR$68,$CX111)+SUMIFS($CR$14:$CR$68,$BR$14:$BR$68,$CX111)  -         SUMIF('Berechnung Nährstoffe und Lager'!$AX$113:$AX$155,$CX111,'Berechnung Nährstoffe und Lager'!$U$113:$U$155)</f>
        <v>0</v>
      </c>
      <c r="GC111" s="2042">
        <f>SUMIFS($CJ$14:$CJ$68,$BR$14:$BR$68,$CX111)+SUMIFS($CO$14:$CO$68,$BR$14:$BR$68,$CX111)+SUMIFS($CT$14:$CT$68,$BR$14:$BR$68,$CX111)  -         SUMIF('Berechnung Nährstoffe und Lager'!$AX$113:$AX$155,$CX111,'Berechnung Nährstoffe und Lager'!$V$113:$V$155)</f>
        <v>0</v>
      </c>
      <c r="GD111" s="2216"/>
      <c r="GE111" s="2216"/>
      <c r="GF111" s="2042">
        <f>SUMIF('Berechnung Nährstoffe und Lager'!$AX$113:$AX$155,$CX111,'Berechnung Nährstoffe und Lager'!$U$113:$U$155)</f>
        <v>0</v>
      </c>
      <c r="GG111" s="2042">
        <f>SUMIF('Berechnung Nährstoffe und Lager'!$AX$113:$AX$155,$CX111,'Berechnung Nährstoffe und Lager'!$V$113:$V$155)</f>
        <v>0</v>
      </c>
      <c r="GH111" s="2042">
        <f t="shared" si="197"/>
        <v>0</v>
      </c>
      <c r="GI111" s="2042">
        <f t="shared" si="198"/>
        <v>0</v>
      </c>
      <c r="GJ111" s="2042">
        <f t="shared" si="232"/>
        <v>0</v>
      </c>
      <c r="GK111" s="2042">
        <f t="shared" si="233"/>
        <v>0</v>
      </c>
      <c r="GL111" s="2042">
        <f t="shared" si="234"/>
        <v>0</v>
      </c>
      <c r="GM111" s="2042" cm="1">
        <f t="array" ref="GM111">IF(GL111=0,0,(IFERROR(SUMPRODUCT($J$14:$J$68,$CH$14:$CH$68,($BR$14:$BR$68=CX111)*1)+SUMPRODUCT($L$14:$L$68,$M$14:$M$68,$CK$14:$CK$68,($BR$14:$BR$68=CX111)*1,($BT$14:$BT$68=FALSE)*1)/10+SUMPRODUCT($R$14:$R$68,$CP$14:$CP$68,($BR$14:$BR$68=CX111)*1),0))/GL111)</f>
        <v>0</v>
      </c>
      <c r="GN111" s="2042">
        <f t="shared" si="199"/>
        <v>0</v>
      </c>
      <c r="GO111" s="2042">
        <f>(SUMIF('Berechnung Nährstoffe und Lager'!$AX$113:$AX$130,'Lagerhaltung (freiwillig)'!CX111,'Berechnung Nährstoffe und Lager'!$D$113:$D$130)+SUMIF('Berechnung Nährstoffe und Lager'!$AX$137:$AX$155,'Lagerhaltung (freiwillig)'!CX111,'Berechnung Nährstoffe und Lager'!$E$137:$E$155))</f>
        <v>0</v>
      </c>
      <c r="GP111" s="2042" cm="1">
        <f t="array" ref="GP111">IF(GO111=0,0,(IFERROR(SUMPRODUCT('Berechnung Nährstoffe und Lager'!$D$113:$D$130,'Berechnung Nährstoffe und Lager'!$F$113:$F$130,('Berechnung Nährstoffe und Lager'!$AX$113:$AX$130='Lagerhaltung (freiwillig)'!CX111)*1)+SUMPRODUCT('Berechnung Nährstoffe und Lager'!$E$137:$E$155,'Berechnung Nährstoffe und Lager'!$F$137:$F$155,('Berechnung Nährstoffe und Lager'!$AX$137:$AX$155='Lagerhaltung (freiwillig)'!CX111)*1),0))/GO111)</f>
        <v>0</v>
      </c>
      <c r="GQ111" s="2042">
        <f t="shared" si="200"/>
        <v>0</v>
      </c>
      <c r="GR111" s="2042">
        <f t="shared" si="201"/>
        <v>0</v>
      </c>
      <c r="GS111" s="2042">
        <f t="shared" si="202"/>
        <v>0</v>
      </c>
      <c r="GT111" s="2042">
        <f t="shared" si="203"/>
        <v>0</v>
      </c>
      <c r="GU111" s="2253" t="str">
        <f t="shared" si="175"/>
        <v xml:space="preserve"> </v>
      </c>
      <c r="GV111" s="2253" t="str">
        <f t="shared" si="175"/>
        <v xml:space="preserve"> </v>
      </c>
      <c r="GW111" s="2054">
        <f t="shared" si="235"/>
        <v>0</v>
      </c>
      <c r="GX111" s="2042">
        <f t="shared" si="236"/>
        <v>0</v>
      </c>
      <c r="GY111" s="2042" t="str">
        <f t="shared" si="229"/>
        <v>a</v>
      </c>
      <c r="GZ111" s="2067">
        <f t="shared" si="237"/>
        <v>0</v>
      </c>
      <c r="HA111" s="2067">
        <f t="shared" si="238"/>
        <v>0</v>
      </c>
      <c r="HB111" s="2254"/>
      <c r="HC111" s="2046">
        <f t="shared" si="239"/>
        <v>0</v>
      </c>
      <c r="HD111" s="2055">
        <f t="shared" si="240"/>
        <v>0</v>
      </c>
      <c r="HE111" s="2067">
        <f t="shared" si="241"/>
        <v>0</v>
      </c>
      <c r="HF111" s="2055">
        <f t="shared" si="242"/>
        <v>0</v>
      </c>
      <c r="HG111" s="2282" cm="1">
        <f t="array" ref="HG111">IF(AND(HE111=0,GJ111=0),0,IF(HE111=0,1,IF(OR(GJ111*1000/HE111/HF111&gt;INDEX(Pflanzen!$AD$5:$AD$109,CX111)/INDEX(Pflanzen!$M$5:$M$109,CX111)*$HG$2,GJ111*1000/HE111/HF111&lt;INDEX(Pflanzen!$AD$5:$AD$109,CX111)/INDEX(Pflanzen!$M$5:$M$109,CX111)/$HG$2),1,0)))</f>
        <v>0</v>
      </c>
      <c r="HH111" s="2282" cm="1">
        <f t="array" ref="HH111">IF(AND(GK111=0,HE111=0),0,IF(HE111=0,1,IF(OR(GK111*1000/HE111/HF111&gt;INDEX(Pflanzen!$AE$5:$AE$109,CX111)/INDEX(Pflanzen!$M$5:$M$109,CX111)*$HG$2,GK111*1000/HE111/HF111&lt;INDEX(Pflanzen!$AE$5:$AE$109,CX111)/INDEX(Pflanzen!$M$5:$M$109,CX111)/$HG$2),1,0)))</f>
        <v>0</v>
      </c>
      <c r="HI111" s="2062">
        <f t="shared" si="243"/>
        <v>3</v>
      </c>
      <c r="HJ111" s="2216"/>
      <c r="HL111" s="2042"/>
      <c r="HM111" s="2042"/>
      <c r="HN111" s="2042"/>
      <c r="HO111" s="2042"/>
      <c r="HP111" s="2042"/>
      <c r="HQ111" s="2042"/>
      <c r="HR111" s="2042"/>
      <c r="HS111" s="2042"/>
      <c r="HT111" s="2042"/>
      <c r="HU111" s="2042"/>
      <c r="HV111" s="2042"/>
      <c r="HW111" s="2042"/>
      <c r="HX111" s="2042"/>
      <c r="HY111" s="2042"/>
      <c r="HZ111" s="2042"/>
      <c r="IA111" s="2042"/>
      <c r="IB111" s="2042"/>
      <c r="IC111" s="2042"/>
      <c r="ID111" s="2042"/>
      <c r="IE111" s="2042"/>
      <c r="IF111" s="2042"/>
      <c r="IG111" s="2042"/>
      <c r="IH111" s="2042"/>
      <c r="II111" s="2042"/>
      <c r="IJ111" s="2042"/>
    </row>
    <row r="112" spans="1:244" ht="15.75" customHeight="1" x14ac:dyDescent="0.2">
      <c r="Y112" s="2005" t="str" cm="1">
        <f t="array" ref="Y112">IFERROR(INDEX($CW$4:$CW$171,AY112),"")</f>
        <v/>
      </c>
      <c r="Z112" s="510"/>
      <c r="AA112" s="510"/>
      <c r="AB112" s="510"/>
      <c r="AC112" s="2031" t="str" cm="1">
        <f t="array" ref="AC112">IFERROR(INDEX($GL$4:$GL$171,AY112),"")</f>
        <v/>
      </c>
      <c r="AD112" s="2031" t="str" cm="1">
        <f t="array" ref="AD112">IFERROR(INDEX($GM$4:$GM$171,AY112),"")</f>
        <v/>
      </c>
      <c r="AE112" s="2031" t="str" cm="1">
        <f t="array" ref="AE112">IFERROR(INDEX($GH$4:$GH$171,AY112),"")</f>
        <v/>
      </c>
      <c r="AF112" s="2031" t="str" cm="1">
        <f t="array" ref="AF112">IFERROR(INDEX($GI$4:$GI$171,AY112),"")</f>
        <v/>
      </c>
      <c r="AG112" s="2031" t="str" cm="1">
        <f t="array" ref="AG112">IFERROR(INDEX($GO$4:$GO$171,AY112),"")</f>
        <v/>
      </c>
      <c r="AH112" s="2031" t="str" cm="1">
        <f t="array" ref="AH112">IFERROR(INDEX($GP$4:$GP$171,AY112),"")</f>
        <v/>
      </c>
      <c r="AI112" s="2031" t="str" cm="1">
        <f t="array" ref="AI112">IFERROR(INDEX($GF$4:$GF$171,AY112),"")</f>
        <v/>
      </c>
      <c r="AJ112" s="2031" t="str" cm="1">
        <f t="array" ref="AJ112">IFERROR(INDEX($GG$4:$GG$171,AY112),"")</f>
        <v/>
      </c>
      <c r="AK112" s="2031" t="str" cm="1">
        <f t="array" ref="AK112">IFERROR(INDEX($GS$4:$GS$171,AY112),"")</f>
        <v/>
      </c>
      <c r="AL112" s="2032" t="str" cm="1">
        <f t="array" ref="AL112">IFERROR(INDEX($GT$4:$GT$171,AY112),"")</f>
        <v/>
      </c>
      <c r="AM112" s="2031" t="str" cm="1">
        <f t="array" ref="AM112">IFERROR(INDEX($GB$4:$GB$171,AY112),"")</f>
        <v/>
      </c>
      <c r="AN112" s="2031" t="str" cm="1">
        <f t="array" ref="AN112">IFERROR(INDEX($GC$4:$GC$171,AY112),"")</f>
        <v/>
      </c>
      <c r="AO112" s="2031" t="str" cm="1">
        <f t="array" ref="AO112">IFERROR(INDEX($GU$4:$GU$171,AY112),"")</f>
        <v/>
      </c>
      <c r="AP112" s="2031" t="str" cm="1">
        <f t="array" ref="AP112">IFERROR(INDEX($GX$4:$GX$171,AY112),"")</f>
        <v/>
      </c>
      <c r="AQ112" s="1316"/>
      <c r="AR112" s="2031" t="str" cm="1">
        <f t="array" ref="AR112">IFERROR(INDEX($HD$4:$HD$171,AY112),"")</f>
        <v/>
      </c>
      <c r="AS112" s="2031" t="str" cm="1">
        <f t="array" ref="AS112">IFERROR(INDEX($HE$4:$HE$171,AY112),"")</f>
        <v/>
      </c>
      <c r="AT112" s="2031" t="str" cm="1">
        <f t="array" ref="AT112">IFERROR(INDEX($HF$4:$HF$171,AY112),"")</f>
        <v/>
      </c>
      <c r="AU112" s="2031" t="str" cm="1">
        <f t="array" ref="AU112">IFERROR(INDEX($GJ$4:$GJ$171,AY112),"")</f>
        <v/>
      </c>
      <c r="AV112" s="2031" t="str" cm="1">
        <f t="array" ref="AV112">IFERROR(INDEX($GK$4:$GK$171,AY112),"")</f>
        <v/>
      </c>
      <c r="AY112" s="2042" t="str" cm="1">
        <f t="array" ref="AY112">IFERROR(SMALL(IF($HI$4:$HI$171=1,ROW($HI$4:$HI$171)-3),ROW(W97)),IFERROR(SMALL(IF($HI$4:$HI$171=2,ROW($HI$4:$HI$171)-3),ROW(W97)-COUNTIF($HI$4:$HI$171,1)),IFERROR(SMALL(IF($HI$4:$HI$171=0,ROW($HI$4:$HI$171)-3),ROW(W97)-COUNTIF($HI$4:$HI$171,1)-COUNTIF($HI$4:$HI$171,2)),"")))</f>
        <v/>
      </c>
      <c r="AZ112" s="2042" t="str">
        <f t="shared" si="215"/>
        <v>a</v>
      </c>
      <c r="BA112" s="2053" t="e">
        <f t="shared" si="226"/>
        <v>#VALUE!</v>
      </c>
      <c r="BB112" s="2053" cm="1">
        <f t="array" ref="BB112">IFERROR(INDEX($HI$4:$HI$171,AY112),0)</f>
        <v>0</v>
      </c>
      <c r="BC112" s="2053">
        <f t="shared" si="227"/>
        <v>0</v>
      </c>
      <c r="BD112" s="2053"/>
      <c r="BE112" s="2307"/>
      <c r="BF112" s="2307"/>
      <c r="BG112" s="2307"/>
      <c r="BH112" s="2307"/>
      <c r="BI112" s="2307"/>
      <c r="BJ112" s="2307"/>
      <c r="BK112" s="2307"/>
      <c r="BL112" s="2307"/>
      <c r="BM112" s="2307"/>
      <c r="BN112" s="2307"/>
      <c r="BO112" s="2307"/>
      <c r="BP112" s="2043"/>
      <c r="BQ112" s="2042"/>
      <c r="BR112" s="2042"/>
      <c r="BS112" s="2042"/>
      <c r="BT112" s="2042"/>
      <c r="BU112" s="2059"/>
      <c r="BV112" s="2277"/>
      <c r="BW112" s="2277"/>
      <c r="BX112" s="2277"/>
      <c r="BY112" s="2277"/>
      <c r="BZ112" s="2277"/>
      <c r="CA112" s="2277"/>
      <c r="CB112" s="2277"/>
      <c r="CC112" s="2277"/>
      <c r="CD112" s="2277"/>
      <c r="CE112" s="2277"/>
      <c r="CF112" s="2277"/>
      <c r="CG112" s="2277"/>
      <c r="CH112" s="2277"/>
      <c r="CI112" s="2277"/>
      <c r="CJ112" s="2277"/>
      <c r="CK112" s="2277"/>
      <c r="CL112" s="2042"/>
      <c r="CM112" s="2042"/>
      <c r="CN112" s="2042"/>
      <c r="CO112" s="2042"/>
      <c r="CP112" s="2042"/>
      <c r="CQ112" s="2042"/>
      <c r="CR112" s="2042"/>
      <c r="CS112" s="2042"/>
      <c r="CT112" s="2042"/>
      <c r="CU112" s="2042"/>
      <c r="CV112" s="2042"/>
      <c r="CW112" s="609" t="str">
        <f>Pflanzen!A108</f>
        <v>Hühnerkot</v>
      </c>
      <c r="CX112" s="2042">
        <f>IFERROR(MATCH($CW112,Pflanzen!$C$5:$C$119,0),1)</f>
        <v>98</v>
      </c>
      <c r="CY112" s="609" cm="1">
        <f t="array" ref="CY112">INDEX(Pflanzen!$I$5:$I$119,'Lagerhaltung (freiwillig)'!CX112)</f>
        <v>0</v>
      </c>
      <c r="CZ112" s="2042">
        <f t="shared" si="244"/>
        <v>0</v>
      </c>
      <c r="DA112" s="2042">
        <f t="shared" si="244"/>
        <v>0</v>
      </c>
      <c r="DB112" s="2042">
        <f t="shared" si="244"/>
        <v>0</v>
      </c>
      <c r="DC112" s="2042">
        <f t="shared" si="244"/>
        <v>0</v>
      </c>
      <c r="DD112" s="2042">
        <f t="shared" si="244"/>
        <v>0</v>
      </c>
      <c r="DE112" s="2042">
        <f t="shared" si="244"/>
        <v>0</v>
      </c>
      <c r="DF112" s="2042">
        <f t="shared" si="244"/>
        <v>0</v>
      </c>
      <c r="DG112" s="2042">
        <f t="shared" si="244"/>
        <v>0</v>
      </c>
      <c r="DH112" s="2042">
        <f t="shared" si="244"/>
        <v>0</v>
      </c>
      <c r="DI112" s="2042">
        <f t="shared" si="244"/>
        <v>0</v>
      </c>
      <c r="DJ112" s="2042">
        <f t="shared" si="244"/>
        <v>0</v>
      </c>
      <c r="DK112" s="2042">
        <f t="shared" si="244"/>
        <v>0</v>
      </c>
      <c r="DL112" s="2216"/>
      <c r="DM112" s="2042">
        <f t="shared" si="165"/>
        <v>0</v>
      </c>
      <c r="DN112" s="2042">
        <f t="shared" si="230"/>
        <v>0</v>
      </c>
      <c r="DO112" s="2042">
        <f t="shared" si="230"/>
        <v>0</v>
      </c>
      <c r="DP112" s="2042">
        <f t="shared" si="230"/>
        <v>0</v>
      </c>
      <c r="DQ112" s="2042">
        <f t="shared" si="230"/>
        <v>0</v>
      </c>
      <c r="DR112" s="2042">
        <f t="shared" si="230"/>
        <v>0</v>
      </c>
      <c r="DS112" s="2042">
        <f t="shared" si="230"/>
        <v>0</v>
      </c>
      <c r="DT112" s="2042">
        <f t="shared" si="230"/>
        <v>0</v>
      </c>
      <c r="DU112" s="2042">
        <f t="shared" si="230"/>
        <v>0</v>
      </c>
      <c r="DV112" s="2042">
        <f t="shared" si="230"/>
        <v>0</v>
      </c>
      <c r="DW112" s="2042">
        <f t="shared" si="230"/>
        <v>0</v>
      </c>
      <c r="DX112" s="2042">
        <f t="shared" si="230"/>
        <v>0</v>
      </c>
      <c r="DY112" s="2216"/>
      <c r="DZ112" s="2042">
        <f t="shared" si="245"/>
        <v>0</v>
      </c>
      <c r="EA112" s="2042">
        <f t="shared" si="245"/>
        <v>0</v>
      </c>
      <c r="EB112" s="2042">
        <f t="shared" si="245"/>
        <v>0</v>
      </c>
      <c r="EC112" s="2042">
        <f t="shared" si="245"/>
        <v>0</v>
      </c>
      <c r="ED112" s="2042">
        <f t="shared" si="245"/>
        <v>0</v>
      </c>
      <c r="EE112" s="2042">
        <f t="shared" si="245"/>
        <v>0</v>
      </c>
      <c r="EF112" s="2042">
        <f t="shared" si="245"/>
        <v>0</v>
      </c>
      <c r="EG112" s="2042">
        <f t="shared" si="245"/>
        <v>0</v>
      </c>
      <c r="EH112" s="2042">
        <f t="shared" si="245"/>
        <v>0</v>
      </c>
      <c r="EI112" s="2042">
        <f t="shared" si="245"/>
        <v>0</v>
      </c>
      <c r="EJ112" s="2042">
        <f t="shared" si="245"/>
        <v>0</v>
      </c>
      <c r="EK112" s="2042">
        <f t="shared" si="245"/>
        <v>0</v>
      </c>
      <c r="EL112" s="2216"/>
      <c r="EM112" s="2042">
        <f t="shared" si="167"/>
        <v>0</v>
      </c>
      <c r="EN112" s="2042">
        <f t="shared" si="231"/>
        <v>0</v>
      </c>
      <c r="EO112" s="2042">
        <f t="shared" si="231"/>
        <v>0</v>
      </c>
      <c r="EP112" s="2042">
        <f t="shared" si="231"/>
        <v>0</v>
      </c>
      <c r="EQ112" s="2042">
        <f t="shared" si="231"/>
        <v>0</v>
      </c>
      <c r="ER112" s="2042">
        <f t="shared" si="231"/>
        <v>0</v>
      </c>
      <c r="ES112" s="2042">
        <f t="shared" si="231"/>
        <v>0</v>
      </c>
      <c r="ET112" s="2042">
        <f t="shared" si="231"/>
        <v>0</v>
      </c>
      <c r="EU112" s="2042">
        <f t="shared" si="231"/>
        <v>0</v>
      </c>
      <c r="EV112" s="2042">
        <f t="shared" si="231"/>
        <v>0</v>
      </c>
      <c r="EW112" s="2042">
        <f t="shared" si="231"/>
        <v>0</v>
      </c>
      <c r="EX112" s="2042">
        <f t="shared" si="231"/>
        <v>0</v>
      </c>
      <c r="EY112" s="2216"/>
      <c r="EZ112" s="2045">
        <f t="shared" si="195"/>
        <v>0</v>
      </c>
      <c r="FA112" s="2042">
        <f>EZ112+CZ112+DZ112                 -         SUMIF('Berechnung Nährstoffe und Lager'!$AX$113:$AX$155,$CX112,'Berechnung Nährstoffe und Lager'!$U$113:$U$155)/12  -$GB112*$HC112/12</f>
        <v>0</v>
      </c>
      <c r="FB112" s="2042">
        <f>FA112+DA112+EA112                 -         SUMIF('Berechnung Nährstoffe und Lager'!$AX$113:$AX$155,$CX112,'Berechnung Nährstoffe und Lager'!$U$113:$U$155)/12  -$GB112*$HC112/12</f>
        <v>0</v>
      </c>
      <c r="FC112" s="2042">
        <f>FB112+DB112+EB112                 -         SUMIF('Berechnung Nährstoffe und Lager'!$AX$113:$AX$155,$CX112,'Berechnung Nährstoffe und Lager'!$U$113:$U$155)/12  -$GB112*$HC112/12</f>
        <v>0</v>
      </c>
      <c r="FD112" s="2042">
        <f>FC112+DC112+EC112                 -         SUMIF('Berechnung Nährstoffe und Lager'!$AX$113:$AX$155,$CX112,'Berechnung Nährstoffe und Lager'!$U$113:$U$155)/12  -$GB112*$HC112/12</f>
        <v>0</v>
      </c>
      <c r="FE112" s="2042">
        <f>FD112+DD112+ED112                 -         SUMIF('Berechnung Nährstoffe und Lager'!$AX$113:$AX$155,$CX112,'Berechnung Nährstoffe und Lager'!$U$113:$U$155)/12  -$GB112*$HC112/12</f>
        <v>0</v>
      </c>
      <c r="FF112" s="2042">
        <f>FE112+DE112+EE112                 -         SUMIF('Berechnung Nährstoffe und Lager'!$AX$113:$AX$155,$CX112,'Berechnung Nährstoffe und Lager'!$U$113:$U$155)/12  -$GB112*$HC112/12</f>
        <v>0</v>
      </c>
      <c r="FG112" s="2042">
        <f>FF112+DF112+EF112                 -         SUMIF('Berechnung Nährstoffe und Lager'!$AX$113:$AX$155,$CX112,'Berechnung Nährstoffe und Lager'!$U$113:$U$155)/12  -$GB112*$HC112/12</f>
        <v>0</v>
      </c>
      <c r="FH112" s="2042">
        <f>FG112+DG112+EG112                 -         SUMIF('Berechnung Nährstoffe und Lager'!$AX$113:$AX$155,$CX112,'Berechnung Nährstoffe und Lager'!$U$113:$U$155)/12  -$GB112*$HC112/12</f>
        <v>0</v>
      </c>
      <c r="FI112" s="2042">
        <f>FH112+DH112+EH112                 -         SUMIF('Berechnung Nährstoffe und Lager'!$AX$113:$AX$155,$CX112,'Berechnung Nährstoffe und Lager'!$U$113:$U$155)/12  -$GB112*$HC112/12</f>
        <v>0</v>
      </c>
      <c r="FJ112" s="2042">
        <f>FI112+DI112+EI112                 -         SUMIF('Berechnung Nährstoffe und Lager'!$AX$113:$AX$155,$CX112,'Berechnung Nährstoffe und Lager'!$U$113:$U$155)/12  -$GB112*$HC112/12</f>
        <v>0</v>
      </c>
      <c r="FK112" s="2042">
        <f>FJ112+DJ112+EJ112                 -         SUMIF('Berechnung Nährstoffe und Lager'!$AX$113:$AX$155,$CX112,'Berechnung Nährstoffe und Lager'!$U$113:$U$155)/12  -$GB112*$HC112/12</f>
        <v>0</v>
      </c>
      <c r="FL112" s="2042">
        <f>FK112+DK112+EK112                 -         SUMIF('Berechnung Nährstoffe und Lager'!$AX$113:$AX$155,$CX112,'Berechnung Nährstoffe und Lager'!$U$113:$U$155)/12  -$GB112*$HC112/12</f>
        <v>0</v>
      </c>
      <c r="FM112" s="2216"/>
      <c r="FN112" s="2045">
        <f t="shared" si="196"/>
        <v>0</v>
      </c>
      <c r="FO112" s="2042">
        <f>FN112+DM112+EM112                 -         SUMIF('Berechnung Nährstoffe und Lager'!$AX$113:$AX$155,$CX112,'Berechnung Nährstoffe und Lager'!$V$113:$V$155)/12  -$GC112*$HC112/12</f>
        <v>0</v>
      </c>
      <c r="FP112" s="2042">
        <f>FO112+DN112+EN112                 -         SUMIF('Berechnung Nährstoffe und Lager'!$AX$113:$AX$155,$CX112,'Berechnung Nährstoffe und Lager'!$V$113:$V$155)/12  -$GC112*$HC112/12</f>
        <v>0</v>
      </c>
      <c r="FQ112" s="2042">
        <f>FP112+DO112+EO112                 -         SUMIF('Berechnung Nährstoffe und Lager'!$AX$113:$AX$155,$CX112,'Berechnung Nährstoffe und Lager'!$V$113:$V$155)/12  -$GC112*$HC112/12</f>
        <v>0</v>
      </c>
      <c r="FR112" s="2042">
        <f>FQ112+DP112+EP112                 -         SUMIF('Berechnung Nährstoffe und Lager'!$AX$113:$AX$155,$CX112,'Berechnung Nährstoffe und Lager'!$V$113:$V$155)/12  -$GC112*$HC112/12</f>
        <v>0</v>
      </c>
      <c r="FS112" s="2042">
        <f>FR112+DQ112+EQ112                 -         SUMIF('Berechnung Nährstoffe und Lager'!$AX$113:$AX$155,$CX112,'Berechnung Nährstoffe und Lager'!$V$113:$V$155)/12  -$GC112*$HC112/12</f>
        <v>0</v>
      </c>
      <c r="FT112" s="2042">
        <f>FS112+DR112+ER112                 -         SUMIF('Berechnung Nährstoffe und Lager'!$AX$113:$AX$155,$CX112,'Berechnung Nährstoffe und Lager'!$V$113:$V$155)/12  -$GC112*$HC112/12</f>
        <v>0</v>
      </c>
      <c r="FU112" s="2042">
        <f>FT112+DS112+ES112                 -         SUMIF('Berechnung Nährstoffe und Lager'!$AX$113:$AX$155,$CX112,'Berechnung Nährstoffe und Lager'!$V$113:$V$155)/12  -$GC112*$HC112/12</f>
        <v>0</v>
      </c>
      <c r="FV112" s="2042">
        <f>FU112+DT112+ET112                 -         SUMIF('Berechnung Nährstoffe und Lager'!$AX$113:$AX$155,$CX112,'Berechnung Nährstoffe und Lager'!$V$113:$V$155)/12  -$GC112*$HC112/12</f>
        <v>0</v>
      </c>
      <c r="FW112" s="2042">
        <f>FV112+DU112+EU112                 -         SUMIF('Berechnung Nährstoffe und Lager'!$AX$113:$AX$155,$CX112,'Berechnung Nährstoffe und Lager'!$V$113:$V$155)/12  -$GC112*$HC112/12</f>
        <v>0</v>
      </c>
      <c r="FX112" s="2042">
        <f>FW112+DV112+EV112                 -         SUMIF('Berechnung Nährstoffe und Lager'!$AX$113:$AX$155,$CX112,'Berechnung Nährstoffe und Lager'!$V$113:$V$155)/12  -$GC112*$HC112/12</f>
        <v>0</v>
      </c>
      <c r="FY112" s="2042">
        <f>FX112+DW112+EW112                 -         SUMIF('Berechnung Nährstoffe und Lager'!$AX$113:$AX$155,$CX112,'Berechnung Nährstoffe und Lager'!$V$113:$V$155)/12  -$GC112*$HC112/12</f>
        <v>0</v>
      </c>
      <c r="FZ112" s="2042">
        <f>FY112+DX112+EX112                 -         SUMIF('Berechnung Nährstoffe und Lager'!$AX$113:$AX$155,$CX112,'Berechnung Nährstoffe und Lager'!$V$113:$V$155)/12  -$GC112*$HC112/12</f>
        <v>0</v>
      </c>
      <c r="GA112" s="2216"/>
      <c r="GB112" s="2042">
        <f>SUMIFS($CI$14:$CI$68,$BR$14:$BR$68,$CX112)+SUMIFS($CM$14:$CM$68,$BR$14:$BR$68,$CX112)+SUMIFS($CR$14:$CR$68,$BR$14:$BR$68,$CX112)  -         SUMIF('Berechnung Nährstoffe und Lager'!$AX$113:$AX$155,$CX112,'Berechnung Nährstoffe und Lager'!$U$113:$U$155)</f>
        <v>0</v>
      </c>
      <c r="GC112" s="2042">
        <f>SUMIFS($CJ$14:$CJ$68,$BR$14:$BR$68,$CX112)+SUMIFS($CO$14:$CO$68,$BR$14:$BR$68,$CX112)+SUMIFS($CT$14:$CT$68,$BR$14:$BR$68,$CX112)  -         SUMIF('Berechnung Nährstoffe und Lager'!$AX$113:$AX$155,$CX112,'Berechnung Nährstoffe und Lager'!$V$113:$V$155)</f>
        <v>0</v>
      </c>
      <c r="GD112" s="2216"/>
      <c r="GE112" s="2216"/>
      <c r="GF112" s="2042">
        <f>SUMIF('Berechnung Nährstoffe und Lager'!$AX$113:$AX$155,$CX112,'Berechnung Nährstoffe und Lager'!$U$113:$U$155)</f>
        <v>0</v>
      </c>
      <c r="GG112" s="2042">
        <f>SUMIF('Berechnung Nährstoffe und Lager'!$AX$113:$AX$155,$CX112,'Berechnung Nährstoffe und Lager'!$V$113:$V$155)</f>
        <v>0</v>
      </c>
      <c r="GH112" s="2042">
        <f t="shared" si="197"/>
        <v>0</v>
      </c>
      <c r="GI112" s="2042">
        <f t="shared" si="198"/>
        <v>0</v>
      </c>
      <c r="GJ112" s="2042">
        <f t="shared" si="232"/>
        <v>0</v>
      </c>
      <c r="GK112" s="2042">
        <f t="shared" si="233"/>
        <v>0</v>
      </c>
      <c r="GL112" s="2042">
        <f t="shared" si="234"/>
        <v>0</v>
      </c>
      <c r="GM112" s="2042" cm="1">
        <f t="array" ref="GM112">IF(GL112=0,0,(IFERROR(SUMPRODUCT($J$14:$J$68,$CH$14:$CH$68,($BR$14:$BR$68=CX112)*1)+SUMPRODUCT($L$14:$L$68,$M$14:$M$68,$CK$14:$CK$68,($BR$14:$BR$68=CX112)*1,($BT$14:$BT$68=FALSE)*1)/10+SUMPRODUCT($R$14:$R$68,$CP$14:$CP$68,($BR$14:$BR$68=CX112)*1),0))/GL112)</f>
        <v>0</v>
      </c>
      <c r="GN112" s="2042">
        <f t="shared" si="199"/>
        <v>0</v>
      </c>
      <c r="GO112" s="2042">
        <f>(SUMIF('Berechnung Nährstoffe und Lager'!$AX$113:$AX$130,'Lagerhaltung (freiwillig)'!CX112,'Berechnung Nährstoffe und Lager'!$D$113:$D$130)+SUMIF('Berechnung Nährstoffe und Lager'!$AX$137:$AX$155,'Lagerhaltung (freiwillig)'!CX112,'Berechnung Nährstoffe und Lager'!$E$137:$E$155))</f>
        <v>0</v>
      </c>
      <c r="GP112" s="2042" cm="1">
        <f t="array" ref="GP112">IF(GO112=0,0,(IFERROR(SUMPRODUCT('Berechnung Nährstoffe und Lager'!$D$113:$D$130,'Berechnung Nährstoffe und Lager'!$F$113:$F$130,('Berechnung Nährstoffe und Lager'!$AX$113:$AX$130='Lagerhaltung (freiwillig)'!CX112)*1)+SUMPRODUCT('Berechnung Nährstoffe und Lager'!$E$137:$E$155,'Berechnung Nährstoffe und Lager'!$F$137:$F$155,('Berechnung Nährstoffe und Lager'!$AX$137:$AX$155='Lagerhaltung (freiwillig)'!CX112)*1),0))/GO112)</f>
        <v>0</v>
      </c>
      <c r="GQ112" s="2042">
        <f t="shared" si="200"/>
        <v>0</v>
      </c>
      <c r="GR112" s="2042">
        <f t="shared" si="201"/>
        <v>0</v>
      </c>
      <c r="GS112" s="2042">
        <f t="shared" si="202"/>
        <v>0</v>
      </c>
      <c r="GT112" s="2042">
        <f t="shared" si="203"/>
        <v>0</v>
      </c>
      <c r="GU112" s="2253" t="str">
        <f t="shared" si="175"/>
        <v xml:space="preserve"> </v>
      </c>
      <c r="GV112" s="2253" t="str">
        <f t="shared" si="175"/>
        <v xml:space="preserve"> </v>
      </c>
      <c r="GW112" s="2054">
        <f t="shared" si="235"/>
        <v>0</v>
      </c>
      <c r="GX112" s="2042">
        <f t="shared" si="236"/>
        <v>0</v>
      </c>
      <c r="GY112" s="2042" t="str">
        <f t="shared" si="229"/>
        <v>a</v>
      </c>
      <c r="GZ112" s="2067">
        <f t="shared" si="237"/>
        <v>0</v>
      </c>
      <c r="HA112" s="2067">
        <f t="shared" si="238"/>
        <v>0</v>
      </c>
      <c r="HB112" s="2254"/>
      <c r="HC112" s="2046">
        <f t="shared" si="239"/>
        <v>0</v>
      </c>
      <c r="HD112" s="2055">
        <f t="shared" si="240"/>
        <v>0</v>
      </c>
      <c r="HE112" s="2067">
        <f t="shared" si="241"/>
        <v>0</v>
      </c>
      <c r="HF112" s="2055">
        <f t="shared" si="242"/>
        <v>0</v>
      </c>
      <c r="HG112" s="2282" cm="1">
        <f t="array" ref="HG112">IF(AND(HE112=0,GJ112=0),0,IF(HE112=0,1,IF(OR(GJ112*1000/HE112/HF112&gt;INDEX(Pflanzen!$AD$5:$AD$109,CX112)/INDEX(Pflanzen!$M$5:$M$109,CX112)*$HG$2,GJ112*1000/HE112/HF112&lt;INDEX(Pflanzen!$AD$5:$AD$109,CX112)/INDEX(Pflanzen!$M$5:$M$109,CX112)/$HG$2),1,0)))</f>
        <v>0</v>
      </c>
      <c r="HH112" s="2282" cm="1">
        <f t="array" ref="HH112">IF(AND(GK112=0,HE112=0),0,IF(HE112=0,1,IF(OR(GK112*1000/HE112/HF112&gt;INDEX(Pflanzen!$AE$5:$AE$109,CX112)/INDEX(Pflanzen!$M$5:$M$109,CX112)*$HG$2,GK112*1000/HE112/HF112&lt;INDEX(Pflanzen!$AE$5:$AE$109,CX112)/INDEX(Pflanzen!$M$5:$M$109,CX112)/$HG$2),1,0)))</f>
        <v>0</v>
      </c>
      <c r="HI112" s="2062">
        <f t="shared" si="243"/>
        <v>3</v>
      </c>
      <c r="HJ112" s="2216"/>
      <c r="HL112" s="2042"/>
      <c r="HM112" s="2042"/>
      <c r="HN112" s="2042"/>
      <c r="HO112" s="2042"/>
      <c r="HP112" s="2042"/>
      <c r="HQ112" s="2042"/>
      <c r="HR112" s="2042"/>
      <c r="HS112" s="2042"/>
      <c r="HT112" s="2042"/>
      <c r="HU112" s="2042"/>
      <c r="HV112" s="2042"/>
      <c r="HW112" s="2042"/>
      <c r="HX112" s="2042"/>
      <c r="HY112" s="2042"/>
      <c r="HZ112" s="2042"/>
      <c r="IA112" s="2042"/>
      <c r="IB112" s="2042"/>
      <c r="IC112" s="2042"/>
      <c r="ID112" s="2042"/>
      <c r="IE112" s="2042"/>
      <c r="IF112" s="2042"/>
      <c r="IG112" s="2042"/>
      <c r="IH112" s="2042"/>
      <c r="II112" s="2042"/>
      <c r="IJ112" s="2042"/>
    </row>
    <row r="113" spans="25:244" ht="15.75" customHeight="1" x14ac:dyDescent="0.2">
      <c r="Y113" s="2005" t="str" cm="1">
        <f t="array" ref="Y113">IFERROR(INDEX($CW$4:$CW$171,AY113),"")</f>
        <v/>
      </c>
      <c r="Z113" s="510"/>
      <c r="AA113" s="510"/>
      <c r="AB113" s="510"/>
      <c r="AC113" s="2031" t="str" cm="1">
        <f t="array" ref="AC113">IFERROR(INDEX($GL$4:$GL$171,AY113),"")</f>
        <v/>
      </c>
      <c r="AD113" s="2031" t="str" cm="1">
        <f t="array" ref="AD113">IFERROR(INDEX($GM$4:$GM$171,AY113),"")</f>
        <v/>
      </c>
      <c r="AE113" s="2031" t="str" cm="1">
        <f t="array" ref="AE113">IFERROR(INDEX($GH$4:$GH$171,AY113),"")</f>
        <v/>
      </c>
      <c r="AF113" s="2031" t="str" cm="1">
        <f t="array" ref="AF113">IFERROR(INDEX($GI$4:$GI$171,AY113),"")</f>
        <v/>
      </c>
      <c r="AG113" s="2031" t="str" cm="1">
        <f t="array" ref="AG113">IFERROR(INDEX($GO$4:$GO$171,AY113),"")</f>
        <v/>
      </c>
      <c r="AH113" s="2031" t="str" cm="1">
        <f t="array" ref="AH113">IFERROR(INDEX($GP$4:$GP$171,AY113),"")</f>
        <v/>
      </c>
      <c r="AI113" s="2031" t="str" cm="1">
        <f t="array" ref="AI113">IFERROR(INDEX($GF$4:$GF$171,AY113),"")</f>
        <v/>
      </c>
      <c r="AJ113" s="2031" t="str" cm="1">
        <f t="array" ref="AJ113">IFERROR(INDEX($GG$4:$GG$171,AY113),"")</f>
        <v/>
      </c>
      <c r="AK113" s="2031" t="str" cm="1">
        <f t="array" ref="AK113">IFERROR(INDEX($GS$4:$GS$171,AY113),"")</f>
        <v/>
      </c>
      <c r="AL113" s="2032" t="str" cm="1">
        <f t="array" ref="AL113">IFERROR(INDEX($GT$4:$GT$171,AY113),"")</f>
        <v/>
      </c>
      <c r="AM113" s="2031" t="str" cm="1">
        <f t="array" ref="AM113">IFERROR(INDEX($GB$4:$GB$171,AY113),"")</f>
        <v/>
      </c>
      <c r="AN113" s="2031" t="str" cm="1">
        <f t="array" ref="AN113">IFERROR(INDEX($GC$4:$GC$171,AY113),"")</f>
        <v/>
      </c>
      <c r="AO113" s="2031" t="str" cm="1">
        <f t="array" ref="AO113">IFERROR(INDEX($GU$4:$GU$171,AY113),"")</f>
        <v/>
      </c>
      <c r="AP113" s="2031" t="str" cm="1">
        <f t="array" ref="AP113">IFERROR(INDEX($GX$4:$GX$171,AY113),"")</f>
        <v/>
      </c>
      <c r="AQ113" s="1316"/>
      <c r="AR113" s="2031" t="str" cm="1">
        <f t="array" ref="AR113">IFERROR(INDEX($HD$4:$HD$171,AY113),"")</f>
        <v/>
      </c>
      <c r="AS113" s="2031" t="str" cm="1">
        <f t="array" ref="AS113">IFERROR(INDEX($HE$4:$HE$171,AY113),"")</f>
        <v/>
      </c>
      <c r="AT113" s="2031" t="str" cm="1">
        <f t="array" ref="AT113">IFERROR(INDEX($HF$4:$HF$171,AY113),"")</f>
        <v/>
      </c>
      <c r="AU113" s="2031" t="str" cm="1">
        <f t="array" ref="AU113">IFERROR(INDEX($GJ$4:$GJ$171,AY113),"")</f>
        <v/>
      </c>
      <c r="AV113" s="2031" t="str" cm="1">
        <f t="array" ref="AV113">IFERROR(INDEX($GK$4:$GK$171,AY113),"")</f>
        <v/>
      </c>
      <c r="AY113" s="2042" t="str" cm="1">
        <f t="array" ref="AY113">IFERROR(SMALL(IF($HI$4:$HI$171=1,ROW($HI$4:$HI$171)-3),ROW(W98)),IFERROR(SMALL(IF($HI$4:$HI$171=2,ROW($HI$4:$HI$171)-3),ROW(W98)-COUNTIF($HI$4:$HI$171,1)),IFERROR(SMALL(IF($HI$4:$HI$171=0,ROW($HI$4:$HI$171)-3),ROW(W98)-COUNTIF($HI$4:$HI$171,1)-COUNTIF($HI$4:$HI$171,2)),"")))</f>
        <v/>
      </c>
      <c r="AZ113" s="2042" t="str">
        <f t="shared" si="215"/>
        <v>a</v>
      </c>
      <c r="BA113" s="2053" t="e">
        <f t="shared" si="226"/>
        <v>#VALUE!</v>
      </c>
      <c r="BB113" s="2053" cm="1">
        <f t="array" ref="BB113">IFERROR(INDEX($HI$4:$HI$171,AY113),0)</f>
        <v>0</v>
      </c>
      <c r="BC113" s="2053">
        <f t="shared" si="227"/>
        <v>0</v>
      </c>
      <c r="BD113" s="2053"/>
      <c r="BE113" s="2307"/>
      <c r="BF113" s="2307"/>
      <c r="BG113" s="2307"/>
      <c r="BH113" s="2307"/>
      <c r="BI113" s="2307"/>
      <c r="BJ113" s="2307"/>
      <c r="BK113" s="2307"/>
      <c r="BL113" s="2307"/>
      <c r="BM113" s="2307"/>
      <c r="BN113" s="2307"/>
      <c r="BO113" s="2307"/>
      <c r="BP113" s="2043"/>
      <c r="BQ113" s="2042"/>
      <c r="BR113" s="2042"/>
      <c r="BS113" s="2042"/>
      <c r="BT113" s="2042"/>
      <c r="BU113" s="2059"/>
      <c r="BV113" s="2277"/>
      <c r="BW113" s="2277"/>
      <c r="BX113" s="2277"/>
      <c r="BY113" s="2277"/>
      <c r="BZ113" s="2277"/>
      <c r="CA113" s="2277"/>
      <c r="CB113" s="2277"/>
      <c r="CC113" s="2277"/>
      <c r="CD113" s="2277"/>
      <c r="CE113" s="2277"/>
      <c r="CF113" s="2277"/>
      <c r="CG113" s="2277"/>
      <c r="CH113" s="2277"/>
      <c r="CI113" s="2277"/>
      <c r="CJ113" s="2277"/>
      <c r="CK113" s="2277"/>
      <c r="CL113" s="2042"/>
      <c r="CM113" s="2042"/>
      <c r="CN113" s="2042"/>
      <c r="CO113" s="2042"/>
      <c r="CP113" s="2042"/>
      <c r="CQ113" s="2042"/>
      <c r="CR113" s="2042"/>
      <c r="CS113" s="2042"/>
      <c r="CT113" s="2042"/>
      <c r="CU113" s="2042"/>
      <c r="CV113" s="2042"/>
      <c r="CW113" s="609" t="str">
        <f>Pflanzen!A109</f>
        <v>Putenmist</v>
      </c>
      <c r="CX113" s="2042">
        <f>IFERROR(MATCH($CW113,Pflanzen!$C$5:$C$119,0),1)</f>
        <v>99</v>
      </c>
      <c r="CY113" s="609" cm="1">
        <f t="array" ref="CY113">INDEX(Pflanzen!$I$5:$I$119,'Lagerhaltung (freiwillig)'!CX113)</f>
        <v>0</v>
      </c>
      <c r="CZ113" s="2042">
        <f t="shared" si="244"/>
        <v>0</v>
      </c>
      <c r="DA113" s="2042">
        <f t="shared" si="244"/>
        <v>0</v>
      </c>
      <c r="DB113" s="2042">
        <f t="shared" si="244"/>
        <v>0</v>
      </c>
      <c r="DC113" s="2042">
        <f t="shared" si="244"/>
        <v>0</v>
      </c>
      <c r="DD113" s="2042">
        <f t="shared" si="244"/>
        <v>0</v>
      </c>
      <c r="DE113" s="2042">
        <f t="shared" si="244"/>
        <v>0</v>
      </c>
      <c r="DF113" s="2042">
        <f t="shared" si="244"/>
        <v>0</v>
      </c>
      <c r="DG113" s="2042">
        <f t="shared" si="244"/>
        <v>0</v>
      </c>
      <c r="DH113" s="2042">
        <f t="shared" si="244"/>
        <v>0</v>
      </c>
      <c r="DI113" s="2042">
        <f t="shared" si="244"/>
        <v>0</v>
      </c>
      <c r="DJ113" s="2042">
        <f t="shared" si="244"/>
        <v>0</v>
      </c>
      <c r="DK113" s="2042">
        <f t="shared" si="244"/>
        <v>0</v>
      </c>
      <c r="DL113" s="2216"/>
      <c r="DM113" s="2042">
        <f t="shared" si="165"/>
        <v>0</v>
      </c>
      <c r="DN113" s="2042">
        <f t="shared" si="230"/>
        <v>0</v>
      </c>
      <c r="DO113" s="2042">
        <f t="shared" si="230"/>
        <v>0</v>
      </c>
      <c r="DP113" s="2042">
        <f t="shared" si="230"/>
        <v>0</v>
      </c>
      <c r="DQ113" s="2042">
        <f t="shared" si="230"/>
        <v>0</v>
      </c>
      <c r="DR113" s="2042">
        <f t="shared" si="230"/>
        <v>0</v>
      </c>
      <c r="DS113" s="2042">
        <f t="shared" si="230"/>
        <v>0</v>
      </c>
      <c r="DT113" s="2042">
        <f t="shared" si="230"/>
        <v>0</v>
      </c>
      <c r="DU113" s="2042">
        <f t="shared" si="230"/>
        <v>0</v>
      </c>
      <c r="DV113" s="2042">
        <f t="shared" si="230"/>
        <v>0</v>
      </c>
      <c r="DW113" s="2042">
        <f t="shared" si="230"/>
        <v>0</v>
      </c>
      <c r="DX113" s="2042">
        <f t="shared" si="230"/>
        <v>0</v>
      </c>
      <c r="DY113" s="2216"/>
      <c r="DZ113" s="2042">
        <f t="shared" si="245"/>
        <v>0</v>
      </c>
      <c r="EA113" s="2042">
        <f t="shared" si="245"/>
        <v>0</v>
      </c>
      <c r="EB113" s="2042">
        <f t="shared" si="245"/>
        <v>0</v>
      </c>
      <c r="EC113" s="2042">
        <f t="shared" si="245"/>
        <v>0</v>
      </c>
      <c r="ED113" s="2042">
        <f t="shared" si="245"/>
        <v>0</v>
      </c>
      <c r="EE113" s="2042">
        <f t="shared" si="245"/>
        <v>0</v>
      </c>
      <c r="EF113" s="2042">
        <f t="shared" si="245"/>
        <v>0</v>
      </c>
      <c r="EG113" s="2042">
        <f t="shared" si="245"/>
        <v>0</v>
      </c>
      <c r="EH113" s="2042">
        <f t="shared" si="245"/>
        <v>0</v>
      </c>
      <c r="EI113" s="2042">
        <f t="shared" si="245"/>
        <v>0</v>
      </c>
      <c r="EJ113" s="2042">
        <f t="shared" si="245"/>
        <v>0</v>
      </c>
      <c r="EK113" s="2042">
        <f t="shared" si="245"/>
        <v>0</v>
      </c>
      <c r="EL113" s="2216"/>
      <c r="EM113" s="2042">
        <f t="shared" si="167"/>
        <v>0</v>
      </c>
      <c r="EN113" s="2042">
        <f t="shared" si="231"/>
        <v>0</v>
      </c>
      <c r="EO113" s="2042">
        <f t="shared" si="231"/>
        <v>0</v>
      </c>
      <c r="EP113" s="2042">
        <f t="shared" si="231"/>
        <v>0</v>
      </c>
      <c r="EQ113" s="2042">
        <f t="shared" si="231"/>
        <v>0</v>
      </c>
      <c r="ER113" s="2042">
        <f t="shared" si="231"/>
        <v>0</v>
      </c>
      <c r="ES113" s="2042">
        <f t="shared" si="231"/>
        <v>0</v>
      </c>
      <c r="ET113" s="2042">
        <f t="shared" si="231"/>
        <v>0</v>
      </c>
      <c r="EU113" s="2042">
        <f t="shared" si="231"/>
        <v>0</v>
      </c>
      <c r="EV113" s="2042">
        <f t="shared" si="231"/>
        <v>0</v>
      </c>
      <c r="EW113" s="2042">
        <f t="shared" si="231"/>
        <v>0</v>
      </c>
      <c r="EX113" s="2042">
        <f t="shared" si="231"/>
        <v>0</v>
      </c>
      <c r="EY113" s="2216"/>
      <c r="EZ113" s="2045">
        <f t="shared" si="195"/>
        <v>0</v>
      </c>
      <c r="FA113" s="2042">
        <f>EZ113+CZ113+DZ113                 -         SUMIF('Berechnung Nährstoffe und Lager'!$AX$113:$AX$155,$CX113,'Berechnung Nährstoffe und Lager'!$U$113:$U$155)/12  -$GB113*$HC113/12</f>
        <v>0</v>
      </c>
      <c r="FB113" s="2042">
        <f>FA113+DA113+EA113                 -         SUMIF('Berechnung Nährstoffe und Lager'!$AX$113:$AX$155,$CX113,'Berechnung Nährstoffe und Lager'!$U$113:$U$155)/12  -$GB113*$HC113/12</f>
        <v>0</v>
      </c>
      <c r="FC113" s="2042">
        <f>FB113+DB113+EB113                 -         SUMIF('Berechnung Nährstoffe und Lager'!$AX$113:$AX$155,$CX113,'Berechnung Nährstoffe und Lager'!$U$113:$U$155)/12  -$GB113*$HC113/12</f>
        <v>0</v>
      </c>
      <c r="FD113" s="2042">
        <f>FC113+DC113+EC113                 -         SUMIF('Berechnung Nährstoffe und Lager'!$AX$113:$AX$155,$CX113,'Berechnung Nährstoffe und Lager'!$U$113:$U$155)/12  -$GB113*$HC113/12</f>
        <v>0</v>
      </c>
      <c r="FE113" s="2042">
        <f>FD113+DD113+ED113                 -         SUMIF('Berechnung Nährstoffe und Lager'!$AX$113:$AX$155,$CX113,'Berechnung Nährstoffe und Lager'!$U$113:$U$155)/12  -$GB113*$HC113/12</f>
        <v>0</v>
      </c>
      <c r="FF113" s="2042">
        <f>FE113+DE113+EE113                 -         SUMIF('Berechnung Nährstoffe und Lager'!$AX$113:$AX$155,$CX113,'Berechnung Nährstoffe und Lager'!$U$113:$U$155)/12  -$GB113*$HC113/12</f>
        <v>0</v>
      </c>
      <c r="FG113" s="2042">
        <f>FF113+DF113+EF113                 -         SUMIF('Berechnung Nährstoffe und Lager'!$AX$113:$AX$155,$CX113,'Berechnung Nährstoffe und Lager'!$U$113:$U$155)/12  -$GB113*$HC113/12</f>
        <v>0</v>
      </c>
      <c r="FH113" s="2042">
        <f>FG113+DG113+EG113                 -         SUMIF('Berechnung Nährstoffe und Lager'!$AX$113:$AX$155,$CX113,'Berechnung Nährstoffe und Lager'!$U$113:$U$155)/12  -$GB113*$HC113/12</f>
        <v>0</v>
      </c>
      <c r="FI113" s="2042">
        <f>FH113+DH113+EH113                 -         SUMIF('Berechnung Nährstoffe und Lager'!$AX$113:$AX$155,$CX113,'Berechnung Nährstoffe und Lager'!$U$113:$U$155)/12  -$GB113*$HC113/12</f>
        <v>0</v>
      </c>
      <c r="FJ113" s="2042">
        <f>FI113+DI113+EI113                 -         SUMIF('Berechnung Nährstoffe und Lager'!$AX$113:$AX$155,$CX113,'Berechnung Nährstoffe und Lager'!$U$113:$U$155)/12  -$GB113*$HC113/12</f>
        <v>0</v>
      </c>
      <c r="FK113" s="2042">
        <f>FJ113+DJ113+EJ113                 -         SUMIF('Berechnung Nährstoffe und Lager'!$AX$113:$AX$155,$CX113,'Berechnung Nährstoffe und Lager'!$U$113:$U$155)/12  -$GB113*$HC113/12</f>
        <v>0</v>
      </c>
      <c r="FL113" s="2042">
        <f>FK113+DK113+EK113                 -         SUMIF('Berechnung Nährstoffe und Lager'!$AX$113:$AX$155,$CX113,'Berechnung Nährstoffe und Lager'!$U$113:$U$155)/12  -$GB113*$HC113/12</f>
        <v>0</v>
      </c>
      <c r="FM113" s="2216"/>
      <c r="FN113" s="2045">
        <f t="shared" si="196"/>
        <v>0</v>
      </c>
      <c r="FO113" s="2042">
        <f>FN113+DM113+EM113                 -         SUMIF('Berechnung Nährstoffe und Lager'!$AX$113:$AX$155,$CX113,'Berechnung Nährstoffe und Lager'!$V$113:$V$155)/12  -$GC113*$HC113/12</f>
        <v>0</v>
      </c>
      <c r="FP113" s="2042">
        <f>FO113+DN113+EN113                 -         SUMIF('Berechnung Nährstoffe und Lager'!$AX$113:$AX$155,$CX113,'Berechnung Nährstoffe und Lager'!$V$113:$V$155)/12  -$GC113*$HC113/12</f>
        <v>0</v>
      </c>
      <c r="FQ113" s="2042">
        <f>FP113+DO113+EO113                 -         SUMIF('Berechnung Nährstoffe und Lager'!$AX$113:$AX$155,$CX113,'Berechnung Nährstoffe und Lager'!$V$113:$V$155)/12  -$GC113*$HC113/12</f>
        <v>0</v>
      </c>
      <c r="FR113" s="2042">
        <f>FQ113+DP113+EP113                 -         SUMIF('Berechnung Nährstoffe und Lager'!$AX$113:$AX$155,$CX113,'Berechnung Nährstoffe und Lager'!$V$113:$V$155)/12  -$GC113*$HC113/12</f>
        <v>0</v>
      </c>
      <c r="FS113" s="2042">
        <f>FR113+DQ113+EQ113                 -         SUMIF('Berechnung Nährstoffe und Lager'!$AX$113:$AX$155,$CX113,'Berechnung Nährstoffe und Lager'!$V$113:$V$155)/12  -$GC113*$HC113/12</f>
        <v>0</v>
      </c>
      <c r="FT113" s="2042">
        <f>FS113+DR113+ER113                 -         SUMIF('Berechnung Nährstoffe und Lager'!$AX$113:$AX$155,$CX113,'Berechnung Nährstoffe und Lager'!$V$113:$V$155)/12  -$GC113*$HC113/12</f>
        <v>0</v>
      </c>
      <c r="FU113" s="2042">
        <f>FT113+DS113+ES113                 -         SUMIF('Berechnung Nährstoffe und Lager'!$AX$113:$AX$155,$CX113,'Berechnung Nährstoffe und Lager'!$V$113:$V$155)/12  -$GC113*$HC113/12</f>
        <v>0</v>
      </c>
      <c r="FV113" s="2042">
        <f>FU113+DT113+ET113                 -         SUMIF('Berechnung Nährstoffe und Lager'!$AX$113:$AX$155,$CX113,'Berechnung Nährstoffe und Lager'!$V$113:$V$155)/12  -$GC113*$HC113/12</f>
        <v>0</v>
      </c>
      <c r="FW113" s="2042">
        <f>FV113+DU113+EU113                 -         SUMIF('Berechnung Nährstoffe und Lager'!$AX$113:$AX$155,$CX113,'Berechnung Nährstoffe und Lager'!$V$113:$V$155)/12  -$GC113*$HC113/12</f>
        <v>0</v>
      </c>
      <c r="FX113" s="2042">
        <f>FW113+DV113+EV113                 -         SUMIF('Berechnung Nährstoffe und Lager'!$AX$113:$AX$155,$CX113,'Berechnung Nährstoffe und Lager'!$V$113:$V$155)/12  -$GC113*$HC113/12</f>
        <v>0</v>
      </c>
      <c r="FY113" s="2042">
        <f>FX113+DW113+EW113                 -         SUMIF('Berechnung Nährstoffe und Lager'!$AX$113:$AX$155,$CX113,'Berechnung Nährstoffe und Lager'!$V$113:$V$155)/12  -$GC113*$HC113/12</f>
        <v>0</v>
      </c>
      <c r="FZ113" s="2042">
        <f>FY113+DX113+EX113                 -         SUMIF('Berechnung Nährstoffe und Lager'!$AX$113:$AX$155,$CX113,'Berechnung Nährstoffe und Lager'!$V$113:$V$155)/12  -$GC113*$HC113/12</f>
        <v>0</v>
      </c>
      <c r="GA113" s="2216"/>
      <c r="GB113" s="2042">
        <f>SUMIFS($CI$14:$CI$68,$BR$14:$BR$68,$CX113)+SUMIFS($CM$14:$CM$68,$BR$14:$BR$68,$CX113)+SUMIFS($CR$14:$CR$68,$BR$14:$BR$68,$CX113)  -         SUMIF('Berechnung Nährstoffe und Lager'!$AX$113:$AX$155,$CX113,'Berechnung Nährstoffe und Lager'!$U$113:$U$155)</f>
        <v>0</v>
      </c>
      <c r="GC113" s="2042">
        <f>SUMIFS($CJ$14:$CJ$68,$BR$14:$BR$68,$CX113)+SUMIFS($CO$14:$CO$68,$BR$14:$BR$68,$CX113)+SUMIFS($CT$14:$CT$68,$BR$14:$BR$68,$CX113)  -         SUMIF('Berechnung Nährstoffe und Lager'!$AX$113:$AX$155,$CX113,'Berechnung Nährstoffe und Lager'!$V$113:$V$155)</f>
        <v>0</v>
      </c>
      <c r="GD113" s="2216"/>
      <c r="GE113" s="2216"/>
      <c r="GF113" s="2042">
        <f>SUMIF('Berechnung Nährstoffe und Lager'!$AX$113:$AX$155,$CX113,'Berechnung Nährstoffe und Lager'!$U$113:$U$155)</f>
        <v>0</v>
      </c>
      <c r="GG113" s="2042">
        <f>SUMIF('Berechnung Nährstoffe und Lager'!$AX$113:$AX$155,$CX113,'Berechnung Nährstoffe und Lager'!$V$113:$V$155)</f>
        <v>0</v>
      </c>
      <c r="GH113" s="2042">
        <f t="shared" si="197"/>
        <v>0</v>
      </c>
      <c r="GI113" s="2042">
        <f t="shared" si="198"/>
        <v>0</v>
      </c>
      <c r="GJ113" s="2042">
        <f t="shared" si="232"/>
        <v>0</v>
      </c>
      <c r="GK113" s="2042">
        <f t="shared" si="233"/>
        <v>0</v>
      </c>
      <c r="GL113" s="2042">
        <f t="shared" si="234"/>
        <v>0</v>
      </c>
      <c r="GM113" s="2042" cm="1">
        <f t="array" ref="GM113">IF(GL113=0,0,(IFERROR(SUMPRODUCT($J$14:$J$68,$CH$14:$CH$68,($BR$14:$BR$68=CX113)*1)+SUMPRODUCT($L$14:$L$68,$M$14:$M$68,$CK$14:$CK$68,($BR$14:$BR$68=CX113)*1,($BT$14:$BT$68=FALSE)*1)/10+SUMPRODUCT($R$14:$R$68,$CP$14:$CP$68,($BR$14:$BR$68=CX113)*1),0))/GL113)</f>
        <v>0</v>
      </c>
      <c r="GN113" s="2042">
        <f t="shared" si="199"/>
        <v>0</v>
      </c>
      <c r="GO113" s="2042">
        <f>(SUMIF('Berechnung Nährstoffe und Lager'!$AX$113:$AX$130,'Lagerhaltung (freiwillig)'!CX113,'Berechnung Nährstoffe und Lager'!$D$113:$D$130)+SUMIF('Berechnung Nährstoffe und Lager'!$AX$137:$AX$155,'Lagerhaltung (freiwillig)'!CX113,'Berechnung Nährstoffe und Lager'!$E$137:$E$155))</f>
        <v>0</v>
      </c>
      <c r="GP113" s="2042" cm="1">
        <f t="array" ref="GP113">IF(GO113=0,0,(IFERROR(SUMPRODUCT('Berechnung Nährstoffe und Lager'!$D$113:$D$130,'Berechnung Nährstoffe und Lager'!$F$113:$F$130,('Berechnung Nährstoffe und Lager'!$AX$113:$AX$130='Lagerhaltung (freiwillig)'!CX113)*1)+SUMPRODUCT('Berechnung Nährstoffe und Lager'!$E$137:$E$155,'Berechnung Nährstoffe und Lager'!$F$137:$F$155,('Berechnung Nährstoffe und Lager'!$AX$137:$AX$155='Lagerhaltung (freiwillig)'!CX113)*1),0))/GO113)</f>
        <v>0</v>
      </c>
      <c r="GQ113" s="2042">
        <f t="shared" si="200"/>
        <v>0</v>
      </c>
      <c r="GR113" s="2042">
        <f t="shared" si="201"/>
        <v>0</v>
      </c>
      <c r="GS113" s="2042">
        <f t="shared" si="202"/>
        <v>0</v>
      </c>
      <c r="GT113" s="2042">
        <f t="shared" si="203"/>
        <v>0</v>
      </c>
      <c r="GU113" s="2253" t="str">
        <f t="shared" si="175"/>
        <v xml:space="preserve"> </v>
      </c>
      <c r="GV113" s="2253" t="str">
        <f t="shared" si="175"/>
        <v xml:space="preserve"> </v>
      </c>
      <c r="GW113" s="2054">
        <f t="shared" si="235"/>
        <v>0</v>
      </c>
      <c r="GX113" s="2042">
        <f t="shared" si="236"/>
        <v>0</v>
      </c>
      <c r="GY113" s="2042" t="str">
        <f t="shared" si="229"/>
        <v>a</v>
      </c>
      <c r="GZ113" s="2067">
        <f t="shared" si="237"/>
        <v>0</v>
      </c>
      <c r="HA113" s="2067">
        <f t="shared" si="238"/>
        <v>0</v>
      </c>
      <c r="HB113" s="2254"/>
      <c r="HC113" s="2046">
        <f t="shared" si="239"/>
        <v>0</v>
      </c>
      <c r="HD113" s="2055">
        <f t="shared" si="240"/>
        <v>0</v>
      </c>
      <c r="HE113" s="2067">
        <f t="shared" si="241"/>
        <v>0</v>
      </c>
      <c r="HF113" s="2055">
        <f t="shared" si="242"/>
        <v>0</v>
      </c>
      <c r="HG113" s="2282" cm="1">
        <f t="array" ref="HG113">IF(AND(HE113=0,GJ113=0),0,IF(HE113=0,1,IF(OR(GJ113*1000/HE113/HF113&gt;INDEX(Pflanzen!$AD$5:$AD$109,CX113)/INDEX(Pflanzen!$M$5:$M$109,CX113)*$HG$2,GJ113*1000/HE113/HF113&lt;INDEX(Pflanzen!$AD$5:$AD$109,CX113)/INDEX(Pflanzen!$M$5:$M$109,CX113)/$HG$2),1,0)))</f>
        <v>0</v>
      </c>
      <c r="HH113" s="2282" cm="1">
        <f t="array" ref="HH113">IF(AND(GK113=0,HE113=0),0,IF(HE113=0,1,IF(OR(GK113*1000/HE113/HF113&gt;INDEX(Pflanzen!$AE$5:$AE$109,CX113)/INDEX(Pflanzen!$M$5:$M$109,CX113)*$HG$2,GK113*1000/HE113/HF113&lt;INDEX(Pflanzen!$AE$5:$AE$109,CX113)/INDEX(Pflanzen!$M$5:$M$109,CX113)/$HG$2),1,0)))</f>
        <v>0</v>
      </c>
      <c r="HI113" s="2062">
        <f t="shared" si="243"/>
        <v>3</v>
      </c>
      <c r="HJ113" s="2216"/>
      <c r="HL113" s="2042"/>
      <c r="HM113" s="2042"/>
      <c r="HN113" s="2042"/>
      <c r="HO113" s="2042"/>
      <c r="HP113" s="2042"/>
      <c r="HQ113" s="2042"/>
      <c r="HR113" s="2042"/>
      <c r="HS113" s="2042"/>
      <c r="HT113" s="2042"/>
      <c r="HU113" s="2042"/>
      <c r="HV113" s="2042"/>
      <c r="HW113" s="2042"/>
      <c r="HX113" s="2042"/>
      <c r="HY113" s="2042"/>
      <c r="HZ113" s="2042"/>
      <c r="IA113" s="2042"/>
      <c r="IB113" s="2042"/>
      <c r="IC113" s="2042"/>
      <c r="ID113" s="2042"/>
      <c r="IE113" s="2042"/>
      <c r="IF113" s="2042"/>
      <c r="IG113" s="2042"/>
      <c r="IH113" s="2042"/>
      <c r="II113" s="2042"/>
      <c r="IJ113" s="2042"/>
    </row>
    <row r="114" spans="25:244" ht="15.75" customHeight="1" x14ac:dyDescent="0.2">
      <c r="Y114" s="2005" t="str" cm="1">
        <f t="array" ref="Y114">IFERROR(INDEX($CW$4:$CW$171,AY114),"")</f>
        <v/>
      </c>
      <c r="Z114" s="510"/>
      <c r="AA114" s="510"/>
      <c r="AB114" s="510"/>
      <c r="AC114" s="2031" t="str" cm="1">
        <f t="array" ref="AC114">IFERROR(INDEX($GL$4:$GL$171,AY114),"")</f>
        <v/>
      </c>
      <c r="AD114" s="2031" t="str" cm="1">
        <f t="array" ref="AD114">IFERROR(INDEX($GM$4:$GM$171,AY114),"")</f>
        <v/>
      </c>
      <c r="AE114" s="2031" t="str" cm="1">
        <f t="array" ref="AE114">IFERROR(INDEX($GH$4:$GH$171,AY114),"")</f>
        <v/>
      </c>
      <c r="AF114" s="2031" t="str" cm="1">
        <f t="array" ref="AF114">IFERROR(INDEX($GI$4:$GI$171,AY114),"")</f>
        <v/>
      </c>
      <c r="AG114" s="2031" t="str" cm="1">
        <f t="array" ref="AG114">IFERROR(INDEX($GO$4:$GO$171,AY114),"")</f>
        <v/>
      </c>
      <c r="AH114" s="2031" t="str" cm="1">
        <f t="array" ref="AH114">IFERROR(INDEX($GP$4:$GP$171,AY114),"")</f>
        <v/>
      </c>
      <c r="AI114" s="2031" t="str" cm="1">
        <f t="array" ref="AI114">IFERROR(INDEX($GF$4:$GF$171,AY114),"")</f>
        <v/>
      </c>
      <c r="AJ114" s="2031" t="str" cm="1">
        <f t="array" ref="AJ114">IFERROR(INDEX($GG$4:$GG$171,AY114),"")</f>
        <v/>
      </c>
      <c r="AK114" s="2031" t="str" cm="1">
        <f t="array" ref="AK114">IFERROR(INDEX($GS$4:$GS$171,AY114),"")</f>
        <v/>
      </c>
      <c r="AL114" s="2032" t="str" cm="1">
        <f t="array" ref="AL114">IFERROR(INDEX($GT$4:$GT$171,AY114),"")</f>
        <v/>
      </c>
      <c r="AM114" s="2031" t="str" cm="1">
        <f t="array" ref="AM114">IFERROR(INDEX($GB$4:$GB$171,AY114),"")</f>
        <v/>
      </c>
      <c r="AN114" s="2031" t="str" cm="1">
        <f t="array" ref="AN114">IFERROR(INDEX($GC$4:$GC$171,AY114),"")</f>
        <v/>
      </c>
      <c r="AO114" s="2031" t="str" cm="1">
        <f t="array" ref="AO114">IFERROR(INDEX($GU$4:$GU$171,AY114),"")</f>
        <v/>
      </c>
      <c r="AP114" s="2031" t="str" cm="1">
        <f t="array" ref="AP114">IFERROR(INDEX($GX$4:$GX$171,AY114),"")</f>
        <v/>
      </c>
      <c r="AQ114" s="1316"/>
      <c r="AR114" s="2031" t="str" cm="1">
        <f t="array" ref="AR114">IFERROR(INDEX($HD$4:$HD$171,AY114),"")</f>
        <v/>
      </c>
      <c r="AS114" s="2031" t="str" cm="1">
        <f t="array" ref="AS114">IFERROR(INDEX($HE$4:$HE$171,AY114),"")</f>
        <v/>
      </c>
      <c r="AT114" s="2031" t="str" cm="1">
        <f t="array" ref="AT114">IFERROR(INDEX($HF$4:$HF$171,AY114),"")</f>
        <v/>
      </c>
      <c r="AU114" s="2031" t="str" cm="1">
        <f t="array" ref="AU114">IFERROR(INDEX($GJ$4:$GJ$171,AY114),"")</f>
        <v/>
      </c>
      <c r="AV114" s="2031" t="str" cm="1">
        <f t="array" ref="AV114">IFERROR(INDEX($GK$4:$GK$171,AY114),"")</f>
        <v/>
      </c>
      <c r="AY114" s="2042" t="str" cm="1">
        <f t="array" ref="AY114">IFERROR(SMALL(IF($HI$4:$HI$171=1,ROW($HI$4:$HI$171)-3),ROW(W99)),IFERROR(SMALL(IF($HI$4:$HI$171=2,ROW($HI$4:$HI$171)-3),ROW(W99)-COUNTIF($HI$4:$HI$171,1)),IFERROR(SMALL(IF($HI$4:$HI$171=0,ROW($HI$4:$HI$171)-3),ROW(W99)-COUNTIF($HI$4:$HI$171,1)-COUNTIF($HI$4:$HI$171,2)),"")))</f>
        <v/>
      </c>
      <c r="AZ114" s="2042" t="str">
        <f t="shared" si="215"/>
        <v>a</v>
      </c>
      <c r="BA114" s="2053" t="e">
        <f t="shared" si="226"/>
        <v>#VALUE!</v>
      </c>
      <c r="BB114" s="2053" cm="1">
        <f t="array" ref="BB114">IFERROR(INDEX($HI$4:$HI$171,AY114),0)</f>
        <v>0</v>
      </c>
      <c r="BC114" s="2053">
        <f t="shared" si="227"/>
        <v>0</v>
      </c>
      <c r="BD114" s="2053"/>
      <c r="BE114" s="2307"/>
      <c r="BF114" s="2307"/>
      <c r="BG114" s="2307"/>
      <c r="BH114" s="2307"/>
      <c r="BI114" s="2307"/>
      <c r="BJ114" s="2307"/>
      <c r="BK114" s="2307"/>
      <c r="BL114" s="2307"/>
      <c r="BM114" s="2307"/>
      <c r="BN114" s="2307"/>
      <c r="BO114" s="2307"/>
      <c r="BP114" s="2043"/>
      <c r="BQ114" s="2042"/>
      <c r="BR114" s="2042"/>
      <c r="BS114" s="2042"/>
      <c r="BT114" s="2042"/>
      <c r="BU114" s="2059"/>
      <c r="BV114" s="2277"/>
      <c r="BW114" s="2277"/>
      <c r="BX114" s="2277"/>
      <c r="BY114" s="2277"/>
      <c r="BZ114" s="2277"/>
      <c r="CA114" s="2277"/>
      <c r="CB114" s="2277"/>
      <c r="CC114" s="2277"/>
      <c r="CD114" s="2277"/>
      <c r="CE114" s="2277"/>
      <c r="CF114" s="2277"/>
      <c r="CG114" s="2277"/>
      <c r="CH114" s="2277"/>
      <c r="CI114" s="2277"/>
      <c r="CJ114" s="2277"/>
      <c r="CK114" s="2277"/>
      <c r="CL114" s="2042"/>
      <c r="CM114" s="2042"/>
      <c r="CN114" s="2042"/>
      <c r="CO114" s="2042"/>
      <c r="CP114" s="2042"/>
      <c r="CQ114" s="2042"/>
      <c r="CR114" s="2042"/>
      <c r="CS114" s="2042"/>
      <c r="CT114" s="2042"/>
      <c r="CU114" s="2042"/>
      <c r="CV114" s="2042"/>
      <c r="CW114" s="609" t="str">
        <f>Pflanzen!A110</f>
        <v>Masthähnchenmist</v>
      </c>
      <c r="CX114" s="2042">
        <f>IFERROR(MATCH($CW114,Pflanzen!$C$5:$C$119,0),1)</f>
        <v>100</v>
      </c>
      <c r="CY114" s="609" cm="1">
        <f t="array" ref="CY114">INDEX(Pflanzen!$I$5:$I$119,'Lagerhaltung (freiwillig)'!CX114)</f>
        <v>0</v>
      </c>
      <c r="CZ114" s="2042">
        <f t="shared" si="244"/>
        <v>0</v>
      </c>
      <c r="DA114" s="2042">
        <f t="shared" si="244"/>
        <v>0</v>
      </c>
      <c r="DB114" s="2042">
        <f t="shared" si="244"/>
        <v>0</v>
      </c>
      <c r="DC114" s="2042">
        <f t="shared" si="244"/>
        <v>0</v>
      </c>
      <c r="DD114" s="2042">
        <f t="shared" si="244"/>
        <v>0</v>
      </c>
      <c r="DE114" s="2042">
        <f t="shared" si="244"/>
        <v>0</v>
      </c>
      <c r="DF114" s="2042">
        <f t="shared" si="244"/>
        <v>0</v>
      </c>
      <c r="DG114" s="2042">
        <f t="shared" si="244"/>
        <v>0</v>
      </c>
      <c r="DH114" s="2042">
        <f t="shared" si="244"/>
        <v>0</v>
      </c>
      <c r="DI114" s="2042">
        <f t="shared" si="244"/>
        <v>0</v>
      </c>
      <c r="DJ114" s="2042">
        <f t="shared" si="244"/>
        <v>0</v>
      </c>
      <c r="DK114" s="2042">
        <f t="shared" si="244"/>
        <v>0</v>
      </c>
      <c r="DL114" s="2216"/>
      <c r="DM114" s="2042">
        <f t="shared" si="165"/>
        <v>0</v>
      </c>
      <c r="DN114" s="2042">
        <f t="shared" si="230"/>
        <v>0</v>
      </c>
      <c r="DO114" s="2042">
        <f t="shared" si="230"/>
        <v>0</v>
      </c>
      <c r="DP114" s="2042">
        <f t="shared" si="230"/>
        <v>0</v>
      </c>
      <c r="DQ114" s="2042">
        <f t="shared" si="230"/>
        <v>0</v>
      </c>
      <c r="DR114" s="2042">
        <f t="shared" si="230"/>
        <v>0</v>
      </c>
      <c r="DS114" s="2042">
        <f t="shared" si="230"/>
        <v>0</v>
      </c>
      <c r="DT114" s="2042">
        <f t="shared" si="230"/>
        <v>0</v>
      </c>
      <c r="DU114" s="2042">
        <f t="shared" si="230"/>
        <v>0</v>
      </c>
      <c r="DV114" s="2042">
        <f t="shared" si="230"/>
        <v>0</v>
      </c>
      <c r="DW114" s="2042">
        <f t="shared" si="230"/>
        <v>0</v>
      </c>
      <c r="DX114" s="2042">
        <f t="shared" si="230"/>
        <v>0</v>
      </c>
      <c r="DY114" s="2216"/>
      <c r="DZ114" s="2042">
        <f t="shared" si="245"/>
        <v>0</v>
      </c>
      <c r="EA114" s="2042">
        <f t="shared" si="245"/>
        <v>0</v>
      </c>
      <c r="EB114" s="2042">
        <f t="shared" si="245"/>
        <v>0</v>
      </c>
      <c r="EC114" s="2042">
        <f t="shared" si="245"/>
        <v>0</v>
      </c>
      <c r="ED114" s="2042">
        <f t="shared" si="245"/>
        <v>0</v>
      </c>
      <c r="EE114" s="2042">
        <f t="shared" si="245"/>
        <v>0</v>
      </c>
      <c r="EF114" s="2042">
        <f t="shared" si="245"/>
        <v>0</v>
      </c>
      <c r="EG114" s="2042">
        <f t="shared" si="245"/>
        <v>0</v>
      </c>
      <c r="EH114" s="2042">
        <f t="shared" si="245"/>
        <v>0</v>
      </c>
      <c r="EI114" s="2042">
        <f t="shared" si="245"/>
        <v>0</v>
      </c>
      <c r="EJ114" s="2042">
        <f t="shared" si="245"/>
        <v>0</v>
      </c>
      <c r="EK114" s="2042">
        <f t="shared" si="245"/>
        <v>0</v>
      </c>
      <c r="EL114" s="2216"/>
      <c r="EM114" s="2042">
        <f t="shared" si="167"/>
        <v>0</v>
      </c>
      <c r="EN114" s="2042">
        <f t="shared" si="231"/>
        <v>0</v>
      </c>
      <c r="EO114" s="2042">
        <f t="shared" si="231"/>
        <v>0</v>
      </c>
      <c r="EP114" s="2042">
        <f t="shared" si="231"/>
        <v>0</v>
      </c>
      <c r="EQ114" s="2042">
        <f t="shared" si="231"/>
        <v>0</v>
      </c>
      <c r="ER114" s="2042">
        <f t="shared" si="231"/>
        <v>0</v>
      </c>
      <c r="ES114" s="2042">
        <f t="shared" si="231"/>
        <v>0</v>
      </c>
      <c r="ET114" s="2042">
        <f t="shared" si="231"/>
        <v>0</v>
      </c>
      <c r="EU114" s="2042">
        <f t="shared" si="231"/>
        <v>0</v>
      </c>
      <c r="EV114" s="2042">
        <f t="shared" si="231"/>
        <v>0</v>
      </c>
      <c r="EW114" s="2042">
        <f t="shared" si="231"/>
        <v>0</v>
      </c>
      <c r="EX114" s="2042">
        <f t="shared" si="231"/>
        <v>0</v>
      </c>
      <c r="EY114" s="2216"/>
      <c r="EZ114" s="2045">
        <f t="shared" si="195"/>
        <v>0</v>
      </c>
      <c r="FA114" s="2042">
        <f>EZ114+CZ114+DZ114                 -         SUMIF('Berechnung Nährstoffe und Lager'!$AX$113:$AX$155,$CX114,'Berechnung Nährstoffe und Lager'!$U$113:$U$155)/12  -$GB114*$HC114/12</f>
        <v>0</v>
      </c>
      <c r="FB114" s="2042">
        <f>FA114+DA114+EA114                 -         SUMIF('Berechnung Nährstoffe und Lager'!$AX$113:$AX$155,$CX114,'Berechnung Nährstoffe und Lager'!$U$113:$U$155)/12  -$GB114*$HC114/12</f>
        <v>0</v>
      </c>
      <c r="FC114" s="2042">
        <f>FB114+DB114+EB114                 -         SUMIF('Berechnung Nährstoffe und Lager'!$AX$113:$AX$155,$CX114,'Berechnung Nährstoffe und Lager'!$U$113:$U$155)/12  -$GB114*$HC114/12</f>
        <v>0</v>
      </c>
      <c r="FD114" s="2042">
        <f>FC114+DC114+EC114                 -         SUMIF('Berechnung Nährstoffe und Lager'!$AX$113:$AX$155,$CX114,'Berechnung Nährstoffe und Lager'!$U$113:$U$155)/12  -$GB114*$HC114/12</f>
        <v>0</v>
      </c>
      <c r="FE114" s="2042">
        <f>FD114+DD114+ED114                 -         SUMIF('Berechnung Nährstoffe und Lager'!$AX$113:$AX$155,$CX114,'Berechnung Nährstoffe und Lager'!$U$113:$U$155)/12  -$GB114*$HC114/12</f>
        <v>0</v>
      </c>
      <c r="FF114" s="2042">
        <f>FE114+DE114+EE114                 -         SUMIF('Berechnung Nährstoffe und Lager'!$AX$113:$AX$155,$CX114,'Berechnung Nährstoffe und Lager'!$U$113:$U$155)/12  -$GB114*$HC114/12</f>
        <v>0</v>
      </c>
      <c r="FG114" s="2042">
        <f>FF114+DF114+EF114                 -         SUMIF('Berechnung Nährstoffe und Lager'!$AX$113:$AX$155,$CX114,'Berechnung Nährstoffe und Lager'!$U$113:$U$155)/12  -$GB114*$HC114/12</f>
        <v>0</v>
      </c>
      <c r="FH114" s="2042">
        <f>FG114+DG114+EG114                 -         SUMIF('Berechnung Nährstoffe und Lager'!$AX$113:$AX$155,$CX114,'Berechnung Nährstoffe und Lager'!$U$113:$U$155)/12  -$GB114*$HC114/12</f>
        <v>0</v>
      </c>
      <c r="FI114" s="2042">
        <f>FH114+DH114+EH114                 -         SUMIF('Berechnung Nährstoffe und Lager'!$AX$113:$AX$155,$CX114,'Berechnung Nährstoffe und Lager'!$U$113:$U$155)/12  -$GB114*$HC114/12</f>
        <v>0</v>
      </c>
      <c r="FJ114" s="2042">
        <f>FI114+DI114+EI114                 -         SUMIF('Berechnung Nährstoffe und Lager'!$AX$113:$AX$155,$CX114,'Berechnung Nährstoffe und Lager'!$U$113:$U$155)/12  -$GB114*$HC114/12</f>
        <v>0</v>
      </c>
      <c r="FK114" s="2042">
        <f>FJ114+DJ114+EJ114                 -         SUMIF('Berechnung Nährstoffe und Lager'!$AX$113:$AX$155,$CX114,'Berechnung Nährstoffe und Lager'!$U$113:$U$155)/12  -$GB114*$HC114/12</f>
        <v>0</v>
      </c>
      <c r="FL114" s="2042">
        <f>FK114+DK114+EK114                 -         SUMIF('Berechnung Nährstoffe und Lager'!$AX$113:$AX$155,$CX114,'Berechnung Nährstoffe und Lager'!$U$113:$U$155)/12  -$GB114*$HC114/12</f>
        <v>0</v>
      </c>
      <c r="FM114" s="2216"/>
      <c r="FN114" s="2045">
        <f t="shared" si="196"/>
        <v>0</v>
      </c>
      <c r="FO114" s="2042">
        <f>FN114+DM114+EM114                 -         SUMIF('Berechnung Nährstoffe und Lager'!$AX$113:$AX$155,$CX114,'Berechnung Nährstoffe und Lager'!$V$113:$V$155)/12  -$GC114*$HC114/12</f>
        <v>0</v>
      </c>
      <c r="FP114" s="2042">
        <f>FO114+DN114+EN114                 -         SUMIF('Berechnung Nährstoffe und Lager'!$AX$113:$AX$155,$CX114,'Berechnung Nährstoffe und Lager'!$V$113:$V$155)/12  -$GC114*$HC114/12</f>
        <v>0</v>
      </c>
      <c r="FQ114" s="2042">
        <f>FP114+DO114+EO114                 -         SUMIF('Berechnung Nährstoffe und Lager'!$AX$113:$AX$155,$CX114,'Berechnung Nährstoffe und Lager'!$V$113:$V$155)/12  -$GC114*$HC114/12</f>
        <v>0</v>
      </c>
      <c r="FR114" s="2042">
        <f>FQ114+DP114+EP114                 -         SUMIF('Berechnung Nährstoffe und Lager'!$AX$113:$AX$155,$CX114,'Berechnung Nährstoffe und Lager'!$V$113:$V$155)/12  -$GC114*$HC114/12</f>
        <v>0</v>
      </c>
      <c r="FS114" s="2042">
        <f>FR114+DQ114+EQ114                 -         SUMIF('Berechnung Nährstoffe und Lager'!$AX$113:$AX$155,$CX114,'Berechnung Nährstoffe und Lager'!$V$113:$V$155)/12  -$GC114*$HC114/12</f>
        <v>0</v>
      </c>
      <c r="FT114" s="2042">
        <f>FS114+DR114+ER114                 -         SUMIF('Berechnung Nährstoffe und Lager'!$AX$113:$AX$155,$CX114,'Berechnung Nährstoffe und Lager'!$V$113:$V$155)/12  -$GC114*$HC114/12</f>
        <v>0</v>
      </c>
      <c r="FU114" s="2042">
        <f>FT114+DS114+ES114                 -         SUMIF('Berechnung Nährstoffe und Lager'!$AX$113:$AX$155,$CX114,'Berechnung Nährstoffe und Lager'!$V$113:$V$155)/12  -$GC114*$HC114/12</f>
        <v>0</v>
      </c>
      <c r="FV114" s="2042">
        <f>FU114+DT114+ET114                 -         SUMIF('Berechnung Nährstoffe und Lager'!$AX$113:$AX$155,$CX114,'Berechnung Nährstoffe und Lager'!$V$113:$V$155)/12  -$GC114*$HC114/12</f>
        <v>0</v>
      </c>
      <c r="FW114" s="2042">
        <f>FV114+DU114+EU114                 -         SUMIF('Berechnung Nährstoffe und Lager'!$AX$113:$AX$155,$CX114,'Berechnung Nährstoffe und Lager'!$V$113:$V$155)/12  -$GC114*$HC114/12</f>
        <v>0</v>
      </c>
      <c r="FX114" s="2042">
        <f>FW114+DV114+EV114                 -         SUMIF('Berechnung Nährstoffe und Lager'!$AX$113:$AX$155,$CX114,'Berechnung Nährstoffe und Lager'!$V$113:$V$155)/12  -$GC114*$HC114/12</f>
        <v>0</v>
      </c>
      <c r="FY114" s="2042">
        <f>FX114+DW114+EW114                 -         SUMIF('Berechnung Nährstoffe und Lager'!$AX$113:$AX$155,$CX114,'Berechnung Nährstoffe und Lager'!$V$113:$V$155)/12  -$GC114*$HC114/12</f>
        <v>0</v>
      </c>
      <c r="FZ114" s="2042">
        <f>FY114+DX114+EX114                 -         SUMIF('Berechnung Nährstoffe und Lager'!$AX$113:$AX$155,$CX114,'Berechnung Nährstoffe und Lager'!$V$113:$V$155)/12  -$GC114*$HC114/12</f>
        <v>0</v>
      </c>
      <c r="GA114" s="2216"/>
      <c r="GB114" s="2042">
        <f>SUMIFS($CI$14:$CI$68,$BR$14:$BR$68,$CX114)+SUMIFS($CM$14:$CM$68,$BR$14:$BR$68,$CX114)+SUMIFS($CR$14:$CR$68,$BR$14:$BR$68,$CX114)  -         SUMIF('Berechnung Nährstoffe und Lager'!$AX$113:$AX$155,$CX114,'Berechnung Nährstoffe und Lager'!$U$113:$U$155)</f>
        <v>0</v>
      </c>
      <c r="GC114" s="2042">
        <f>SUMIFS($CJ$14:$CJ$68,$BR$14:$BR$68,$CX114)+SUMIFS($CO$14:$CO$68,$BR$14:$BR$68,$CX114)+SUMIFS($CT$14:$CT$68,$BR$14:$BR$68,$CX114)  -         SUMIF('Berechnung Nährstoffe und Lager'!$AX$113:$AX$155,$CX114,'Berechnung Nährstoffe und Lager'!$V$113:$V$155)</f>
        <v>0</v>
      </c>
      <c r="GD114" s="2216"/>
      <c r="GE114" s="2216"/>
      <c r="GF114" s="2042">
        <f>SUMIF('Berechnung Nährstoffe und Lager'!$AX$113:$AX$155,$CX114,'Berechnung Nährstoffe und Lager'!$U$113:$U$155)</f>
        <v>0</v>
      </c>
      <c r="GG114" s="2042">
        <f>SUMIF('Berechnung Nährstoffe und Lager'!$AX$113:$AX$155,$CX114,'Berechnung Nährstoffe und Lager'!$V$113:$V$155)</f>
        <v>0</v>
      </c>
      <c r="GH114" s="2042">
        <f t="shared" si="197"/>
        <v>0</v>
      </c>
      <c r="GI114" s="2042">
        <f t="shared" si="198"/>
        <v>0</v>
      </c>
      <c r="GJ114" s="2042">
        <f t="shared" si="232"/>
        <v>0</v>
      </c>
      <c r="GK114" s="2042">
        <f t="shared" si="233"/>
        <v>0</v>
      </c>
      <c r="GL114" s="2042">
        <f t="shared" si="234"/>
        <v>0</v>
      </c>
      <c r="GM114" s="2042" cm="1">
        <f t="array" ref="GM114">IF(GL114=0,0,(IFERROR(SUMPRODUCT($J$14:$J$68,$CH$14:$CH$68,($BR$14:$BR$68=CX114)*1)+SUMPRODUCT($L$14:$L$68,$M$14:$M$68,$CK$14:$CK$68,($BR$14:$BR$68=CX114)*1,($BT$14:$BT$68=FALSE)*1)/10+SUMPRODUCT($R$14:$R$68,$CP$14:$CP$68,($BR$14:$BR$68=CX114)*1),0))/GL114)</f>
        <v>0</v>
      </c>
      <c r="GN114" s="2042">
        <f t="shared" si="199"/>
        <v>0</v>
      </c>
      <c r="GO114" s="2042">
        <f>(SUMIF('Berechnung Nährstoffe und Lager'!$AX$113:$AX$130,'Lagerhaltung (freiwillig)'!CX114,'Berechnung Nährstoffe und Lager'!$D$113:$D$130)+SUMIF('Berechnung Nährstoffe und Lager'!$AX$137:$AX$155,'Lagerhaltung (freiwillig)'!CX114,'Berechnung Nährstoffe und Lager'!$E$137:$E$155))</f>
        <v>0</v>
      </c>
      <c r="GP114" s="2042" cm="1">
        <f t="array" ref="GP114">IF(GO114=0,0,(IFERROR(SUMPRODUCT('Berechnung Nährstoffe und Lager'!$D$113:$D$130,'Berechnung Nährstoffe und Lager'!$F$113:$F$130,('Berechnung Nährstoffe und Lager'!$AX$113:$AX$130='Lagerhaltung (freiwillig)'!CX114)*1)+SUMPRODUCT('Berechnung Nährstoffe und Lager'!$E$137:$E$155,'Berechnung Nährstoffe und Lager'!$F$137:$F$155,('Berechnung Nährstoffe und Lager'!$AX$137:$AX$155='Lagerhaltung (freiwillig)'!CX114)*1),0))/GO114)</f>
        <v>0</v>
      </c>
      <c r="GQ114" s="2042">
        <f t="shared" si="200"/>
        <v>0</v>
      </c>
      <c r="GR114" s="2042">
        <f t="shared" si="201"/>
        <v>0</v>
      </c>
      <c r="GS114" s="2042">
        <f t="shared" si="202"/>
        <v>0</v>
      </c>
      <c r="GT114" s="2042">
        <f t="shared" si="203"/>
        <v>0</v>
      </c>
      <c r="GU114" s="2253" t="str">
        <f t="shared" si="175"/>
        <v xml:space="preserve"> </v>
      </c>
      <c r="GV114" s="2253" t="str">
        <f t="shared" si="175"/>
        <v xml:space="preserve"> </v>
      </c>
      <c r="GW114" s="2054">
        <f t="shared" si="235"/>
        <v>0</v>
      </c>
      <c r="GX114" s="2042">
        <f t="shared" si="236"/>
        <v>0</v>
      </c>
      <c r="GY114" s="2042" t="str">
        <f t="shared" si="229"/>
        <v>a</v>
      </c>
      <c r="GZ114" s="2067">
        <f t="shared" si="237"/>
        <v>0</v>
      </c>
      <c r="HA114" s="2067">
        <f t="shared" si="238"/>
        <v>0</v>
      </c>
      <c r="HB114" s="2254"/>
      <c r="HC114" s="2046">
        <f t="shared" si="239"/>
        <v>0</v>
      </c>
      <c r="HD114" s="2055">
        <f t="shared" si="240"/>
        <v>0</v>
      </c>
      <c r="HE114" s="2067">
        <f t="shared" si="241"/>
        <v>0</v>
      </c>
      <c r="HF114" s="2055">
        <f t="shared" si="242"/>
        <v>0</v>
      </c>
      <c r="HG114" s="2282" cm="1">
        <f t="array" ref="HG114">IF(AND(HE114=0,GJ114=0),0,IF(HE114=0,1,IF(OR(GJ114*1000/HE114/HF114&gt;INDEX(Pflanzen!$AD$5:$AD$109,CX114)/INDEX(Pflanzen!$M$5:$M$109,CX114)*$HG$2,GJ114*1000/HE114/HF114&lt;INDEX(Pflanzen!$AD$5:$AD$109,CX114)/INDEX(Pflanzen!$M$5:$M$109,CX114)/$HG$2),1,0)))</f>
        <v>0</v>
      </c>
      <c r="HH114" s="2282" cm="1">
        <f t="array" ref="HH114">IF(AND(GK114=0,HE114=0),0,IF(HE114=0,1,IF(OR(GK114*1000/HE114/HF114&gt;INDEX(Pflanzen!$AE$5:$AE$109,CX114)/INDEX(Pflanzen!$M$5:$M$109,CX114)*$HG$2,GK114*1000/HE114/HF114&lt;INDEX(Pflanzen!$AE$5:$AE$109,CX114)/INDEX(Pflanzen!$M$5:$M$109,CX114)/$HG$2),1,0)))</f>
        <v>0</v>
      </c>
      <c r="HI114" s="2062">
        <f t="shared" si="243"/>
        <v>3</v>
      </c>
      <c r="HJ114" s="2216"/>
      <c r="HL114" s="2042"/>
      <c r="HM114" s="2042"/>
      <c r="HN114" s="2042"/>
      <c r="HO114" s="2042"/>
      <c r="HP114" s="2042"/>
      <c r="HQ114" s="2042"/>
      <c r="HR114" s="2042"/>
      <c r="HS114" s="2042"/>
      <c r="HT114" s="2042"/>
      <c r="HU114" s="2042"/>
      <c r="HV114" s="2042"/>
      <c r="HW114" s="2042"/>
      <c r="HX114" s="2042"/>
      <c r="HY114" s="2042"/>
      <c r="HZ114" s="2042"/>
      <c r="IA114" s="2042"/>
      <c r="IB114" s="2042"/>
      <c r="IC114" s="2042"/>
      <c r="ID114" s="2042"/>
      <c r="IE114" s="2042"/>
      <c r="IF114" s="2042"/>
      <c r="IG114" s="2042"/>
      <c r="IH114" s="2042"/>
      <c r="II114" s="2042"/>
      <c r="IJ114" s="2042"/>
    </row>
    <row r="115" spans="25:244" ht="15.75" customHeight="1" x14ac:dyDescent="0.2">
      <c r="Y115" s="2005" t="str" cm="1">
        <f t="array" ref="Y115">IFERROR(INDEX($CW$4:$CW$171,AY115),"")</f>
        <v/>
      </c>
      <c r="Z115" s="510"/>
      <c r="AA115" s="510"/>
      <c r="AB115" s="510"/>
      <c r="AC115" s="2031" t="str" cm="1">
        <f t="array" ref="AC115">IFERROR(INDEX($GL$4:$GL$171,AY115),"")</f>
        <v/>
      </c>
      <c r="AD115" s="2031" t="str" cm="1">
        <f t="array" ref="AD115">IFERROR(INDEX($GM$4:$GM$171,AY115),"")</f>
        <v/>
      </c>
      <c r="AE115" s="2031" t="str" cm="1">
        <f t="array" ref="AE115">IFERROR(INDEX($GH$4:$GH$171,AY115),"")</f>
        <v/>
      </c>
      <c r="AF115" s="2031" t="str" cm="1">
        <f t="array" ref="AF115">IFERROR(INDEX($GI$4:$GI$171,AY115),"")</f>
        <v/>
      </c>
      <c r="AG115" s="2031" t="str" cm="1">
        <f t="array" ref="AG115">IFERROR(INDEX($GO$4:$GO$171,AY115),"")</f>
        <v/>
      </c>
      <c r="AH115" s="2031" t="str" cm="1">
        <f t="array" ref="AH115">IFERROR(INDEX($GP$4:$GP$171,AY115),"")</f>
        <v/>
      </c>
      <c r="AI115" s="2031" t="str" cm="1">
        <f t="array" ref="AI115">IFERROR(INDEX($GF$4:$GF$171,AY115),"")</f>
        <v/>
      </c>
      <c r="AJ115" s="2031" t="str" cm="1">
        <f t="array" ref="AJ115">IFERROR(INDEX($GG$4:$GG$171,AY115),"")</f>
        <v/>
      </c>
      <c r="AK115" s="2031" t="str" cm="1">
        <f t="array" ref="AK115">IFERROR(INDEX($GS$4:$GS$171,AY115),"")</f>
        <v/>
      </c>
      <c r="AL115" s="2032" t="str" cm="1">
        <f t="array" ref="AL115">IFERROR(INDEX($GT$4:$GT$171,AY115),"")</f>
        <v/>
      </c>
      <c r="AM115" s="2031" t="str" cm="1">
        <f t="array" ref="AM115">IFERROR(INDEX($GB$4:$GB$171,AY115),"")</f>
        <v/>
      </c>
      <c r="AN115" s="2031" t="str" cm="1">
        <f t="array" ref="AN115">IFERROR(INDEX($GC$4:$GC$171,AY115),"")</f>
        <v/>
      </c>
      <c r="AO115" s="2031" t="str" cm="1">
        <f t="array" ref="AO115">IFERROR(INDEX($GU$4:$GU$171,AY115),"")</f>
        <v/>
      </c>
      <c r="AP115" s="2031" t="str" cm="1">
        <f t="array" ref="AP115">IFERROR(INDEX($GX$4:$GX$171,AY115),"")</f>
        <v/>
      </c>
      <c r="AQ115" s="1316"/>
      <c r="AR115" s="2031" t="str" cm="1">
        <f t="array" ref="AR115">IFERROR(INDEX($HD$4:$HD$171,AY115),"")</f>
        <v/>
      </c>
      <c r="AS115" s="2031" t="str" cm="1">
        <f t="array" ref="AS115">IFERROR(INDEX($HE$4:$HE$171,AY115),"")</f>
        <v/>
      </c>
      <c r="AT115" s="2031" t="str" cm="1">
        <f t="array" ref="AT115">IFERROR(INDEX($HF$4:$HF$171,AY115),"")</f>
        <v/>
      </c>
      <c r="AU115" s="2031" t="str" cm="1">
        <f t="array" ref="AU115">IFERROR(INDEX($GJ$4:$GJ$171,AY115),"")</f>
        <v/>
      </c>
      <c r="AV115" s="2031" t="str" cm="1">
        <f t="array" ref="AV115">IFERROR(INDEX($GK$4:$GK$171,AY115),"")</f>
        <v/>
      </c>
      <c r="AY115" s="2042" t="str" cm="1">
        <f t="array" ref="AY115">IFERROR(SMALL(IF($HI$4:$HI$171=1,ROW($HI$4:$HI$171)-3),ROW(W100)),IFERROR(SMALL(IF($HI$4:$HI$171=2,ROW($HI$4:$HI$171)-3),ROW(W100)-COUNTIF($HI$4:$HI$171,1)),IFERROR(SMALL(IF($HI$4:$HI$171=0,ROW($HI$4:$HI$171)-3),ROW(W100)-COUNTIF($HI$4:$HI$171,1)-COUNTIF($HI$4:$HI$171,2)),"")))</f>
        <v/>
      </c>
      <c r="AZ115" s="2042" t="str">
        <f t="shared" si="215"/>
        <v>a</v>
      </c>
      <c r="BA115" s="2053" t="e">
        <f t="shared" si="226"/>
        <v>#VALUE!</v>
      </c>
      <c r="BB115" s="2053" cm="1">
        <f t="array" ref="BB115">IFERROR(INDEX($HI$4:$HI$171,AY115),0)</f>
        <v>0</v>
      </c>
      <c r="BC115" s="2053">
        <f t="shared" si="227"/>
        <v>0</v>
      </c>
      <c r="BD115" s="2053"/>
      <c r="BE115" s="2307"/>
      <c r="BF115" s="2307"/>
      <c r="BG115" s="2307"/>
      <c r="BH115" s="2307"/>
      <c r="BI115" s="2307"/>
      <c r="BJ115" s="2307"/>
      <c r="BK115" s="2307"/>
      <c r="BL115" s="2307"/>
      <c r="BM115" s="2307"/>
      <c r="BN115" s="2307"/>
      <c r="BO115" s="2307"/>
      <c r="BP115" s="2043"/>
      <c r="BQ115" s="2042"/>
      <c r="BR115" s="2042"/>
      <c r="BS115" s="2042"/>
      <c r="BT115" s="2042"/>
      <c r="BU115" s="2059"/>
      <c r="BV115" s="2277"/>
      <c r="BW115" s="2277"/>
      <c r="BX115" s="2277"/>
      <c r="BY115" s="2277"/>
      <c r="BZ115" s="2277"/>
      <c r="CA115" s="2277"/>
      <c r="CB115" s="2277"/>
      <c r="CC115" s="2277"/>
      <c r="CD115" s="2277"/>
      <c r="CE115" s="2277"/>
      <c r="CF115" s="2277"/>
      <c r="CG115" s="2277"/>
      <c r="CH115" s="2277"/>
      <c r="CI115" s="2277"/>
      <c r="CJ115" s="2277"/>
      <c r="CK115" s="2277"/>
      <c r="CL115" s="2042"/>
      <c r="CM115" s="2042"/>
      <c r="CN115" s="2042"/>
      <c r="CO115" s="2042"/>
      <c r="CP115" s="2042"/>
      <c r="CQ115" s="2042"/>
      <c r="CR115" s="2042"/>
      <c r="CS115" s="2042"/>
      <c r="CT115" s="2042"/>
      <c r="CU115" s="2042"/>
      <c r="CV115" s="2042"/>
      <c r="CW115" s="609" t="str">
        <f>Pflanzen!A111</f>
        <v>Pekingenten- und Gänsemist</v>
      </c>
      <c r="CX115" s="2042">
        <f>IFERROR(MATCH($CW115,Pflanzen!$C$5:$C$119,0),1)</f>
        <v>101</v>
      </c>
      <c r="CY115" s="609" cm="1">
        <f t="array" ref="CY115">INDEX(Pflanzen!$I$5:$I$119,'Lagerhaltung (freiwillig)'!CX115)</f>
        <v>0</v>
      </c>
      <c r="CZ115" s="2042">
        <f t="shared" si="244"/>
        <v>0</v>
      </c>
      <c r="DA115" s="2042">
        <f t="shared" si="244"/>
        <v>0</v>
      </c>
      <c r="DB115" s="2042">
        <f t="shared" si="244"/>
        <v>0</v>
      </c>
      <c r="DC115" s="2042">
        <f t="shared" si="244"/>
        <v>0</v>
      </c>
      <c r="DD115" s="2042">
        <f t="shared" si="244"/>
        <v>0</v>
      </c>
      <c r="DE115" s="2042">
        <f t="shared" si="244"/>
        <v>0</v>
      </c>
      <c r="DF115" s="2042">
        <f t="shared" si="244"/>
        <v>0</v>
      </c>
      <c r="DG115" s="2042">
        <f t="shared" si="244"/>
        <v>0</v>
      </c>
      <c r="DH115" s="2042">
        <f t="shared" si="244"/>
        <v>0</v>
      </c>
      <c r="DI115" s="2042">
        <f t="shared" si="244"/>
        <v>0</v>
      </c>
      <c r="DJ115" s="2042">
        <f t="shared" si="244"/>
        <v>0</v>
      </c>
      <c r="DK115" s="2042">
        <f t="shared" si="244"/>
        <v>0</v>
      </c>
      <c r="DL115" s="2216"/>
      <c r="DM115" s="2042">
        <f t="shared" si="165"/>
        <v>0</v>
      </c>
      <c r="DN115" s="2042">
        <f t="shared" si="230"/>
        <v>0</v>
      </c>
      <c r="DO115" s="2042">
        <f t="shared" si="230"/>
        <v>0</v>
      </c>
      <c r="DP115" s="2042">
        <f t="shared" si="230"/>
        <v>0</v>
      </c>
      <c r="DQ115" s="2042">
        <f t="shared" si="230"/>
        <v>0</v>
      </c>
      <c r="DR115" s="2042">
        <f t="shared" si="230"/>
        <v>0</v>
      </c>
      <c r="DS115" s="2042">
        <f t="shared" si="230"/>
        <v>0</v>
      </c>
      <c r="DT115" s="2042">
        <f t="shared" si="230"/>
        <v>0</v>
      </c>
      <c r="DU115" s="2042">
        <f t="shared" si="230"/>
        <v>0</v>
      </c>
      <c r="DV115" s="2042">
        <f t="shared" si="230"/>
        <v>0</v>
      </c>
      <c r="DW115" s="2042">
        <f t="shared" si="230"/>
        <v>0</v>
      </c>
      <c r="DX115" s="2042">
        <f t="shared" si="230"/>
        <v>0</v>
      </c>
      <c r="DY115" s="2216"/>
      <c r="DZ115" s="2042">
        <f t="shared" si="245"/>
        <v>0</v>
      </c>
      <c r="EA115" s="2042">
        <f t="shared" si="245"/>
        <v>0</v>
      </c>
      <c r="EB115" s="2042">
        <f t="shared" si="245"/>
        <v>0</v>
      </c>
      <c r="EC115" s="2042">
        <f t="shared" si="245"/>
        <v>0</v>
      </c>
      <c r="ED115" s="2042">
        <f t="shared" si="245"/>
        <v>0</v>
      </c>
      <c r="EE115" s="2042">
        <f t="shared" si="245"/>
        <v>0</v>
      </c>
      <c r="EF115" s="2042">
        <f t="shared" si="245"/>
        <v>0</v>
      </c>
      <c r="EG115" s="2042">
        <f t="shared" si="245"/>
        <v>0</v>
      </c>
      <c r="EH115" s="2042">
        <f t="shared" si="245"/>
        <v>0</v>
      </c>
      <c r="EI115" s="2042">
        <f t="shared" si="245"/>
        <v>0</v>
      </c>
      <c r="EJ115" s="2042">
        <f t="shared" si="245"/>
        <v>0</v>
      </c>
      <c r="EK115" s="2042">
        <f t="shared" si="245"/>
        <v>0</v>
      </c>
      <c r="EL115" s="2216"/>
      <c r="EM115" s="2042">
        <f t="shared" si="167"/>
        <v>0</v>
      </c>
      <c r="EN115" s="2042">
        <f t="shared" si="231"/>
        <v>0</v>
      </c>
      <c r="EO115" s="2042">
        <f t="shared" si="231"/>
        <v>0</v>
      </c>
      <c r="EP115" s="2042">
        <f t="shared" si="231"/>
        <v>0</v>
      </c>
      <c r="EQ115" s="2042">
        <f t="shared" si="231"/>
        <v>0</v>
      </c>
      <c r="ER115" s="2042">
        <f t="shared" si="231"/>
        <v>0</v>
      </c>
      <c r="ES115" s="2042">
        <f t="shared" si="231"/>
        <v>0</v>
      </c>
      <c r="ET115" s="2042">
        <f t="shared" si="231"/>
        <v>0</v>
      </c>
      <c r="EU115" s="2042">
        <f t="shared" si="231"/>
        <v>0</v>
      </c>
      <c r="EV115" s="2042">
        <f t="shared" si="231"/>
        <v>0</v>
      </c>
      <c r="EW115" s="2042">
        <f t="shared" si="231"/>
        <v>0</v>
      </c>
      <c r="EX115" s="2042">
        <f t="shared" si="231"/>
        <v>0</v>
      </c>
      <c r="EY115" s="2216"/>
      <c r="EZ115" s="2045">
        <f t="shared" si="195"/>
        <v>0</v>
      </c>
      <c r="FA115" s="2042">
        <f>EZ115+CZ115+DZ115                 -         SUMIF('Berechnung Nährstoffe und Lager'!$AX$113:$AX$155,$CX115,'Berechnung Nährstoffe und Lager'!$U$113:$U$155)/12  -$GB115*$HC115/12</f>
        <v>0</v>
      </c>
      <c r="FB115" s="2042">
        <f>FA115+DA115+EA115                 -         SUMIF('Berechnung Nährstoffe und Lager'!$AX$113:$AX$155,$CX115,'Berechnung Nährstoffe und Lager'!$U$113:$U$155)/12  -$GB115*$HC115/12</f>
        <v>0</v>
      </c>
      <c r="FC115" s="2042">
        <f>FB115+DB115+EB115                 -         SUMIF('Berechnung Nährstoffe und Lager'!$AX$113:$AX$155,$CX115,'Berechnung Nährstoffe und Lager'!$U$113:$U$155)/12  -$GB115*$HC115/12</f>
        <v>0</v>
      </c>
      <c r="FD115" s="2042">
        <f>FC115+DC115+EC115                 -         SUMIF('Berechnung Nährstoffe und Lager'!$AX$113:$AX$155,$CX115,'Berechnung Nährstoffe und Lager'!$U$113:$U$155)/12  -$GB115*$HC115/12</f>
        <v>0</v>
      </c>
      <c r="FE115" s="2042">
        <f>FD115+DD115+ED115                 -         SUMIF('Berechnung Nährstoffe und Lager'!$AX$113:$AX$155,$CX115,'Berechnung Nährstoffe und Lager'!$U$113:$U$155)/12  -$GB115*$HC115/12</f>
        <v>0</v>
      </c>
      <c r="FF115" s="2042">
        <f>FE115+DE115+EE115                 -         SUMIF('Berechnung Nährstoffe und Lager'!$AX$113:$AX$155,$CX115,'Berechnung Nährstoffe und Lager'!$U$113:$U$155)/12  -$GB115*$HC115/12</f>
        <v>0</v>
      </c>
      <c r="FG115" s="2042">
        <f>FF115+DF115+EF115                 -         SUMIF('Berechnung Nährstoffe und Lager'!$AX$113:$AX$155,$CX115,'Berechnung Nährstoffe und Lager'!$U$113:$U$155)/12  -$GB115*$HC115/12</f>
        <v>0</v>
      </c>
      <c r="FH115" s="2042">
        <f>FG115+DG115+EG115                 -         SUMIF('Berechnung Nährstoffe und Lager'!$AX$113:$AX$155,$CX115,'Berechnung Nährstoffe und Lager'!$U$113:$U$155)/12  -$GB115*$HC115/12</f>
        <v>0</v>
      </c>
      <c r="FI115" s="2042">
        <f>FH115+DH115+EH115                 -         SUMIF('Berechnung Nährstoffe und Lager'!$AX$113:$AX$155,$CX115,'Berechnung Nährstoffe und Lager'!$U$113:$U$155)/12  -$GB115*$HC115/12</f>
        <v>0</v>
      </c>
      <c r="FJ115" s="2042">
        <f>FI115+DI115+EI115                 -         SUMIF('Berechnung Nährstoffe und Lager'!$AX$113:$AX$155,$CX115,'Berechnung Nährstoffe und Lager'!$U$113:$U$155)/12  -$GB115*$HC115/12</f>
        <v>0</v>
      </c>
      <c r="FK115" s="2042">
        <f>FJ115+DJ115+EJ115                 -         SUMIF('Berechnung Nährstoffe und Lager'!$AX$113:$AX$155,$CX115,'Berechnung Nährstoffe und Lager'!$U$113:$U$155)/12  -$GB115*$HC115/12</f>
        <v>0</v>
      </c>
      <c r="FL115" s="2042">
        <f>FK115+DK115+EK115                 -         SUMIF('Berechnung Nährstoffe und Lager'!$AX$113:$AX$155,$CX115,'Berechnung Nährstoffe und Lager'!$U$113:$U$155)/12  -$GB115*$HC115/12</f>
        <v>0</v>
      </c>
      <c r="FM115" s="2216"/>
      <c r="FN115" s="2045">
        <f t="shared" si="196"/>
        <v>0</v>
      </c>
      <c r="FO115" s="2042">
        <f>FN115+DM115+EM115                 -         SUMIF('Berechnung Nährstoffe und Lager'!$AX$113:$AX$155,$CX115,'Berechnung Nährstoffe und Lager'!$V$113:$V$155)/12  -$GC115*$HC115/12</f>
        <v>0</v>
      </c>
      <c r="FP115" s="2042">
        <f>FO115+DN115+EN115                 -         SUMIF('Berechnung Nährstoffe und Lager'!$AX$113:$AX$155,$CX115,'Berechnung Nährstoffe und Lager'!$V$113:$V$155)/12  -$GC115*$HC115/12</f>
        <v>0</v>
      </c>
      <c r="FQ115" s="2042">
        <f>FP115+DO115+EO115                 -         SUMIF('Berechnung Nährstoffe und Lager'!$AX$113:$AX$155,$CX115,'Berechnung Nährstoffe und Lager'!$V$113:$V$155)/12  -$GC115*$HC115/12</f>
        <v>0</v>
      </c>
      <c r="FR115" s="2042">
        <f>FQ115+DP115+EP115                 -         SUMIF('Berechnung Nährstoffe und Lager'!$AX$113:$AX$155,$CX115,'Berechnung Nährstoffe und Lager'!$V$113:$V$155)/12  -$GC115*$HC115/12</f>
        <v>0</v>
      </c>
      <c r="FS115" s="2042">
        <f>FR115+DQ115+EQ115                 -         SUMIF('Berechnung Nährstoffe und Lager'!$AX$113:$AX$155,$CX115,'Berechnung Nährstoffe und Lager'!$V$113:$V$155)/12  -$GC115*$HC115/12</f>
        <v>0</v>
      </c>
      <c r="FT115" s="2042">
        <f>FS115+DR115+ER115                 -         SUMIF('Berechnung Nährstoffe und Lager'!$AX$113:$AX$155,$CX115,'Berechnung Nährstoffe und Lager'!$V$113:$V$155)/12  -$GC115*$HC115/12</f>
        <v>0</v>
      </c>
      <c r="FU115" s="2042">
        <f>FT115+DS115+ES115                 -         SUMIF('Berechnung Nährstoffe und Lager'!$AX$113:$AX$155,$CX115,'Berechnung Nährstoffe und Lager'!$V$113:$V$155)/12  -$GC115*$HC115/12</f>
        <v>0</v>
      </c>
      <c r="FV115" s="2042">
        <f>FU115+DT115+ET115                 -         SUMIF('Berechnung Nährstoffe und Lager'!$AX$113:$AX$155,$CX115,'Berechnung Nährstoffe und Lager'!$V$113:$V$155)/12  -$GC115*$HC115/12</f>
        <v>0</v>
      </c>
      <c r="FW115" s="2042">
        <f>FV115+DU115+EU115                 -         SUMIF('Berechnung Nährstoffe und Lager'!$AX$113:$AX$155,$CX115,'Berechnung Nährstoffe und Lager'!$V$113:$V$155)/12  -$GC115*$HC115/12</f>
        <v>0</v>
      </c>
      <c r="FX115" s="2042">
        <f>FW115+DV115+EV115                 -         SUMIF('Berechnung Nährstoffe und Lager'!$AX$113:$AX$155,$CX115,'Berechnung Nährstoffe und Lager'!$V$113:$V$155)/12  -$GC115*$HC115/12</f>
        <v>0</v>
      </c>
      <c r="FY115" s="2042">
        <f>FX115+DW115+EW115                 -         SUMIF('Berechnung Nährstoffe und Lager'!$AX$113:$AX$155,$CX115,'Berechnung Nährstoffe und Lager'!$V$113:$V$155)/12  -$GC115*$HC115/12</f>
        <v>0</v>
      </c>
      <c r="FZ115" s="2042">
        <f>FY115+DX115+EX115                 -         SUMIF('Berechnung Nährstoffe und Lager'!$AX$113:$AX$155,$CX115,'Berechnung Nährstoffe und Lager'!$V$113:$V$155)/12  -$GC115*$HC115/12</f>
        <v>0</v>
      </c>
      <c r="GA115" s="2216"/>
      <c r="GB115" s="2042">
        <f>SUMIFS($CI$14:$CI$68,$BR$14:$BR$68,$CX115)+SUMIFS($CM$14:$CM$68,$BR$14:$BR$68,$CX115)+SUMIFS($CR$14:$CR$68,$BR$14:$BR$68,$CX115)  -         SUMIF('Berechnung Nährstoffe und Lager'!$AX$113:$AX$155,$CX115,'Berechnung Nährstoffe und Lager'!$U$113:$U$155)</f>
        <v>0</v>
      </c>
      <c r="GC115" s="2042">
        <f>SUMIFS($CJ$14:$CJ$68,$BR$14:$BR$68,$CX115)+SUMIFS($CO$14:$CO$68,$BR$14:$BR$68,$CX115)+SUMIFS($CT$14:$CT$68,$BR$14:$BR$68,$CX115)  -         SUMIF('Berechnung Nährstoffe und Lager'!$AX$113:$AX$155,$CX115,'Berechnung Nährstoffe und Lager'!$V$113:$V$155)</f>
        <v>0</v>
      </c>
      <c r="GD115" s="2216"/>
      <c r="GE115" s="2216"/>
      <c r="GF115" s="2042">
        <f>SUMIF('Berechnung Nährstoffe und Lager'!$AX$113:$AX$155,$CX115,'Berechnung Nährstoffe und Lager'!$U$113:$U$155)</f>
        <v>0</v>
      </c>
      <c r="GG115" s="2042">
        <f>SUMIF('Berechnung Nährstoffe und Lager'!$AX$113:$AX$155,$CX115,'Berechnung Nährstoffe und Lager'!$V$113:$V$155)</f>
        <v>0</v>
      </c>
      <c r="GH115" s="2042">
        <f t="shared" si="197"/>
        <v>0</v>
      </c>
      <c r="GI115" s="2042">
        <f t="shared" si="198"/>
        <v>0</v>
      </c>
      <c r="GJ115" s="2042">
        <f t="shared" si="232"/>
        <v>0</v>
      </c>
      <c r="GK115" s="2042">
        <f t="shared" si="233"/>
        <v>0</v>
      </c>
      <c r="GL115" s="2042">
        <f t="shared" si="234"/>
        <v>0</v>
      </c>
      <c r="GM115" s="2042" cm="1">
        <f t="array" ref="GM115">IF(GL115=0,0,(IFERROR(SUMPRODUCT($J$14:$J$68,$CH$14:$CH$68,($BR$14:$BR$68=CX115)*1)+SUMPRODUCT($L$14:$L$68,$M$14:$M$68,$CK$14:$CK$68,($BR$14:$BR$68=CX115)*1,($BT$14:$BT$68=FALSE)*1)/10+SUMPRODUCT($R$14:$R$68,$CP$14:$CP$68,($BR$14:$BR$68=CX115)*1),0))/GL115)</f>
        <v>0</v>
      </c>
      <c r="GN115" s="2042">
        <f t="shared" si="199"/>
        <v>0</v>
      </c>
      <c r="GO115" s="2042">
        <f>(SUMIF('Berechnung Nährstoffe und Lager'!$AX$113:$AX$130,'Lagerhaltung (freiwillig)'!CX115,'Berechnung Nährstoffe und Lager'!$D$113:$D$130)+SUMIF('Berechnung Nährstoffe und Lager'!$AX$137:$AX$155,'Lagerhaltung (freiwillig)'!CX115,'Berechnung Nährstoffe und Lager'!$E$137:$E$155))</f>
        <v>0</v>
      </c>
      <c r="GP115" s="2042" cm="1">
        <f t="array" ref="GP115">IF(GO115=0,0,(IFERROR(SUMPRODUCT('Berechnung Nährstoffe und Lager'!$D$113:$D$130,'Berechnung Nährstoffe und Lager'!$F$113:$F$130,('Berechnung Nährstoffe und Lager'!$AX$113:$AX$130='Lagerhaltung (freiwillig)'!CX115)*1)+SUMPRODUCT('Berechnung Nährstoffe und Lager'!$E$137:$E$155,'Berechnung Nährstoffe und Lager'!$F$137:$F$155,('Berechnung Nährstoffe und Lager'!$AX$137:$AX$155='Lagerhaltung (freiwillig)'!CX115)*1),0))/GO115)</f>
        <v>0</v>
      </c>
      <c r="GQ115" s="2042">
        <f t="shared" si="200"/>
        <v>0</v>
      </c>
      <c r="GR115" s="2042">
        <f t="shared" si="201"/>
        <v>0</v>
      </c>
      <c r="GS115" s="2042">
        <f t="shared" si="202"/>
        <v>0</v>
      </c>
      <c r="GT115" s="2042">
        <f t="shared" si="203"/>
        <v>0</v>
      </c>
      <c r="GU115" s="2253" t="str">
        <f t="shared" si="175"/>
        <v xml:space="preserve"> </v>
      </c>
      <c r="GV115" s="2253" t="str">
        <f t="shared" si="175"/>
        <v xml:space="preserve"> </v>
      </c>
      <c r="GW115" s="2054">
        <f t="shared" si="235"/>
        <v>0</v>
      </c>
      <c r="GX115" s="2042">
        <f t="shared" si="236"/>
        <v>0</v>
      </c>
      <c r="GY115" s="2042" t="str">
        <f t="shared" si="229"/>
        <v>a</v>
      </c>
      <c r="GZ115" s="2067">
        <f t="shared" si="237"/>
        <v>0</v>
      </c>
      <c r="HA115" s="2067">
        <f t="shared" si="238"/>
        <v>0</v>
      </c>
      <c r="HB115" s="2254"/>
      <c r="HC115" s="2046">
        <f t="shared" si="239"/>
        <v>0</v>
      </c>
      <c r="HD115" s="2055">
        <f t="shared" si="240"/>
        <v>0</v>
      </c>
      <c r="HE115" s="2067">
        <f t="shared" si="241"/>
        <v>0</v>
      </c>
      <c r="HF115" s="2055">
        <f t="shared" si="242"/>
        <v>0</v>
      </c>
      <c r="HG115" s="2282" cm="1">
        <f t="array" ref="HG115">IF(AND(HE115=0,GJ115=0),0,IF(HE115=0,1,IF(OR(GJ115*1000/HE115/HF115&gt;INDEX(Pflanzen!$AD$5:$AD$109,CX115)/INDEX(Pflanzen!$M$5:$M$109,CX115)*$HG$2,GJ115*1000/HE115/HF115&lt;INDEX(Pflanzen!$AD$5:$AD$109,CX115)/INDEX(Pflanzen!$M$5:$M$109,CX115)/$HG$2),1,0)))</f>
        <v>0</v>
      </c>
      <c r="HH115" s="2282" cm="1">
        <f t="array" ref="HH115">IF(AND(GK115=0,HE115=0),0,IF(HE115=0,1,IF(OR(GK115*1000/HE115/HF115&gt;INDEX(Pflanzen!$AE$5:$AE$109,CX115)/INDEX(Pflanzen!$M$5:$M$109,CX115)*$HG$2,GK115*1000/HE115/HF115&lt;INDEX(Pflanzen!$AE$5:$AE$109,CX115)/INDEX(Pflanzen!$M$5:$M$109,CX115)/$HG$2),1,0)))</f>
        <v>0</v>
      </c>
      <c r="HI115" s="2062">
        <f t="shared" si="243"/>
        <v>3</v>
      </c>
      <c r="HJ115" s="2216"/>
      <c r="HK115" s="1160"/>
      <c r="HL115" s="2216"/>
      <c r="HM115" s="2216"/>
      <c r="HN115" s="2216"/>
      <c r="HO115" s="2216"/>
      <c r="HP115" s="2216"/>
      <c r="HQ115" s="2216"/>
      <c r="HR115" s="2042"/>
      <c r="HS115" s="2042"/>
      <c r="HT115" s="2042"/>
      <c r="HU115" s="2042"/>
      <c r="HV115" s="2042"/>
      <c r="HW115" s="2042"/>
      <c r="HX115" s="2042"/>
      <c r="HY115" s="2042"/>
      <c r="HZ115" s="2042"/>
      <c r="IA115" s="2042"/>
      <c r="IB115" s="2042"/>
      <c r="IC115" s="2042"/>
      <c r="ID115" s="2042"/>
      <c r="IE115" s="2042"/>
      <c r="IF115" s="2042"/>
      <c r="IG115" s="2042"/>
      <c r="IH115" s="2042"/>
      <c r="II115" s="2042"/>
      <c r="IJ115" s="2042"/>
    </row>
    <row r="116" spans="25:244" ht="15.75" customHeight="1" x14ac:dyDescent="0.2">
      <c r="Y116" s="2005" t="str" cm="1">
        <f t="array" ref="Y116">IFERROR(INDEX($CW$4:$CW$171,AY116),"")</f>
        <v/>
      </c>
      <c r="Z116" s="510"/>
      <c r="AA116" s="510"/>
      <c r="AB116" s="510"/>
      <c r="AC116" s="2031" t="str" cm="1">
        <f t="array" ref="AC116">IFERROR(INDEX($GL$4:$GL$171,AY116),"")</f>
        <v/>
      </c>
      <c r="AD116" s="2031" t="str" cm="1">
        <f t="array" ref="AD116">IFERROR(INDEX($GM$4:$GM$171,AY116),"")</f>
        <v/>
      </c>
      <c r="AE116" s="2031" t="str" cm="1">
        <f t="array" ref="AE116">IFERROR(INDEX($GH$4:$GH$171,AY116),"")</f>
        <v/>
      </c>
      <c r="AF116" s="2031" t="str" cm="1">
        <f t="array" ref="AF116">IFERROR(INDEX($GI$4:$GI$171,AY116),"")</f>
        <v/>
      </c>
      <c r="AG116" s="2031" t="str" cm="1">
        <f t="array" ref="AG116">IFERROR(INDEX($GO$4:$GO$171,AY116),"")</f>
        <v/>
      </c>
      <c r="AH116" s="2031" t="str" cm="1">
        <f t="array" ref="AH116">IFERROR(INDEX($GP$4:$GP$171,AY116),"")</f>
        <v/>
      </c>
      <c r="AI116" s="2031" t="str" cm="1">
        <f t="array" ref="AI116">IFERROR(INDEX($GF$4:$GF$171,AY116),"")</f>
        <v/>
      </c>
      <c r="AJ116" s="2031" t="str" cm="1">
        <f t="array" ref="AJ116">IFERROR(INDEX($GG$4:$GG$171,AY116),"")</f>
        <v/>
      </c>
      <c r="AK116" s="2031" t="str" cm="1">
        <f t="array" ref="AK116">IFERROR(INDEX($GS$4:$GS$171,AY116),"")</f>
        <v/>
      </c>
      <c r="AL116" s="2032" t="str" cm="1">
        <f t="array" ref="AL116">IFERROR(INDEX($GT$4:$GT$171,AY116),"")</f>
        <v/>
      </c>
      <c r="AM116" s="2031" t="str" cm="1">
        <f t="array" ref="AM116">IFERROR(INDEX($GB$4:$GB$171,AY116),"")</f>
        <v/>
      </c>
      <c r="AN116" s="2031" t="str" cm="1">
        <f t="array" ref="AN116">IFERROR(INDEX($GC$4:$GC$171,AY116),"")</f>
        <v/>
      </c>
      <c r="AO116" s="2031" t="str" cm="1">
        <f t="array" ref="AO116">IFERROR(INDEX($GU$4:$GU$171,AY116),"")</f>
        <v/>
      </c>
      <c r="AP116" s="2031" t="str" cm="1">
        <f t="array" ref="AP116">IFERROR(INDEX($GX$4:$GX$171,AY116),"")</f>
        <v/>
      </c>
      <c r="AQ116" s="1316"/>
      <c r="AR116" s="2031" t="str" cm="1">
        <f t="array" ref="AR116">IFERROR(INDEX($HD$4:$HD$171,AY116),"")</f>
        <v/>
      </c>
      <c r="AS116" s="2031" t="str" cm="1">
        <f t="array" ref="AS116">IFERROR(INDEX($HE$4:$HE$171,AY116),"")</f>
        <v/>
      </c>
      <c r="AT116" s="2031" t="str" cm="1">
        <f t="array" ref="AT116">IFERROR(INDEX($HF$4:$HF$171,AY116),"")</f>
        <v/>
      </c>
      <c r="AU116" s="2031" t="str" cm="1">
        <f t="array" ref="AU116">IFERROR(INDEX($GJ$4:$GJ$171,AY116),"")</f>
        <v/>
      </c>
      <c r="AV116" s="2031" t="str" cm="1">
        <f t="array" ref="AV116">IFERROR(INDEX($GK$4:$GK$171,AY116),"")</f>
        <v/>
      </c>
      <c r="AY116" s="2042" t="str" cm="1">
        <f t="array" ref="AY116">IFERROR(SMALL(IF($HI$4:$HI$171=1,ROW($HI$4:$HI$171)-3),ROW(W101)),IFERROR(SMALL(IF($HI$4:$HI$171=2,ROW($HI$4:$HI$171)-3),ROW(W101)-COUNTIF($HI$4:$HI$171,1)),IFERROR(SMALL(IF($HI$4:$HI$171=0,ROW($HI$4:$HI$171)-3),ROW(W101)-COUNTIF($HI$4:$HI$171,1)-COUNTIF($HI$4:$HI$171,2)),"")))</f>
        <v/>
      </c>
      <c r="AZ116" s="2042" t="str">
        <f t="shared" si="215"/>
        <v>a</v>
      </c>
      <c r="BA116" s="2053" t="e">
        <f t="shared" si="226"/>
        <v>#VALUE!</v>
      </c>
      <c r="BB116" s="2053" cm="1">
        <f t="array" ref="BB116">IFERROR(INDEX($HI$4:$HI$171,AY116),0)</f>
        <v>0</v>
      </c>
      <c r="BC116" s="2053">
        <f t="shared" si="227"/>
        <v>0</v>
      </c>
      <c r="BD116" s="2053"/>
      <c r="BE116" s="2307"/>
      <c r="BF116" s="2307"/>
      <c r="BG116" s="2307"/>
      <c r="BH116" s="2307"/>
      <c r="BI116" s="2307"/>
      <c r="BJ116" s="2307"/>
      <c r="BK116" s="2307"/>
      <c r="BL116" s="2307"/>
      <c r="BM116" s="2307"/>
      <c r="BN116" s="2307"/>
      <c r="BO116" s="2307"/>
      <c r="BP116" s="2043"/>
      <c r="BQ116" s="2042"/>
      <c r="BR116" s="2042"/>
      <c r="BS116" s="2042"/>
      <c r="BT116" s="2042"/>
      <c r="BU116" s="2059"/>
      <c r="BV116" s="2277"/>
      <c r="BW116" s="2277"/>
      <c r="BX116" s="2277"/>
      <c r="BY116" s="2277"/>
      <c r="BZ116" s="2277"/>
      <c r="CA116" s="2277"/>
      <c r="CB116" s="2277"/>
      <c r="CC116" s="2277"/>
      <c r="CD116" s="2277"/>
      <c r="CE116" s="2277"/>
      <c r="CF116" s="2277"/>
      <c r="CG116" s="2277"/>
      <c r="CH116" s="2277"/>
      <c r="CI116" s="2277"/>
      <c r="CJ116" s="2277"/>
      <c r="CK116" s="2277"/>
      <c r="CL116" s="2042"/>
      <c r="CM116" s="2042"/>
      <c r="CN116" s="2042"/>
      <c r="CO116" s="2042"/>
      <c r="CP116" s="2042"/>
      <c r="CQ116" s="2042"/>
      <c r="CR116" s="2042"/>
      <c r="CS116" s="2042"/>
      <c r="CT116" s="2042"/>
      <c r="CU116" s="2042"/>
      <c r="CV116" s="2042"/>
      <c r="CW116" s="609" t="str">
        <f>Pflanzen!A112</f>
        <v>Flugentenmist</v>
      </c>
      <c r="CX116" s="2042">
        <f>IFERROR(MATCH($CW116,Pflanzen!$C$5:$C$119,0),1)</f>
        <v>102</v>
      </c>
      <c r="CY116" s="609" cm="1">
        <f t="array" ref="CY116">INDEX(Pflanzen!$I$5:$I$119,'Lagerhaltung (freiwillig)'!CX116)</f>
        <v>0</v>
      </c>
      <c r="CZ116" s="2042">
        <f t="shared" si="244"/>
        <v>0</v>
      </c>
      <c r="DA116" s="2042">
        <f t="shared" si="244"/>
        <v>0</v>
      </c>
      <c r="DB116" s="2042">
        <f t="shared" si="244"/>
        <v>0</v>
      </c>
      <c r="DC116" s="2042">
        <f t="shared" si="244"/>
        <v>0</v>
      </c>
      <c r="DD116" s="2042">
        <f t="shared" si="244"/>
        <v>0</v>
      </c>
      <c r="DE116" s="2042">
        <f t="shared" si="244"/>
        <v>0</v>
      </c>
      <c r="DF116" s="2042">
        <f t="shared" si="244"/>
        <v>0</v>
      </c>
      <c r="DG116" s="2042">
        <f t="shared" si="244"/>
        <v>0</v>
      </c>
      <c r="DH116" s="2042">
        <f t="shared" si="244"/>
        <v>0</v>
      </c>
      <c r="DI116" s="2042">
        <f t="shared" si="244"/>
        <v>0</v>
      </c>
      <c r="DJ116" s="2042">
        <f t="shared" si="244"/>
        <v>0</v>
      </c>
      <c r="DK116" s="2042">
        <f t="shared" si="244"/>
        <v>0</v>
      </c>
      <c r="DL116" s="2216"/>
      <c r="DM116" s="2042">
        <f t="shared" si="165"/>
        <v>0</v>
      </c>
      <c r="DN116" s="2042">
        <f t="shared" ref="DN116:DX121" si="246">SUMIFS($CS$14:$CS$68,$BW$14:$BW$68,1,$BX$14:$BX$68,DN$2,$BR$14:$BR$68,$CX116)+    SUMIFS($CS$14:$CS$68,$BW$14:$BW$68,"&gt;1",$BX$14:$BX$68,"&lt;="&amp;DN$2,$BY$14:$BY$68,"&gt;="&amp;DN$2,$BR$14:$BR$68,$CX116)</f>
        <v>0</v>
      </c>
      <c r="DO116" s="2042">
        <f t="shared" si="246"/>
        <v>0</v>
      </c>
      <c r="DP116" s="2042">
        <f t="shared" si="246"/>
        <v>0</v>
      </c>
      <c r="DQ116" s="2042">
        <f t="shared" si="246"/>
        <v>0</v>
      </c>
      <c r="DR116" s="2042">
        <f t="shared" si="246"/>
        <v>0</v>
      </c>
      <c r="DS116" s="2042">
        <f t="shared" si="246"/>
        <v>0</v>
      </c>
      <c r="DT116" s="2042">
        <f t="shared" si="246"/>
        <v>0</v>
      </c>
      <c r="DU116" s="2042">
        <f t="shared" si="246"/>
        <v>0</v>
      </c>
      <c r="DV116" s="2042">
        <f t="shared" si="246"/>
        <v>0</v>
      </c>
      <c r="DW116" s="2042">
        <f t="shared" si="246"/>
        <v>0</v>
      </c>
      <c r="DX116" s="2042">
        <f t="shared" si="246"/>
        <v>0</v>
      </c>
      <c r="DY116" s="2216"/>
      <c r="DZ116" s="2042">
        <f t="shared" si="245"/>
        <v>0</v>
      </c>
      <c r="EA116" s="2042">
        <f t="shared" si="245"/>
        <v>0</v>
      </c>
      <c r="EB116" s="2042">
        <f t="shared" si="245"/>
        <v>0</v>
      </c>
      <c r="EC116" s="2042">
        <f t="shared" si="245"/>
        <v>0</v>
      </c>
      <c r="ED116" s="2042">
        <f t="shared" si="245"/>
        <v>0</v>
      </c>
      <c r="EE116" s="2042">
        <f t="shared" si="245"/>
        <v>0</v>
      </c>
      <c r="EF116" s="2042">
        <f t="shared" si="245"/>
        <v>0</v>
      </c>
      <c r="EG116" s="2042">
        <f t="shared" si="245"/>
        <v>0</v>
      </c>
      <c r="EH116" s="2042">
        <f t="shared" si="245"/>
        <v>0</v>
      </c>
      <c r="EI116" s="2042">
        <f t="shared" si="245"/>
        <v>0</v>
      </c>
      <c r="EJ116" s="2042">
        <f t="shared" si="245"/>
        <v>0</v>
      </c>
      <c r="EK116" s="2042">
        <f t="shared" si="245"/>
        <v>0</v>
      </c>
      <c r="EL116" s="2216"/>
      <c r="EM116" s="2042">
        <f t="shared" si="167"/>
        <v>0</v>
      </c>
      <c r="EN116" s="2042">
        <f t="shared" ref="EN116:EX121" si="247">SUMIFS($CN$14:$CN$68,$CC$14:$CC$68,1,$CD$14:$CD$68,EN$2,$BR$14:$BR$68,$CX116)+         SUMIFS($CN$14:$CN$68,$CC$14:$CC$68,"&gt;1",$CD$14:$CD$68,"&lt;="&amp;EN$2,$CE$14:$CE$68,"&gt;="&amp;EN$2,$BR$14:$BR$68,$CX116)</f>
        <v>0</v>
      </c>
      <c r="EO116" s="2042">
        <f t="shared" si="247"/>
        <v>0</v>
      </c>
      <c r="EP116" s="2042">
        <f t="shared" si="247"/>
        <v>0</v>
      </c>
      <c r="EQ116" s="2042">
        <f t="shared" si="247"/>
        <v>0</v>
      </c>
      <c r="ER116" s="2042">
        <f t="shared" si="247"/>
        <v>0</v>
      </c>
      <c r="ES116" s="2042">
        <f t="shared" si="247"/>
        <v>0</v>
      </c>
      <c r="ET116" s="2042">
        <f t="shared" si="247"/>
        <v>0</v>
      </c>
      <c r="EU116" s="2042">
        <f t="shared" si="247"/>
        <v>0</v>
      </c>
      <c r="EV116" s="2042">
        <f t="shared" si="247"/>
        <v>0</v>
      </c>
      <c r="EW116" s="2042">
        <f t="shared" si="247"/>
        <v>0</v>
      </c>
      <c r="EX116" s="2042">
        <f t="shared" si="247"/>
        <v>0</v>
      </c>
      <c r="EY116" s="2216"/>
      <c r="EZ116" s="2045">
        <f t="shared" si="195"/>
        <v>0</v>
      </c>
      <c r="FA116" s="2042">
        <f>EZ116+CZ116+DZ116                 -         SUMIF('Berechnung Nährstoffe und Lager'!$AX$113:$AX$155,$CX116,'Berechnung Nährstoffe und Lager'!$U$113:$U$155)/12  -$GB116*$HC116/12</f>
        <v>0</v>
      </c>
      <c r="FB116" s="2042">
        <f>FA116+DA116+EA116                 -         SUMIF('Berechnung Nährstoffe und Lager'!$AX$113:$AX$155,$CX116,'Berechnung Nährstoffe und Lager'!$U$113:$U$155)/12  -$GB116*$HC116/12</f>
        <v>0</v>
      </c>
      <c r="FC116" s="2042">
        <f>FB116+DB116+EB116                 -         SUMIF('Berechnung Nährstoffe und Lager'!$AX$113:$AX$155,$CX116,'Berechnung Nährstoffe und Lager'!$U$113:$U$155)/12  -$GB116*$HC116/12</f>
        <v>0</v>
      </c>
      <c r="FD116" s="2042">
        <f>FC116+DC116+EC116                 -         SUMIF('Berechnung Nährstoffe und Lager'!$AX$113:$AX$155,$CX116,'Berechnung Nährstoffe und Lager'!$U$113:$U$155)/12  -$GB116*$HC116/12</f>
        <v>0</v>
      </c>
      <c r="FE116" s="2042">
        <f>FD116+DD116+ED116                 -         SUMIF('Berechnung Nährstoffe und Lager'!$AX$113:$AX$155,$CX116,'Berechnung Nährstoffe und Lager'!$U$113:$U$155)/12  -$GB116*$HC116/12</f>
        <v>0</v>
      </c>
      <c r="FF116" s="2042">
        <f>FE116+DE116+EE116                 -         SUMIF('Berechnung Nährstoffe und Lager'!$AX$113:$AX$155,$CX116,'Berechnung Nährstoffe und Lager'!$U$113:$U$155)/12  -$GB116*$HC116/12</f>
        <v>0</v>
      </c>
      <c r="FG116" s="2042">
        <f>FF116+DF116+EF116                 -         SUMIF('Berechnung Nährstoffe und Lager'!$AX$113:$AX$155,$CX116,'Berechnung Nährstoffe und Lager'!$U$113:$U$155)/12  -$GB116*$HC116/12</f>
        <v>0</v>
      </c>
      <c r="FH116" s="2042">
        <f>FG116+DG116+EG116                 -         SUMIF('Berechnung Nährstoffe und Lager'!$AX$113:$AX$155,$CX116,'Berechnung Nährstoffe und Lager'!$U$113:$U$155)/12  -$GB116*$HC116/12</f>
        <v>0</v>
      </c>
      <c r="FI116" s="2042">
        <f>FH116+DH116+EH116                 -         SUMIF('Berechnung Nährstoffe und Lager'!$AX$113:$AX$155,$CX116,'Berechnung Nährstoffe und Lager'!$U$113:$U$155)/12  -$GB116*$HC116/12</f>
        <v>0</v>
      </c>
      <c r="FJ116" s="2042">
        <f>FI116+DI116+EI116                 -         SUMIF('Berechnung Nährstoffe und Lager'!$AX$113:$AX$155,$CX116,'Berechnung Nährstoffe und Lager'!$U$113:$U$155)/12  -$GB116*$HC116/12</f>
        <v>0</v>
      </c>
      <c r="FK116" s="2042">
        <f>FJ116+DJ116+EJ116                 -         SUMIF('Berechnung Nährstoffe und Lager'!$AX$113:$AX$155,$CX116,'Berechnung Nährstoffe und Lager'!$U$113:$U$155)/12  -$GB116*$HC116/12</f>
        <v>0</v>
      </c>
      <c r="FL116" s="2042">
        <f>FK116+DK116+EK116                 -         SUMIF('Berechnung Nährstoffe und Lager'!$AX$113:$AX$155,$CX116,'Berechnung Nährstoffe und Lager'!$U$113:$U$155)/12  -$GB116*$HC116/12</f>
        <v>0</v>
      </c>
      <c r="FM116" s="2216"/>
      <c r="FN116" s="2045">
        <f t="shared" si="196"/>
        <v>0</v>
      </c>
      <c r="FO116" s="2042">
        <f>FN116+DM116+EM116                 -         SUMIF('Berechnung Nährstoffe und Lager'!$AX$113:$AX$155,$CX116,'Berechnung Nährstoffe und Lager'!$V$113:$V$155)/12  -$GC116*$HC116/12</f>
        <v>0</v>
      </c>
      <c r="FP116" s="2042">
        <f>FO116+DN116+EN116                 -         SUMIF('Berechnung Nährstoffe und Lager'!$AX$113:$AX$155,$CX116,'Berechnung Nährstoffe und Lager'!$V$113:$V$155)/12  -$GC116*$HC116/12</f>
        <v>0</v>
      </c>
      <c r="FQ116" s="2042">
        <f>FP116+DO116+EO116                 -         SUMIF('Berechnung Nährstoffe und Lager'!$AX$113:$AX$155,$CX116,'Berechnung Nährstoffe und Lager'!$V$113:$V$155)/12  -$GC116*$HC116/12</f>
        <v>0</v>
      </c>
      <c r="FR116" s="2042">
        <f>FQ116+DP116+EP116                 -         SUMIF('Berechnung Nährstoffe und Lager'!$AX$113:$AX$155,$CX116,'Berechnung Nährstoffe und Lager'!$V$113:$V$155)/12  -$GC116*$HC116/12</f>
        <v>0</v>
      </c>
      <c r="FS116" s="2042">
        <f>FR116+DQ116+EQ116                 -         SUMIF('Berechnung Nährstoffe und Lager'!$AX$113:$AX$155,$CX116,'Berechnung Nährstoffe und Lager'!$V$113:$V$155)/12  -$GC116*$HC116/12</f>
        <v>0</v>
      </c>
      <c r="FT116" s="2042">
        <f>FS116+DR116+ER116                 -         SUMIF('Berechnung Nährstoffe und Lager'!$AX$113:$AX$155,$CX116,'Berechnung Nährstoffe und Lager'!$V$113:$V$155)/12  -$GC116*$HC116/12</f>
        <v>0</v>
      </c>
      <c r="FU116" s="2042">
        <f>FT116+DS116+ES116                 -         SUMIF('Berechnung Nährstoffe und Lager'!$AX$113:$AX$155,$CX116,'Berechnung Nährstoffe und Lager'!$V$113:$V$155)/12  -$GC116*$HC116/12</f>
        <v>0</v>
      </c>
      <c r="FV116" s="2042">
        <f>FU116+DT116+ET116                 -         SUMIF('Berechnung Nährstoffe und Lager'!$AX$113:$AX$155,$CX116,'Berechnung Nährstoffe und Lager'!$V$113:$V$155)/12  -$GC116*$HC116/12</f>
        <v>0</v>
      </c>
      <c r="FW116" s="2042">
        <f>FV116+DU116+EU116                 -         SUMIF('Berechnung Nährstoffe und Lager'!$AX$113:$AX$155,$CX116,'Berechnung Nährstoffe und Lager'!$V$113:$V$155)/12  -$GC116*$HC116/12</f>
        <v>0</v>
      </c>
      <c r="FX116" s="2042">
        <f>FW116+DV116+EV116                 -         SUMIF('Berechnung Nährstoffe und Lager'!$AX$113:$AX$155,$CX116,'Berechnung Nährstoffe und Lager'!$V$113:$V$155)/12  -$GC116*$HC116/12</f>
        <v>0</v>
      </c>
      <c r="FY116" s="2042">
        <f>FX116+DW116+EW116                 -         SUMIF('Berechnung Nährstoffe und Lager'!$AX$113:$AX$155,$CX116,'Berechnung Nährstoffe und Lager'!$V$113:$V$155)/12  -$GC116*$HC116/12</f>
        <v>0</v>
      </c>
      <c r="FZ116" s="2042">
        <f>FY116+DX116+EX116                 -         SUMIF('Berechnung Nährstoffe und Lager'!$AX$113:$AX$155,$CX116,'Berechnung Nährstoffe und Lager'!$V$113:$V$155)/12  -$GC116*$HC116/12</f>
        <v>0</v>
      </c>
      <c r="GA116" s="2216"/>
      <c r="GB116" s="2042">
        <f>SUMIFS($CI$14:$CI$68,$BR$14:$BR$68,$CX116)+SUMIFS($CM$14:$CM$68,$BR$14:$BR$68,$CX116)+SUMIFS($CR$14:$CR$68,$BR$14:$BR$68,$CX116)  -         SUMIF('Berechnung Nährstoffe und Lager'!$AX$113:$AX$155,$CX116,'Berechnung Nährstoffe und Lager'!$U$113:$U$155)</f>
        <v>0</v>
      </c>
      <c r="GC116" s="2042">
        <f>SUMIFS($CJ$14:$CJ$68,$BR$14:$BR$68,$CX116)+SUMIFS($CO$14:$CO$68,$BR$14:$BR$68,$CX116)+SUMIFS($CT$14:$CT$68,$BR$14:$BR$68,$CX116)  -         SUMIF('Berechnung Nährstoffe und Lager'!$AX$113:$AX$155,$CX116,'Berechnung Nährstoffe und Lager'!$V$113:$V$155)</f>
        <v>0</v>
      </c>
      <c r="GD116" s="2216"/>
      <c r="GE116" s="2216"/>
      <c r="GF116" s="2042">
        <f>SUMIF('Berechnung Nährstoffe und Lager'!$AX$113:$AX$155,$CX116,'Berechnung Nährstoffe und Lager'!$U$113:$U$155)</f>
        <v>0</v>
      </c>
      <c r="GG116" s="2042">
        <f>SUMIF('Berechnung Nährstoffe und Lager'!$AX$113:$AX$155,$CX116,'Berechnung Nährstoffe und Lager'!$V$113:$V$155)</f>
        <v>0</v>
      </c>
      <c r="GH116" s="2042">
        <f t="shared" si="197"/>
        <v>0</v>
      </c>
      <c r="GI116" s="2042">
        <f t="shared" si="198"/>
        <v>0</v>
      </c>
      <c r="GJ116" s="2042">
        <f t="shared" si="232"/>
        <v>0</v>
      </c>
      <c r="GK116" s="2042">
        <f t="shared" si="233"/>
        <v>0</v>
      </c>
      <c r="GL116" s="2042">
        <f t="shared" si="234"/>
        <v>0</v>
      </c>
      <c r="GM116" s="2042" cm="1">
        <f t="array" ref="GM116">IF(GL116=0,0,(IFERROR(SUMPRODUCT($J$14:$J$68,$CH$14:$CH$68,($BR$14:$BR$68=CX116)*1)+SUMPRODUCT($L$14:$L$68,$M$14:$M$68,$CK$14:$CK$68,($BR$14:$BR$68=CX116)*1,($BT$14:$BT$68=FALSE)*1)/10+SUMPRODUCT($R$14:$R$68,$CP$14:$CP$68,($BR$14:$BR$68=CX116)*1),0))/GL116)</f>
        <v>0</v>
      </c>
      <c r="GN116" s="2042">
        <f t="shared" si="199"/>
        <v>0</v>
      </c>
      <c r="GO116" s="2042">
        <f>(SUMIF('Berechnung Nährstoffe und Lager'!$AX$113:$AX$130,'Lagerhaltung (freiwillig)'!CX116,'Berechnung Nährstoffe und Lager'!$D$113:$D$130)+SUMIF('Berechnung Nährstoffe und Lager'!$AX$137:$AX$155,'Lagerhaltung (freiwillig)'!CX116,'Berechnung Nährstoffe und Lager'!$E$137:$E$155))</f>
        <v>0</v>
      </c>
      <c r="GP116" s="2042" cm="1">
        <f t="array" ref="GP116">IF(GO116=0,0,(IFERROR(SUMPRODUCT('Berechnung Nährstoffe und Lager'!$D$113:$D$130,'Berechnung Nährstoffe und Lager'!$F$113:$F$130,('Berechnung Nährstoffe und Lager'!$AX$113:$AX$130='Lagerhaltung (freiwillig)'!CX116)*1)+SUMPRODUCT('Berechnung Nährstoffe und Lager'!$E$137:$E$155,'Berechnung Nährstoffe und Lager'!$F$137:$F$155,('Berechnung Nährstoffe und Lager'!$AX$137:$AX$155='Lagerhaltung (freiwillig)'!CX116)*1),0))/GO116)</f>
        <v>0</v>
      </c>
      <c r="GQ116" s="2042">
        <f t="shared" si="200"/>
        <v>0</v>
      </c>
      <c r="GR116" s="2042">
        <f t="shared" si="201"/>
        <v>0</v>
      </c>
      <c r="GS116" s="2042">
        <f t="shared" si="202"/>
        <v>0</v>
      </c>
      <c r="GT116" s="2042">
        <f t="shared" si="203"/>
        <v>0</v>
      </c>
      <c r="GU116" s="2253" t="str">
        <f t="shared" si="175"/>
        <v xml:space="preserve"> </v>
      </c>
      <c r="GV116" s="2253" t="str">
        <f t="shared" si="175"/>
        <v xml:space="preserve"> </v>
      </c>
      <c r="GW116" s="2054">
        <f t="shared" si="235"/>
        <v>0</v>
      </c>
      <c r="GX116" s="2042">
        <f t="shared" si="236"/>
        <v>0</v>
      </c>
      <c r="GY116" s="2042" t="str">
        <f t="shared" si="229"/>
        <v>a</v>
      </c>
      <c r="GZ116" s="2067">
        <f t="shared" si="237"/>
        <v>0</v>
      </c>
      <c r="HA116" s="2067">
        <f t="shared" si="238"/>
        <v>0</v>
      </c>
      <c r="HB116" s="2254"/>
      <c r="HC116" s="2046">
        <f t="shared" si="239"/>
        <v>0</v>
      </c>
      <c r="HD116" s="2055">
        <f t="shared" si="240"/>
        <v>0</v>
      </c>
      <c r="HE116" s="2067">
        <f t="shared" si="241"/>
        <v>0</v>
      </c>
      <c r="HF116" s="2055">
        <f t="shared" si="242"/>
        <v>0</v>
      </c>
      <c r="HG116" s="2282" cm="1">
        <f t="array" ref="HG116">IF(AND(HE116=0,GJ116=0),0,IF(HE116=0,1,IF(OR(GJ116*1000/HE116/HF116&gt;INDEX(Pflanzen!$AD$5:$AD$109,CX116)/INDEX(Pflanzen!$M$5:$M$109,CX116)*$HG$2,GJ116*1000/HE116/HF116&lt;INDEX(Pflanzen!$AD$5:$AD$109,CX116)/INDEX(Pflanzen!$M$5:$M$109,CX116)/$HG$2),1,0)))</f>
        <v>0</v>
      </c>
      <c r="HH116" s="2282" cm="1">
        <f t="array" ref="HH116">IF(AND(GK116=0,HE116=0),0,IF(HE116=0,1,IF(OR(GK116*1000/HE116/HF116&gt;INDEX(Pflanzen!$AE$5:$AE$109,CX116)/INDEX(Pflanzen!$M$5:$M$109,CX116)*$HG$2,GK116*1000/HE116/HF116&lt;INDEX(Pflanzen!$AE$5:$AE$109,CX116)/INDEX(Pflanzen!$M$5:$M$109,CX116)/$HG$2),1,0)))</f>
        <v>0</v>
      </c>
      <c r="HI116" s="2216">
        <f t="shared" si="243"/>
        <v>3</v>
      </c>
      <c r="HJ116" s="2216"/>
      <c r="HK116" s="1160"/>
      <c r="HL116" s="2216"/>
      <c r="HM116" s="2216"/>
      <c r="HN116" s="2216"/>
      <c r="HO116" s="2216"/>
      <c r="HP116" s="2216"/>
      <c r="HQ116" s="2216"/>
      <c r="HR116" s="2042"/>
      <c r="HS116" s="2042"/>
      <c r="HT116" s="2042"/>
      <c r="HU116" s="2042"/>
      <c r="HV116" s="2042"/>
      <c r="HW116" s="2042"/>
      <c r="HX116" s="2042"/>
      <c r="HY116" s="2042"/>
      <c r="HZ116" s="2042"/>
      <c r="IA116" s="2042"/>
      <c r="IB116" s="2042"/>
      <c r="IC116" s="2042"/>
      <c r="ID116" s="2042"/>
      <c r="IE116" s="2042"/>
      <c r="IF116" s="2042"/>
      <c r="IG116" s="2042"/>
      <c r="IH116" s="2042"/>
      <c r="II116" s="2042"/>
      <c r="IJ116" s="2042"/>
    </row>
    <row r="117" spans="25:244" ht="15.75" customHeight="1" x14ac:dyDescent="0.2">
      <c r="Y117" s="2005" t="str" cm="1">
        <f t="array" ref="Y117">IFERROR(INDEX($CW$4:$CW$171,AY117),"")</f>
        <v/>
      </c>
      <c r="Z117" s="510"/>
      <c r="AA117" s="510"/>
      <c r="AB117" s="510"/>
      <c r="AC117" s="2031" t="str" cm="1">
        <f t="array" ref="AC117">IFERROR(INDEX($GL$4:$GL$171,AY117),"")</f>
        <v/>
      </c>
      <c r="AD117" s="2031" t="str" cm="1">
        <f t="array" ref="AD117">IFERROR(INDEX($GM$4:$GM$171,AY117),"")</f>
        <v/>
      </c>
      <c r="AE117" s="2031" t="str" cm="1">
        <f t="array" ref="AE117">IFERROR(INDEX($GH$4:$GH$171,AY117),"")</f>
        <v/>
      </c>
      <c r="AF117" s="2031" t="str" cm="1">
        <f t="array" ref="AF117">IFERROR(INDEX($GI$4:$GI$171,AY117),"")</f>
        <v/>
      </c>
      <c r="AG117" s="2031" t="str" cm="1">
        <f t="array" ref="AG117">IFERROR(INDEX($GO$4:$GO$171,AY117),"")</f>
        <v/>
      </c>
      <c r="AH117" s="2031" t="str" cm="1">
        <f t="array" ref="AH117">IFERROR(INDEX($GP$4:$GP$171,AY117),"")</f>
        <v/>
      </c>
      <c r="AI117" s="2031" t="str" cm="1">
        <f t="array" ref="AI117">IFERROR(INDEX($GF$4:$GF$171,AY117),"")</f>
        <v/>
      </c>
      <c r="AJ117" s="2031" t="str" cm="1">
        <f t="array" ref="AJ117">IFERROR(INDEX($GG$4:$GG$171,AY117),"")</f>
        <v/>
      </c>
      <c r="AK117" s="2031" t="str" cm="1">
        <f t="array" ref="AK117">IFERROR(INDEX($GS$4:$GS$171,AY117),"")</f>
        <v/>
      </c>
      <c r="AL117" s="2032" t="str" cm="1">
        <f t="array" ref="AL117">IFERROR(INDEX($GT$4:$GT$171,AY117),"")</f>
        <v/>
      </c>
      <c r="AM117" s="2031" t="str" cm="1">
        <f t="array" ref="AM117">IFERROR(INDEX($GB$4:$GB$171,AY117),"")</f>
        <v/>
      </c>
      <c r="AN117" s="2031" t="str" cm="1">
        <f t="array" ref="AN117">IFERROR(INDEX($GC$4:$GC$171,AY117),"")</f>
        <v/>
      </c>
      <c r="AO117" s="2031" t="str" cm="1">
        <f t="array" ref="AO117">IFERROR(INDEX($GU$4:$GU$171,AY117),"")</f>
        <v/>
      </c>
      <c r="AP117" s="2031" t="str" cm="1">
        <f t="array" ref="AP117">IFERROR(INDEX($GX$4:$GX$171,AY117),"")</f>
        <v/>
      </c>
      <c r="AQ117" s="1316"/>
      <c r="AR117" s="2031" t="str" cm="1">
        <f t="array" ref="AR117">IFERROR(INDEX($HD$4:$HD$171,AY117),"")</f>
        <v/>
      </c>
      <c r="AS117" s="2031" t="str" cm="1">
        <f t="array" ref="AS117">IFERROR(INDEX($HE$4:$HE$171,AY117),"")</f>
        <v/>
      </c>
      <c r="AT117" s="2031" t="str" cm="1">
        <f t="array" ref="AT117">IFERROR(INDEX($HF$4:$HF$171,AY117),"")</f>
        <v/>
      </c>
      <c r="AU117" s="2031" t="str" cm="1">
        <f t="array" ref="AU117">IFERROR(INDEX($GJ$4:$GJ$171,AY117),"")</f>
        <v/>
      </c>
      <c r="AV117" s="2031" t="str" cm="1">
        <f t="array" ref="AV117">IFERROR(INDEX($GK$4:$GK$171,AY117),"")</f>
        <v/>
      </c>
      <c r="AY117" s="2042" t="str" cm="1">
        <f t="array" ref="AY117">IFERROR(SMALL(IF($HI$4:$HI$171=1,ROW($HI$4:$HI$171)-3),ROW(W102)),IFERROR(SMALL(IF($HI$4:$HI$171=2,ROW($HI$4:$HI$171)-3),ROW(W102)-COUNTIF($HI$4:$HI$171,1)),IFERROR(SMALL(IF($HI$4:$HI$171=0,ROW($HI$4:$HI$171)-3),ROW(W102)-COUNTIF($HI$4:$HI$171,1)-COUNTIF($HI$4:$HI$171,2)),"")))</f>
        <v/>
      </c>
      <c r="AZ117" s="2042" t="str">
        <f t="shared" si="215"/>
        <v>a</v>
      </c>
      <c r="BA117" s="2053" t="e">
        <f t="shared" si="226"/>
        <v>#VALUE!</v>
      </c>
      <c r="BB117" s="2053" cm="1">
        <f t="array" ref="BB117">IFERROR(INDEX($HI$4:$HI$171,AY117),0)</f>
        <v>0</v>
      </c>
      <c r="BC117" s="2053">
        <f t="shared" si="227"/>
        <v>0</v>
      </c>
      <c r="BD117" s="2053"/>
      <c r="BE117" s="2307"/>
      <c r="BF117" s="2307"/>
      <c r="BG117" s="2307"/>
      <c r="BH117" s="2307"/>
      <c r="BI117" s="2307"/>
      <c r="BJ117" s="2307"/>
      <c r="BK117" s="2307"/>
      <c r="BL117" s="2307"/>
      <c r="BM117" s="2307"/>
      <c r="BN117" s="2307"/>
      <c r="BO117" s="2307"/>
      <c r="BP117" s="2043"/>
      <c r="BQ117" s="2042"/>
      <c r="BR117" s="2042"/>
      <c r="BS117" s="2042"/>
      <c r="BT117" s="2042"/>
      <c r="BU117" s="2059"/>
      <c r="BV117" s="2277"/>
      <c r="BW117" s="2277"/>
      <c r="BX117" s="2277"/>
      <c r="BY117" s="2277"/>
      <c r="BZ117" s="2277"/>
      <c r="CA117" s="2277"/>
      <c r="CB117" s="2277"/>
      <c r="CC117" s="2277"/>
      <c r="CD117" s="2277"/>
      <c r="CE117" s="2277"/>
      <c r="CF117" s="2277"/>
      <c r="CG117" s="2277"/>
      <c r="CH117" s="2277"/>
      <c r="CI117" s="2277"/>
      <c r="CJ117" s="2277"/>
      <c r="CK117" s="2277"/>
      <c r="CL117" s="2042"/>
      <c r="CM117" s="2042"/>
      <c r="CN117" s="2042"/>
      <c r="CO117" s="2042"/>
      <c r="CP117" s="2042"/>
      <c r="CQ117" s="2042"/>
      <c r="CR117" s="2042"/>
      <c r="CS117" s="2042"/>
      <c r="CT117" s="2042"/>
      <c r="CU117" s="2042"/>
      <c r="CV117" s="2042"/>
      <c r="CW117" s="609" t="str">
        <f>Pflanzen!A113</f>
        <v>Sonstige Wirtschaftsdünger - Geflügel</v>
      </c>
      <c r="CX117" s="2042">
        <f>IFERROR(MATCH($CW117,Pflanzen!$C$5:$C$119,0),1)</f>
        <v>114</v>
      </c>
      <c r="CY117" s="609" cm="1">
        <f t="array" ref="CY117">INDEX(Pflanzen!$I$5:$I$119,'Lagerhaltung (freiwillig)'!CX117)</f>
        <v>0</v>
      </c>
      <c r="CZ117" s="2042">
        <f t="shared" si="244"/>
        <v>0</v>
      </c>
      <c r="DA117" s="2042">
        <f t="shared" si="244"/>
        <v>0</v>
      </c>
      <c r="DB117" s="2042">
        <f t="shared" si="244"/>
        <v>0</v>
      </c>
      <c r="DC117" s="2042">
        <f t="shared" si="244"/>
        <v>0</v>
      </c>
      <c r="DD117" s="2042">
        <f t="shared" si="244"/>
        <v>0</v>
      </c>
      <c r="DE117" s="2042">
        <f t="shared" si="244"/>
        <v>0</v>
      </c>
      <c r="DF117" s="2042">
        <f t="shared" si="244"/>
        <v>0</v>
      </c>
      <c r="DG117" s="2042">
        <f t="shared" si="244"/>
        <v>0</v>
      </c>
      <c r="DH117" s="2042">
        <f t="shared" si="244"/>
        <v>0</v>
      </c>
      <c r="DI117" s="2042">
        <f t="shared" si="244"/>
        <v>0</v>
      </c>
      <c r="DJ117" s="2042">
        <f t="shared" si="244"/>
        <v>0</v>
      </c>
      <c r="DK117" s="2042">
        <f t="shared" si="244"/>
        <v>0</v>
      </c>
      <c r="DL117" s="2216"/>
      <c r="DM117" s="2042">
        <f t="shared" si="165"/>
        <v>0</v>
      </c>
      <c r="DN117" s="2042">
        <f t="shared" si="246"/>
        <v>0</v>
      </c>
      <c r="DO117" s="2042">
        <f t="shared" si="246"/>
        <v>0</v>
      </c>
      <c r="DP117" s="2042">
        <f t="shared" si="246"/>
        <v>0</v>
      </c>
      <c r="DQ117" s="2042">
        <f t="shared" si="246"/>
        <v>0</v>
      </c>
      <c r="DR117" s="2042">
        <f t="shared" si="246"/>
        <v>0</v>
      </c>
      <c r="DS117" s="2042">
        <f t="shared" si="246"/>
        <v>0</v>
      </c>
      <c r="DT117" s="2042">
        <f t="shared" si="246"/>
        <v>0</v>
      </c>
      <c r="DU117" s="2042">
        <f t="shared" si="246"/>
        <v>0</v>
      </c>
      <c r="DV117" s="2042">
        <f t="shared" si="246"/>
        <v>0</v>
      </c>
      <c r="DW117" s="2042">
        <f t="shared" si="246"/>
        <v>0</v>
      </c>
      <c r="DX117" s="2042">
        <f t="shared" si="246"/>
        <v>0</v>
      </c>
      <c r="DY117" s="2216"/>
      <c r="DZ117" s="2042">
        <f t="shared" si="245"/>
        <v>0</v>
      </c>
      <c r="EA117" s="2042">
        <f t="shared" si="245"/>
        <v>0</v>
      </c>
      <c r="EB117" s="2042">
        <f t="shared" si="245"/>
        <v>0</v>
      </c>
      <c r="EC117" s="2042">
        <f t="shared" si="245"/>
        <v>0</v>
      </c>
      <c r="ED117" s="2042">
        <f t="shared" si="245"/>
        <v>0</v>
      </c>
      <c r="EE117" s="2042">
        <f t="shared" si="245"/>
        <v>0</v>
      </c>
      <c r="EF117" s="2042">
        <f t="shared" si="245"/>
        <v>0</v>
      </c>
      <c r="EG117" s="2042">
        <f t="shared" si="245"/>
        <v>0</v>
      </c>
      <c r="EH117" s="2042">
        <f t="shared" si="245"/>
        <v>0</v>
      </c>
      <c r="EI117" s="2042">
        <f t="shared" si="245"/>
        <v>0</v>
      </c>
      <c r="EJ117" s="2042">
        <f t="shared" si="245"/>
        <v>0</v>
      </c>
      <c r="EK117" s="2042">
        <f t="shared" si="245"/>
        <v>0</v>
      </c>
      <c r="EL117" s="2216"/>
      <c r="EM117" s="2042">
        <f t="shared" si="167"/>
        <v>0</v>
      </c>
      <c r="EN117" s="2042">
        <f t="shared" si="247"/>
        <v>0</v>
      </c>
      <c r="EO117" s="2042">
        <f t="shared" si="247"/>
        <v>0</v>
      </c>
      <c r="EP117" s="2042">
        <f t="shared" si="247"/>
        <v>0</v>
      </c>
      <c r="EQ117" s="2042">
        <f t="shared" si="247"/>
        <v>0</v>
      </c>
      <c r="ER117" s="2042">
        <f t="shared" si="247"/>
        <v>0</v>
      </c>
      <c r="ES117" s="2042">
        <f t="shared" si="247"/>
        <v>0</v>
      </c>
      <c r="ET117" s="2042">
        <f t="shared" si="247"/>
        <v>0</v>
      </c>
      <c r="EU117" s="2042">
        <f t="shared" si="247"/>
        <v>0</v>
      </c>
      <c r="EV117" s="2042">
        <f t="shared" si="247"/>
        <v>0</v>
      </c>
      <c r="EW117" s="2042">
        <f t="shared" si="247"/>
        <v>0</v>
      </c>
      <c r="EX117" s="2042">
        <f t="shared" si="247"/>
        <v>0</v>
      </c>
      <c r="EY117" s="2216"/>
      <c r="EZ117" s="2045">
        <f t="shared" si="195"/>
        <v>0</v>
      </c>
      <c r="FA117" s="2042">
        <f>EZ117+CZ117+DZ117                 -         SUMIF('Berechnung Nährstoffe und Lager'!$AX$113:$AX$155,$CX117,'Berechnung Nährstoffe und Lager'!$U$113:$U$155)/12  -$GB117*$HC117/12</f>
        <v>0</v>
      </c>
      <c r="FB117" s="2042">
        <f>FA117+DA117+EA117                 -         SUMIF('Berechnung Nährstoffe und Lager'!$AX$113:$AX$155,$CX117,'Berechnung Nährstoffe und Lager'!$U$113:$U$155)/12  -$GB117*$HC117/12</f>
        <v>0</v>
      </c>
      <c r="FC117" s="2042">
        <f>FB117+DB117+EB117                 -         SUMIF('Berechnung Nährstoffe und Lager'!$AX$113:$AX$155,$CX117,'Berechnung Nährstoffe und Lager'!$U$113:$U$155)/12  -$GB117*$HC117/12</f>
        <v>0</v>
      </c>
      <c r="FD117" s="2042">
        <f>FC117+DC117+EC117                 -         SUMIF('Berechnung Nährstoffe und Lager'!$AX$113:$AX$155,$CX117,'Berechnung Nährstoffe und Lager'!$U$113:$U$155)/12  -$GB117*$HC117/12</f>
        <v>0</v>
      </c>
      <c r="FE117" s="2042">
        <f>FD117+DD117+ED117                 -         SUMIF('Berechnung Nährstoffe und Lager'!$AX$113:$AX$155,$CX117,'Berechnung Nährstoffe und Lager'!$U$113:$U$155)/12  -$GB117*$HC117/12</f>
        <v>0</v>
      </c>
      <c r="FF117" s="2042">
        <f>FE117+DE117+EE117                 -         SUMIF('Berechnung Nährstoffe und Lager'!$AX$113:$AX$155,$CX117,'Berechnung Nährstoffe und Lager'!$U$113:$U$155)/12  -$GB117*$HC117/12</f>
        <v>0</v>
      </c>
      <c r="FG117" s="2042">
        <f>FF117+DF117+EF117                 -         SUMIF('Berechnung Nährstoffe und Lager'!$AX$113:$AX$155,$CX117,'Berechnung Nährstoffe und Lager'!$U$113:$U$155)/12  -$GB117*$HC117/12</f>
        <v>0</v>
      </c>
      <c r="FH117" s="2042">
        <f>FG117+DG117+EG117                 -         SUMIF('Berechnung Nährstoffe und Lager'!$AX$113:$AX$155,$CX117,'Berechnung Nährstoffe und Lager'!$U$113:$U$155)/12  -$GB117*$HC117/12</f>
        <v>0</v>
      </c>
      <c r="FI117" s="2042">
        <f>FH117+DH117+EH117                 -         SUMIF('Berechnung Nährstoffe und Lager'!$AX$113:$AX$155,$CX117,'Berechnung Nährstoffe und Lager'!$U$113:$U$155)/12  -$GB117*$HC117/12</f>
        <v>0</v>
      </c>
      <c r="FJ117" s="2042">
        <f>FI117+DI117+EI117                 -         SUMIF('Berechnung Nährstoffe und Lager'!$AX$113:$AX$155,$CX117,'Berechnung Nährstoffe und Lager'!$U$113:$U$155)/12  -$GB117*$HC117/12</f>
        <v>0</v>
      </c>
      <c r="FK117" s="2042">
        <f>FJ117+DJ117+EJ117                 -         SUMIF('Berechnung Nährstoffe und Lager'!$AX$113:$AX$155,$CX117,'Berechnung Nährstoffe und Lager'!$U$113:$U$155)/12  -$GB117*$HC117/12</f>
        <v>0</v>
      </c>
      <c r="FL117" s="2042">
        <f>FK117+DK117+EK117                 -         SUMIF('Berechnung Nährstoffe und Lager'!$AX$113:$AX$155,$CX117,'Berechnung Nährstoffe und Lager'!$U$113:$U$155)/12  -$GB117*$HC117/12</f>
        <v>0</v>
      </c>
      <c r="FM117" s="2216"/>
      <c r="FN117" s="2045">
        <f t="shared" si="196"/>
        <v>0</v>
      </c>
      <c r="FO117" s="2042">
        <f>FN117+DM117+EM117                 -         SUMIF('Berechnung Nährstoffe und Lager'!$AX$113:$AX$155,$CX117,'Berechnung Nährstoffe und Lager'!$V$113:$V$155)/12  -$GC117*$HC117/12</f>
        <v>0</v>
      </c>
      <c r="FP117" s="2042">
        <f>FO117+DN117+EN117                 -         SUMIF('Berechnung Nährstoffe und Lager'!$AX$113:$AX$155,$CX117,'Berechnung Nährstoffe und Lager'!$V$113:$V$155)/12  -$GC117*$HC117/12</f>
        <v>0</v>
      </c>
      <c r="FQ117" s="2042">
        <f>FP117+DO117+EO117                 -         SUMIF('Berechnung Nährstoffe und Lager'!$AX$113:$AX$155,$CX117,'Berechnung Nährstoffe und Lager'!$V$113:$V$155)/12  -$GC117*$HC117/12</f>
        <v>0</v>
      </c>
      <c r="FR117" s="2042">
        <f>FQ117+DP117+EP117                 -         SUMIF('Berechnung Nährstoffe und Lager'!$AX$113:$AX$155,$CX117,'Berechnung Nährstoffe und Lager'!$V$113:$V$155)/12  -$GC117*$HC117/12</f>
        <v>0</v>
      </c>
      <c r="FS117" s="2042">
        <f>FR117+DQ117+EQ117                 -         SUMIF('Berechnung Nährstoffe und Lager'!$AX$113:$AX$155,$CX117,'Berechnung Nährstoffe und Lager'!$V$113:$V$155)/12  -$GC117*$HC117/12</f>
        <v>0</v>
      </c>
      <c r="FT117" s="2042">
        <f>FS117+DR117+ER117                 -         SUMIF('Berechnung Nährstoffe und Lager'!$AX$113:$AX$155,$CX117,'Berechnung Nährstoffe und Lager'!$V$113:$V$155)/12  -$GC117*$HC117/12</f>
        <v>0</v>
      </c>
      <c r="FU117" s="2042">
        <f>FT117+DS117+ES117                 -         SUMIF('Berechnung Nährstoffe und Lager'!$AX$113:$AX$155,$CX117,'Berechnung Nährstoffe und Lager'!$V$113:$V$155)/12  -$GC117*$HC117/12</f>
        <v>0</v>
      </c>
      <c r="FV117" s="2042">
        <f>FU117+DT117+ET117                 -         SUMIF('Berechnung Nährstoffe und Lager'!$AX$113:$AX$155,$CX117,'Berechnung Nährstoffe und Lager'!$V$113:$V$155)/12  -$GC117*$HC117/12</f>
        <v>0</v>
      </c>
      <c r="FW117" s="2042">
        <f>FV117+DU117+EU117                 -         SUMIF('Berechnung Nährstoffe und Lager'!$AX$113:$AX$155,$CX117,'Berechnung Nährstoffe und Lager'!$V$113:$V$155)/12  -$GC117*$HC117/12</f>
        <v>0</v>
      </c>
      <c r="FX117" s="2042">
        <f>FW117+DV117+EV117                 -         SUMIF('Berechnung Nährstoffe und Lager'!$AX$113:$AX$155,$CX117,'Berechnung Nährstoffe und Lager'!$V$113:$V$155)/12  -$GC117*$HC117/12</f>
        <v>0</v>
      </c>
      <c r="FY117" s="2042">
        <f>FX117+DW117+EW117                 -         SUMIF('Berechnung Nährstoffe und Lager'!$AX$113:$AX$155,$CX117,'Berechnung Nährstoffe und Lager'!$V$113:$V$155)/12  -$GC117*$HC117/12</f>
        <v>0</v>
      </c>
      <c r="FZ117" s="2042">
        <f>FY117+DX117+EX117                 -         SUMIF('Berechnung Nährstoffe und Lager'!$AX$113:$AX$155,$CX117,'Berechnung Nährstoffe und Lager'!$V$113:$V$155)/12  -$GC117*$HC117/12</f>
        <v>0</v>
      </c>
      <c r="GA117" s="2216"/>
      <c r="GB117" s="2042">
        <f>SUMIFS($CI$14:$CI$68,$BR$14:$BR$68,$CX117)+SUMIFS($CM$14:$CM$68,$BR$14:$BR$68,$CX117)+SUMIFS($CR$14:$CR$68,$BR$14:$BR$68,$CX117)  -         SUMIF('Berechnung Nährstoffe und Lager'!$AX$113:$AX$155,$CX117,'Berechnung Nährstoffe und Lager'!$U$113:$U$155)</f>
        <v>0</v>
      </c>
      <c r="GC117" s="2042">
        <f>SUMIFS($CJ$14:$CJ$68,$BR$14:$BR$68,$CX117)+SUMIFS($CO$14:$CO$68,$BR$14:$BR$68,$CX117)+SUMIFS($CT$14:$CT$68,$BR$14:$BR$68,$CX117)  -         SUMIF('Berechnung Nährstoffe und Lager'!$AX$113:$AX$155,$CX117,'Berechnung Nährstoffe und Lager'!$V$113:$V$155)</f>
        <v>0</v>
      </c>
      <c r="GD117" s="2216"/>
      <c r="GE117" s="2216"/>
      <c r="GF117" s="2042">
        <f>SUMIF('Berechnung Nährstoffe und Lager'!$AX$113:$AX$155,$CX117,'Berechnung Nährstoffe und Lager'!$U$113:$U$155)</f>
        <v>0</v>
      </c>
      <c r="GG117" s="2042">
        <f>SUMIF('Berechnung Nährstoffe und Lager'!$AX$113:$AX$155,$CX117,'Berechnung Nährstoffe und Lager'!$V$113:$V$155)</f>
        <v>0</v>
      </c>
      <c r="GH117" s="2042">
        <f t="shared" si="197"/>
        <v>0</v>
      </c>
      <c r="GI117" s="2042">
        <f t="shared" si="198"/>
        <v>0</v>
      </c>
      <c r="GJ117" s="2042">
        <f t="shared" si="232"/>
        <v>0</v>
      </c>
      <c r="GK117" s="2042">
        <f t="shared" si="233"/>
        <v>0</v>
      </c>
      <c r="GL117" s="2042">
        <f t="shared" si="234"/>
        <v>0</v>
      </c>
      <c r="GM117" s="2042" cm="1">
        <f t="array" ref="GM117">IF(GL117=0,0,(IFERROR(SUMPRODUCT($J$14:$J$68,$CH$14:$CH$68,($BR$14:$BR$68=CX117)*1)+SUMPRODUCT($L$14:$L$68,$M$14:$M$68,$CK$14:$CK$68,($BR$14:$BR$68=CX117)*1,($BT$14:$BT$68=FALSE)*1)/10+SUMPRODUCT($R$14:$R$68,$CP$14:$CP$68,($BR$14:$BR$68=CX117)*1),0))/GL117)</f>
        <v>0</v>
      </c>
      <c r="GN117" s="2042">
        <f t="shared" si="199"/>
        <v>0</v>
      </c>
      <c r="GO117" s="2042">
        <f>(SUMIF('Berechnung Nährstoffe und Lager'!$AX$113:$AX$130,'Lagerhaltung (freiwillig)'!CX117,'Berechnung Nährstoffe und Lager'!$D$113:$D$130)+SUMIF('Berechnung Nährstoffe und Lager'!$AX$137:$AX$155,'Lagerhaltung (freiwillig)'!CX117,'Berechnung Nährstoffe und Lager'!$E$137:$E$155))</f>
        <v>0</v>
      </c>
      <c r="GP117" s="2042" cm="1">
        <f t="array" ref="GP117">IF(GO117=0,0,(IFERROR(SUMPRODUCT('Berechnung Nährstoffe und Lager'!$D$113:$D$130,'Berechnung Nährstoffe und Lager'!$F$113:$F$130,('Berechnung Nährstoffe und Lager'!$AX$113:$AX$130='Lagerhaltung (freiwillig)'!CX117)*1)+SUMPRODUCT('Berechnung Nährstoffe und Lager'!$E$137:$E$155,'Berechnung Nährstoffe und Lager'!$F$137:$F$155,('Berechnung Nährstoffe und Lager'!$AX$137:$AX$155='Lagerhaltung (freiwillig)'!CX117)*1),0))/GO117)</f>
        <v>0</v>
      </c>
      <c r="GQ117" s="2042">
        <f t="shared" si="200"/>
        <v>0</v>
      </c>
      <c r="GR117" s="2042">
        <f t="shared" si="201"/>
        <v>0</v>
      </c>
      <c r="GS117" s="2042">
        <f t="shared" si="202"/>
        <v>0</v>
      </c>
      <c r="GT117" s="2042">
        <f t="shared" si="203"/>
        <v>0</v>
      </c>
      <c r="GU117" s="2253" t="str">
        <f t="shared" si="175"/>
        <v xml:space="preserve"> </v>
      </c>
      <c r="GV117" s="2253" t="str">
        <f t="shared" si="175"/>
        <v xml:space="preserve"> </v>
      </c>
      <c r="GW117" s="2054">
        <f t="shared" si="235"/>
        <v>0</v>
      </c>
      <c r="GX117" s="2042">
        <f t="shared" si="236"/>
        <v>0</v>
      </c>
      <c r="GY117" s="2042" t="str">
        <f t="shared" si="229"/>
        <v>a</v>
      </c>
      <c r="GZ117" s="2067">
        <f t="shared" si="237"/>
        <v>0</v>
      </c>
      <c r="HA117" s="2067">
        <f t="shared" si="238"/>
        <v>0</v>
      </c>
      <c r="HB117" s="2254"/>
      <c r="HC117" s="2046">
        <f t="shared" si="239"/>
        <v>0</v>
      </c>
      <c r="HD117" s="2055">
        <f t="shared" si="240"/>
        <v>0</v>
      </c>
      <c r="HE117" s="2067">
        <f t="shared" si="241"/>
        <v>0</v>
      </c>
      <c r="HF117" s="2055">
        <f t="shared" si="242"/>
        <v>0</v>
      </c>
      <c r="HG117" s="2282" cm="1">
        <f t="array" ref="HG117">IF(AND(HE117=0,GJ117=0),0,IF(HE117=0,1,IF(OR(GJ117*1000/HE117/HF117&gt;INDEX(Pflanzen!$AD$5:$AD$109,CX117)/INDEX(Pflanzen!$M$5:$M$109,CX117)*$HG$2,GJ117*1000/HE117/HF117&lt;INDEX(Pflanzen!$AD$5:$AD$109,CX117)/INDEX(Pflanzen!$M$5:$M$109,CX117)/$HG$2),1,0)))</f>
        <v>0</v>
      </c>
      <c r="HH117" s="2282" cm="1">
        <f t="array" ref="HH117">IF(AND(GK117=0,HE117=0),0,IF(HE117=0,1,IF(OR(GK117*1000/HE117/HF117&gt;INDEX(Pflanzen!$AE$5:$AE$109,CX117)/INDEX(Pflanzen!$M$5:$M$109,CX117)*$HG$2,GK117*1000/HE117/HF117&lt;INDEX(Pflanzen!$AE$5:$AE$109,CX117)/INDEX(Pflanzen!$M$5:$M$109,CX117)/$HG$2),1,0)))</f>
        <v>0</v>
      </c>
      <c r="HI117" s="2216">
        <f t="shared" si="243"/>
        <v>3</v>
      </c>
      <c r="HJ117" s="2216"/>
      <c r="HK117" s="1160"/>
      <c r="HL117" s="2216"/>
      <c r="HM117" s="2216"/>
      <c r="HN117" s="2216"/>
      <c r="HO117" s="2216"/>
      <c r="HP117" s="2216"/>
      <c r="HQ117" s="2216"/>
      <c r="HR117" s="2042"/>
      <c r="HS117" s="2042"/>
      <c r="HT117" s="2042"/>
      <c r="HU117" s="2042"/>
      <c r="HV117" s="2042"/>
      <c r="HW117" s="2042"/>
      <c r="HX117" s="2042"/>
      <c r="HY117" s="2042"/>
      <c r="HZ117" s="2042"/>
      <c r="IA117" s="2042"/>
      <c r="IB117" s="2042"/>
      <c r="IC117" s="2042"/>
      <c r="ID117" s="2042"/>
      <c r="IE117" s="2042"/>
      <c r="IF117" s="2042"/>
      <c r="IG117" s="2042"/>
      <c r="IH117" s="2042"/>
      <c r="II117" s="2042"/>
      <c r="IJ117" s="2042"/>
    </row>
    <row r="118" spans="25:244" ht="15.75" customHeight="1" x14ac:dyDescent="0.2">
      <c r="Y118" s="2005" t="str" cm="1">
        <f t="array" ref="Y118">IFERROR(INDEX($CW$4:$CW$171,AY118),"")</f>
        <v/>
      </c>
      <c r="Z118" s="510"/>
      <c r="AA118" s="510"/>
      <c r="AB118" s="510"/>
      <c r="AC118" s="2031" t="str" cm="1">
        <f t="array" ref="AC118">IFERROR(INDEX($GL$4:$GL$171,AY118),"")</f>
        <v/>
      </c>
      <c r="AD118" s="2031" t="str" cm="1">
        <f t="array" ref="AD118">IFERROR(INDEX($GM$4:$GM$171,AY118),"")</f>
        <v/>
      </c>
      <c r="AE118" s="2031" t="str" cm="1">
        <f t="array" ref="AE118">IFERROR(INDEX($GH$4:$GH$171,AY118),"")</f>
        <v/>
      </c>
      <c r="AF118" s="2031" t="str" cm="1">
        <f t="array" ref="AF118">IFERROR(INDEX($GI$4:$GI$171,AY118),"")</f>
        <v/>
      </c>
      <c r="AG118" s="2031" t="str" cm="1">
        <f t="array" ref="AG118">IFERROR(INDEX($GO$4:$GO$171,AY118),"")</f>
        <v/>
      </c>
      <c r="AH118" s="2031" t="str" cm="1">
        <f t="array" ref="AH118">IFERROR(INDEX($GP$4:$GP$171,AY118),"")</f>
        <v/>
      </c>
      <c r="AI118" s="2031" t="str" cm="1">
        <f t="array" ref="AI118">IFERROR(INDEX($GF$4:$GF$171,AY118),"")</f>
        <v/>
      </c>
      <c r="AJ118" s="2031" t="str" cm="1">
        <f t="array" ref="AJ118">IFERROR(INDEX($GG$4:$GG$171,AY118),"")</f>
        <v/>
      </c>
      <c r="AK118" s="2031" t="str" cm="1">
        <f t="array" ref="AK118">IFERROR(INDEX($GS$4:$GS$171,AY118),"")</f>
        <v/>
      </c>
      <c r="AL118" s="2032" t="str" cm="1">
        <f t="array" ref="AL118">IFERROR(INDEX($GT$4:$GT$171,AY118),"")</f>
        <v/>
      </c>
      <c r="AM118" s="2031" t="str" cm="1">
        <f t="array" ref="AM118">IFERROR(INDEX($GB$4:$GB$171,AY118),"")</f>
        <v/>
      </c>
      <c r="AN118" s="2031" t="str" cm="1">
        <f t="array" ref="AN118">IFERROR(INDEX($GC$4:$GC$171,AY118),"")</f>
        <v/>
      </c>
      <c r="AO118" s="2031" t="str" cm="1">
        <f t="array" ref="AO118">IFERROR(INDEX($GU$4:$GU$171,AY118),"")</f>
        <v/>
      </c>
      <c r="AP118" s="2031" t="str" cm="1">
        <f t="array" ref="AP118">IFERROR(INDEX($GX$4:$GX$171,AY118),"")</f>
        <v/>
      </c>
      <c r="AQ118" s="1316"/>
      <c r="AR118" s="2031" t="str" cm="1">
        <f t="array" ref="AR118">IFERROR(INDEX($HD$4:$HD$171,AY118),"")</f>
        <v/>
      </c>
      <c r="AS118" s="2031" t="str" cm="1">
        <f t="array" ref="AS118">IFERROR(INDEX($HE$4:$HE$171,AY118),"")</f>
        <v/>
      </c>
      <c r="AT118" s="2031" t="str" cm="1">
        <f t="array" ref="AT118">IFERROR(INDEX($HF$4:$HF$171,AY118),"")</f>
        <v/>
      </c>
      <c r="AU118" s="2031" t="str" cm="1">
        <f t="array" ref="AU118">IFERROR(INDEX($GJ$4:$GJ$171,AY118),"")</f>
        <v/>
      </c>
      <c r="AV118" s="2031" t="str" cm="1">
        <f t="array" ref="AV118">IFERROR(INDEX($GK$4:$GK$171,AY118),"")</f>
        <v/>
      </c>
      <c r="AY118" s="2042" t="str" cm="1">
        <f t="array" ref="AY118">IFERROR(SMALL(IF($HI$4:$HI$171=1,ROW($HI$4:$HI$171)-3),ROW(W103)),IFERROR(SMALL(IF($HI$4:$HI$171=2,ROW($HI$4:$HI$171)-3),ROW(W103)-COUNTIF($HI$4:$HI$171,1)),IFERROR(SMALL(IF($HI$4:$HI$171=0,ROW($HI$4:$HI$171)-3),ROW(W103)-COUNTIF($HI$4:$HI$171,1)-COUNTIF($HI$4:$HI$171,2)),"")))</f>
        <v/>
      </c>
      <c r="AZ118" s="2042" t="str">
        <f t="shared" si="215"/>
        <v>a</v>
      </c>
      <c r="BA118" s="2053" t="e">
        <f t="shared" si="226"/>
        <v>#VALUE!</v>
      </c>
      <c r="BB118" s="2053" cm="1">
        <f t="array" ref="BB118">IFERROR(INDEX($HI$4:$HI$171,AY118),0)</f>
        <v>0</v>
      </c>
      <c r="BC118" s="2053">
        <f t="shared" si="227"/>
        <v>0</v>
      </c>
      <c r="BD118" s="2053"/>
      <c r="BE118" s="2307"/>
      <c r="BF118" s="2307"/>
      <c r="BG118" s="2307"/>
      <c r="BH118" s="2307"/>
      <c r="BI118" s="2307"/>
      <c r="BJ118" s="2307"/>
      <c r="BK118" s="2307"/>
      <c r="BL118" s="2307"/>
      <c r="BM118" s="2307"/>
      <c r="BN118" s="2307"/>
      <c r="BO118" s="2307"/>
      <c r="BP118" s="2043"/>
      <c r="BQ118" s="2042"/>
      <c r="BR118" s="2042"/>
      <c r="BS118" s="2042"/>
      <c r="BT118" s="2042"/>
      <c r="BU118" s="2059"/>
      <c r="BV118" s="2277"/>
      <c r="BW118" s="2277"/>
      <c r="BX118" s="2277"/>
      <c r="BY118" s="2277"/>
      <c r="BZ118" s="2277"/>
      <c r="CA118" s="2277"/>
      <c r="CB118" s="2277"/>
      <c r="CC118" s="2277"/>
      <c r="CD118" s="2277"/>
      <c r="CE118" s="2277"/>
      <c r="CF118" s="2277"/>
      <c r="CG118" s="2277"/>
      <c r="CH118" s="2277"/>
      <c r="CI118" s="2277"/>
      <c r="CJ118" s="2277"/>
      <c r="CK118" s="2277"/>
      <c r="CL118" s="2042"/>
      <c r="CM118" s="2042"/>
      <c r="CN118" s="2042"/>
      <c r="CO118" s="2042"/>
      <c r="CP118" s="2042"/>
      <c r="CQ118" s="2042"/>
      <c r="CR118" s="2042"/>
      <c r="CS118" s="2042"/>
      <c r="CT118" s="2042"/>
      <c r="CU118" s="2042"/>
      <c r="CW118" s="609" t="str">
        <f>Pflanzen!A114</f>
        <v xml:space="preserve"> +++sonstige tierische Herkunft, nur Zukauf+++</v>
      </c>
      <c r="CX118" s="2042">
        <f>IFERROR(MATCH($CW118,Pflanzen!$C$5:$C$119,0),1)</f>
        <v>103</v>
      </c>
      <c r="CY118" s="609" cm="1">
        <f t="array" ref="CY118">INDEX(Pflanzen!$I$5:$I$119,'Lagerhaltung (freiwillig)'!CX118)</f>
        <v>0</v>
      </c>
      <c r="CZ118" s="2042">
        <f t="shared" si="244"/>
        <v>0</v>
      </c>
      <c r="DA118" s="2042">
        <f t="shared" si="244"/>
        <v>0</v>
      </c>
      <c r="DB118" s="2042">
        <f t="shared" si="244"/>
        <v>0</v>
      </c>
      <c r="DC118" s="2042">
        <f t="shared" si="244"/>
        <v>0</v>
      </c>
      <c r="DD118" s="2042">
        <f t="shared" si="244"/>
        <v>0</v>
      </c>
      <c r="DE118" s="2042">
        <f t="shared" si="244"/>
        <v>0</v>
      </c>
      <c r="DF118" s="2042">
        <f t="shared" si="244"/>
        <v>0</v>
      </c>
      <c r="DG118" s="2042">
        <f t="shared" si="244"/>
        <v>0</v>
      </c>
      <c r="DH118" s="2042">
        <f t="shared" si="244"/>
        <v>0</v>
      </c>
      <c r="DI118" s="2042">
        <f t="shared" si="244"/>
        <v>0</v>
      </c>
      <c r="DJ118" s="2042">
        <f t="shared" si="244"/>
        <v>0</v>
      </c>
      <c r="DK118" s="2042">
        <f t="shared" si="244"/>
        <v>0</v>
      </c>
      <c r="DL118" s="2216"/>
      <c r="DM118" s="2042">
        <f t="shared" si="165"/>
        <v>0</v>
      </c>
      <c r="DN118" s="2042">
        <f t="shared" si="246"/>
        <v>0</v>
      </c>
      <c r="DO118" s="2042">
        <f t="shared" si="246"/>
        <v>0</v>
      </c>
      <c r="DP118" s="2042">
        <f t="shared" si="246"/>
        <v>0</v>
      </c>
      <c r="DQ118" s="2042">
        <f t="shared" si="246"/>
        <v>0</v>
      </c>
      <c r="DR118" s="2042">
        <f t="shared" si="246"/>
        <v>0</v>
      </c>
      <c r="DS118" s="2042">
        <f t="shared" si="246"/>
        <v>0</v>
      </c>
      <c r="DT118" s="2042">
        <f t="shared" si="246"/>
        <v>0</v>
      </c>
      <c r="DU118" s="2042">
        <f t="shared" si="246"/>
        <v>0</v>
      </c>
      <c r="DV118" s="2042">
        <f t="shared" si="246"/>
        <v>0</v>
      </c>
      <c r="DW118" s="2042">
        <f t="shared" si="246"/>
        <v>0</v>
      </c>
      <c r="DX118" s="2042">
        <f t="shared" si="246"/>
        <v>0</v>
      </c>
      <c r="DY118" s="2216"/>
      <c r="DZ118" s="2042">
        <f t="shared" si="245"/>
        <v>0</v>
      </c>
      <c r="EA118" s="2042">
        <f t="shared" si="245"/>
        <v>0</v>
      </c>
      <c r="EB118" s="2042">
        <f t="shared" si="245"/>
        <v>0</v>
      </c>
      <c r="EC118" s="2042">
        <f t="shared" si="245"/>
        <v>0</v>
      </c>
      <c r="ED118" s="2042">
        <f t="shared" si="245"/>
        <v>0</v>
      </c>
      <c r="EE118" s="2042">
        <f t="shared" si="245"/>
        <v>0</v>
      </c>
      <c r="EF118" s="2042">
        <f t="shared" si="245"/>
        <v>0</v>
      </c>
      <c r="EG118" s="2042">
        <f t="shared" si="245"/>
        <v>0</v>
      </c>
      <c r="EH118" s="2042">
        <f t="shared" si="245"/>
        <v>0</v>
      </c>
      <c r="EI118" s="2042">
        <f t="shared" si="245"/>
        <v>0</v>
      </c>
      <c r="EJ118" s="2042">
        <f t="shared" si="245"/>
        <v>0</v>
      </c>
      <c r="EK118" s="2042">
        <f t="shared" si="245"/>
        <v>0</v>
      </c>
      <c r="EL118" s="2216"/>
      <c r="EM118" s="2042">
        <f t="shared" si="167"/>
        <v>0</v>
      </c>
      <c r="EN118" s="2042">
        <f t="shared" si="247"/>
        <v>0</v>
      </c>
      <c r="EO118" s="2042">
        <f t="shared" si="247"/>
        <v>0</v>
      </c>
      <c r="EP118" s="2042">
        <f t="shared" si="247"/>
        <v>0</v>
      </c>
      <c r="EQ118" s="2042">
        <f t="shared" si="247"/>
        <v>0</v>
      </c>
      <c r="ER118" s="2042">
        <f t="shared" si="247"/>
        <v>0</v>
      </c>
      <c r="ES118" s="2042">
        <f t="shared" si="247"/>
        <v>0</v>
      </c>
      <c r="ET118" s="2042">
        <f t="shared" si="247"/>
        <v>0</v>
      </c>
      <c r="EU118" s="2042">
        <f t="shared" si="247"/>
        <v>0</v>
      </c>
      <c r="EV118" s="2042">
        <f t="shared" si="247"/>
        <v>0</v>
      </c>
      <c r="EW118" s="2042">
        <f t="shared" si="247"/>
        <v>0</v>
      </c>
      <c r="EX118" s="2042">
        <f t="shared" si="247"/>
        <v>0</v>
      </c>
      <c r="EY118" s="2216"/>
      <c r="EZ118" s="2045">
        <f t="shared" si="195"/>
        <v>0</v>
      </c>
      <c r="FA118" s="2042">
        <f>EZ118+CZ118+DZ118                 -         SUMIF('Berechnung Nährstoffe und Lager'!$AX$113:$AX$155,$CX118,'Berechnung Nährstoffe und Lager'!$U$113:$U$155)/12  -$GB118*$HC118/12</f>
        <v>0</v>
      </c>
      <c r="FB118" s="2042">
        <f>FA118+DA118+EA118                 -         SUMIF('Berechnung Nährstoffe und Lager'!$AX$113:$AX$155,$CX118,'Berechnung Nährstoffe und Lager'!$U$113:$U$155)/12  -$GB118*$HC118/12</f>
        <v>0</v>
      </c>
      <c r="FC118" s="2042">
        <f>FB118+DB118+EB118                 -         SUMIF('Berechnung Nährstoffe und Lager'!$AX$113:$AX$155,$CX118,'Berechnung Nährstoffe und Lager'!$U$113:$U$155)/12  -$GB118*$HC118/12</f>
        <v>0</v>
      </c>
      <c r="FD118" s="2042">
        <f>FC118+DC118+EC118                 -         SUMIF('Berechnung Nährstoffe und Lager'!$AX$113:$AX$155,$CX118,'Berechnung Nährstoffe und Lager'!$U$113:$U$155)/12  -$GB118*$HC118/12</f>
        <v>0</v>
      </c>
      <c r="FE118" s="2042">
        <f>FD118+DD118+ED118                 -         SUMIF('Berechnung Nährstoffe und Lager'!$AX$113:$AX$155,$CX118,'Berechnung Nährstoffe und Lager'!$U$113:$U$155)/12  -$GB118*$HC118/12</f>
        <v>0</v>
      </c>
      <c r="FF118" s="2042">
        <f>FE118+DE118+EE118                 -         SUMIF('Berechnung Nährstoffe und Lager'!$AX$113:$AX$155,$CX118,'Berechnung Nährstoffe und Lager'!$U$113:$U$155)/12  -$GB118*$HC118/12</f>
        <v>0</v>
      </c>
      <c r="FG118" s="2042">
        <f>FF118+DF118+EF118                 -         SUMIF('Berechnung Nährstoffe und Lager'!$AX$113:$AX$155,$CX118,'Berechnung Nährstoffe und Lager'!$U$113:$U$155)/12  -$GB118*$HC118/12</f>
        <v>0</v>
      </c>
      <c r="FH118" s="2042">
        <f>FG118+DG118+EG118                 -         SUMIF('Berechnung Nährstoffe und Lager'!$AX$113:$AX$155,$CX118,'Berechnung Nährstoffe und Lager'!$U$113:$U$155)/12  -$GB118*$HC118/12</f>
        <v>0</v>
      </c>
      <c r="FI118" s="2042">
        <f>FH118+DH118+EH118                 -         SUMIF('Berechnung Nährstoffe und Lager'!$AX$113:$AX$155,$CX118,'Berechnung Nährstoffe und Lager'!$U$113:$U$155)/12  -$GB118*$HC118/12</f>
        <v>0</v>
      </c>
      <c r="FJ118" s="2042">
        <f>FI118+DI118+EI118                 -         SUMIF('Berechnung Nährstoffe und Lager'!$AX$113:$AX$155,$CX118,'Berechnung Nährstoffe und Lager'!$U$113:$U$155)/12  -$GB118*$HC118/12</f>
        <v>0</v>
      </c>
      <c r="FK118" s="2042">
        <f>FJ118+DJ118+EJ118                 -         SUMIF('Berechnung Nährstoffe und Lager'!$AX$113:$AX$155,$CX118,'Berechnung Nährstoffe und Lager'!$U$113:$U$155)/12  -$GB118*$HC118/12</f>
        <v>0</v>
      </c>
      <c r="FL118" s="2042">
        <f>FK118+DK118+EK118                 -         SUMIF('Berechnung Nährstoffe und Lager'!$AX$113:$AX$155,$CX118,'Berechnung Nährstoffe und Lager'!$U$113:$U$155)/12  -$GB118*$HC118/12</f>
        <v>0</v>
      </c>
      <c r="FM118" s="2216"/>
      <c r="FN118" s="2045">
        <f t="shared" si="196"/>
        <v>0</v>
      </c>
      <c r="FO118" s="2042">
        <f>FN118+DM118+EM118                 -         SUMIF('Berechnung Nährstoffe und Lager'!$AX$113:$AX$155,$CX118,'Berechnung Nährstoffe und Lager'!$V$113:$V$155)/12  -$GC118*$HC118/12</f>
        <v>0</v>
      </c>
      <c r="FP118" s="2042">
        <f>FO118+DN118+EN118                 -         SUMIF('Berechnung Nährstoffe und Lager'!$AX$113:$AX$155,$CX118,'Berechnung Nährstoffe und Lager'!$V$113:$V$155)/12  -$GC118*$HC118/12</f>
        <v>0</v>
      </c>
      <c r="FQ118" s="2042">
        <f>FP118+DO118+EO118                 -         SUMIF('Berechnung Nährstoffe und Lager'!$AX$113:$AX$155,$CX118,'Berechnung Nährstoffe und Lager'!$V$113:$V$155)/12  -$GC118*$HC118/12</f>
        <v>0</v>
      </c>
      <c r="FR118" s="2042">
        <f>FQ118+DP118+EP118                 -         SUMIF('Berechnung Nährstoffe und Lager'!$AX$113:$AX$155,$CX118,'Berechnung Nährstoffe und Lager'!$V$113:$V$155)/12  -$GC118*$HC118/12</f>
        <v>0</v>
      </c>
      <c r="FS118" s="2042">
        <f>FR118+DQ118+EQ118                 -         SUMIF('Berechnung Nährstoffe und Lager'!$AX$113:$AX$155,$CX118,'Berechnung Nährstoffe und Lager'!$V$113:$V$155)/12  -$GC118*$HC118/12</f>
        <v>0</v>
      </c>
      <c r="FT118" s="2042">
        <f>FS118+DR118+ER118                 -         SUMIF('Berechnung Nährstoffe und Lager'!$AX$113:$AX$155,$CX118,'Berechnung Nährstoffe und Lager'!$V$113:$V$155)/12  -$GC118*$HC118/12</f>
        <v>0</v>
      </c>
      <c r="FU118" s="2042">
        <f>FT118+DS118+ES118                 -         SUMIF('Berechnung Nährstoffe und Lager'!$AX$113:$AX$155,$CX118,'Berechnung Nährstoffe und Lager'!$V$113:$V$155)/12  -$GC118*$HC118/12</f>
        <v>0</v>
      </c>
      <c r="FV118" s="2042">
        <f>FU118+DT118+ET118                 -         SUMIF('Berechnung Nährstoffe und Lager'!$AX$113:$AX$155,$CX118,'Berechnung Nährstoffe und Lager'!$V$113:$V$155)/12  -$GC118*$HC118/12</f>
        <v>0</v>
      </c>
      <c r="FW118" s="2042">
        <f>FV118+DU118+EU118                 -         SUMIF('Berechnung Nährstoffe und Lager'!$AX$113:$AX$155,$CX118,'Berechnung Nährstoffe und Lager'!$V$113:$V$155)/12  -$GC118*$HC118/12</f>
        <v>0</v>
      </c>
      <c r="FX118" s="2042">
        <f>FW118+DV118+EV118                 -         SUMIF('Berechnung Nährstoffe und Lager'!$AX$113:$AX$155,$CX118,'Berechnung Nährstoffe und Lager'!$V$113:$V$155)/12  -$GC118*$HC118/12</f>
        <v>0</v>
      </c>
      <c r="FY118" s="2042">
        <f>FX118+DW118+EW118                 -         SUMIF('Berechnung Nährstoffe und Lager'!$AX$113:$AX$155,$CX118,'Berechnung Nährstoffe und Lager'!$V$113:$V$155)/12  -$GC118*$HC118/12</f>
        <v>0</v>
      </c>
      <c r="FZ118" s="2042">
        <f>FY118+DX118+EX118                 -         SUMIF('Berechnung Nährstoffe und Lager'!$AX$113:$AX$155,$CX118,'Berechnung Nährstoffe und Lager'!$V$113:$V$155)/12  -$GC118*$HC118/12</f>
        <v>0</v>
      </c>
      <c r="GA118" s="2216"/>
      <c r="GB118" s="2042">
        <f>SUMIFS($CI$14:$CI$68,$BR$14:$BR$68,$CX118)+SUMIFS($CM$14:$CM$68,$BR$14:$BR$68,$CX118)+SUMIFS($CR$14:$CR$68,$BR$14:$BR$68,$CX118)  -         SUMIF('Berechnung Nährstoffe und Lager'!$AX$113:$AX$155,$CX118,'Berechnung Nährstoffe und Lager'!$U$113:$U$155)</f>
        <v>0</v>
      </c>
      <c r="GC118" s="2042">
        <f>SUMIFS($CJ$14:$CJ$68,$BR$14:$BR$68,$CX118)+SUMIFS($CO$14:$CO$68,$BR$14:$BR$68,$CX118)+SUMIFS($CT$14:$CT$68,$BR$14:$BR$68,$CX118)  -         SUMIF('Berechnung Nährstoffe und Lager'!$AX$113:$AX$155,$CX118,'Berechnung Nährstoffe und Lager'!$V$113:$V$155)</f>
        <v>0</v>
      </c>
      <c r="GD118" s="2216"/>
      <c r="GE118" s="2216"/>
      <c r="GF118" s="2042">
        <f>SUMIF('Berechnung Nährstoffe und Lager'!$AX$113:$AX$155,$CX118,'Berechnung Nährstoffe und Lager'!$U$113:$U$155)</f>
        <v>0</v>
      </c>
      <c r="GG118" s="2042">
        <f>SUMIF('Berechnung Nährstoffe und Lager'!$AX$113:$AX$155,$CX118,'Berechnung Nährstoffe und Lager'!$V$113:$V$155)</f>
        <v>0</v>
      </c>
      <c r="GH118" s="2042">
        <f t="shared" si="197"/>
        <v>0</v>
      </c>
      <c r="GI118" s="2042">
        <f t="shared" si="198"/>
        <v>0</v>
      </c>
      <c r="GJ118" s="2042">
        <f t="shared" si="232"/>
        <v>0</v>
      </c>
      <c r="GK118" s="2042">
        <f t="shared" si="233"/>
        <v>0</v>
      </c>
      <c r="GL118" s="2042">
        <f t="shared" si="234"/>
        <v>0</v>
      </c>
      <c r="GM118" s="2042" cm="1">
        <f t="array" ref="GM118">IF(GL118=0,0,(IFERROR(SUMPRODUCT($J$14:$J$68,$CH$14:$CH$68,($BR$14:$BR$68=CX118)*1)+SUMPRODUCT($L$14:$L$68,$M$14:$M$68,$CK$14:$CK$68,($BR$14:$BR$68=CX118)*1,($BT$14:$BT$68=FALSE)*1)/10+SUMPRODUCT($R$14:$R$68,$CP$14:$CP$68,($BR$14:$BR$68=CX118)*1),0))/GL118)</f>
        <v>0</v>
      </c>
      <c r="GN118" s="2042">
        <f t="shared" si="199"/>
        <v>0</v>
      </c>
      <c r="GO118" s="2042">
        <f>(SUMIF('Berechnung Nährstoffe und Lager'!$AX$113:$AX$130,'Lagerhaltung (freiwillig)'!CX118,'Berechnung Nährstoffe und Lager'!$D$113:$D$130)+SUMIF('Berechnung Nährstoffe und Lager'!$AX$137:$AX$155,'Lagerhaltung (freiwillig)'!CX118,'Berechnung Nährstoffe und Lager'!$E$137:$E$155))</f>
        <v>0</v>
      </c>
      <c r="GP118" s="2042" cm="1">
        <f t="array" ref="GP118">IF(GO118=0,0,(IFERROR(SUMPRODUCT('Berechnung Nährstoffe und Lager'!$D$113:$D$130,'Berechnung Nährstoffe und Lager'!$F$113:$F$130,('Berechnung Nährstoffe und Lager'!$AX$113:$AX$130='Lagerhaltung (freiwillig)'!CX118)*1)+SUMPRODUCT('Berechnung Nährstoffe und Lager'!$E$137:$E$155,'Berechnung Nährstoffe und Lager'!$F$137:$F$155,('Berechnung Nährstoffe und Lager'!$AX$137:$AX$155='Lagerhaltung (freiwillig)'!CX118)*1),0))/GO118)</f>
        <v>0</v>
      </c>
      <c r="GQ118" s="2042">
        <f t="shared" si="200"/>
        <v>0</v>
      </c>
      <c r="GR118" s="2042">
        <f t="shared" si="201"/>
        <v>0</v>
      </c>
      <c r="GS118" s="2042">
        <f t="shared" si="202"/>
        <v>0</v>
      </c>
      <c r="GT118" s="2042">
        <f t="shared" si="203"/>
        <v>0</v>
      </c>
      <c r="GU118" s="2253" t="str">
        <f t="shared" si="175"/>
        <v xml:space="preserve"> </v>
      </c>
      <c r="GV118" s="2253" t="str">
        <f t="shared" si="175"/>
        <v xml:space="preserve"> </v>
      </c>
      <c r="GW118" s="2054">
        <f t="shared" si="235"/>
        <v>0</v>
      </c>
      <c r="GX118" s="2042">
        <f t="shared" si="236"/>
        <v>0</v>
      </c>
      <c r="GY118" s="2042" t="str">
        <f t="shared" si="229"/>
        <v>a</v>
      </c>
      <c r="GZ118" s="2067">
        <f t="shared" si="237"/>
        <v>0</v>
      </c>
      <c r="HA118" s="2067">
        <f t="shared" si="238"/>
        <v>0</v>
      </c>
      <c r="HB118" s="2254"/>
      <c r="HC118" s="2046">
        <f t="shared" si="239"/>
        <v>0</v>
      </c>
      <c r="HD118" s="2055">
        <f t="shared" si="240"/>
        <v>0</v>
      </c>
      <c r="HE118" s="2067">
        <f t="shared" si="241"/>
        <v>0</v>
      </c>
      <c r="HF118" s="2055">
        <f t="shared" si="242"/>
        <v>0</v>
      </c>
      <c r="HG118" s="2282" cm="1">
        <f t="array" ref="HG118">IF(AND(HE118=0,GJ118=0),0,IF(HE118=0,1,IF(OR(GJ118*1000/HE118/HF118&gt;INDEX(Pflanzen!$AD$5:$AD$109,CX118)/INDEX(Pflanzen!$M$5:$M$109,CX118)*$HG$2,GJ118*1000/HE118/HF118&lt;INDEX(Pflanzen!$AD$5:$AD$109,CX118)/INDEX(Pflanzen!$M$5:$M$109,CX118)/$HG$2),1,0)))</f>
        <v>0</v>
      </c>
      <c r="HH118" s="2282" cm="1">
        <f t="array" ref="HH118">IF(AND(GK118=0,HE118=0),0,IF(HE118=0,1,IF(OR(GK118*1000/HE118/HF118&gt;INDEX(Pflanzen!$AE$5:$AE$109,CX118)/INDEX(Pflanzen!$M$5:$M$109,CX118)*$HG$2,GK118*1000/HE118/HF118&lt;INDEX(Pflanzen!$AE$5:$AE$109,CX118)/INDEX(Pflanzen!$M$5:$M$109,CX118)/$HG$2),1,0)))</f>
        <v>0</v>
      </c>
      <c r="HI118" s="2216">
        <f t="shared" si="243"/>
        <v>3</v>
      </c>
      <c r="HJ118" s="2042"/>
      <c r="HL118" s="2042"/>
      <c r="HM118" s="2042"/>
      <c r="HN118" s="2042"/>
      <c r="HO118" s="2042"/>
      <c r="HP118" s="2042"/>
      <c r="HQ118" s="2042"/>
      <c r="HR118" s="2042"/>
      <c r="HS118" s="2042"/>
      <c r="HT118" s="2042"/>
      <c r="HU118" s="2042"/>
      <c r="HV118" s="2042"/>
      <c r="HW118" s="2042"/>
      <c r="HX118" s="2042"/>
      <c r="HY118" s="2042"/>
      <c r="HZ118" s="2042"/>
      <c r="IA118" s="2042"/>
      <c r="IB118" s="2042"/>
      <c r="IC118" s="2042"/>
      <c r="ID118" s="2042"/>
      <c r="IE118" s="2042"/>
      <c r="IF118" s="2042"/>
      <c r="IG118" s="2042"/>
      <c r="IH118" s="2042"/>
      <c r="II118" s="2042"/>
      <c r="IJ118" s="2042"/>
    </row>
    <row r="119" spans="25:244" ht="15.75" customHeight="1" x14ac:dyDescent="0.2">
      <c r="Y119" s="2005" t="str" cm="1">
        <f t="array" ref="Y119">IFERROR(INDEX($CW$4:$CW$171,AY119),"")</f>
        <v/>
      </c>
      <c r="Z119" s="510"/>
      <c r="AA119" s="510"/>
      <c r="AB119" s="510"/>
      <c r="AC119" s="2031" t="str" cm="1">
        <f t="array" ref="AC119">IFERROR(INDEX($GL$4:$GL$171,AY119),"")</f>
        <v/>
      </c>
      <c r="AD119" s="2031" t="str" cm="1">
        <f t="array" ref="AD119">IFERROR(INDEX($GM$4:$GM$171,AY119),"")</f>
        <v/>
      </c>
      <c r="AE119" s="2031" t="str" cm="1">
        <f t="array" ref="AE119">IFERROR(INDEX($GH$4:$GH$171,AY119),"")</f>
        <v/>
      </c>
      <c r="AF119" s="2031" t="str" cm="1">
        <f t="array" ref="AF119">IFERROR(INDEX($GI$4:$GI$171,AY119),"")</f>
        <v/>
      </c>
      <c r="AG119" s="2031" t="str" cm="1">
        <f t="array" ref="AG119">IFERROR(INDEX($GO$4:$GO$171,AY119),"")</f>
        <v/>
      </c>
      <c r="AH119" s="2031" t="str" cm="1">
        <f t="array" ref="AH119">IFERROR(INDEX($GP$4:$GP$171,AY119),"")</f>
        <v/>
      </c>
      <c r="AI119" s="2031" t="str" cm="1">
        <f t="array" ref="AI119">IFERROR(INDEX($GF$4:$GF$171,AY119),"")</f>
        <v/>
      </c>
      <c r="AJ119" s="2031" t="str" cm="1">
        <f t="array" ref="AJ119">IFERROR(INDEX($GG$4:$GG$171,AY119),"")</f>
        <v/>
      </c>
      <c r="AK119" s="2031" t="str" cm="1">
        <f t="array" ref="AK119">IFERROR(INDEX($GS$4:$GS$171,AY119),"")</f>
        <v/>
      </c>
      <c r="AL119" s="2032" t="str" cm="1">
        <f t="array" ref="AL119">IFERROR(INDEX($GT$4:$GT$171,AY119),"")</f>
        <v/>
      </c>
      <c r="AM119" s="2031" t="str" cm="1">
        <f t="array" ref="AM119">IFERROR(INDEX($GB$4:$GB$171,AY119),"")</f>
        <v/>
      </c>
      <c r="AN119" s="2031" t="str" cm="1">
        <f t="array" ref="AN119">IFERROR(INDEX($GC$4:$GC$171,AY119),"")</f>
        <v/>
      </c>
      <c r="AO119" s="1310" t="str" cm="1">
        <f t="array" ref="AO119">IFERROR(INDEX($GU$4:$GU$171,AY119),"")</f>
        <v/>
      </c>
      <c r="AP119" s="1310" t="str" cm="1">
        <f t="array" ref="AP119">IFERROR(INDEX($GX$4:$GX$171,AY119),"")</f>
        <v/>
      </c>
      <c r="AQ119" s="1316"/>
      <c r="AR119" s="2031" t="str" cm="1">
        <f t="array" ref="AR119">IFERROR(INDEX($HD$4:$HD$171,AY119),"")</f>
        <v/>
      </c>
      <c r="AS119" s="2031" t="str" cm="1">
        <f t="array" ref="AS119">IFERROR(INDEX($HE$4:$HE$171,AY119),"")</f>
        <v/>
      </c>
      <c r="AT119" s="2031" t="str" cm="1">
        <f t="array" ref="AT119">IFERROR(INDEX($HF$4:$HF$171,AY119),"")</f>
        <v/>
      </c>
      <c r="AU119" s="2031" t="str" cm="1">
        <f t="array" ref="AU119">IFERROR(INDEX($GJ$4:$GJ$171,AY119),"")</f>
        <v/>
      </c>
      <c r="AV119" s="2031" t="str" cm="1">
        <f t="array" ref="AV119">IFERROR(INDEX($GK$4:$GK$171,AY119),"")</f>
        <v/>
      </c>
      <c r="AY119" s="2042" t="str" cm="1">
        <f t="array" ref="AY119">IFERROR(SMALL(IF($HI$4:$HI$171=1,ROW($HI$4:$HI$171)-3),ROW(W104)),IFERROR(SMALL(IF($HI$4:$HI$171=2,ROW($HI$4:$HI$171)-3),ROW(W104)-COUNTIF($HI$4:$HI$171,1)),IFERROR(SMALL(IF($HI$4:$HI$171=0,ROW($HI$4:$HI$171)-3),ROW(W104)-COUNTIF($HI$4:$HI$171,1)-COUNTIF($HI$4:$HI$171,2)),"")))</f>
        <v/>
      </c>
      <c r="AZ119" s="2042" t="str">
        <f t="shared" si="215"/>
        <v>a</v>
      </c>
      <c r="BA119" s="2053" t="e">
        <f t="shared" si="226"/>
        <v>#VALUE!</v>
      </c>
      <c r="BB119" s="2053" cm="1">
        <f t="array" ref="BB119">IFERROR(INDEX($HI$4:$HI$171,AY119),0)</f>
        <v>0</v>
      </c>
      <c r="BC119" s="2053">
        <f t="shared" si="227"/>
        <v>0</v>
      </c>
      <c r="BD119" s="2053"/>
      <c r="BE119" s="2307"/>
      <c r="BF119" s="2307"/>
      <c r="BG119" s="2307"/>
      <c r="BH119" s="2307"/>
      <c r="BI119" s="2307"/>
      <c r="BJ119" s="2307"/>
      <c r="BK119" s="2307"/>
      <c r="BL119" s="2307"/>
      <c r="BM119" s="2307"/>
      <c r="BN119" s="2307"/>
      <c r="BO119" s="2307"/>
      <c r="BP119" s="2043"/>
      <c r="BQ119" s="2042"/>
      <c r="BR119" s="2042"/>
      <c r="BS119" s="2042"/>
      <c r="BT119" s="2042"/>
      <c r="BU119" s="2059"/>
      <c r="BV119" s="2277"/>
      <c r="BW119" s="2277"/>
      <c r="BX119" s="2277"/>
      <c r="BY119" s="2277"/>
      <c r="BZ119" s="2277"/>
      <c r="CA119" s="2277"/>
      <c r="CB119" s="2277"/>
      <c r="CC119" s="2277"/>
      <c r="CD119" s="2277"/>
      <c r="CE119" s="2277"/>
      <c r="CF119" s="2277"/>
      <c r="CG119" s="2277"/>
      <c r="CH119" s="2277"/>
      <c r="CI119" s="2277"/>
      <c r="CJ119" s="2277"/>
      <c r="CK119" s="2277"/>
      <c r="CL119" s="2042"/>
      <c r="CM119" s="2042"/>
      <c r="CN119" s="2042"/>
      <c r="CO119" s="2042"/>
      <c r="CP119" s="2042"/>
      <c r="CQ119" s="2042"/>
      <c r="CR119" s="2042"/>
      <c r="CS119" s="2042"/>
      <c r="CT119" s="2042"/>
      <c r="CU119" s="2042"/>
      <c r="CV119" s="2042"/>
      <c r="CW119" s="609" t="str">
        <f>Pflanzen!A115</f>
        <v>Pferdemist</v>
      </c>
      <c r="CX119" s="2042">
        <f>IFERROR(MATCH($CW119,Pflanzen!$C$5:$C$119,0),1)</f>
        <v>104</v>
      </c>
      <c r="CY119" s="609" cm="1">
        <f t="array" ref="CY119">INDEX(Pflanzen!$I$5:$I$119,'Lagerhaltung (freiwillig)'!CX119)</f>
        <v>0</v>
      </c>
      <c r="CZ119" s="2042">
        <f t="shared" si="244"/>
        <v>0</v>
      </c>
      <c r="DA119" s="2042">
        <f t="shared" si="244"/>
        <v>0</v>
      </c>
      <c r="DB119" s="2042">
        <f t="shared" si="244"/>
        <v>0</v>
      </c>
      <c r="DC119" s="2042">
        <f t="shared" si="244"/>
        <v>0</v>
      </c>
      <c r="DD119" s="2042">
        <f t="shared" si="244"/>
        <v>0</v>
      </c>
      <c r="DE119" s="2042">
        <f t="shared" si="244"/>
        <v>0</v>
      </c>
      <c r="DF119" s="2042">
        <f t="shared" si="244"/>
        <v>0</v>
      </c>
      <c r="DG119" s="2042">
        <f t="shared" si="244"/>
        <v>0</v>
      </c>
      <c r="DH119" s="2042">
        <f t="shared" si="244"/>
        <v>0</v>
      </c>
      <c r="DI119" s="2042">
        <f t="shared" si="244"/>
        <v>0</v>
      </c>
      <c r="DJ119" s="2042">
        <f t="shared" si="244"/>
        <v>0</v>
      </c>
      <c r="DK119" s="2042">
        <f t="shared" si="244"/>
        <v>0</v>
      </c>
      <c r="DL119" s="2216"/>
      <c r="DM119" s="2042">
        <f t="shared" si="165"/>
        <v>0</v>
      </c>
      <c r="DN119" s="2042">
        <f t="shared" si="246"/>
        <v>0</v>
      </c>
      <c r="DO119" s="2042">
        <f t="shared" si="246"/>
        <v>0</v>
      </c>
      <c r="DP119" s="2042">
        <f t="shared" si="246"/>
        <v>0</v>
      </c>
      <c r="DQ119" s="2042">
        <f t="shared" si="246"/>
        <v>0</v>
      </c>
      <c r="DR119" s="2042">
        <f t="shared" si="246"/>
        <v>0</v>
      </c>
      <c r="DS119" s="2042">
        <f t="shared" si="246"/>
        <v>0</v>
      </c>
      <c r="DT119" s="2042">
        <f t="shared" si="246"/>
        <v>0</v>
      </c>
      <c r="DU119" s="2042">
        <f t="shared" si="246"/>
        <v>0</v>
      </c>
      <c r="DV119" s="2042">
        <f t="shared" si="246"/>
        <v>0</v>
      </c>
      <c r="DW119" s="2042">
        <f t="shared" si="246"/>
        <v>0</v>
      </c>
      <c r="DX119" s="2042">
        <f t="shared" si="246"/>
        <v>0</v>
      </c>
      <c r="DY119" s="2216"/>
      <c r="DZ119" s="2042">
        <f t="shared" si="245"/>
        <v>0</v>
      </c>
      <c r="EA119" s="2042">
        <f t="shared" si="245"/>
        <v>0</v>
      </c>
      <c r="EB119" s="2042">
        <f t="shared" si="245"/>
        <v>0</v>
      </c>
      <c r="EC119" s="2042">
        <f t="shared" si="245"/>
        <v>0</v>
      </c>
      <c r="ED119" s="2042">
        <f t="shared" si="245"/>
        <v>0</v>
      </c>
      <c r="EE119" s="2042">
        <f t="shared" si="245"/>
        <v>0</v>
      </c>
      <c r="EF119" s="2042">
        <f t="shared" si="245"/>
        <v>0</v>
      </c>
      <c r="EG119" s="2042">
        <f t="shared" si="245"/>
        <v>0</v>
      </c>
      <c r="EH119" s="2042">
        <f t="shared" si="245"/>
        <v>0</v>
      </c>
      <c r="EI119" s="2042">
        <f t="shared" si="245"/>
        <v>0</v>
      </c>
      <c r="EJ119" s="2042">
        <f t="shared" si="245"/>
        <v>0</v>
      </c>
      <c r="EK119" s="2042">
        <f t="shared" si="245"/>
        <v>0</v>
      </c>
      <c r="EL119" s="2216"/>
      <c r="EM119" s="2042">
        <f t="shared" si="167"/>
        <v>0</v>
      </c>
      <c r="EN119" s="2042">
        <f t="shared" si="247"/>
        <v>0</v>
      </c>
      <c r="EO119" s="2042">
        <f t="shared" si="247"/>
        <v>0</v>
      </c>
      <c r="EP119" s="2042">
        <f t="shared" si="247"/>
        <v>0</v>
      </c>
      <c r="EQ119" s="2042">
        <f t="shared" si="247"/>
        <v>0</v>
      </c>
      <c r="ER119" s="2042">
        <f t="shared" si="247"/>
        <v>0</v>
      </c>
      <c r="ES119" s="2042">
        <f t="shared" si="247"/>
        <v>0</v>
      </c>
      <c r="ET119" s="2042">
        <f t="shared" si="247"/>
        <v>0</v>
      </c>
      <c r="EU119" s="2042">
        <f t="shared" si="247"/>
        <v>0</v>
      </c>
      <c r="EV119" s="2042">
        <f t="shared" si="247"/>
        <v>0</v>
      </c>
      <c r="EW119" s="2042">
        <f t="shared" si="247"/>
        <v>0</v>
      </c>
      <c r="EX119" s="2042">
        <f t="shared" si="247"/>
        <v>0</v>
      </c>
      <c r="EY119" s="2216"/>
      <c r="EZ119" s="2045">
        <f t="shared" si="195"/>
        <v>0</v>
      </c>
      <c r="FA119" s="2042">
        <f>EZ119+CZ119+DZ119                 -         SUMIF('Berechnung Nährstoffe und Lager'!$AX$113:$AX$155,$CX119,'Berechnung Nährstoffe und Lager'!$U$113:$U$155)/12  -$GB119*$HC119/12</f>
        <v>0</v>
      </c>
      <c r="FB119" s="2042">
        <f>FA119+DA119+EA119                 -         SUMIF('Berechnung Nährstoffe und Lager'!$AX$113:$AX$155,$CX119,'Berechnung Nährstoffe und Lager'!$U$113:$U$155)/12  -$GB119*$HC119/12</f>
        <v>0</v>
      </c>
      <c r="FC119" s="2042">
        <f>FB119+DB119+EB119                 -         SUMIF('Berechnung Nährstoffe und Lager'!$AX$113:$AX$155,$CX119,'Berechnung Nährstoffe und Lager'!$U$113:$U$155)/12  -$GB119*$HC119/12</f>
        <v>0</v>
      </c>
      <c r="FD119" s="2042">
        <f>FC119+DC119+EC119                 -         SUMIF('Berechnung Nährstoffe und Lager'!$AX$113:$AX$155,$CX119,'Berechnung Nährstoffe und Lager'!$U$113:$U$155)/12  -$GB119*$HC119/12</f>
        <v>0</v>
      </c>
      <c r="FE119" s="2042">
        <f>FD119+DD119+ED119                 -         SUMIF('Berechnung Nährstoffe und Lager'!$AX$113:$AX$155,$CX119,'Berechnung Nährstoffe und Lager'!$U$113:$U$155)/12  -$GB119*$HC119/12</f>
        <v>0</v>
      </c>
      <c r="FF119" s="2042">
        <f>FE119+DE119+EE119                 -         SUMIF('Berechnung Nährstoffe und Lager'!$AX$113:$AX$155,$CX119,'Berechnung Nährstoffe und Lager'!$U$113:$U$155)/12  -$GB119*$HC119/12</f>
        <v>0</v>
      </c>
      <c r="FG119" s="2042">
        <f>FF119+DF119+EF119                 -         SUMIF('Berechnung Nährstoffe und Lager'!$AX$113:$AX$155,$CX119,'Berechnung Nährstoffe und Lager'!$U$113:$U$155)/12  -$GB119*$HC119/12</f>
        <v>0</v>
      </c>
      <c r="FH119" s="2042">
        <f>FG119+DG119+EG119                 -         SUMIF('Berechnung Nährstoffe und Lager'!$AX$113:$AX$155,$CX119,'Berechnung Nährstoffe und Lager'!$U$113:$U$155)/12  -$GB119*$HC119/12</f>
        <v>0</v>
      </c>
      <c r="FI119" s="2042">
        <f>FH119+DH119+EH119                 -         SUMIF('Berechnung Nährstoffe und Lager'!$AX$113:$AX$155,$CX119,'Berechnung Nährstoffe und Lager'!$U$113:$U$155)/12  -$GB119*$HC119/12</f>
        <v>0</v>
      </c>
      <c r="FJ119" s="2042">
        <f>FI119+DI119+EI119                 -         SUMIF('Berechnung Nährstoffe und Lager'!$AX$113:$AX$155,$CX119,'Berechnung Nährstoffe und Lager'!$U$113:$U$155)/12  -$GB119*$HC119/12</f>
        <v>0</v>
      </c>
      <c r="FK119" s="2042">
        <f>FJ119+DJ119+EJ119                 -         SUMIF('Berechnung Nährstoffe und Lager'!$AX$113:$AX$155,$CX119,'Berechnung Nährstoffe und Lager'!$U$113:$U$155)/12  -$GB119*$HC119/12</f>
        <v>0</v>
      </c>
      <c r="FL119" s="2042">
        <f>FK119+DK119+EK119                 -         SUMIF('Berechnung Nährstoffe und Lager'!$AX$113:$AX$155,$CX119,'Berechnung Nährstoffe und Lager'!$U$113:$U$155)/12  -$GB119*$HC119/12</f>
        <v>0</v>
      </c>
      <c r="FM119" s="2216"/>
      <c r="FN119" s="2045">
        <f t="shared" si="196"/>
        <v>0</v>
      </c>
      <c r="FO119" s="2042">
        <f>FN119+DM119+EM119                 -         SUMIF('Berechnung Nährstoffe und Lager'!$AX$113:$AX$155,$CX119,'Berechnung Nährstoffe und Lager'!$V$113:$V$155)/12  -$GC119*$HC119/12</f>
        <v>0</v>
      </c>
      <c r="FP119" s="2042">
        <f>FO119+DN119+EN119                 -         SUMIF('Berechnung Nährstoffe und Lager'!$AX$113:$AX$155,$CX119,'Berechnung Nährstoffe und Lager'!$V$113:$V$155)/12  -$GC119*$HC119/12</f>
        <v>0</v>
      </c>
      <c r="FQ119" s="2042">
        <f>FP119+DO119+EO119                 -         SUMIF('Berechnung Nährstoffe und Lager'!$AX$113:$AX$155,$CX119,'Berechnung Nährstoffe und Lager'!$V$113:$V$155)/12  -$GC119*$HC119/12</f>
        <v>0</v>
      </c>
      <c r="FR119" s="2042">
        <f>FQ119+DP119+EP119                 -         SUMIF('Berechnung Nährstoffe und Lager'!$AX$113:$AX$155,$CX119,'Berechnung Nährstoffe und Lager'!$V$113:$V$155)/12  -$GC119*$HC119/12</f>
        <v>0</v>
      </c>
      <c r="FS119" s="2042">
        <f>FR119+DQ119+EQ119                 -         SUMIF('Berechnung Nährstoffe und Lager'!$AX$113:$AX$155,$CX119,'Berechnung Nährstoffe und Lager'!$V$113:$V$155)/12  -$GC119*$HC119/12</f>
        <v>0</v>
      </c>
      <c r="FT119" s="2042">
        <f>FS119+DR119+ER119                 -         SUMIF('Berechnung Nährstoffe und Lager'!$AX$113:$AX$155,$CX119,'Berechnung Nährstoffe und Lager'!$V$113:$V$155)/12  -$GC119*$HC119/12</f>
        <v>0</v>
      </c>
      <c r="FU119" s="2042">
        <f>FT119+DS119+ES119                 -         SUMIF('Berechnung Nährstoffe und Lager'!$AX$113:$AX$155,$CX119,'Berechnung Nährstoffe und Lager'!$V$113:$V$155)/12  -$GC119*$HC119/12</f>
        <v>0</v>
      </c>
      <c r="FV119" s="2042">
        <f>FU119+DT119+ET119                 -         SUMIF('Berechnung Nährstoffe und Lager'!$AX$113:$AX$155,$CX119,'Berechnung Nährstoffe und Lager'!$V$113:$V$155)/12  -$GC119*$HC119/12</f>
        <v>0</v>
      </c>
      <c r="FW119" s="2042">
        <f>FV119+DU119+EU119                 -         SUMIF('Berechnung Nährstoffe und Lager'!$AX$113:$AX$155,$CX119,'Berechnung Nährstoffe und Lager'!$V$113:$V$155)/12  -$GC119*$HC119/12</f>
        <v>0</v>
      </c>
      <c r="FX119" s="2042">
        <f>FW119+DV119+EV119                 -         SUMIF('Berechnung Nährstoffe und Lager'!$AX$113:$AX$155,$CX119,'Berechnung Nährstoffe und Lager'!$V$113:$V$155)/12  -$GC119*$HC119/12</f>
        <v>0</v>
      </c>
      <c r="FY119" s="2042">
        <f>FX119+DW119+EW119                 -         SUMIF('Berechnung Nährstoffe und Lager'!$AX$113:$AX$155,$CX119,'Berechnung Nährstoffe und Lager'!$V$113:$V$155)/12  -$GC119*$HC119/12</f>
        <v>0</v>
      </c>
      <c r="FZ119" s="2042">
        <f>FY119+DX119+EX119                 -         SUMIF('Berechnung Nährstoffe und Lager'!$AX$113:$AX$155,$CX119,'Berechnung Nährstoffe und Lager'!$V$113:$V$155)/12  -$GC119*$HC119/12</f>
        <v>0</v>
      </c>
      <c r="GA119" s="2216"/>
      <c r="GB119" s="2042">
        <f>SUMIFS($CI$14:$CI$68,$BR$14:$BR$68,$CX119)+SUMIFS($CM$14:$CM$68,$BR$14:$BR$68,$CX119)+SUMIFS($CR$14:$CR$68,$BR$14:$BR$68,$CX119)  -         SUMIF('Berechnung Nährstoffe und Lager'!$AX$113:$AX$155,$CX119,'Berechnung Nährstoffe und Lager'!$U$113:$U$155)</f>
        <v>0</v>
      </c>
      <c r="GC119" s="2042">
        <f>SUMIFS($CJ$14:$CJ$68,$BR$14:$BR$68,$CX119)+SUMIFS($CO$14:$CO$68,$BR$14:$BR$68,$CX119)+SUMIFS($CT$14:$CT$68,$BR$14:$BR$68,$CX119)  -         SUMIF('Berechnung Nährstoffe und Lager'!$AX$113:$AX$155,$CX119,'Berechnung Nährstoffe und Lager'!$V$113:$V$155)</f>
        <v>0</v>
      </c>
      <c r="GD119" s="2216"/>
      <c r="GE119" s="2216"/>
      <c r="GF119" s="2042">
        <f>SUMIF('Berechnung Nährstoffe und Lager'!$AX$113:$AX$155,$CX119,'Berechnung Nährstoffe und Lager'!$U$113:$U$155)</f>
        <v>0</v>
      </c>
      <c r="GG119" s="2042">
        <f>SUMIF('Berechnung Nährstoffe und Lager'!$AX$113:$AX$155,$CX119,'Berechnung Nährstoffe und Lager'!$V$113:$V$155)</f>
        <v>0</v>
      </c>
      <c r="GH119" s="2042">
        <f t="shared" si="197"/>
        <v>0</v>
      </c>
      <c r="GI119" s="2042">
        <f t="shared" si="198"/>
        <v>0</v>
      </c>
      <c r="GJ119" s="2042">
        <f t="shared" si="232"/>
        <v>0</v>
      </c>
      <c r="GK119" s="2042">
        <f t="shared" si="233"/>
        <v>0</v>
      </c>
      <c r="GL119" s="2042">
        <f t="shared" si="234"/>
        <v>0</v>
      </c>
      <c r="GM119" s="2042" cm="1">
        <f t="array" ref="GM119">IF(GL119=0,0,(IFERROR(SUMPRODUCT($J$14:$J$68,$CH$14:$CH$68,($BR$14:$BR$68=CX119)*1)+SUMPRODUCT($L$14:$L$68,$M$14:$M$68,$CK$14:$CK$68,($BR$14:$BR$68=CX119)*1,($BT$14:$BT$68=FALSE)*1)/10+SUMPRODUCT($R$14:$R$68,$CP$14:$CP$68,($BR$14:$BR$68=CX119)*1),0))/GL119)</f>
        <v>0</v>
      </c>
      <c r="GN119" s="2042">
        <f t="shared" si="199"/>
        <v>0</v>
      </c>
      <c r="GO119" s="2042">
        <f>(SUMIF('Berechnung Nährstoffe und Lager'!$AX$113:$AX$130,'Lagerhaltung (freiwillig)'!CX119,'Berechnung Nährstoffe und Lager'!$D$113:$D$130)+SUMIF('Berechnung Nährstoffe und Lager'!$AX$137:$AX$155,'Lagerhaltung (freiwillig)'!CX119,'Berechnung Nährstoffe und Lager'!$E$137:$E$155))</f>
        <v>0</v>
      </c>
      <c r="GP119" s="2042" cm="1">
        <f t="array" ref="GP119">IF(GO119=0,0,(IFERROR(SUMPRODUCT('Berechnung Nährstoffe und Lager'!$D$113:$D$130,'Berechnung Nährstoffe und Lager'!$F$113:$F$130,('Berechnung Nährstoffe und Lager'!$AX$113:$AX$130='Lagerhaltung (freiwillig)'!CX119)*1)+SUMPRODUCT('Berechnung Nährstoffe und Lager'!$E$137:$E$155,'Berechnung Nährstoffe und Lager'!$F$137:$F$155,('Berechnung Nährstoffe und Lager'!$AX$137:$AX$155='Lagerhaltung (freiwillig)'!CX119)*1),0))/GO119)</f>
        <v>0</v>
      </c>
      <c r="GQ119" s="2042">
        <f t="shared" si="200"/>
        <v>0</v>
      </c>
      <c r="GR119" s="2042">
        <f t="shared" si="201"/>
        <v>0</v>
      </c>
      <c r="GS119" s="2042">
        <f t="shared" si="202"/>
        <v>0</v>
      </c>
      <c r="GT119" s="2042">
        <f t="shared" si="203"/>
        <v>0</v>
      </c>
      <c r="GU119" s="2253" t="str">
        <f t="shared" si="175"/>
        <v xml:space="preserve"> </v>
      </c>
      <c r="GV119" s="2253" t="str">
        <f t="shared" si="175"/>
        <v xml:space="preserve"> </v>
      </c>
      <c r="GW119" s="2054">
        <f t="shared" si="235"/>
        <v>0</v>
      </c>
      <c r="GX119" s="2042">
        <f t="shared" si="236"/>
        <v>0</v>
      </c>
      <c r="GY119" s="2042" t="str">
        <f t="shared" si="229"/>
        <v>a</v>
      </c>
      <c r="GZ119" s="2067">
        <f t="shared" si="237"/>
        <v>0</v>
      </c>
      <c r="HA119" s="2067">
        <f t="shared" si="238"/>
        <v>0</v>
      </c>
      <c r="HB119" s="2254"/>
      <c r="HC119" s="2046">
        <f t="shared" si="239"/>
        <v>0</v>
      </c>
      <c r="HD119" s="2055">
        <f t="shared" si="240"/>
        <v>0</v>
      </c>
      <c r="HE119" s="2067">
        <f t="shared" si="241"/>
        <v>0</v>
      </c>
      <c r="HF119" s="2055">
        <f t="shared" si="242"/>
        <v>0</v>
      </c>
      <c r="HG119" s="2282" cm="1">
        <f t="array" ref="HG119">IF(AND(HE119=0,GJ119=0),0,IF(HE119=0,1,IF(OR(GJ119*1000/HE119/HF119&gt;INDEX(Pflanzen!$AD$5:$AD$109,CX119)/INDEX(Pflanzen!$M$5:$M$109,CX119)*$HG$2,GJ119*1000/HE119/HF119&lt;INDEX(Pflanzen!$AD$5:$AD$109,CX119)/INDEX(Pflanzen!$M$5:$M$109,CX119)/$HG$2),1,0)))</f>
        <v>0</v>
      </c>
      <c r="HH119" s="2282" cm="1">
        <f t="array" ref="HH119">IF(AND(GK119=0,HE119=0),0,IF(HE119=0,1,IF(OR(GK119*1000/HE119/HF119&gt;INDEX(Pflanzen!$AE$5:$AE$109,CX119)/INDEX(Pflanzen!$M$5:$M$109,CX119)*$HG$2,GK119*1000/HE119/HF119&lt;INDEX(Pflanzen!$AE$5:$AE$109,CX119)/INDEX(Pflanzen!$M$5:$M$109,CX119)/$HG$2),1,0)))</f>
        <v>0</v>
      </c>
      <c r="HI119" s="2216">
        <f t="shared" si="243"/>
        <v>3</v>
      </c>
      <c r="HJ119" s="2042"/>
      <c r="HL119" s="2042"/>
      <c r="HM119" s="2042"/>
      <c r="HN119" s="2042"/>
      <c r="HO119" s="2042"/>
      <c r="HP119" s="2042"/>
      <c r="HQ119" s="2042"/>
      <c r="HR119" s="2042"/>
      <c r="HS119" s="2042"/>
      <c r="HT119" s="2042"/>
      <c r="HU119" s="2042"/>
      <c r="HV119" s="2042"/>
      <c r="HW119" s="2042"/>
      <c r="HX119" s="2042"/>
      <c r="HY119" s="2042"/>
      <c r="HZ119" s="2042"/>
      <c r="IA119" s="2042"/>
      <c r="IB119" s="2042"/>
      <c r="IC119" s="2042"/>
      <c r="ID119" s="2042"/>
      <c r="IE119" s="2042"/>
      <c r="IF119" s="2042"/>
      <c r="IG119" s="2042"/>
      <c r="IH119" s="2042"/>
      <c r="II119" s="2042"/>
      <c r="IJ119" s="2042"/>
    </row>
    <row r="120" spans="25:244" ht="15.75" customHeight="1" x14ac:dyDescent="0.2">
      <c r="Y120" s="2005" t="str" cm="1">
        <f t="array" ref="Y120">IFERROR(INDEX($CW$4:$CW$171,AY120),"")</f>
        <v/>
      </c>
      <c r="Z120" s="510"/>
      <c r="AA120" s="510"/>
      <c r="AB120" s="510"/>
      <c r="AC120" s="2031" t="str" cm="1">
        <f t="array" ref="AC120">IFERROR(INDEX($GL$4:$GL$171,AY120),"")</f>
        <v/>
      </c>
      <c r="AD120" s="2031" t="str" cm="1">
        <f t="array" ref="AD120">IFERROR(INDEX($GM$4:$GM$171,AY120),"")</f>
        <v/>
      </c>
      <c r="AE120" s="2031" t="str" cm="1">
        <f t="array" ref="AE120">IFERROR(INDEX($GH$4:$GH$171,AY120),"")</f>
        <v/>
      </c>
      <c r="AF120" s="2031" t="str" cm="1">
        <f t="array" ref="AF120">IFERROR(INDEX($GI$4:$GI$171,AY120),"")</f>
        <v/>
      </c>
      <c r="AG120" s="2031" t="str" cm="1">
        <f t="array" ref="AG120">IFERROR(INDEX($GO$4:$GO$171,AY120),"")</f>
        <v/>
      </c>
      <c r="AH120" s="2031" t="str" cm="1">
        <f t="array" ref="AH120">IFERROR(INDEX($GP$4:$GP$171,AY120),"")</f>
        <v/>
      </c>
      <c r="AI120" s="2031" t="str" cm="1">
        <f t="array" ref="AI120">IFERROR(INDEX($GF$4:$GF$171,AY120),"")</f>
        <v/>
      </c>
      <c r="AJ120" s="2031" t="str" cm="1">
        <f t="array" ref="AJ120">IFERROR(INDEX($GG$4:$GG$171,AY120),"")</f>
        <v/>
      </c>
      <c r="AK120" s="2031" t="str" cm="1">
        <f t="array" ref="AK120">IFERROR(INDEX($GS$4:$GS$171,AY120),"")</f>
        <v/>
      </c>
      <c r="AL120" s="2032" t="str" cm="1">
        <f t="array" ref="AL120">IFERROR(INDEX($GT$4:$GT$171,AY120),"")</f>
        <v/>
      </c>
      <c r="AM120" s="2031" t="str" cm="1">
        <f t="array" ref="AM120">IFERROR(INDEX($GB$4:$GB$171,AY120),"")</f>
        <v/>
      </c>
      <c r="AN120" s="2031" t="str" cm="1">
        <f t="array" ref="AN120">IFERROR(INDEX($GC$4:$GC$171,AY120),"")</f>
        <v/>
      </c>
      <c r="AO120" s="1310" t="str" cm="1">
        <f t="array" ref="AO120">IFERROR(INDEX($GU$4:$GU$171,AY120),"")</f>
        <v/>
      </c>
      <c r="AP120" s="1310" t="str" cm="1">
        <f t="array" ref="AP120">IFERROR(INDEX($GX$4:$GX$171,AY120),"")</f>
        <v/>
      </c>
      <c r="AQ120" s="1316"/>
      <c r="AR120" s="2031" t="str" cm="1">
        <f t="array" ref="AR120">IFERROR(INDEX($HD$4:$HD$171,AY120),"")</f>
        <v/>
      </c>
      <c r="AS120" s="2031" t="str" cm="1">
        <f t="array" ref="AS120">IFERROR(INDEX($HE$4:$HE$171,AY120),"")</f>
        <v/>
      </c>
      <c r="AT120" s="2031" t="str" cm="1">
        <f t="array" ref="AT120">IFERROR(INDEX($HF$4:$HF$171,AY120),"")</f>
        <v/>
      </c>
      <c r="AU120" s="2031" t="str" cm="1">
        <f t="array" ref="AU120">IFERROR(INDEX($GJ$4:$GJ$171,AY120),"")</f>
        <v/>
      </c>
      <c r="AV120" s="2031" t="str" cm="1">
        <f t="array" ref="AV120">IFERROR(INDEX($GK$4:$GK$171,AY120),"")</f>
        <v/>
      </c>
      <c r="AY120" s="2042" t="str" cm="1">
        <f t="array" ref="AY120">IFERROR(SMALL(IF($HI$4:$HI$171=1,ROW($HI$4:$HI$171)-3),ROW(W105)),IFERROR(SMALL(IF($HI$4:$HI$171=2,ROW($HI$4:$HI$171)-3),ROW(W105)-COUNTIF($HI$4:$HI$171,1)),IFERROR(SMALL(IF($HI$4:$HI$171=0,ROW($HI$4:$HI$171)-3),ROW(W105)-COUNTIF($HI$4:$HI$171,1)-COUNTIF($HI$4:$HI$171,2)),"")))</f>
        <v/>
      </c>
      <c r="AZ120" s="2042" t="str">
        <f t="shared" si="215"/>
        <v>a</v>
      </c>
      <c r="BA120" s="2053" t="e">
        <f t="shared" si="226"/>
        <v>#VALUE!</v>
      </c>
      <c r="BB120" s="2053" cm="1">
        <f t="array" ref="BB120">IFERROR(INDEX($HI$4:$HI$171,AY120),0)</f>
        <v>0</v>
      </c>
      <c r="BC120" s="2053">
        <f t="shared" si="227"/>
        <v>0</v>
      </c>
      <c r="BD120" s="2053"/>
      <c r="BE120" s="2307"/>
      <c r="BF120" s="2307"/>
      <c r="BG120" s="2307"/>
      <c r="BH120" s="2307"/>
      <c r="BI120" s="2307"/>
      <c r="BJ120" s="2307"/>
      <c r="BK120" s="2307"/>
      <c r="BL120" s="2307"/>
      <c r="BM120" s="2307"/>
      <c r="BN120" s="2307"/>
      <c r="BO120" s="2307"/>
      <c r="BP120" s="2043"/>
      <c r="BQ120" s="2042"/>
      <c r="BR120" s="2042"/>
      <c r="BS120" s="2042"/>
      <c r="BT120" s="2042"/>
      <c r="BU120" s="2059"/>
      <c r="BV120" s="2277"/>
      <c r="BW120" s="2277"/>
      <c r="BX120" s="2277"/>
      <c r="BY120" s="2277"/>
      <c r="BZ120" s="2277"/>
      <c r="CA120" s="2277"/>
      <c r="CB120" s="2277"/>
      <c r="CC120" s="2277"/>
      <c r="CD120" s="2277"/>
      <c r="CE120" s="2277"/>
      <c r="CF120" s="2277"/>
      <c r="CG120" s="2277"/>
      <c r="CH120" s="2277"/>
      <c r="CI120" s="2277"/>
      <c r="CJ120" s="2277"/>
      <c r="CK120" s="2277"/>
      <c r="CL120" s="2042"/>
      <c r="CM120" s="2042"/>
      <c r="CN120" s="2042"/>
      <c r="CO120" s="2042"/>
      <c r="CP120" s="2042"/>
      <c r="CQ120" s="2042"/>
      <c r="CR120" s="2042"/>
      <c r="CS120" s="2042"/>
      <c r="CT120" s="2042"/>
      <c r="CU120" s="2042"/>
      <c r="CV120" s="2042" t="s">
        <v>538</v>
      </c>
      <c r="CW120" s="609" t="str">
        <f>Pflanzen!A116</f>
        <v>Schaf-, Lama-, Alpaka- und Ziegenmist</v>
      </c>
      <c r="CX120" s="2042">
        <f>IFERROR(MATCH($CW120,Pflanzen!$C$5:$C$119,0),1)</f>
        <v>105</v>
      </c>
      <c r="CY120" s="609" cm="1">
        <f t="array" ref="CY120">INDEX(Pflanzen!$I$5:$I$119,'Lagerhaltung (freiwillig)'!CX120)</f>
        <v>0</v>
      </c>
      <c r="CZ120" s="2042">
        <f t="shared" si="244"/>
        <v>0</v>
      </c>
      <c r="DA120" s="2042">
        <f t="shared" si="244"/>
        <v>0</v>
      </c>
      <c r="DB120" s="2042">
        <f t="shared" si="244"/>
        <v>0</v>
      </c>
      <c r="DC120" s="2042">
        <f t="shared" si="244"/>
        <v>0</v>
      </c>
      <c r="DD120" s="2042">
        <f t="shared" si="244"/>
        <v>0</v>
      </c>
      <c r="DE120" s="2042">
        <f t="shared" si="244"/>
        <v>0</v>
      </c>
      <c r="DF120" s="2042">
        <f t="shared" si="244"/>
        <v>0</v>
      </c>
      <c r="DG120" s="2042">
        <f t="shared" si="244"/>
        <v>0</v>
      </c>
      <c r="DH120" s="2042">
        <f t="shared" si="244"/>
        <v>0</v>
      </c>
      <c r="DI120" s="2042">
        <f t="shared" si="244"/>
        <v>0</v>
      </c>
      <c r="DJ120" s="2042">
        <f t="shared" si="244"/>
        <v>0</v>
      </c>
      <c r="DK120" s="2042">
        <f t="shared" si="244"/>
        <v>0</v>
      </c>
      <c r="DL120" s="2216"/>
      <c r="DM120" s="2042">
        <f t="shared" si="165"/>
        <v>0</v>
      </c>
      <c r="DN120" s="2042">
        <f t="shared" si="246"/>
        <v>0</v>
      </c>
      <c r="DO120" s="2042">
        <f t="shared" si="246"/>
        <v>0</v>
      </c>
      <c r="DP120" s="2042">
        <f t="shared" si="246"/>
        <v>0</v>
      </c>
      <c r="DQ120" s="2042">
        <f t="shared" si="246"/>
        <v>0</v>
      </c>
      <c r="DR120" s="2042">
        <f t="shared" si="246"/>
        <v>0</v>
      </c>
      <c r="DS120" s="2042">
        <f t="shared" si="246"/>
        <v>0</v>
      </c>
      <c r="DT120" s="2042">
        <f t="shared" si="246"/>
        <v>0</v>
      </c>
      <c r="DU120" s="2042">
        <f t="shared" si="246"/>
        <v>0</v>
      </c>
      <c r="DV120" s="2042">
        <f t="shared" si="246"/>
        <v>0</v>
      </c>
      <c r="DW120" s="2042">
        <f t="shared" si="246"/>
        <v>0</v>
      </c>
      <c r="DX120" s="2042">
        <f t="shared" si="246"/>
        <v>0</v>
      </c>
      <c r="DY120" s="2216"/>
      <c r="DZ120" s="2042">
        <f t="shared" si="245"/>
        <v>0</v>
      </c>
      <c r="EA120" s="2042">
        <f t="shared" si="245"/>
        <v>0</v>
      </c>
      <c r="EB120" s="2042">
        <f t="shared" si="245"/>
        <v>0</v>
      </c>
      <c r="EC120" s="2042">
        <f t="shared" si="245"/>
        <v>0</v>
      </c>
      <c r="ED120" s="2042">
        <f t="shared" si="245"/>
        <v>0</v>
      </c>
      <c r="EE120" s="2042">
        <f t="shared" si="245"/>
        <v>0</v>
      </c>
      <c r="EF120" s="2042">
        <f t="shared" si="245"/>
        <v>0</v>
      </c>
      <c r="EG120" s="2042">
        <f t="shared" si="245"/>
        <v>0</v>
      </c>
      <c r="EH120" s="2042">
        <f t="shared" si="245"/>
        <v>0</v>
      </c>
      <c r="EI120" s="2042">
        <f t="shared" si="245"/>
        <v>0</v>
      </c>
      <c r="EJ120" s="2042">
        <f t="shared" si="245"/>
        <v>0</v>
      </c>
      <c r="EK120" s="2042">
        <f t="shared" si="245"/>
        <v>0</v>
      </c>
      <c r="EL120" s="2216"/>
      <c r="EM120" s="2042">
        <f t="shared" si="167"/>
        <v>0</v>
      </c>
      <c r="EN120" s="2042">
        <f t="shared" si="247"/>
        <v>0</v>
      </c>
      <c r="EO120" s="2042">
        <f t="shared" si="247"/>
        <v>0</v>
      </c>
      <c r="EP120" s="2042">
        <f t="shared" si="247"/>
        <v>0</v>
      </c>
      <c r="EQ120" s="2042">
        <f t="shared" si="247"/>
        <v>0</v>
      </c>
      <c r="ER120" s="2042">
        <f t="shared" si="247"/>
        <v>0</v>
      </c>
      <c r="ES120" s="2042">
        <f t="shared" si="247"/>
        <v>0</v>
      </c>
      <c r="ET120" s="2042">
        <f t="shared" si="247"/>
        <v>0</v>
      </c>
      <c r="EU120" s="2042">
        <f t="shared" si="247"/>
        <v>0</v>
      </c>
      <c r="EV120" s="2042">
        <f t="shared" si="247"/>
        <v>0</v>
      </c>
      <c r="EW120" s="2042">
        <f t="shared" si="247"/>
        <v>0</v>
      </c>
      <c r="EX120" s="2042">
        <f t="shared" si="247"/>
        <v>0</v>
      </c>
      <c r="EY120" s="2216"/>
      <c r="EZ120" s="2045">
        <f t="shared" si="195"/>
        <v>0</v>
      </c>
      <c r="FA120" s="2042">
        <f>EZ120+CZ120+DZ120                 -         SUMIF('Berechnung Nährstoffe und Lager'!$AX$113:$AX$155,$CX120,'Berechnung Nährstoffe und Lager'!$U$113:$U$155)/12  -$GB120*$HC120/12</f>
        <v>0</v>
      </c>
      <c r="FB120" s="2042">
        <f>FA120+DA120+EA120                 -         SUMIF('Berechnung Nährstoffe und Lager'!$AX$113:$AX$155,$CX120,'Berechnung Nährstoffe und Lager'!$U$113:$U$155)/12  -$GB120*$HC120/12</f>
        <v>0</v>
      </c>
      <c r="FC120" s="2042">
        <f>FB120+DB120+EB120                 -         SUMIF('Berechnung Nährstoffe und Lager'!$AX$113:$AX$155,$CX120,'Berechnung Nährstoffe und Lager'!$U$113:$U$155)/12  -$GB120*$HC120/12</f>
        <v>0</v>
      </c>
      <c r="FD120" s="2042">
        <f>FC120+DC120+EC120                 -         SUMIF('Berechnung Nährstoffe und Lager'!$AX$113:$AX$155,$CX120,'Berechnung Nährstoffe und Lager'!$U$113:$U$155)/12  -$GB120*$HC120/12</f>
        <v>0</v>
      </c>
      <c r="FE120" s="2042">
        <f>FD120+DD120+ED120                 -         SUMIF('Berechnung Nährstoffe und Lager'!$AX$113:$AX$155,$CX120,'Berechnung Nährstoffe und Lager'!$U$113:$U$155)/12  -$GB120*$HC120/12</f>
        <v>0</v>
      </c>
      <c r="FF120" s="2042">
        <f>FE120+DE120+EE120                 -         SUMIF('Berechnung Nährstoffe und Lager'!$AX$113:$AX$155,$CX120,'Berechnung Nährstoffe und Lager'!$U$113:$U$155)/12  -$GB120*$HC120/12</f>
        <v>0</v>
      </c>
      <c r="FG120" s="2042">
        <f>FF120+DF120+EF120                 -         SUMIF('Berechnung Nährstoffe und Lager'!$AX$113:$AX$155,$CX120,'Berechnung Nährstoffe und Lager'!$U$113:$U$155)/12  -$GB120*$HC120/12</f>
        <v>0</v>
      </c>
      <c r="FH120" s="2042">
        <f>FG120+DG120+EG120                 -         SUMIF('Berechnung Nährstoffe und Lager'!$AX$113:$AX$155,$CX120,'Berechnung Nährstoffe und Lager'!$U$113:$U$155)/12  -$GB120*$HC120/12</f>
        <v>0</v>
      </c>
      <c r="FI120" s="2042">
        <f>FH120+DH120+EH120                 -         SUMIF('Berechnung Nährstoffe und Lager'!$AX$113:$AX$155,$CX120,'Berechnung Nährstoffe und Lager'!$U$113:$U$155)/12  -$GB120*$HC120/12</f>
        <v>0</v>
      </c>
      <c r="FJ120" s="2042">
        <f>FI120+DI120+EI120                 -         SUMIF('Berechnung Nährstoffe und Lager'!$AX$113:$AX$155,$CX120,'Berechnung Nährstoffe und Lager'!$U$113:$U$155)/12  -$GB120*$HC120/12</f>
        <v>0</v>
      </c>
      <c r="FK120" s="2042">
        <f>FJ120+DJ120+EJ120                 -         SUMIF('Berechnung Nährstoffe und Lager'!$AX$113:$AX$155,$CX120,'Berechnung Nährstoffe und Lager'!$U$113:$U$155)/12  -$GB120*$HC120/12</f>
        <v>0</v>
      </c>
      <c r="FL120" s="2042">
        <f>FK120+DK120+EK120                 -         SUMIF('Berechnung Nährstoffe und Lager'!$AX$113:$AX$155,$CX120,'Berechnung Nährstoffe und Lager'!$U$113:$U$155)/12  -$GB120*$HC120/12</f>
        <v>0</v>
      </c>
      <c r="FM120" s="2216"/>
      <c r="FN120" s="2045">
        <f t="shared" si="196"/>
        <v>0</v>
      </c>
      <c r="FO120" s="2042">
        <f>FN120+DM120+EM120                 -         SUMIF('Berechnung Nährstoffe und Lager'!$AX$113:$AX$155,$CX120,'Berechnung Nährstoffe und Lager'!$V$113:$V$155)/12  -$GC120*$HC120/12</f>
        <v>0</v>
      </c>
      <c r="FP120" s="2042">
        <f>FO120+DN120+EN120                 -         SUMIF('Berechnung Nährstoffe und Lager'!$AX$113:$AX$155,$CX120,'Berechnung Nährstoffe und Lager'!$V$113:$V$155)/12  -$GC120*$HC120/12</f>
        <v>0</v>
      </c>
      <c r="FQ120" s="2042">
        <f>FP120+DO120+EO120                 -         SUMIF('Berechnung Nährstoffe und Lager'!$AX$113:$AX$155,$CX120,'Berechnung Nährstoffe und Lager'!$V$113:$V$155)/12  -$GC120*$HC120/12</f>
        <v>0</v>
      </c>
      <c r="FR120" s="2042">
        <f>FQ120+DP120+EP120                 -         SUMIF('Berechnung Nährstoffe und Lager'!$AX$113:$AX$155,$CX120,'Berechnung Nährstoffe und Lager'!$V$113:$V$155)/12  -$GC120*$HC120/12</f>
        <v>0</v>
      </c>
      <c r="FS120" s="2042">
        <f>FR120+DQ120+EQ120                 -         SUMIF('Berechnung Nährstoffe und Lager'!$AX$113:$AX$155,$CX120,'Berechnung Nährstoffe und Lager'!$V$113:$V$155)/12  -$GC120*$HC120/12</f>
        <v>0</v>
      </c>
      <c r="FT120" s="2042">
        <f>FS120+DR120+ER120                 -         SUMIF('Berechnung Nährstoffe und Lager'!$AX$113:$AX$155,$CX120,'Berechnung Nährstoffe und Lager'!$V$113:$V$155)/12  -$GC120*$HC120/12</f>
        <v>0</v>
      </c>
      <c r="FU120" s="2042">
        <f>FT120+DS120+ES120                 -         SUMIF('Berechnung Nährstoffe und Lager'!$AX$113:$AX$155,$CX120,'Berechnung Nährstoffe und Lager'!$V$113:$V$155)/12  -$GC120*$HC120/12</f>
        <v>0</v>
      </c>
      <c r="FV120" s="2042">
        <f>FU120+DT120+ET120                 -         SUMIF('Berechnung Nährstoffe und Lager'!$AX$113:$AX$155,$CX120,'Berechnung Nährstoffe und Lager'!$V$113:$V$155)/12  -$GC120*$HC120/12</f>
        <v>0</v>
      </c>
      <c r="FW120" s="2042">
        <f>FV120+DU120+EU120                 -         SUMIF('Berechnung Nährstoffe und Lager'!$AX$113:$AX$155,$CX120,'Berechnung Nährstoffe und Lager'!$V$113:$V$155)/12  -$GC120*$HC120/12</f>
        <v>0</v>
      </c>
      <c r="FX120" s="2042">
        <f>FW120+DV120+EV120                 -         SUMIF('Berechnung Nährstoffe und Lager'!$AX$113:$AX$155,$CX120,'Berechnung Nährstoffe und Lager'!$V$113:$V$155)/12  -$GC120*$HC120/12</f>
        <v>0</v>
      </c>
      <c r="FY120" s="2042">
        <f>FX120+DW120+EW120                 -         SUMIF('Berechnung Nährstoffe und Lager'!$AX$113:$AX$155,$CX120,'Berechnung Nährstoffe und Lager'!$V$113:$V$155)/12  -$GC120*$HC120/12</f>
        <v>0</v>
      </c>
      <c r="FZ120" s="2042">
        <f>FY120+DX120+EX120                 -         SUMIF('Berechnung Nährstoffe und Lager'!$AX$113:$AX$155,$CX120,'Berechnung Nährstoffe und Lager'!$V$113:$V$155)/12  -$GC120*$HC120/12</f>
        <v>0</v>
      </c>
      <c r="GA120" s="2216"/>
      <c r="GB120" s="2042">
        <f>SUMIFS($CI$14:$CI$68,$BR$14:$BR$68,$CX120)+SUMIFS($CM$14:$CM$68,$BR$14:$BR$68,$CX120)+SUMIFS($CR$14:$CR$68,$BR$14:$BR$68,$CX120)  -         SUMIF('Berechnung Nährstoffe und Lager'!$AX$113:$AX$155,$CX120,'Berechnung Nährstoffe und Lager'!$U$113:$U$155)</f>
        <v>0</v>
      </c>
      <c r="GC120" s="2042">
        <f>SUMIFS($CJ$14:$CJ$68,$BR$14:$BR$68,$CX120)+SUMIFS($CO$14:$CO$68,$BR$14:$BR$68,$CX120)+SUMIFS($CT$14:$CT$68,$BR$14:$BR$68,$CX120)  -         SUMIF('Berechnung Nährstoffe und Lager'!$AX$113:$AX$155,$CX120,'Berechnung Nährstoffe und Lager'!$V$113:$V$155)</f>
        <v>0</v>
      </c>
      <c r="GD120" s="2216"/>
      <c r="GE120" s="2216"/>
      <c r="GF120" s="2042">
        <f>SUMIF('Berechnung Nährstoffe und Lager'!$AX$113:$AX$155,$CX120,'Berechnung Nährstoffe und Lager'!$U$113:$U$155)</f>
        <v>0</v>
      </c>
      <c r="GG120" s="2042">
        <f>SUMIF('Berechnung Nährstoffe und Lager'!$AX$113:$AX$155,$CX120,'Berechnung Nährstoffe und Lager'!$V$113:$V$155)</f>
        <v>0</v>
      </c>
      <c r="GH120" s="2042">
        <f t="shared" si="197"/>
        <v>0</v>
      </c>
      <c r="GI120" s="2042">
        <f t="shared" si="198"/>
        <v>0</v>
      </c>
      <c r="GJ120" s="2042">
        <f t="shared" si="232"/>
        <v>0</v>
      </c>
      <c r="GK120" s="2042">
        <f t="shared" si="233"/>
        <v>0</v>
      </c>
      <c r="GL120" s="2042">
        <f t="shared" si="234"/>
        <v>0</v>
      </c>
      <c r="GM120" s="2042" cm="1">
        <f t="array" ref="GM120">IF(GL120=0,0,(IFERROR(SUMPRODUCT($J$14:$J$68,$CH$14:$CH$68,($BR$14:$BR$68=CX120)*1)+SUMPRODUCT($L$14:$L$68,$M$14:$M$68,$CK$14:$CK$68,($BR$14:$BR$68=CX120)*1,($BT$14:$BT$68=FALSE)*1)/10+SUMPRODUCT($R$14:$R$68,$CP$14:$CP$68,($BR$14:$BR$68=CX120)*1),0))/GL120)</f>
        <v>0</v>
      </c>
      <c r="GN120" s="2042">
        <f t="shared" si="199"/>
        <v>0</v>
      </c>
      <c r="GO120" s="2042">
        <f>(SUMIF('Berechnung Nährstoffe und Lager'!$AX$113:$AX$130,'Lagerhaltung (freiwillig)'!CX120,'Berechnung Nährstoffe und Lager'!$D$113:$D$130)+SUMIF('Berechnung Nährstoffe und Lager'!$AX$137:$AX$155,'Lagerhaltung (freiwillig)'!CX120,'Berechnung Nährstoffe und Lager'!$E$137:$E$155))</f>
        <v>0</v>
      </c>
      <c r="GP120" s="2042" cm="1">
        <f t="array" ref="GP120">IF(GO120=0,0,(IFERROR(SUMPRODUCT('Berechnung Nährstoffe und Lager'!$D$113:$D$130,'Berechnung Nährstoffe und Lager'!$F$113:$F$130,('Berechnung Nährstoffe und Lager'!$AX$113:$AX$130='Lagerhaltung (freiwillig)'!CX120)*1)+SUMPRODUCT('Berechnung Nährstoffe und Lager'!$E$137:$E$155,'Berechnung Nährstoffe und Lager'!$F$137:$F$155,('Berechnung Nährstoffe und Lager'!$AX$137:$AX$155='Lagerhaltung (freiwillig)'!CX120)*1),0))/GO120)</f>
        <v>0</v>
      </c>
      <c r="GQ120" s="2042">
        <f t="shared" si="200"/>
        <v>0</v>
      </c>
      <c r="GR120" s="2042">
        <f t="shared" si="201"/>
        <v>0</v>
      </c>
      <c r="GS120" s="2042">
        <f t="shared" si="202"/>
        <v>0</v>
      </c>
      <c r="GT120" s="2042">
        <f t="shared" si="203"/>
        <v>0</v>
      </c>
      <c r="GU120" s="2253" t="str">
        <f t="shared" si="175"/>
        <v xml:space="preserve"> </v>
      </c>
      <c r="GV120" s="2253" t="str">
        <f t="shared" si="175"/>
        <v xml:space="preserve"> </v>
      </c>
      <c r="GW120" s="2054">
        <f t="shared" si="235"/>
        <v>0</v>
      </c>
      <c r="GX120" s="2042">
        <f t="shared" si="236"/>
        <v>0</v>
      </c>
      <c r="GY120" s="2042" t="str">
        <f t="shared" si="229"/>
        <v>a</v>
      </c>
      <c r="GZ120" s="2067">
        <f t="shared" si="237"/>
        <v>0</v>
      </c>
      <c r="HA120" s="2067">
        <f t="shared" si="238"/>
        <v>0</v>
      </c>
      <c r="HB120" s="2254"/>
      <c r="HC120" s="2046">
        <f t="shared" si="239"/>
        <v>0</v>
      </c>
      <c r="HD120" s="2055">
        <f t="shared" si="240"/>
        <v>0</v>
      </c>
      <c r="HE120" s="2067">
        <f t="shared" si="241"/>
        <v>0</v>
      </c>
      <c r="HF120" s="2055">
        <f t="shared" si="242"/>
        <v>0</v>
      </c>
      <c r="HG120" s="2282" cm="1">
        <f t="array" ref="HG120">IF(AND(HE120=0,GJ120=0),0,IF(HE120=0,1,IF(OR(GJ120*1000/HE120/HF120&gt;INDEX(Pflanzen!$AD$5:$AD$109,CX120)/INDEX(Pflanzen!$M$5:$M$109,CX120)*$HG$2,GJ120*1000/HE120/HF120&lt;INDEX(Pflanzen!$AD$5:$AD$109,CX120)/INDEX(Pflanzen!$M$5:$M$109,CX120)/$HG$2),1,0)))</f>
        <v>0</v>
      </c>
      <c r="HH120" s="2282" cm="1">
        <f t="array" ref="HH120">IF(AND(GK120=0,HE120=0),0,IF(HE120=0,1,IF(OR(GK120*1000/HE120/HF120&gt;INDEX(Pflanzen!$AE$5:$AE$109,CX120)/INDEX(Pflanzen!$M$5:$M$109,CX120)*$HG$2,GK120*1000/HE120/HF120&lt;INDEX(Pflanzen!$AE$5:$AE$109,CX120)/INDEX(Pflanzen!$M$5:$M$109,CX120)/$HG$2),1,0)))</f>
        <v>0</v>
      </c>
      <c r="HI120" s="2062">
        <f t="shared" si="243"/>
        <v>3</v>
      </c>
      <c r="HJ120" s="2042"/>
      <c r="HL120" s="2042"/>
      <c r="HM120" s="2042"/>
      <c r="HN120" s="2042"/>
      <c r="HO120" s="2042"/>
      <c r="HP120" s="2042"/>
      <c r="HQ120" s="2042"/>
      <c r="HR120" s="2042"/>
      <c r="HS120" s="2042"/>
      <c r="HT120" s="2042"/>
      <c r="HU120" s="2042"/>
      <c r="HV120" s="2042"/>
      <c r="HW120" s="2042"/>
      <c r="HX120" s="2042"/>
      <c r="HY120" s="2042"/>
      <c r="HZ120" s="2042"/>
      <c r="IA120" s="2042"/>
      <c r="IB120" s="2042"/>
      <c r="IC120" s="2042"/>
      <c r="ID120" s="2042"/>
      <c r="IE120" s="2042"/>
      <c r="IF120" s="2042"/>
      <c r="IG120" s="2042"/>
      <c r="IH120" s="2042"/>
      <c r="II120" s="2042"/>
      <c r="IJ120" s="2042"/>
    </row>
    <row r="121" spans="25:244" ht="15.75" customHeight="1" thickBot="1" x14ac:dyDescent="0.25">
      <c r="Y121" s="2005" t="str" cm="1">
        <f t="array" ref="Y121">IFERROR(INDEX($CW$4:$CW$171,AY121),"")</f>
        <v/>
      </c>
      <c r="Z121" s="510"/>
      <c r="AA121" s="510"/>
      <c r="AB121" s="510"/>
      <c r="AC121" s="2031" t="str" cm="1">
        <f t="array" ref="AC121">IFERROR(INDEX($GL$4:$GL$171,AY121),"")</f>
        <v/>
      </c>
      <c r="AD121" s="2031" t="str" cm="1">
        <f t="array" ref="AD121">IFERROR(INDEX($GM$4:$GM$171,AY121),"")</f>
        <v/>
      </c>
      <c r="AE121" s="2031" t="str" cm="1">
        <f t="array" ref="AE121">IFERROR(INDEX($GH$4:$GH$171,AY121),"")</f>
        <v/>
      </c>
      <c r="AF121" s="2031" t="str" cm="1">
        <f t="array" ref="AF121">IFERROR(INDEX($GI$4:$GI$171,AY121),"")</f>
        <v/>
      </c>
      <c r="AG121" s="2031" t="str" cm="1">
        <f t="array" ref="AG121">IFERROR(INDEX($GO$4:$GO$171,AY121),"")</f>
        <v/>
      </c>
      <c r="AH121" s="2031" t="str" cm="1">
        <f t="array" ref="AH121">IFERROR(INDEX($GP$4:$GP$171,AY121),"")</f>
        <v/>
      </c>
      <c r="AI121" s="2031" t="str" cm="1">
        <f t="array" ref="AI121">IFERROR(INDEX($GF$4:$GF$171,AY121),"")</f>
        <v/>
      </c>
      <c r="AJ121" s="2031" t="str" cm="1">
        <f t="array" ref="AJ121">IFERROR(INDEX($GG$4:$GG$171,AY121),"")</f>
        <v/>
      </c>
      <c r="AK121" s="2031" t="str" cm="1">
        <f t="array" ref="AK121">IFERROR(INDEX($GS$4:$GS$171,AY121),"")</f>
        <v/>
      </c>
      <c r="AL121" s="2032" t="str" cm="1">
        <f t="array" ref="AL121">IFERROR(INDEX($GT$4:$GT$171,AY121),"")</f>
        <v/>
      </c>
      <c r="AM121" s="2031" t="str" cm="1">
        <f t="array" ref="AM121">IFERROR(INDEX($GB$4:$GB$171,AY121),"")</f>
        <v/>
      </c>
      <c r="AN121" s="2031" t="str" cm="1">
        <f t="array" ref="AN121">IFERROR(INDEX($GC$4:$GC$171,AY121),"")</f>
        <v/>
      </c>
      <c r="AO121" s="1310" t="str" cm="1">
        <f t="array" ref="AO121">IFERROR(INDEX($GU$4:$GU$171,AY121),"")</f>
        <v/>
      </c>
      <c r="AP121" s="1310" t="str" cm="1">
        <f t="array" ref="AP121">IFERROR(INDEX($GX$4:$GX$171,AY121),"")</f>
        <v/>
      </c>
      <c r="AQ121" s="1316"/>
      <c r="AR121" s="2031" t="str" cm="1">
        <f t="array" ref="AR121">IFERROR(INDEX($HD$4:$HD$171,AY121),"")</f>
        <v/>
      </c>
      <c r="AS121" s="2031" t="str" cm="1">
        <f t="array" ref="AS121">IFERROR(INDEX($HE$4:$HE$171,AY121),"")</f>
        <v/>
      </c>
      <c r="AT121" s="2031" t="str" cm="1">
        <f t="array" ref="AT121">IFERROR(INDEX($HF$4:$HF$171,AY121),"")</f>
        <v/>
      </c>
      <c r="AU121" s="2031" t="str" cm="1">
        <f t="array" ref="AU121">IFERROR(INDEX($GJ$4:$GJ$171,AY121),"")</f>
        <v/>
      </c>
      <c r="AV121" s="2031" t="str" cm="1">
        <f t="array" ref="AV121">IFERROR(INDEX($GK$4:$GK$171,AY121),"")</f>
        <v/>
      </c>
      <c r="AY121" s="2042" t="str" cm="1">
        <f t="array" ref="AY121">IFERROR(SMALL(IF($HI$4:$HI$171=1,ROW($HI$4:$HI$171)-3),ROW(W106)),IFERROR(SMALL(IF($HI$4:$HI$171=2,ROW($HI$4:$HI$171)-3),ROW(W106)-COUNTIF($HI$4:$HI$171,1)),IFERROR(SMALL(IF($HI$4:$HI$171=0,ROW($HI$4:$HI$171)-3),ROW(W106)-COUNTIF($HI$4:$HI$171,1)-COUNTIF($HI$4:$HI$171,2)),"")))</f>
        <v/>
      </c>
      <c r="AZ121" s="2042" t="str">
        <f t="shared" si="215"/>
        <v>a</v>
      </c>
      <c r="BA121" s="2053" t="e">
        <f t="shared" si="226"/>
        <v>#VALUE!</v>
      </c>
      <c r="BB121" s="2053" cm="1">
        <f t="array" ref="BB121">IFERROR(INDEX($HI$4:$HI$171,AY121),0)</f>
        <v>0</v>
      </c>
      <c r="BC121" s="2053">
        <f t="shared" si="227"/>
        <v>0</v>
      </c>
      <c r="BD121" s="2053"/>
      <c r="BE121" s="2307"/>
      <c r="BF121" s="2307"/>
      <c r="BG121" s="2307"/>
      <c r="BH121" s="2307"/>
      <c r="BI121" s="2307"/>
      <c r="BJ121" s="2307"/>
      <c r="BK121" s="2307"/>
      <c r="BL121" s="2307"/>
      <c r="BM121" s="2307"/>
      <c r="BN121" s="2307"/>
      <c r="BO121" s="2307"/>
      <c r="BP121" s="2043"/>
      <c r="BQ121" s="2042"/>
      <c r="BR121" s="2042"/>
      <c r="BS121" s="2042"/>
      <c r="BT121" s="2042"/>
      <c r="BU121" s="2059"/>
      <c r="BV121" s="2277"/>
      <c r="BW121" s="2277"/>
      <c r="BX121" s="2277"/>
      <c r="BY121" s="2277"/>
      <c r="BZ121" s="2277"/>
      <c r="CA121" s="2277"/>
      <c r="CB121" s="2277"/>
      <c r="CC121" s="2277"/>
      <c r="CD121" s="2277"/>
      <c r="CE121" s="2277"/>
      <c r="CF121" s="2277"/>
      <c r="CG121" s="2277"/>
      <c r="CH121" s="2277"/>
      <c r="CI121" s="2277"/>
      <c r="CJ121" s="2277"/>
      <c r="CK121" s="2277"/>
      <c r="CL121" s="2042"/>
      <c r="CM121" s="2042"/>
      <c r="CN121" s="2042"/>
      <c r="CO121" s="2042"/>
      <c r="CP121" s="2042"/>
      <c r="CQ121" s="2042"/>
      <c r="CR121" s="2042"/>
      <c r="CS121" s="2042"/>
      <c r="CT121" s="2042"/>
      <c r="CU121" s="2042"/>
      <c r="CV121" s="2042"/>
      <c r="CW121" s="2260" t="str">
        <f>Pflanzen!A117</f>
        <v>Sonstige Wirtschaftsdünger - sonstige Tiere</v>
      </c>
      <c r="CX121" s="2261">
        <f>IFERROR(MATCH($CW121,Pflanzen!$C$5:$C$119,0),1)</f>
        <v>115</v>
      </c>
      <c r="CY121" s="609" cm="1">
        <f t="array" ref="CY121">INDEX(Pflanzen!$I$5:$I$119,'Lagerhaltung (freiwillig)'!CX121)</f>
        <v>0</v>
      </c>
      <c r="CZ121" s="2261">
        <f t="shared" si="244"/>
        <v>0</v>
      </c>
      <c r="DA121" s="2261">
        <f t="shared" si="244"/>
        <v>0</v>
      </c>
      <c r="DB121" s="2261">
        <f t="shared" si="244"/>
        <v>0</v>
      </c>
      <c r="DC121" s="2261">
        <f t="shared" si="244"/>
        <v>0</v>
      </c>
      <c r="DD121" s="2261">
        <f t="shared" si="244"/>
        <v>0</v>
      </c>
      <c r="DE121" s="2261">
        <f t="shared" si="244"/>
        <v>0</v>
      </c>
      <c r="DF121" s="2261">
        <f t="shared" si="244"/>
        <v>0</v>
      </c>
      <c r="DG121" s="2261">
        <f t="shared" si="244"/>
        <v>0</v>
      </c>
      <c r="DH121" s="2261">
        <f t="shared" si="244"/>
        <v>0</v>
      </c>
      <c r="DI121" s="2261">
        <f t="shared" si="244"/>
        <v>0</v>
      </c>
      <c r="DJ121" s="2261">
        <f t="shared" si="244"/>
        <v>0</v>
      </c>
      <c r="DK121" s="2261">
        <f t="shared" si="244"/>
        <v>0</v>
      </c>
      <c r="DL121" s="2261"/>
      <c r="DM121" s="2261">
        <f t="shared" si="165"/>
        <v>0</v>
      </c>
      <c r="DN121" s="2261">
        <f t="shared" si="246"/>
        <v>0</v>
      </c>
      <c r="DO121" s="2261">
        <f t="shared" si="246"/>
        <v>0</v>
      </c>
      <c r="DP121" s="2261">
        <f t="shared" si="246"/>
        <v>0</v>
      </c>
      <c r="DQ121" s="2261">
        <f t="shared" si="246"/>
        <v>0</v>
      </c>
      <c r="DR121" s="2261">
        <f t="shared" si="246"/>
        <v>0</v>
      </c>
      <c r="DS121" s="2261">
        <f t="shared" si="246"/>
        <v>0</v>
      </c>
      <c r="DT121" s="2261">
        <f t="shared" si="246"/>
        <v>0</v>
      </c>
      <c r="DU121" s="2261">
        <f t="shared" si="246"/>
        <v>0</v>
      </c>
      <c r="DV121" s="2261">
        <f t="shared" si="246"/>
        <v>0</v>
      </c>
      <c r="DW121" s="2261">
        <f t="shared" si="246"/>
        <v>0</v>
      </c>
      <c r="DX121" s="2261">
        <f t="shared" si="246"/>
        <v>0</v>
      </c>
      <c r="DY121" s="2261"/>
      <c r="DZ121" s="2261">
        <f t="shared" si="245"/>
        <v>0</v>
      </c>
      <c r="EA121" s="2261">
        <f t="shared" si="245"/>
        <v>0</v>
      </c>
      <c r="EB121" s="2261">
        <f t="shared" si="245"/>
        <v>0</v>
      </c>
      <c r="EC121" s="2261">
        <f t="shared" si="245"/>
        <v>0</v>
      </c>
      <c r="ED121" s="2261">
        <f t="shared" si="245"/>
        <v>0</v>
      </c>
      <c r="EE121" s="2261">
        <f t="shared" si="245"/>
        <v>0</v>
      </c>
      <c r="EF121" s="2261">
        <f t="shared" si="245"/>
        <v>0</v>
      </c>
      <c r="EG121" s="2261">
        <f t="shared" si="245"/>
        <v>0</v>
      </c>
      <c r="EH121" s="2261">
        <f t="shared" si="245"/>
        <v>0</v>
      </c>
      <c r="EI121" s="2261">
        <f t="shared" si="245"/>
        <v>0</v>
      </c>
      <c r="EJ121" s="2261">
        <f t="shared" si="245"/>
        <v>0</v>
      </c>
      <c r="EK121" s="2261">
        <f t="shared" si="245"/>
        <v>0</v>
      </c>
      <c r="EL121" s="2261"/>
      <c r="EM121" s="2261">
        <f t="shared" si="167"/>
        <v>0</v>
      </c>
      <c r="EN121" s="2261">
        <f t="shared" si="247"/>
        <v>0</v>
      </c>
      <c r="EO121" s="2261">
        <f t="shared" si="247"/>
        <v>0</v>
      </c>
      <c r="EP121" s="2261">
        <f t="shared" si="247"/>
        <v>0</v>
      </c>
      <c r="EQ121" s="2261">
        <f t="shared" si="247"/>
        <v>0</v>
      </c>
      <c r="ER121" s="2261">
        <f t="shared" si="247"/>
        <v>0</v>
      </c>
      <c r="ES121" s="2261">
        <f t="shared" si="247"/>
        <v>0</v>
      </c>
      <c r="ET121" s="2261">
        <f t="shared" si="247"/>
        <v>0</v>
      </c>
      <c r="EU121" s="2261">
        <f t="shared" si="247"/>
        <v>0</v>
      </c>
      <c r="EV121" s="2261">
        <f t="shared" si="247"/>
        <v>0</v>
      </c>
      <c r="EW121" s="2261">
        <f t="shared" si="247"/>
        <v>0</v>
      </c>
      <c r="EX121" s="2261">
        <f t="shared" si="247"/>
        <v>0</v>
      </c>
      <c r="EY121" s="2261"/>
      <c r="EZ121" s="2262">
        <f t="shared" si="195"/>
        <v>0</v>
      </c>
      <c r="FA121" s="2261">
        <f>EZ121+CZ121+DZ121                 -         SUMIF('Berechnung Nährstoffe und Lager'!$AX$113:$AX$155,$CX121,'Berechnung Nährstoffe und Lager'!$U$113:$U$155)/12  -$GB121*$HC121/12</f>
        <v>0</v>
      </c>
      <c r="FB121" s="2261">
        <f>FA121+DA121+EA121                 -         SUMIF('Berechnung Nährstoffe und Lager'!$AX$113:$AX$155,$CX121,'Berechnung Nährstoffe und Lager'!$U$113:$U$155)/12  -$GB121*$HC121/12</f>
        <v>0</v>
      </c>
      <c r="FC121" s="2261">
        <f>FB121+DB121+EB121                 -         SUMIF('Berechnung Nährstoffe und Lager'!$AX$113:$AX$155,$CX121,'Berechnung Nährstoffe und Lager'!$U$113:$U$155)/12  -$GB121*$HC121/12</f>
        <v>0</v>
      </c>
      <c r="FD121" s="2261">
        <f>FC121+DC121+EC121                 -         SUMIF('Berechnung Nährstoffe und Lager'!$AX$113:$AX$155,$CX121,'Berechnung Nährstoffe und Lager'!$U$113:$U$155)/12  -$GB121*$HC121/12</f>
        <v>0</v>
      </c>
      <c r="FE121" s="2261">
        <f>FD121+DD121+ED121                 -         SUMIF('Berechnung Nährstoffe und Lager'!$AX$113:$AX$155,$CX121,'Berechnung Nährstoffe und Lager'!$U$113:$U$155)/12  -$GB121*$HC121/12</f>
        <v>0</v>
      </c>
      <c r="FF121" s="2261">
        <f>FE121+DE121+EE121                 -         SUMIF('Berechnung Nährstoffe und Lager'!$AX$113:$AX$155,$CX121,'Berechnung Nährstoffe und Lager'!$U$113:$U$155)/12  -$GB121*$HC121/12</f>
        <v>0</v>
      </c>
      <c r="FG121" s="2261">
        <f>FF121+DF121+EF121                 -         SUMIF('Berechnung Nährstoffe und Lager'!$AX$113:$AX$155,$CX121,'Berechnung Nährstoffe und Lager'!$U$113:$U$155)/12  -$GB121*$HC121/12</f>
        <v>0</v>
      </c>
      <c r="FH121" s="2261">
        <f>FG121+DG121+EG121                 -         SUMIF('Berechnung Nährstoffe und Lager'!$AX$113:$AX$155,$CX121,'Berechnung Nährstoffe und Lager'!$U$113:$U$155)/12  -$GB121*$HC121/12</f>
        <v>0</v>
      </c>
      <c r="FI121" s="2261">
        <f>FH121+DH121+EH121                 -         SUMIF('Berechnung Nährstoffe und Lager'!$AX$113:$AX$155,$CX121,'Berechnung Nährstoffe und Lager'!$U$113:$U$155)/12  -$GB121*$HC121/12</f>
        <v>0</v>
      </c>
      <c r="FJ121" s="2261">
        <f>FI121+DI121+EI121                 -         SUMIF('Berechnung Nährstoffe und Lager'!$AX$113:$AX$155,$CX121,'Berechnung Nährstoffe und Lager'!$U$113:$U$155)/12  -$GB121*$HC121/12</f>
        <v>0</v>
      </c>
      <c r="FK121" s="2261">
        <f>FJ121+DJ121+EJ121                 -         SUMIF('Berechnung Nährstoffe und Lager'!$AX$113:$AX$155,$CX121,'Berechnung Nährstoffe und Lager'!$U$113:$U$155)/12  -$GB121*$HC121/12</f>
        <v>0</v>
      </c>
      <c r="FL121" s="2261">
        <f>FK121+DK121+EK121                 -         SUMIF('Berechnung Nährstoffe und Lager'!$AX$113:$AX$155,$CX121,'Berechnung Nährstoffe und Lager'!$U$113:$U$155)/12  -$GB121*$HC121/12</f>
        <v>0</v>
      </c>
      <c r="FM121" s="2261"/>
      <c r="FN121" s="2262">
        <f t="shared" si="196"/>
        <v>0</v>
      </c>
      <c r="FO121" s="2261">
        <f>FN121+DM121+EM121                 -         SUMIF('Berechnung Nährstoffe und Lager'!$AX$113:$AX$155,$CX121,'Berechnung Nährstoffe und Lager'!$V$113:$V$155)/12  -$GC121*$HC121/12</f>
        <v>0</v>
      </c>
      <c r="FP121" s="2261">
        <f>FO121+DN121+EN121                 -         SUMIF('Berechnung Nährstoffe und Lager'!$AX$113:$AX$155,$CX121,'Berechnung Nährstoffe und Lager'!$V$113:$V$155)/12  -$GC121*$HC121/12</f>
        <v>0</v>
      </c>
      <c r="FQ121" s="2261">
        <f>FP121+DO121+EO121                 -         SUMIF('Berechnung Nährstoffe und Lager'!$AX$113:$AX$155,$CX121,'Berechnung Nährstoffe und Lager'!$V$113:$V$155)/12  -$GC121*$HC121/12</f>
        <v>0</v>
      </c>
      <c r="FR121" s="2261">
        <f>FQ121+DP121+EP121                 -         SUMIF('Berechnung Nährstoffe und Lager'!$AX$113:$AX$155,$CX121,'Berechnung Nährstoffe und Lager'!$V$113:$V$155)/12  -$GC121*$HC121/12</f>
        <v>0</v>
      </c>
      <c r="FS121" s="2261">
        <f>FR121+DQ121+EQ121                 -         SUMIF('Berechnung Nährstoffe und Lager'!$AX$113:$AX$155,$CX121,'Berechnung Nährstoffe und Lager'!$V$113:$V$155)/12  -$GC121*$HC121/12</f>
        <v>0</v>
      </c>
      <c r="FT121" s="2261">
        <f>FS121+DR121+ER121                 -         SUMIF('Berechnung Nährstoffe und Lager'!$AX$113:$AX$155,$CX121,'Berechnung Nährstoffe und Lager'!$V$113:$V$155)/12  -$GC121*$HC121/12</f>
        <v>0</v>
      </c>
      <c r="FU121" s="2261">
        <f>FT121+DS121+ES121                 -         SUMIF('Berechnung Nährstoffe und Lager'!$AX$113:$AX$155,$CX121,'Berechnung Nährstoffe und Lager'!$V$113:$V$155)/12  -$GC121*$HC121/12</f>
        <v>0</v>
      </c>
      <c r="FV121" s="2261">
        <f>FU121+DT121+ET121                 -         SUMIF('Berechnung Nährstoffe und Lager'!$AX$113:$AX$155,$CX121,'Berechnung Nährstoffe und Lager'!$V$113:$V$155)/12  -$GC121*$HC121/12</f>
        <v>0</v>
      </c>
      <c r="FW121" s="2261">
        <f>FV121+DU121+EU121                 -         SUMIF('Berechnung Nährstoffe und Lager'!$AX$113:$AX$155,$CX121,'Berechnung Nährstoffe und Lager'!$V$113:$V$155)/12  -$GC121*$HC121/12</f>
        <v>0</v>
      </c>
      <c r="FX121" s="2261">
        <f>FW121+DV121+EV121                 -         SUMIF('Berechnung Nährstoffe und Lager'!$AX$113:$AX$155,$CX121,'Berechnung Nährstoffe und Lager'!$V$113:$V$155)/12  -$GC121*$HC121/12</f>
        <v>0</v>
      </c>
      <c r="FY121" s="2261">
        <f>FX121+DW121+EW121                 -         SUMIF('Berechnung Nährstoffe und Lager'!$AX$113:$AX$155,$CX121,'Berechnung Nährstoffe und Lager'!$V$113:$V$155)/12  -$GC121*$HC121/12</f>
        <v>0</v>
      </c>
      <c r="FZ121" s="2261">
        <f>FY121+DX121+EX121                 -         SUMIF('Berechnung Nährstoffe und Lager'!$AX$113:$AX$155,$CX121,'Berechnung Nährstoffe und Lager'!$V$113:$V$155)/12  -$GC121*$HC121/12</f>
        <v>0</v>
      </c>
      <c r="GA121" s="2261"/>
      <c r="GB121" s="2261">
        <f>SUMIFS($CI$14:$CI$68,$BR$14:$BR$68,$CX121)+SUMIFS($CM$14:$CM$68,$BR$14:$BR$68,$CX121)+SUMIFS($CR$14:$CR$68,$BR$14:$BR$68,$CX121)  -         SUMIF('Berechnung Nährstoffe und Lager'!$AX$113:$AX$155,$CX121,'Berechnung Nährstoffe und Lager'!$U$113:$U$155)</f>
        <v>0</v>
      </c>
      <c r="GC121" s="2261">
        <f>SUMIFS($CJ$14:$CJ$68,$BR$14:$BR$68,$CX121)+SUMIFS($CO$14:$CO$68,$BR$14:$BR$68,$CX121)+SUMIFS($CT$14:$CT$68,$BR$14:$BR$68,$CX121)  -         SUMIF('Berechnung Nährstoffe und Lager'!$AX$113:$AX$155,$CX121,'Berechnung Nährstoffe und Lager'!$V$113:$V$155)</f>
        <v>0</v>
      </c>
      <c r="GD121" s="2261"/>
      <c r="GE121" s="2261"/>
      <c r="GF121" s="2261">
        <f>SUMIF('Berechnung Nährstoffe und Lager'!$AX$113:$AX$155,$CX121,'Berechnung Nährstoffe und Lager'!$U$113:$U$155)</f>
        <v>0</v>
      </c>
      <c r="GG121" s="2261">
        <f>SUMIF('Berechnung Nährstoffe und Lager'!$AX$113:$AX$155,$CX121,'Berechnung Nährstoffe und Lager'!$V$113:$V$155)</f>
        <v>0</v>
      </c>
      <c r="GH121" s="2261">
        <f t="shared" si="197"/>
        <v>0</v>
      </c>
      <c r="GI121" s="2261">
        <f t="shared" si="198"/>
        <v>0</v>
      </c>
      <c r="GJ121" s="2261">
        <f t="shared" si="232"/>
        <v>0</v>
      </c>
      <c r="GK121" s="2261">
        <f t="shared" si="233"/>
        <v>0</v>
      </c>
      <c r="GL121" s="2261">
        <f t="shared" si="234"/>
        <v>0</v>
      </c>
      <c r="GM121" s="2261" cm="1">
        <f t="array" ref="GM121">IF(GL121=0,0,(IFERROR(SUMPRODUCT($J$14:$J$68,$CH$14:$CH$68,($BR$14:$BR$68=CX121)*1)+SUMPRODUCT($L$14:$L$68,$M$14:$M$68,$CK$14:$CK$68,($BR$14:$BR$68=CX121)*1,($BT$14:$BT$68=FALSE)*1)/10+SUMPRODUCT($R$14:$R$68,$CP$14:$CP$68,($BR$14:$BR$68=CX121)*1),0))/GL121)</f>
        <v>0</v>
      </c>
      <c r="GN121" s="2261">
        <f t="shared" si="199"/>
        <v>0</v>
      </c>
      <c r="GO121" s="2261">
        <f>(SUMIF('Berechnung Nährstoffe und Lager'!$AX$113:$AX$130,'Lagerhaltung (freiwillig)'!CX121,'Berechnung Nährstoffe und Lager'!$D$113:$D$130)+SUMIF('Berechnung Nährstoffe und Lager'!$AX$137:$AX$155,'Lagerhaltung (freiwillig)'!CX121,'Berechnung Nährstoffe und Lager'!$E$137:$E$155))</f>
        <v>0</v>
      </c>
      <c r="GP121" s="2261" cm="1">
        <f t="array" ref="GP121">IF(GO121=0,0,(IFERROR(SUMPRODUCT('Berechnung Nährstoffe und Lager'!$D$113:$D$130,'Berechnung Nährstoffe und Lager'!$F$113:$F$130,('Berechnung Nährstoffe und Lager'!$AX$113:$AX$130='Lagerhaltung (freiwillig)'!CX121)*1)+SUMPRODUCT('Berechnung Nährstoffe und Lager'!$E$137:$E$155,'Berechnung Nährstoffe und Lager'!$F$137:$F$155,('Berechnung Nährstoffe und Lager'!$AX$137:$AX$155='Lagerhaltung (freiwillig)'!CX121)*1),0))/GO121)</f>
        <v>0</v>
      </c>
      <c r="GQ121" s="2261">
        <f t="shared" si="200"/>
        <v>0</v>
      </c>
      <c r="GR121" s="2261">
        <f t="shared" si="201"/>
        <v>0</v>
      </c>
      <c r="GS121" s="2261">
        <f t="shared" si="202"/>
        <v>0</v>
      </c>
      <c r="GT121" s="2261">
        <f t="shared" si="203"/>
        <v>0</v>
      </c>
      <c r="GU121" s="2262" t="str">
        <f t="shared" si="175"/>
        <v xml:space="preserve"> </v>
      </c>
      <c r="GV121" s="2262" t="str">
        <f t="shared" si="175"/>
        <v xml:space="preserve"> </v>
      </c>
      <c r="GW121" s="2283">
        <f t="shared" si="235"/>
        <v>0</v>
      </c>
      <c r="GX121" s="2261">
        <f t="shared" si="236"/>
        <v>0</v>
      </c>
      <c r="GY121" s="2261" t="str">
        <f t="shared" si="229"/>
        <v>a</v>
      </c>
      <c r="GZ121" s="2263">
        <f t="shared" si="237"/>
        <v>0</v>
      </c>
      <c r="HA121" s="2263">
        <f t="shared" si="238"/>
        <v>0</v>
      </c>
      <c r="HB121" s="2263"/>
      <c r="HC121" s="2284">
        <f t="shared" si="239"/>
        <v>0</v>
      </c>
      <c r="HD121" s="2263">
        <f t="shared" si="240"/>
        <v>0</v>
      </c>
      <c r="HE121" s="2263">
        <f t="shared" si="241"/>
        <v>0</v>
      </c>
      <c r="HF121" s="2263">
        <f t="shared" si="242"/>
        <v>0</v>
      </c>
      <c r="HG121" s="2285" cm="1">
        <f t="array" ref="HG121">IF(AND(HE121=0,GJ121=0),0,IF(HE121=0,1,IF(OR(GJ121*1000/HE121/HF121&gt;INDEX(Pflanzen!$AD$5:$AD$109,CX121)/INDEX(Pflanzen!$M$5:$M$109,CX121)*$HG$2,GJ121*1000/HE121/HF121&lt;INDEX(Pflanzen!$AD$5:$AD$109,CX121)/INDEX(Pflanzen!$M$5:$M$109,CX121)/$HG$2),1,0)))</f>
        <v>0</v>
      </c>
      <c r="HH121" s="2285" cm="1">
        <f t="array" ref="HH121">IF(AND(GK121=0,HE121=0),0,IF(HE121=0,1,IF(OR(GK121*1000/HE121/HF121&gt;INDEX(Pflanzen!$AE$5:$AE$109,CX121)/INDEX(Pflanzen!$M$5:$M$109,CX121)*$HG$2,GK121*1000/HE121/HF121&lt;INDEX(Pflanzen!$AE$5:$AE$109,CX121)/INDEX(Pflanzen!$M$5:$M$109,CX121)/$HG$2),1,0)))</f>
        <v>0</v>
      </c>
      <c r="HI121" s="2261">
        <f t="shared" si="243"/>
        <v>3</v>
      </c>
      <c r="HJ121" s="2042"/>
      <c r="HL121" s="2042"/>
      <c r="HM121" s="2042"/>
      <c r="HN121" s="2042"/>
      <c r="HO121" s="2042"/>
      <c r="HP121" s="2042"/>
      <c r="HQ121" s="2042"/>
      <c r="HR121" s="2042"/>
      <c r="HS121" s="2042"/>
      <c r="HT121" s="2042"/>
      <c r="HU121" s="2042"/>
      <c r="HV121" s="2042"/>
      <c r="HW121" s="2042"/>
      <c r="HX121" s="2042"/>
      <c r="HY121" s="2042"/>
      <c r="HZ121" s="2042"/>
      <c r="IA121" s="2042"/>
      <c r="IB121" s="2042"/>
      <c r="IC121" s="2042"/>
      <c r="ID121" s="2042"/>
      <c r="IE121" s="2042"/>
      <c r="IF121" s="2042"/>
      <c r="IG121" s="2042"/>
      <c r="IH121" s="2042"/>
      <c r="II121" s="2042"/>
      <c r="IJ121" s="2042"/>
    </row>
    <row r="122" spans="25:244" ht="15.75" customHeight="1" thickTop="1" x14ac:dyDescent="0.2">
      <c r="Y122" s="2005" t="str" cm="1">
        <f t="array" ref="Y122">IFERROR(INDEX($CW$4:$CW$171,AY122),"")</f>
        <v/>
      </c>
      <c r="Z122" s="510"/>
      <c r="AA122" s="510"/>
      <c r="AB122" s="510"/>
      <c r="AC122" s="2031" t="str" cm="1">
        <f t="array" ref="AC122">IFERROR(INDEX($GL$4:$GL$171,AY122),"")</f>
        <v/>
      </c>
      <c r="AD122" s="2031" t="str" cm="1">
        <f t="array" ref="AD122">IFERROR(INDEX($GM$4:$GM$171,AY122),"")</f>
        <v/>
      </c>
      <c r="AE122" s="2031" t="str" cm="1">
        <f t="array" ref="AE122">IFERROR(INDEX($GH$4:$GH$171,AY122),"")</f>
        <v/>
      </c>
      <c r="AF122" s="2031" t="str" cm="1">
        <f t="array" ref="AF122">IFERROR(INDEX($GI$4:$GI$171,AY122),"")</f>
        <v/>
      </c>
      <c r="AG122" s="2031" t="str" cm="1">
        <f t="array" ref="AG122">IFERROR(INDEX($GO$4:$GO$171,AY122),"")</f>
        <v/>
      </c>
      <c r="AH122" s="2031" t="str" cm="1">
        <f t="array" ref="AH122">IFERROR(INDEX($GP$4:$GP$171,AY122),"")</f>
        <v/>
      </c>
      <c r="AI122" s="2031" t="str" cm="1">
        <f t="array" ref="AI122">IFERROR(INDEX($GF$4:$GF$171,AY122),"")</f>
        <v/>
      </c>
      <c r="AJ122" s="2031" t="str" cm="1">
        <f t="array" ref="AJ122">IFERROR(INDEX($GG$4:$GG$171,AY122),"")</f>
        <v/>
      </c>
      <c r="AK122" s="2031" t="str" cm="1">
        <f t="array" ref="AK122">IFERROR(INDEX($GS$4:$GS$171,AY122),"")</f>
        <v/>
      </c>
      <c r="AL122" s="2032" t="str" cm="1">
        <f t="array" ref="AL122">IFERROR(INDEX($GT$4:$GT$171,AY122),"")</f>
        <v/>
      </c>
      <c r="AM122" s="2031" t="str" cm="1">
        <f t="array" ref="AM122">IFERROR(INDEX($GB$4:$GB$171,AY122),"")</f>
        <v/>
      </c>
      <c r="AN122" s="2031" t="str" cm="1">
        <f t="array" ref="AN122">IFERROR(INDEX($GC$4:$GC$171,AY122),"")</f>
        <v/>
      </c>
      <c r="AO122" s="1310" t="str" cm="1">
        <f t="array" ref="AO122">IFERROR(INDEX($GU$4:$GU$171,AY122),"")</f>
        <v/>
      </c>
      <c r="AP122" s="1310" t="str" cm="1">
        <f t="array" ref="AP122">IFERROR(INDEX($GX$4:$GX$171,AY122),"")</f>
        <v/>
      </c>
      <c r="AQ122" s="1316"/>
      <c r="AR122" s="2031" t="str" cm="1">
        <f t="array" ref="AR122">IFERROR(INDEX($HD$4:$HD$171,AY122),"")</f>
        <v/>
      </c>
      <c r="AS122" s="2031" t="str" cm="1">
        <f t="array" ref="AS122">IFERROR(INDEX($HE$4:$HE$171,AY122),"")</f>
        <v/>
      </c>
      <c r="AT122" s="2031" t="str" cm="1">
        <f t="array" ref="AT122">IFERROR(INDEX($HF$4:$HF$171,AY122),"")</f>
        <v/>
      </c>
      <c r="AU122" s="2031" t="str" cm="1">
        <f t="array" ref="AU122">IFERROR(INDEX($GJ$4:$GJ$171,AY122),"")</f>
        <v/>
      </c>
      <c r="AV122" s="2031" t="str" cm="1">
        <f t="array" ref="AV122">IFERROR(INDEX($GK$4:$GK$171,AY122),"")</f>
        <v/>
      </c>
      <c r="AY122" s="2042" t="str" cm="1">
        <f t="array" ref="AY122">IFERROR(SMALL(IF($HI$4:$HI$171=1,ROW($HI$4:$HI$171)-3),ROW(W107)),IFERROR(SMALL(IF($HI$4:$HI$171=2,ROW($HI$4:$HI$171)-3),ROW(W107)-COUNTIF($HI$4:$HI$171,1)),IFERROR(SMALL(IF($HI$4:$HI$171=0,ROW($HI$4:$HI$171)-3),ROW(W107)-COUNTIF($HI$4:$HI$171,1)-COUNTIF($HI$4:$HI$171,2)),"")))</f>
        <v/>
      </c>
      <c r="AZ122" s="2042" t="str">
        <f t="shared" si="215"/>
        <v>a</v>
      </c>
      <c r="BA122" s="2053" t="e">
        <f t="shared" si="226"/>
        <v>#VALUE!</v>
      </c>
      <c r="BB122" s="2053" cm="1">
        <f t="array" ref="BB122">IFERROR(INDEX($HI$4:$HI$171,AY122),0)</f>
        <v>0</v>
      </c>
      <c r="BC122" s="2053">
        <f t="shared" si="227"/>
        <v>0</v>
      </c>
      <c r="BD122" s="2053"/>
      <c r="BE122" s="2307"/>
      <c r="BF122" s="2307"/>
      <c r="BG122" s="2307"/>
      <c r="BH122" s="2307"/>
      <c r="BI122" s="2307"/>
      <c r="BJ122" s="2307"/>
      <c r="BK122" s="2307"/>
      <c r="BL122" s="2307"/>
      <c r="BM122" s="2307"/>
      <c r="BN122" s="2307"/>
      <c r="BO122" s="2307"/>
      <c r="BP122" s="2043"/>
      <c r="BQ122" s="2042"/>
      <c r="BR122" s="2042"/>
      <c r="BS122" s="2042"/>
      <c r="BT122" s="2042"/>
      <c r="BU122" s="2059"/>
      <c r="BV122" s="2277"/>
      <c r="BW122" s="2277"/>
      <c r="BX122" s="2277"/>
      <c r="BY122" s="2277"/>
      <c r="BZ122" s="2277"/>
      <c r="CA122" s="2277"/>
      <c r="CB122" s="2277"/>
      <c r="CC122" s="2277"/>
      <c r="CD122" s="2277"/>
      <c r="CE122" s="2277"/>
      <c r="CF122" s="2277"/>
      <c r="CG122" s="2277"/>
      <c r="CH122" s="2277"/>
      <c r="CI122" s="2277"/>
      <c r="CJ122" s="2277"/>
      <c r="CK122" s="2277"/>
      <c r="CL122" s="2042"/>
      <c r="CM122" s="2042"/>
      <c r="CN122" s="2042"/>
      <c r="CO122" s="2042"/>
      <c r="CP122" s="2042"/>
      <c r="CQ122" s="2042"/>
      <c r="CR122" s="2042"/>
      <c r="CS122" s="2042"/>
      <c r="CT122" s="2042"/>
      <c r="CU122" s="2042"/>
      <c r="CV122" s="2042"/>
      <c r="CW122" s="2069" t="str">
        <f>Pflanzen!C123</f>
        <v>Altbrot</v>
      </c>
      <c r="CX122" s="2042">
        <f>IFERROR(MATCH($CW122,Pflanzen!$C$122:$C$160,0),1)</f>
        <v>2</v>
      </c>
      <c r="CY122" s="2069">
        <f>Pflanzen!I123</f>
        <v>2</v>
      </c>
      <c r="CZ122" s="2062">
        <f t="shared" ref="CZ122:DK122" si="248">SUMIFS($CQ$75:$CQ$79,$BW$75:$BW$79,1,$BX$75:$BX$79,CZ$2,$BR$75:$BR$79,$CX122)+   SUMIFS($CQ$75:$CQ$79,$BW$75:$BW$79,"&gt;1",$BX$75:$BX$79,"&lt;="&amp;CZ$2,$BY$75:$BY$79,"&gt;="&amp;CZ$2,$BR$75:$BR$79,$CX122)</f>
        <v>0</v>
      </c>
      <c r="DA122" s="2062">
        <f t="shared" si="248"/>
        <v>0</v>
      </c>
      <c r="DB122" s="2062">
        <f t="shared" si="248"/>
        <v>0</v>
      </c>
      <c r="DC122" s="2062">
        <f t="shared" si="248"/>
        <v>0</v>
      </c>
      <c r="DD122" s="2062">
        <f t="shared" si="248"/>
        <v>0</v>
      </c>
      <c r="DE122" s="2062">
        <f t="shared" si="248"/>
        <v>0</v>
      </c>
      <c r="DF122" s="2062">
        <f t="shared" si="248"/>
        <v>0</v>
      </c>
      <c r="DG122" s="2062">
        <f t="shared" si="248"/>
        <v>0</v>
      </c>
      <c r="DH122" s="2062">
        <f t="shared" si="248"/>
        <v>0</v>
      </c>
      <c r="DI122" s="2062">
        <f t="shared" si="248"/>
        <v>0</v>
      </c>
      <c r="DJ122" s="2062">
        <f t="shared" si="248"/>
        <v>0</v>
      </c>
      <c r="DK122" s="2062">
        <f t="shared" si="248"/>
        <v>0</v>
      </c>
      <c r="DL122" s="2042"/>
      <c r="DM122" s="2062">
        <f t="shared" ref="DM122:DX122" si="249">SUMIFS($CS$75:$CS$79,$BW$75:$BW$79,1,$BX$75:$BX$79,DM$2,$BR$75:$BR$79,$CX122)+   SUMIFS($CS$75:$CS$79,$BW$75:$BW$79,"&gt;1",$BX$75:$BX$79,"&lt;="&amp;DM$2,$BY$75:$BY$79,"&gt;="&amp;DM$2,$BR$75:$BR$79,$CX122)</f>
        <v>0</v>
      </c>
      <c r="DN122" s="2062">
        <f t="shared" si="249"/>
        <v>0</v>
      </c>
      <c r="DO122" s="2062">
        <f t="shared" si="249"/>
        <v>0</v>
      </c>
      <c r="DP122" s="2062">
        <f t="shared" si="249"/>
        <v>0</v>
      </c>
      <c r="DQ122" s="2062">
        <f t="shared" si="249"/>
        <v>0</v>
      </c>
      <c r="DR122" s="2062">
        <f t="shared" si="249"/>
        <v>0</v>
      </c>
      <c r="DS122" s="2062">
        <f t="shared" si="249"/>
        <v>0</v>
      </c>
      <c r="DT122" s="2062">
        <f t="shared" si="249"/>
        <v>0</v>
      </c>
      <c r="DU122" s="2062">
        <f t="shared" si="249"/>
        <v>0</v>
      </c>
      <c r="DV122" s="2062">
        <f t="shared" si="249"/>
        <v>0</v>
      </c>
      <c r="DW122" s="2062">
        <f t="shared" si="249"/>
        <v>0</v>
      </c>
      <c r="DX122" s="2062">
        <f t="shared" si="249"/>
        <v>0</v>
      </c>
      <c r="DY122" s="2042"/>
      <c r="DZ122" s="2042"/>
      <c r="EA122" s="2042"/>
      <c r="EB122" s="2042"/>
      <c r="EC122" s="2042"/>
      <c r="ED122" s="2042"/>
      <c r="EE122" s="2042"/>
      <c r="EF122" s="2042"/>
      <c r="EG122" s="2042"/>
      <c r="EH122" s="2042"/>
      <c r="EI122" s="2042"/>
      <c r="EJ122" s="2042"/>
      <c r="EK122" s="2042"/>
      <c r="EL122" s="2042"/>
      <c r="EM122" s="2042"/>
      <c r="EN122" s="2042"/>
      <c r="EO122" s="2042"/>
      <c r="EP122" s="2042"/>
      <c r="EQ122" s="2042"/>
      <c r="ER122" s="2042"/>
      <c r="ES122" s="2042"/>
      <c r="ET122" s="2042"/>
      <c r="EU122" s="2042"/>
      <c r="EV122" s="2042"/>
      <c r="EW122" s="2042"/>
      <c r="EX122" s="2042"/>
      <c r="EY122" s="2042"/>
      <c r="EZ122" s="2045">
        <f>SUMIF($BR$75:$BR$79,$CX122,$CI$75:$CI$79)</f>
        <v>0</v>
      </c>
      <c r="FA122" s="2216">
        <f t="shared" ref="FA122:FA159" si="250">EZ122+CZ122  -$GB122*$HC122/12</f>
        <v>0</v>
      </c>
      <c r="FB122" s="2216">
        <f t="shared" ref="FB122:FB159" si="251">FA122+DA122  -$GB122*$HC122/12</f>
        <v>0</v>
      </c>
      <c r="FC122" s="2216">
        <f t="shared" ref="FC122:FC159" si="252">FB122+DB122  -$GB122*$HC122/12</f>
        <v>0</v>
      </c>
      <c r="FD122" s="2216">
        <f t="shared" ref="FD122:FD159" si="253">FC122+DC122  -$GB122*$HC122/12</f>
        <v>0</v>
      </c>
      <c r="FE122" s="2216">
        <f t="shared" ref="FE122:FE159" si="254">FD122+DD122  -$GB122*$HC122/12</f>
        <v>0</v>
      </c>
      <c r="FF122" s="2216">
        <f t="shared" ref="FF122:FF159" si="255">FE122+DE122  -$GB122*$HC122/12</f>
        <v>0</v>
      </c>
      <c r="FG122" s="2216">
        <f t="shared" ref="FG122:FG159" si="256">FF122+DF122  -$GB122*$HC122/12</f>
        <v>0</v>
      </c>
      <c r="FH122" s="2216">
        <f t="shared" ref="FH122:FH159" si="257">FG122+DG122  -$GB122*$HC122/12</f>
        <v>0</v>
      </c>
      <c r="FI122" s="2216">
        <f t="shared" ref="FI122:FI159" si="258">FH122+DH122  -$GB122*$HC122/12</f>
        <v>0</v>
      </c>
      <c r="FJ122" s="2216">
        <f t="shared" ref="FJ122:FJ159" si="259">FI122+DI122  -$GB122*$HC122/12</f>
        <v>0</v>
      </c>
      <c r="FK122" s="2216">
        <f t="shared" ref="FK122:FK159" si="260">FJ122+DJ122  -$GB122*$HC122/12</f>
        <v>0</v>
      </c>
      <c r="FL122" s="2216">
        <f t="shared" ref="FL122:FL159" si="261">FK122+DK122  -$GB122*$HC122/12</f>
        <v>0</v>
      </c>
      <c r="FM122" s="2042"/>
      <c r="FN122" s="2045">
        <f>SUMIF($BR$75:$BR$79,$CX122,$CJ$75:$CJ$79)</f>
        <v>0</v>
      </c>
      <c r="FO122" s="2216">
        <f t="shared" ref="FO122:FO169" si="262">FN122+DM122  -$GC122*$HC122/12</f>
        <v>0</v>
      </c>
      <c r="FP122" s="2216">
        <f t="shared" ref="FP122:FP169" si="263">FO122+DN122  -$GC122*$HC122/12</f>
        <v>0</v>
      </c>
      <c r="FQ122" s="2216">
        <f t="shared" ref="FQ122:FQ169" si="264">FP122+DO122  -$GC122*$HC122/12</f>
        <v>0</v>
      </c>
      <c r="FR122" s="2216">
        <f t="shared" ref="FR122:FR169" si="265">FQ122+DP122  -$GC122*$HC122/12</f>
        <v>0</v>
      </c>
      <c r="FS122" s="2216">
        <f t="shared" ref="FS122:FS169" si="266">FR122+DQ122  -$GC122*$HC122/12</f>
        <v>0</v>
      </c>
      <c r="FT122" s="2216">
        <f t="shared" ref="FT122:FT169" si="267">FS122+DR122  -$GC122*$HC122/12</f>
        <v>0</v>
      </c>
      <c r="FU122" s="2216">
        <f t="shared" ref="FU122:FU169" si="268">FT122+DS122  -$GC122*$HC122/12</f>
        <v>0</v>
      </c>
      <c r="FV122" s="2216">
        <f t="shared" ref="FV122:FV169" si="269">FU122+DT122  -$GC122*$HC122/12</f>
        <v>0</v>
      </c>
      <c r="FW122" s="2216">
        <f t="shared" ref="FW122:FW169" si="270">FV122+DU122  -$GC122*$HC122/12</f>
        <v>0</v>
      </c>
      <c r="FX122" s="2216">
        <f t="shared" ref="FX122:FX169" si="271">FW122+DV122  -$GC122*$HC122/12</f>
        <v>0</v>
      </c>
      <c r="FY122" s="2216">
        <f t="shared" ref="FY122:FY169" si="272">FX122+DW122  -$GC122*$HC122/12</f>
        <v>0</v>
      </c>
      <c r="FZ122" s="2216">
        <f t="shared" ref="FZ122:FZ169" si="273">FY122+DX122  -$GC122*$HC122/12</f>
        <v>0</v>
      </c>
      <c r="GA122" s="2042"/>
      <c r="GB122" s="2042">
        <f xml:space="preserve">  SUMIFS($CI$75:$CI$79,$BR$75:$BR$79,$CX122)+SUMIFS($CR$75:$CR$79,$BR$75:$BR$79,$CX122)</f>
        <v>0</v>
      </c>
      <c r="GC122" s="2042">
        <f xml:space="preserve">  SUMIFS($CJ$75:$CJ$79,$BR$75:$BR$79,$CX122)+SUMIFS($CT$75:$CT$79,$BR$75:$BR$79,$CX122)</f>
        <v>0</v>
      </c>
      <c r="GD122" s="2042"/>
      <c r="GE122" s="2042"/>
      <c r="GF122" s="2042"/>
      <c r="GG122" s="2042"/>
      <c r="GH122" s="2042">
        <f>GB122</f>
        <v>0</v>
      </c>
      <c r="GI122" s="2042">
        <f>GC122</f>
        <v>0</v>
      </c>
      <c r="GJ122" s="2042">
        <f t="shared" si="232"/>
        <v>0</v>
      </c>
      <c r="GK122" s="2042">
        <f t="shared" si="233"/>
        <v>0</v>
      </c>
      <c r="GL122" s="2042">
        <f t="shared" ref="GL122:GL159" si="274">SUMIF($BR$75:$BR$79,CX122,$CU$75:$CU$79)</f>
        <v>0</v>
      </c>
      <c r="GM122" s="2042" cm="1">
        <f t="array" ref="GM122">IF(GL122=0,0,(SUMPRODUCT($J$75:$J$79,$CH$75:$CH$79,($BR$75:$BR$79=CX122)*1)+SUMPRODUCT($R$75:$R$79,$CP$75:$CP$79,($BR$75:$BR$79=CX122)*1))/GL122)</f>
        <v>0</v>
      </c>
      <c r="GN122" s="2042">
        <f t="shared" ref="GN122:GN155" si="275">GL122*GM122/100</f>
        <v>0</v>
      </c>
      <c r="GO122" s="2042"/>
      <c r="GP122" s="2042"/>
      <c r="GQ122" s="2042">
        <f t="shared" ref="GQ122:GQ155" si="276">GO122*GP122/100</f>
        <v>0</v>
      </c>
      <c r="GR122" s="2042">
        <f t="shared" si="201"/>
        <v>0</v>
      </c>
      <c r="GS122" s="2042">
        <f t="shared" ref="GS122:GS150" si="277">IF(AND(GM122=0,GP122=0),0,IF(GM122=0,GR122/(GP122/100),GR122/(GM122/100)))</f>
        <v>0</v>
      </c>
      <c r="GT122" s="2042">
        <f t="shared" ref="GT122:GT152" si="278">IF(OR(GM122=0,GP122=0),MAX(GM122,GP122),GM122)</f>
        <v>0</v>
      </c>
      <c r="GU122" s="2045" t="str">
        <f t="shared" si="175"/>
        <v xml:space="preserve"> </v>
      </c>
      <c r="GV122" s="2045" t="str">
        <f t="shared" si="175"/>
        <v xml:space="preserve"> </v>
      </c>
      <c r="GW122" s="2054">
        <f t="shared" si="235"/>
        <v>0</v>
      </c>
      <c r="GX122" s="2042">
        <f t="shared" si="236"/>
        <v>0</v>
      </c>
      <c r="GY122" s="2042" t="str">
        <f t="shared" si="229"/>
        <v>a</v>
      </c>
      <c r="GZ122" s="2055">
        <f t="shared" si="237"/>
        <v>0</v>
      </c>
      <c r="HA122" s="2055">
        <f t="shared" si="238"/>
        <v>0</v>
      </c>
      <c r="HB122" s="2055"/>
      <c r="HC122" s="2046">
        <f t="shared" si="239"/>
        <v>0</v>
      </c>
      <c r="HD122" s="2055">
        <f t="shared" si="240"/>
        <v>0</v>
      </c>
      <c r="HE122" s="2055">
        <f t="shared" si="241"/>
        <v>0</v>
      </c>
      <c r="HF122" s="2055">
        <f t="shared" si="242"/>
        <v>0</v>
      </c>
      <c r="HG122" s="2282" cm="1">
        <f t="array" ref="HG122">IF(AND(HE122=0,GJ122=0),0,IF(HE122=0,1,IF(OR(GJ122*1000/HE122/HF122&gt;INDEX(Pflanzen!$AD$122:$AD$160,CX122)/INDEX(Pflanzen!$M$122:$M$160,CX122)*$HG$1,GJ122*1000/HE122/HF122&lt;INDEX(Pflanzen!$AD$122:$AD$160,CX122)/INDEX(Pflanzen!$M$122:$M$160,CX122)/$HG$1),1,0)))</f>
        <v>0</v>
      </c>
      <c r="HH122" s="2287" cm="1">
        <f t="array" ref="HH122">IF(AND(GK122=0,HE122=0),0,IF(HE122=0,1,IF(OR(GK122*1000/HE122/HF122&gt;INDEX(Pflanzen!$AE$122:$AE$160,CX122)/INDEX(Pflanzen!$M$122:$M$160,CX122)*$HG$2,GK122*1000/HE122/HF122&lt;INDEX(Pflanzen!$AE$122:$AE$160,CX122)/INDEX(Pflanzen!$M$122:$M$160,CX122)/$HG$2),1,0)))</f>
        <v>0</v>
      </c>
      <c r="HI122" s="2042">
        <f t="shared" si="243"/>
        <v>3</v>
      </c>
      <c r="HJ122" s="2042"/>
      <c r="HL122" s="2042"/>
      <c r="HM122" s="2042"/>
      <c r="HN122" s="2042"/>
      <c r="HO122" s="2042"/>
      <c r="HP122" s="2042"/>
      <c r="HQ122" s="2042"/>
      <c r="HR122" s="2042"/>
      <c r="HS122" s="2042"/>
      <c r="HT122" s="2042"/>
      <c r="HU122" s="2042"/>
      <c r="HV122" s="2042"/>
      <c r="HW122" s="2042"/>
      <c r="HX122" s="2042"/>
      <c r="HY122" s="2042"/>
      <c r="HZ122" s="2042"/>
      <c r="IA122" s="2042"/>
      <c r="IB122" s="2042"/>
      <c r="IC122" s="2042"/>
      <c r="ID122" s="2042"/>
      <c r="IE122" s="2042"/>
      <c r="IF122" s="2042"/>
      <c r="IG122" s="2042"/>
      <c r="IH122" s="2042"/>
      <c r="II122" s="2042"/>
      <c r="IJ122" s="2042"/>
    </row>
    <row r="123" spans="25:244" ht="15.75" customHeight="1" x14ac:dyDescent="0.2">
      <c r="Y123" s="2005" t="str" cm="1">
        <f t="array" ref="Y123">IFERROR(INDEX($CW$4:$CW$171,AY123),"")</f>
        <v/>
      </c>
      <c r="Z123" s="510"/>
      <c r="AA123" s="510"/>
      <c r="AB123" s="510"/>
      <c r="AC123" s="2031" t="str" cm="1">
        <f t="array" ref="AC123">IFERROR(INDEX($GL$4:$GL$171,AY123),"")</f>
        <v/>
      </c>
      <c r="AD123" s="2031" t="str" cm="1">
        <f t="array" ref="AD123">IFERROR(INDEX($GM$4:$GM$171,AY123),"")</f>
        <v/>
      </c>
      <c r="AE123" s="2031" t="str" cm="1">
        <f t="array" ref="AE123">IFERROR(INDEX($GH$4:$GH$171,AY123),"")</f>
        <v/>
      </c>
      <c r="AF123" s="2031" t="str" cm="1">
        <f t="array" ref="AF123">IFERROR(INDEX($GI$4:$GI$171,AY123),"")</f>
        <v/>
      </c>
      <c r="AG123" s="2031" t="str" cm="1">
        <f t="array" ref="AG123">IFERROR(INDEX($GO$4:$GO$171,AY123),"")</f>
        <v/>
      </c>
      <c r="AH123" s="2031" t="str" cm="1">
        <f t="array" ref="AH123">IFERROR(INDEX($GP$4:$GP$171,AY123),"")</f>
        <v/>
      </c>
      <c r="AI123" s="2031" t="str" cm="1">
        <f t="array" ref="AI123">IFERROR(INDEX($GF$4:$GF$171,AY123),"")</f>
        <v/>
      </c>
      <c r="AJ123" s="2031" t="str" cm="1">
        <f t="array" ref="AJ123">IFERROR(INDEX($GG$4:$GG$171,AY123),"")</f>
        <v/>
      </c>
      <c r="AK123" s="2031" t="str" cm="1">
        <f t="array" ref="AK123">IFERROR(INDEX($GS$4:$GS$171,AY123),"")</f>
        <v/>
      </c>
      <c r="AL123" s="2032" t="str" cm="1">
        <f t="array" ref="AL123">IFERROR(INDEX($GT$4:$GT$171,AY123),"")</f>
        <v/>
      </c>
      <c r="AM123" s="2031" t="str" cm="1">
        <f t="array" ref="AM123">IFERROR(INDEX($GB$4:$GB$171,AY123),"")</f>
        <v/>
      </c>
      <c r="AN123" s="2031" t="str" cm="1">
        <f t="array" ref="AN123">IFERROR(INDEX($GC$4:$GC$171,AY123),"")</f>
        <v/>
      </c>
      <c r="AO123" s="1310" t="str" cm="1">
        <f t="array" ref="AO123">IFERROR(INDEX($GU$4:$GU$171,AY123),"")</f>
        <v/>
      </c>
      <c r="AP123" s="1310" t="str" cm="1">
        <f t="array" ref="AP123">IFERROR(INDEX($GX$4:$GX$171,AY123),"")</f>
        <v/>
      </c>
      <c r="AQ123" s="1316"/>
      <c r="AR123" s="2031" t="str" cm="1">
        <f t="array" ref="AR123">IFERROR(INDEX($HD$4:$HD$171,AY123),"")</f>
        <v/>
      </c>
      <c r="AS123" s="2031" t="str" cm="1">
        <f t="array" ref="AS123">IFERROR(INDEX($HE$4:$HE$171,AY123),"")</f>
        <v/>
      </c>
      <c r="AT123" s="2031" t="str" cm="1">
        <f t="array" ref="AT123">IFERROR(INDEX($HF$4:$HF$171,AY123),"")</f>
        <v/>
      </c>
      <c r="AU123" s="2031" t="str" cm="1">
        <f t="array" ref="AU123">IFERROR(INDEX($GJ$4:$GJ$171,AY123),"")</f>
        <v/>
      </c>
      <c r="AV123" s="2031" t="str" cm="1">
        <f t="array" ref="AV123">IFERROR(INDEX($GK$4:$GK$171,AY123),"")</f>
        <v/>
      </c>
      <c r="AY123" s="2042" t="str" cm="1">
        <f t="array" ref="AY123">IFERROR(SMALL(IF($HI$4:$HI$171=1,ROW($HI$4:$HI$171)-3),ROW(W108)),IFERROR(SMALL(IF($HI$4:$HI$171=2,ROW($HI$4:$HI$171)-3),ROW(W108)-COUNTIF($HI$4:$HI$171,1)),IFERROR(SMALL(IF($HI$4:$HI$171=0,ROW($HI$4:$HI$171)-3),ROW(W108)-COUNTIF($HI$4:$HI$171,1)-COUNTIF($HI$4:$HI$171,2)),"")))</f>
        <v/>
      </c>
      <c r="AZ123" s="2042" t="str">
        <f t="shared" si="215"/>
        <v>a</v>
      </c>
      <c r="BA123" s="2053" t="e">
        <f t="shared" si="226"/>
        <v>#VALUE!</v>
      </c>
      <c r="BB123" s="2053" cm="1">
        <f t="array" ref="BB123">IFERROR(INDEX($HI$4:$HI$171,AY123),0)</f>
        <v>0</v>
      </c>
      <c r="BC123" s="2053">
        <f t="shared" si="227"/>
        <v>0</v>
      </c>
      <c r="BD123" s="2053"/>
      <c r="BE123" s="2307"/>
      <c r="BF123" s="2307"/>
      <c r="BG123" s="2307"/>
      <c r="BH123" s="2307"/>
      <c r="BI123" s="2307"/>
      <c r="BJ123" s="2307"/>
      <c r="BK123" s="2307"/>
      <c r="BL123" s="2307"/>
      <c r="BM123" s="2307"/>
      <c r="BN123" s="2307"/>
      <c r="BO123" s="2307"/>
      <c r="BP123" s="2043"/>
      <c r="BQ123" s="2042"/>
      <c r="BR123" s="2042"/>
      <c r="BS123" s="2042"/>
      <c r="BT123" s="2042"/>
      <c r="BU123" s="2059"/>
      <c r="BV123" s="2277"/>
      <c r="BW123" s="2277"/>
      <c r="BX123" s="2277"/>
      <c r="BY123" s="2277"/>
      <c r="BZ123" s="2277"/>
      <c r="CA123" s="2277"/>
      <c r="CB123" s="2277"/>
      <c r="CC123" s="2277"/>
      <c r="CD123" s="2277"/>
      <c r="CE123" s="2277"/>
      <c r="CF123" s="2277"/>
      <c r="CG123" s="2277"/>
      <c r="CH123" s="2277"/>
      <c r="CI123" s="2277"/>
      <c r="CJ123" s="2277"/>
      <c r="CK123" s="2277"/>
      <c r="CL123" s="2042"/>
      <c r="CM123" s="2042"/>
      <c r="CN123" s="2042"/>
      <c r="CO123" s="2042"/>
      <c r="CP123" s="2042"/>
      <c r="CQ123" s="2042"/>
      <c r="CR123" s="2042"/>
      <c r="CS123" s="2042"/>
      <c r="CT123" s="2042"/>
      <c r="CU123" s="2042"/>
      <c r="CV123" s="2042"/>
      <c r="CW123" s="2069" t="str">
        <f>Pflanzen!C124</f>
        <v>Apfeltrester</v>
      </c>
      <c r="CX123" s="2042">
        <f>IFERROR(MATCH($CW123,Pflanzen!$C$122:$C$160,0),1)</f>
        <v>3</v>
      </c>
      <c r="CY123" s="2069">
        <f>Pflanzen!I124</f>
        <v>2</v>
      </c>
      <c r="CZ123" s="2042">
        <f t="shared" ref="CZ123:CZ159" si="279">SUMIFS($CQ$75:$CQ$79,$BW$75:$BW$79,1,$BX$75:$BX$79,CZ$2,$BR$75:$BR$79,$CX123)+   SUMIFS($CQ$75:$CQ$79,$BW$75:$BW$79,"&gt;1",$BX$75:$BX$79,"&lt;="&amp;CZ$2,$BY$75:$BY$79,"&gt;="&amp;CZ$2,$BR$75:$BR$79,$CX123)</f>
        <v>0</v>
      </c>
      <c r="DA123" s="2042">
        <f t="shared" ref="DA123:DK132" si="280">SUMIFS($CQ$75:$CQ$79,$BW$75:$BW$79,1,$BX$75:$BX$79,DA$2,$BR$75:$BR$79,$CX123)+   SUMIFS($CQ$75:$CQ$79,$BW$75:$BW$79,"&gt;1",$BX$75:$BX$79,"&lt;="&amp;DA$2,$BY$75:$BY$79,"&gt;="&amp;DA$2,$BR$75:$BR$79,$CX123)</f>
        <v>0</v>
      </c>
      <c r="DB123" s="2042">
        <f t="shared" si="280"/>
        <v>0</v>
      </c>
      <c r="DC123" s="2042">
        <f t="shared" si="280"/>
        <v>0</v>
      </c>
      <c r="DD123" s="2042">
        <f t="shared" si="280"/>
        <v>0</v>
      </c>
      <c r="DE123" s="2042">
        <f t="shared" si="280"/>
        <v>0</v>
      </c>
      <c r="DF123" s="2042">
        <f t="shared" si="280"/>
        <v>0</v>
      </c>
      <c r="DG123" s="2042">
        <f t="shared" si="280"/>
        <v>0</v>
      </c>
      <c r="DH123" s="2042">
        <f t="shared" si="280"/>
        <v>0</v>
      </c>
      <c r="DI123" s="2042">
        <f t="shared" si="280"/>
        <v>0</v>
      </c>
      <c r="DJ123" s="2042">
        <f t="shared" si="280"/>
        <v>0</v>
      </c>
      <c r="DK123" s="2042">
        <f t="shared" si="280"/>
        <v>0</v>
      </c>
      <c r="DL123" s="2042"/>
      <c r="DM123" s="2042">
        <f t="shared" ref="DM123:DM159" si="281">SUMIFS($CS$75:$CS$79,$BW$75:$BW$79,1,$BX$75:$BX$79,DM$2,$BR$75:$BR$79,$CX123)+   SUMIFS($CS$75:$CS$79,$BW$75:$BW$79,"&gt;1",$BX$75:$BX$79,"&lt;="&amp;DM$2,$BY$75:$BY$79,"&gt;="&amp;DM$2,$BR$75:$BR$79,$CX123)</f>
        <v>0</v>
      </c>
      <c r="DN123" s="2042">
        <f t="shared" ref="DN123:DX132" si="282">SUMIFS($CS$75:$CS$79,$BW$75:$BW$79,1,$BX$75:$BX$79,DN$2,$BR$75:$BR$79,$CX123)+   SUMIFS($CS$75:$CS$79,$BW$75:$BW$79,"&gt;1",$BX$75:$BX$79,"&lt;="&amp;DN$2,$BY$75:$BY$79,"&gt;="&amp;DN$2,$BR$75:$BR$79,$CX123)</f>
        <v>0</v>
      </c>
      <c r="DO123" s="2042">
        <f t="shared" si="282"/>
        <v>0</v>
      </c>
      <c r="DP123" s="2042">
        <f t="shared" si="282"/>
        <v>0</v>
      </c>
      <c r="DQ123" s="2042">
        <f t="shared" si="282"/>
        <v>0</v>
      </c>
      <c r="DR123" s="2042">
        <f t="shared" si="282"/>
        <v>0</v>
      </c>
      <c r="DS123" s="2042">
        <f t="shared" si="282"/>
        <v>0</v>
      </c>
      <c r="DT123" s="2042">
        <f t="shared" si="282"/>
        <v>0</v>
      </c>
      <c r="DU123" s="2042">
        <f t="shared" si="282"/>
        <v>0</v>
      </c>
      <c r="DV123" s="2042">
        <f t="shared" si="282"/>
        <v>0</v>
      </c>
      <c r="DW123" s="2042">
        <f t="shared" si="282"/>
        <v>0</v>
      </c>
      <c r="DX123" s="2042">
        <f t="shared" si="282"/>
        <v>0</v>
      </c>
      <c r="DY123" s="2042"/>
      <c r="DZ123" s="2042"/>
      <c r="EA123" s="2042"/>
      <c r="EB123" s="2042"/>
      <c r="EC123" s="2042"/>
      <c r="ED123" s="2042"/>
      <c r="EE123" s="2042"/>
      <c r="EF123" s="2042"/>
      <c r="EG123" s="2042"/>
      <c r="EH123" s="2042"/>
      <c r="EI123" s="2042"/>
      <c r="EJ123" s="2042"/>
      <c r="EK123" s="2042"/>
      <c r="EL123" s="2042"/>
      <c r="EM123" s="2042"/>
      <c r="EN123" s="2042"/>
      <c r="EO123" s="2042"/>
      <c r="EP123" s="2042"/>
      <c r="EQ123" s="2042"/>
      <c r="ER123" s="2042"/>
      <c r="ES123" s="2042"/>
      <c r="ET123" s="2042"/>
      <c r="EU123" s="2042"/>
      <c r="EV123" s="2042"/>
      <c r="EW123" s="2042"/>
      <c r="EX123" s="2042"/>
      <c r="EY123" s="2042"/>
      <c r="EZ123" s="2045">
        <f t="shared" ref="EZ123:EZ159" si="283">SUMIF($BR$75:$BR$79,$CX123,$CI$75:$CI$79)</f>
        <v>0</v>
      </c>
      <c r="FA123" s="2216">
        <f t="shared" si="250"/>
        <v>0</v>
      </c>
      <c r="FB123" s="2216">
        <f t="shared" si="251"/>
        <v>0</v>
      </c>
      <c r="FC123" s="2216">
        <f t="shared" si="252"/>
        <v>0</v>
      </c>
      <c r="FD123" s="2216">
        <f t="shared" si="253"/>
        <v>0</v>
      </c>
      <c r="FE123" s="2216">
        <f t="shared" si="254"/>
        <v>0</v>
      </c>
      <c r="FF123" s="2216">
        <f t="shared" si="255"/>
        <v>0</v>
      </c>
      <c r="FG123" s="2216">
        <f t="shared" si="256"/>
        <v>0</v>
      </c>
      <c r="FH123" s="2216">
        <f t="shared" si="257"/>
        <v>0</v>
      </c>
      <c r="FI123" s="2216">
        <f t="shared" si="258"/>
        <v>0</v>
      </c>
      <c r="FJ123" s="2216">
        <f t="shared" si="259"/>
        <v>0</v>
      </c>
      <c r="FK123" s="2216">
        <f t="shared" si="260"/>
        <v>0</v>
      </c>
      <c r="FL123" s="2216">
        <f t="shared" si="261"/>
        <v>0</v>
      </c>
      <c r="FM123" s="2042"/>
      <c r="FN123" s="2045">
        <f t="shared" ref="FN123:FN159" si="284">SUMIF($BR$75:$BR$79,$CX123,$CJ$75:$CJ$79)</f>
        <v>0</v>
      </c>
      <c r="FO123" s="2216">
        <f t="shared" si="262"/>
        <v>0</v>
      </c>
      <c r="FP123" s="2216">
        <f t="shared" si="263"/>
        <v>0</v>
      </c>
      <c r="FQ123" s="2216">
        <f t="shared" si="264"/>
        <v>0</v>
      </c>
      <c r="FR123" s="2216">
        <f t="shared" si="265"/>
        <v>0</v>
      </c>
      <c r="FS123" s="2216">
        <f t="shared" si="266"/>
        <v>0</v>
      </c>
      <c r="FT123" s="2216">
        <f t="shared" si="267"/>
        <v>0</v>
      </c>
      <c r="FU123" s="2216">
        <f t="shared" si="268"/>
        <v>0</v>
      </c>
      <c r="FV123" s="2216">
        <f t="shared" si="269"/>
        <v>0</v>
      </c>
      <c r="FW123" s="2216">
        <f t="shared" si="270"/>
        <v>0</v>
      </c>
      <c r="FX123" s="2216">
        <f t="shared" si="271"/>
        <v>0</v>
      </c>
      <c r="FY123" s="2216">
        <f t="shared" si="272"/>
        <v>0</v>
      </c>
      <c r="FZ123" s="2216">
        <f t="shared" si="273"/>
        <v>0</v>
      </c>
      <c r="GA123" s="2042"/>
      <c r="GB123" s="2042">
        <f t="shared" ref="GB123:GB158" si="285" xml:space="preserve">  SUMIFS($CI$75:$CI$79,$BR$75:$BR$79,$CX123)+SUMIFS($CR$75:$CR$79,$BR$75:$BR$79,$CX123)</f>
        <v>0</v>
      </c>
      <c r="GC123" s="2042">
        <f t="shared" ref="GC123:GC159" si="286" xml:space="preserve">  SUMIFS($CJ$75:$CJ$79,$BR$75:$BR$79,$CX123)+SUMIFS($CT$75:$CT$79,$BR$75:$BR$79,$CX123)</f>
        <v>0</v>
      </c>
      <c r="GD123" s="2042"/>
      <c r="GE123" s="2042"/>
      <c r="GF123" s="2042"/>
      <c r="GG123" s="2042"/>
      <c r="GH123" s="2042">
        <f t="shared" ref="GH123:GH158" si="287">GB123</f>
        <v>0</v>
      </c>
      <c r="GI123" s="2042">
        <f t="shared" ref="GI123:GI169" si="288">GC123</f>
        <v>0</v>
      </c>
      <c r="GJ123" s="2042">
        <f t="shared" si="232"/>
        <v>0</v>
      </c>
      <c r="GK123" s="2042">
        <f t="shared" si="233"/>
        <v>0</v>
      </c>
      <c r="GL123" s="2042">
        <f t="shared" si="274"/>
        <v>0</v>
      </c>
      <c r="GM123" s="2042" cm="1">
        <f t="array" ref="GM123">IF(GL123=0,0,(SUMPRODUCT($J$75:$J$79,$CH$75:$CH$79,($BR$75:$BR$79=CX123)*1)+SUMPRODUCT($R$75:$R$79,$CP$75:$CP$79,($BR$75:$BR$79=CX123)*1))/GL123)</f>
        <v>0</v>
      </c>
      <c r="GN123" s="2042">
        <f t="shared" si="275"/>
        <v>0</v>
      </c>
      <c r="GO123" s="2042"/>
      <c r="GP123" s="2042"/>
      <c r="GQ123" s="2042">
        <f t="shared" si="276"/>
        <v>0</v>
      </c>
      <c r="GR123" s="2042">
        <f t="shared" si="201"/>
        <v>0</v>
      </c>
      <c r="GS123" s="2042">
        <f t="shared" si="277"/>
        <v>0</v>
      </c>
      <c r="GT123" s="2042">
        <f t="shared" si="278"/>
        <v>0</v>
      </c>
      <c r="GU123" s="2045" t="str">
        <f t="shared" si="175"/>
        <v xml:space="preserve"> </v>
      </c>
      <c r="GV123" s="2045" t="str">
        <f t="shared" si="175"/>
        <v xml:space="preserve"> </v>
      </c>
      <c r="GW123" s="2054">
        <f t="shared" si="235"/>
        <v>0</v>
      </c>
      <c r="GX123" s="2042">
        <f t="shared" si="236"/>
        <v>0</v>
      </c>
      <c r="GY123" s="2042" t="str">
        <f t="shared" si="229"/>
        <v>a</v>
      </c>
      <c r="GZ123" s="2055">
        <f t="shared" si="237"/>
        <v>0</v>
      </c>
      <c r="HA123" s="2055">
        <f t="shared" si="238"/>
        <v>0</v>
      </c>
      <c r="HB123" s="2055"/>
      <c r="HC123" s="2046">
        <f t="shared" si="239"/>
        <v>0</v>
      </c>
      <c r="HD123" s="2055">
        <f t="shared" si="240"/>
        <v>0</v>
      </c>
      <c r="HE123" s="2055">
        <f t="shared" si="241"/>
        <v>0</v>
      </c>
      <c r="HF123" s="2055">
        <f t="shared" si="242"/>
        <v>0</v>
      </c>
      <c r="HG123" s="2282" cm="1">
        <f t="array" ref="HG123">IF(AND(HE123=0,GJ123=0),0,IF(HE123=0,1,IF(OR(GJ123*1000/HE123/HF123&gt;INDEX(Pflanzen!$AD$122:$AD$160,CX123)/INDEX(Pflanzen!$M$122:$M$160,CX123)*$HG$1,GJ123*1000/HE123/HF123&lt;INDEX(Pflanzen!$AD$122:$AD$160,CX123)/INDEX(Pflanzen!$M$122:$M$160,CX123)/$HG$1),1,0)))</f>
        <v>0</v>
      </c>
      <c r="HH123" s="2287" cm="1">
        <f t="array" ref="HH123">IF(AND(GK123=0,HE123=0),0,IF(HE123=0,1,IF(OR(GK123*1000/HE123/HF123&gt;INDEX(Pflanzen!$AE$122:$AE$160,CX123)/INDEX(Pflanzen!$M$122:$M$160,CX123)*$HG$2,GK123*1000/HE123/HF123&lt;INDEX(Pflanzen!$AE$122:$AE$160,CX123)/INDEX(Pflanzen!$M$122:$M$160,CX123)/$HG$2),1,0)))</f>
        <v>0</v>
      </c>
      <c r="HI123" s="2042">
        <f t="shared" si="243"/>
        <v>3</v>
      </c>
      <c r="HJ123" s="2042"/>
      <c r="HL123" s="2042"/>
      <c r="HM123" s="2042"/>
      <c r="HN123" s="2042"/>
      <c r="HO123" s="2042"/>
      <c r="HP123" s="2042"/>
      <c r="HQ123" s="2042"/>
      <c r="HR123" s="2042"/>
      <c r="HS123" s="2042"/>
      <c r="HT123" s="2042"/>
      <c r="HU123" s="2042"/>
      <c r="HV123" s="2042"/>
      <c r="HW123" s="2042"/>
      <c r="HX123" s="2042"/>
      <c r="HY123" s="2042"/>
      <c r="HZ123" s="2042"/>
      <c r="IA123" s="2042"/>
      <c r="IB123" s="2042"/>
      <c r="IC123" s="2042"/>
      <c r="ID123" s="2042"/>
      <c r="IE123" s="2042"/>
      <c r="IF123" s="2042"/>
      <c r="IG123" s="2042"/>
      <c r="IH123" s="2042"/>
      <c r="II123" s="2042"/>
      <c r="IJ123" s="2042"/>
    </row>
    <row r="124" spans="25:244" ht="15.75" customHeight="1" x14ac:dyDescent="0.2">
      <c r="Y124" s="2005" t="str" cm="1">
        <f t="array" ref="Y124">IFERROR(INDEX($CW$4:$CW$171,AY124),"")</f>
        <v/>
      </c>
      <c r="Z124" s="510"/>
      <c r="AA124" s="510"/>
      <c r="AB124" s="510"/>
      <c r="AC124" s="2031" t="str" cm="1">
        <f t="array" ref="AC124">IFERROR(INDEX($GL$4:$GL$171,AY124),"")</f>
        <v/>
      </c>
      <c r="AD124" s="2031" t="str" cm="1">
        <f t="array" ref="AD124">IFERROR(INDEX($GM$4:$GM$171,AY124),"")</f>
        <v/>
      </c>
      <c r="AE124" s="2031" t="str" cm="1">
        <f t="array" ref="AE124">IFERROR(INDEX($GH$4:$GH$171,AY124),"")</f>
        <v/>
      </c>
      <c r="AF124" s="2031" t="str" cm="1">
        <f t="array" ref="AF124">IFERROR(INDEX($GI$4:$GI$171,AY124),"")</f>
        <v/>
      </c>
      <c r="AG124" s="2031" t="str" cm="1">
        <f t="array" ref="AG124">IFERROR(INDEX($GO$4:$GO$171,AY124),"")</f>
        <v/>
      </c>
      <c r="AH124" s="2031" t="str" cm="1">
        <f t="array" ref="AH124">IFERROR(INDEX($GP$4:$GP$171,AY124),"")</f>
        <v/>
      </c>
      <c r="AI124" s="2031" t="str" cm="1">
        <f t="array" ref="AI124">IFERROR(INDEX($GF$4:$GF$171,AY124),"")</f>
        <v/>
      </c>
      <c r="AJ124" s="2031" t="str" cm="1">
        <f t="array" ref="AJ124">IFERROR(INDEX($GG$4:$GG$171,AY124),"")</f>
        <v/>
      </c>
      <c r="AK124" s="2031" t="str" cm="1">
        <f t="array" ref="AK124">IFERROR(INDEX($GS$4:$GS$171,AY124),"")</f>
        <v/>
      </c>
      <c r="AL124" s="2032" t="str" cm="1">
        <f t="array" ref="AL124">IFERROR(INDEX($GT$4:$GT$171,AY124),"")</f>
        <v/>
      </c>
      <c r="AM124" s="2031" t="str" cm="1">
        <f t="array" ref="AM124">IFERROR(INDEX($GB$4:$GB$171,AY124),"")</f>
        <v/>
      </c>
      <c r="AN124" s="2031" t="str" cm="1">
        <f t="array" ref="AN124">IFERROR(INDEX($GC$4:$GC$171,AY124),"")</f>
        <v/>
      </c>
      <c r="AO124" s="1310" t="str" cm="1">
        <f t="array" ref="AO124">IFERROR(INDEX($GU$4:$GU$171,AY124),"")</f>
        <v/>
      </c>
      <c r="AP124" s="1310" t="str" cm="1">
        <f t="array" ref="AP124">IFERROR(INDEX($GX$4:$GX$171,AY124),"")</f>
        <v/>
      </c>
      <c r="AQ124" s="1316"/>
      <c r="AR124" s="2031" t="str" cm="1">
        <f t="array" ref="AR124">IFERROR(INDEX($HD$4:$HD$171,AY124),"")</f>
        <v/>
      </c>
      <c r="AS124" s="2031" t="str" cm="1">
        <f t="array" ref="AS124">IFERROR(INDEX($HE$4:$HE$171,AY124),"")</f>
        <v/>
      </c>
      <c r="AT124" s="2031" t="str" cm="1">
        <f t="array" ref="AT124">IFERROR(INDEX($HF$4:$HF$171,AY124),"")</f>
        <v/>
      </c>
      <c r="AU124" s="2031" t="str" cm="1">
        <f t="array" ref="AU124">IFERROR(INDEX($GJ$4:$GJ$171,AY124),"")</f>
        <v/>
      </c>
      <c r="AV124" s="2031" t="str" cm="1">
        <f t="array" ref="AV124">IFERROR(INDEX($GK$4:$GK$171,AY124),"")</f>
        <v/>
      </c>
      <c r="AY124" s="2042" t="str" cm="1">
        <f t="array" ref="AY124">IFERROR(SMALL(IF($HI$4:$HI$171=1,ROW($HI$4:$HI$171)-3),ROW(W109)),IFERROR(SMALL(IF($HI$4:$HI$171=2,ROW($HI$4:$HI$171)-3),ROW(W109)-COUNTIF($HI$4:$HI$171,1)),IFERROR(SMALL(IF($HI$4:$HI$171=0,ROW($HI$4:$HI$171)-3),ROW(W109)-COUNTIF($HI$4:$HI$171,1)-COUNTIF($HI$4:$HI$171,2)),"")))</f>
        <v/>
      </c>
      <c r="AZ124" s="2042" t="str">
        <f t="shared" si="215"/>
        <v>a</v>
      </c>
      <c r="BA124" s="2053" t="e">
        <f t="shared" si="226"/>
        <v>#VALUE!</v>
      </c>
      <c r="BB124" s="2053" cm="1">
        <f t="array" ref="BB124">IFERROR(INDEX($HI$4:$HI$171,AY124),0)</f>
        <v>0</v>
      </c>
      <c r="BC124" s="2053">
        <f t="shared" si="227"/>
        <v>0</v>
      </c>
      <c r="BD124" s="2053"/>
      <c r="BE124" s="2307"/>
      <c r="BF124" s="2307"/>
      <c r="BG124" s="2307"/>
      <c r="BH124" s="2307"/>
      <c r="BI124" s="2307"/>
      <c r="BJ124" s="2307"/>
      <c r="BK124" s="2307"/>
      <c r="BL124" s="2307"/>
      <c r="BM124" s="2307"/>
      <c r="BN124" s="2307"/>
      <c r="BO124" s="2307"/>
      <c r="BP124" s="2043"/>
      <c r="BQ124" s="2042"/>
      <c r="BR124" s="2042"/>
      <c r="BS124" s="2042"/>
      <c r="BT124" s="2042"/>
      <c r="BU124" s="2059"/>
      <c r="BV124" s="2277"/>
      <c r="BW124" s="2277"/>
      <c r="BX124" s="2277"/>
      <c r="BY124" s="2277"/>
      <c r="BZ124" s="2277"/>
      <c r="CA124" s="2277"/>
      <c r="CB124" s="2277"/>
      <c r="CC124" s="2277"/>
      <c r="CD124" s="2277"/>
      <c r="CE124" s="2277"/>
      <c r="CF124" s="2277"/>
      <c r="CG124" s="2277"/>
      <c r="CH124" s="2277"/>
      <c r="CI124" s="2277"/>
      <c r="CJ124" s="2277"/>
      <c r="CK124" s="2277"/>
      <c r="CL124" s="2042"/>
      <c r="CM124" s="2042"/>
      <c r="CN124" s="2042"/>
      <c r="CO124" s="2042"/>
      <c r="CP124" s="2042"/>
      <c r="CQ124" s="2042"/>
      <c r="CR124" s="2042"/>
      <c r="CS124" s="2042"/>
      <c r="CT124" s="2042"/>
      <c r="CU124" s="2042"/>
      <c r="CV124" s="2042"/>
      <c r="CW124" s="2069" t="str">
        <f>Pflanzen!C125</f>
        <v>Bierhefe, flüssig</v>
      </c>
      <c r="CX124" s="2042">
        <f>IFERROR(MATCH($CW124,Pflanzen!$C$122:$C$160,0),1)</f>
        <v>4</v>
      </c>
      <c r="CY124" s="2069">
        <f>Pflanzen!I125</f>
        <v>2</v>
      </c>
      <c r="CZ124" s="2042">
        <f t="shared" si="279"/>
        <v>0</v>
      </c>
      <c r="DA124" s="2042">
        <f t="shared" si="280"/>
        <v>0</v>
      </c>
      <c r="DB124" s="2042">
        <f t="shared" si="280"/>
        <v>0</v>
      </c>
      <c r="DC124" s="2042">
        <f t="shared" si="280"/>
        <v>0</v>
      </c>
      <c r="DD124" s="2042">
        <f t="shared" si="280"/>
        <v>0</v>
      </c>
      <c r="DE124" s="2042">
        <f t="shared" si="280"/>
        <v>0</v>
      </c>
      <c r="DF124" s="2042">
        <f t="shared" si="280"/>
        <v>0</v>
      </c>
      <c r="DG124" s="2042">
        <f t="shared" si="280"/>
        <v>0</v>
      </c>
      <c r="DH124" s="2042">
        <f t="shared" si="280"/>
        <v>0</v>
      </c>
      <c r="DI124" s="2042">
        <f t="shared" si="280"/>
        <v>0</v>
      </c>
      <c r="DJ124" s="2042">
        <f t="shared" si="280"/>
        <v>0</v>
      </c>
      <c r="DK124" s="2042">
        <f t="shared" si="280"/>
        <v>0</v>
      </c>
      <c r="DL124" s="2042"/>
      <c r="DM124" s="2042">
        <f t="shared" si="281"/>
        <v>0</v>
      </c>
      <c r="DN124" s="2042">
        <f t="shared" si="282"/>
        <v>0</v>
      </c>
      <c r="DO124" s="2042">
        <f t="shared" si="282"/>
        <v>0</v>
      </c>
      <c r="DP124" s="2042">
        <f t="shared" si="282"/>
        <v>0</v>
      </c>
      <c r="DQ124" s="2042">
        <f t="shared" si="282"/>
        <v>0</v>
      </c>
      <c r="DR124" s="2042">
        <f t="shared" si="282"/>
        <v>0</v>
      </c>
      <c r="DS124" s="2042">
        <f t="shared" si="282"/>
        <v>0</v>
      </c>
      <c r="DT124" s="2042">
        <f t="shared" si="282"/>
        <v>0</v>
      </c>
      <c r="DU124" s="2042">
        <f t="shared" si="282"/>
        <v>0</v>
      </c>
      <c r="DV124" s="2042">
        <f t="shared" si="282"/>
        <v>0</v>
      </c>
      <c r="DW124" s="2042">
        <f t="shared" si="282"/>
        <v>0</v>
      </c>
      <c r="DX124" s="2042">
        <f t="shared" si="282"/>
        <v>0</v>
      </c>
      <c r="DY124" s="2042"/>
      <c r="DZ124" s="2042"/>
      <c r="EA124" s="2042"/>
      <c r="EB124" s="2042"/>
      <c r="EC124" s="2042"/>
      <c r="ED124" s="2042"/>
      <c r="EE124" s="2042"/>
      <c r="EF124" s="2042"/>
      <c r="EG124" s="2042"/>
      <c r="EH124" s="2042"/>
      <c r="EI124" s="2042"/>
      <c r="EJ124" s="2042"/>
      <c r="EK124" s="2042"/>
      <c r="EL124" s="2042"/>
      <c r="EM124" s="2042"/>
      <c r="EN124" s="2042"/>
      <c r="EO124" s="2042"/>
      <c r="EP124" s="2042"/>
      <c r="EQ124" s="2042"/>
      <c r="ER124" s="2042"/>
      <c r="ES124" s="2042"/>
      <c r="ET124" s="2042"/>
      <c r="EU124" s="2042"/>
      <c r="EV124" s="2042"/>
      <c r="EW124" s="2042"/>
      <c r="EX124" s="2042"/>
      <c r="EY124" s="2042"/>
      <c r="EZ124" s="2045">
        <f t="shared" si="283"/>
        <v>0</v>
      </c>
      <c r="FA124" s="2216">
        <f t="shared" si="250"/>
        <v>0</v>
      </c>
      <c r="FB124" s="2216">
        <f t="shared" si="251"/>
        <v>0</v>
      </c>
      <c r="FC124" s="2216">
        <f t="shared" si="252"/>
        <v>0</v>
      </c>
      <c r="FD124" s="2216">
        <f t="shared" si="253"/>
        <v>0</v>
      </c>
      <c r="FE124" s="2216">
        <f t="shared" si="254"/>
        <v>0</v>
      </c>
      <c r="FF124" s="2216">
        <f t="shared" si="255"/>
        <v>0</v>
      </c>
      <c r="FG124" s="2216">
        <f t="shared" si="256"/>
        <v>0</v>
      </c>
      <c r="FH124" s="2216">
        <f t="shared" si="257"/>
        <v>0</v>
      </c>
      <c r="FI124" s="2216">
        <f t="shared" si="258"/>
        <v>0</v>
      </c>
      <c r="FJ124" s="2216">
        <f t="shared" si="259"/>
        <v>0</v>
      </c>
      <c r="FK124" s="2216">
        <f t="shared" si="260"/>
        <v>0</v>
      </c>
      <c r="FL124" s="2216">
        <f t="shared" si="261"/>
        <v>0</v>
      </c>
      <c r="FM124" s="2042"/>
      <c r="FN124" s="2045">
        <f t="shared" si="284"/>
        <v>0</v>
      </c>
      <c r="FO124" s="2216">
        <f t="shared" si="262"/>
        <v>0</v>
      </c>
      <c r="FP124" s="2216">
        <f t="shared" si="263"/>
        <v>0</v>
      </c>
      <c r="FQ124" s="2216">
        <f t="shared" si="264"/>
        <v>0</v>
      </c>
      <c r="FR124" s="2216">
        <f t="shared" si="265"/>
        <v>0</v>
      </c>
      <c r="FS124" s="2216">
        <f t="shared" si="266"/>
        <v>0</v>
      </c>
      <c r="FT124" s="2216">
        <f t="shared" si="267"/>
        <v>0</v>
      </c>
      <c r="FU124" s="2216">
        <f t="shared" si="268"/>
        <v>0</v>
      </c>
      <c r="FV124" s="2216">
        <f t="shared" si="269"/>
        <v>0</v>
      </c>
      <c r="FW124" s="2216">
        <f t="shared" si="270"/>
        <v>0</v>
      </c>
      <c r="FX124" s="2216">
        <f t="shared" si="271"/>
        <v>0</v>
      </c>
      <c r="FY124" s="2216">
        <f t="shared" si="272"/>
        <v>0</v>
      </c>
      <c r="FZ124" s="2216">
        <f t="shared" si="273"/>
        <v>0</v>
      </c>
      <c r="GA124" s="2042"/>
      <c r="GB124" s="2042">
        <f t="shared" si="285"/>
        <v>0</v>
      </c>
      <c r="GC124" s="2042">
        <f t="shared" si="286"/>
        <v>0</v>
      </c>
      <c r="GD124" s="2042"/>
      <c r="GE124" s="2042"/>
      <c r="GF124" s="2042"/>
      <c r="GG124" s="2042"/>
      <c r="GH124" s="2042">
        <f t="shared" si="287"/>
        <v>0</v>
      </c>
      <c r="GI124" s="2042">
        <f t="shared" si="288"/>
        <v>0</v>
      </c>
      <c r="GJ124" s="2042">
        <f t="shared" si="232"/>
        <v>0</v>
      </c>
      <c r="GK124" s="2042">
        <f t="shared" si="233"/>
        <v>0</v>
      </c>
      <c r="GL124" s="2042">
        <f t="shared" si="274"/>
        <v>0</v>
      </c>
      <c r="GM124" s="2042" cm="1">
        <f t="array" ref="GM124">IF(GL124=0,0,(SUMPRODUCT($J$75:$J$79,$CH$75:$CH$79,($BR$75:$BR$79=CX124)*1)+SUMPRODUCT($R$75:$R$79,$CP$75:$CP$79,($BR$75:$BR$79=CX124)*1))/GL124)</f>
        <v>0</v>
      </c>
      <c r="GN124" s="2042">
        <f t="shared" si="275"/>
        <v>0</v>
      </c>
      <c r="GO124" s="2042"/>
      <c r="GP124" s="2042"/>
      <c r="GQ124" s="2042">
        <f t="shared" si="276"/>
        <v>0</v>
      </c>
      <c r="GR124" s="2042">
        <f t="shared" si="201"/>
        <v>0</v>
      </c>
      <c r="GS124" s="2042">
        <f t="shared" si="277"/>
        <v>0</v>
      </c>
      <c r="GT124" s="2042">
        <f t="shared" si="278"/>
        <v>0</v>
      </c>
      <c r="GU124" s="2045" t="str">
        <f t="shared" si="175"/>
        <v xml:space="preserve"> </v>
      </c>
      <c r="GV124" s="2045" t="str">
        <f t="shared" si="175"/>
        <v xml:space="preserve"> </v>
      </c>
      <c r="GW124" s="2054">
        <f t="shared" si="235"/>
        <v>0</v>
      </c>
      <c r="GX124" s="2042">
        <f t="shared" si="236"/>
        <v>0</v>
      </c>
      <c r="GY124" s="2042" t="str">
        <f t="shared" si="229"/>
        <v>a</v>
      </c>
      <c r="GZ124" s="2055">
        <f t="shared" si="237"/>
        <v>0</v>
      </c>
      <c r="HA124" s="2055">
        <f t="shared" si="238"/>
        <v>0</v>
      </c>
      <c r="HB124" s="2055"/>
      <c r="HC124" s="2046">
        <f t="shared" si="239"/>
        <v>0</v>
      </c>
      <c r="HD124" s="2055">
        <f t="shared" si="240"/>
        <v>0</v>
      </c>
      <c r="HE124" s="2055">
        <f t="shared" si="241"/>
        <v>0</v>
      </c>
      <c r="HF124" s="2055">
        <f t="shared" si="242"/>
        <v>0</v>
      </c>
      <c r="HG124" s="2282" cm="1">
        <f t="array" ref="HG124">IF(AND(HE124=0,GJ124=0),0,IF(HE124=0,1,IF(OR(GJ124*1000/HE124/HF124&gt;INDEX(Pflanzen!$AD$122:$AD$160,CX124)/INDEX(Pflanzen!$M$122:$M$160,CX124)*$HG$1,GJ124*1000/HE124/HF124&lt;INDEX(Pflanzen!$AD$122:$AD$160,CX124)/INDEX(Pflanzen!$M$122:$M$160,CX124)/$HG$1),1,0)))</f>
        <v>0</v>
      </c>
      <c r="HH124" s="2287" cm="1">
        <f t="array" ref="HH124">IF(AND(GK124=0,HE124=0),0,IF(HE124=0,1,IF(OR(GK124*1000/HE124/HF124&gt;INDEX(Pflanzen!$AE$122:$AE$160,CX124)/INDEX(Pflanzen!$M$122:$M$160,CX124)*$HG$2,GK124*1000/HE124/HF124&lt;INDEX(Pflanzen!$AE$122:$AE$160,CX124)/INDEX(Pflanzen!$M$122:$M$160,CX124)/$HG$2),1,0)))</f>
        <v>0</v>
      </c>
      <c r="HI124" s="2042">
        <f t="shared" si="243"/>
        <v>3</v>
      </c>
      <c r="HJ124" s="2042"/>
      <c r="HL124" s="2042"/>
      <c r="HM124" s="2042"/>
      <c r="HN124" s="2042"/>
      <c r="HO124" s="2042"/>
      <c r="HP124" s="2042"/>
      <c r="HQ124" s="2042"/>
      <c r="HR124" s="2042"/>
      <c r="HS124" s="2042"/>
      <c r="HT124" s="2042"/>
      <c r="HU124" s="2042"/>
      <c r="HV124" s="2042"/>
      <c r="HW124" s="2042"/>
      <c r="HX124" s="2042"/>
      <c r="HY124" s="2042"/>
      <c r="HZ124" s="2042"/>
      <c r="IA124" s="2042"/>
      <c r="IB124" s="2042"/>
      <c r="IC124" s="2042"/>
      <c r="ID124" s="2042"/>
      <c r="IE124" s="2042"/>
      <c r="IF124" s="2042"/>
      <c r="IG124" s="2042"/>
      <c r="IH124" s="2042"/>
      <c r="II124" s="2042"/>
      <c r="IJ124" s="2042"/>
    </row>
    <row r="125" spans="25:244" ht="15.75" customHeight="1" x14ac:dyDescent="0.2">
      <c r="Y125" s="2005" t="str" cm="1">
        <f t="array" ref="Y125">IFERROR(INDEX($CW$4:$CW$171,AY125),"")</f>
        <v/>
      </c>
      <c r="Z125" s="510"/>
      <c r="AA125" s="510"/>
      <c r="AB125" s="510"/>
      <c r="AC125" s="2031" t="str" cm="1">
        <f t="array" ref="AC125">IFERROR(INDEX($GL$4:$GL$171,AY125),"")</f>
        <v/>
      </c>
      <c r="AD125" s="2031" t="str" cm="1">
        <f t="array" ref="AD125">IFERROR(INDEX($GM$4:$GM$171,AY125),"")</f>
        <v/>
      </c>
      <c r="AE125" s="2031" t="str" cm="1">
        <f t="array" ref="AE125">IFERROR(INDEX($GH$4:$GH$171,AY125),"")</f>
        <v/>
      </c>
      <c r="AF125" s="2031" t="str" cm="1">
        <f t="array" ref="AF125">IFERROR(INDEX($GI$4:$GI$171,AY125),"")</f>
        <v/>
      </c>
      <c r="AG125" s="2031" t="str" cm="1">
        <f t="array" ref="AG125">IFERROR(INDEX($GO$4:$GO$171,AY125),"")</f>
        <v/>
      </c>
      <c r="AH125" s="2031" t="str" cm="1">
        <f t="array" ref="AH125">IFERROR(INDEX($GP$4:$GP$171,AY125),"")</f>
        <v/>
      </c>
      <c r="AI125" s="2031" t="str" cm="1">
        <f t="array" ref="AI125">IFERROR(INDEX($GF$4:$GF$171,AY125),"")</f>
        <v/>
      </c>
      <c r="AJ125" s="2031" t="str" cm="1">
        <f t="array" ref="AJ125">IFERROR(INDEX($GG$4:$GG$171,AY125),"")</f>
        <v/>
      </c>
      <c r="AK125" s="2031" t="str" cm="1">
        <f t="array" ref="AK125">IFERROR(INDEX($GS$4:$GS$171,AY125),"")</f>
        <v/>
      </c>
      <c r="AL125" s="2032" t="str" cm="1">
        <f t="array" ref="AL125">IFERROR(INDEX($GT$4:$GT$171,AY125),"")</f>
        <v/>
      </c>
      <c r="AM125" s="2031" t="str" cm="1">
        <f t="array" ref="AM125">IFERROR(INDEX($GB$4:$GB$171,AY125),"")</f>
        <v/>
      </c>
      <c r="AN125" s="2031" t="str" cm="1">
        <f t="array" ref="AN125">IFERROR(INDEX($GC$4:$GC$171,AY125),"")</f>
        <v/>
      </c>
      <c r="AO125" s="1310" t="str" cm="1">
        <f t="array" ref="AO125">IFERROR(INDEX($GU$4:$GU$171,AY125),"")</f>
        <v/>
      </c>
      <c r="AP125" s="1310" t="str" cm="1">
        <f t="array" ref="AP125">IFERROR(INDEX($GX$4:$GX$171,AY125),"")</f>
        <v/>
      </c>
      <c r="AQ125" s="1316"/>
      <c r="AR125" s="2031" t="str" cm="1">
        <f t="array" ref="AR125">IFERROR(INDEX($HD$4:$HD$171,AY125),"")</f>
        <v/>
      </c>
      <c r="AS125" s="2031" t="str" cm="1">
        <f t="array" ref="AS125">IFERROR(INDEX($HE$4:$HE$171,AY125),"")</f>
        <v/>
      </c>
      <c r="AT125" s="2031" t="str" cm="1">
        <f t="array" ref="AT125">IFERROR(INDEX($HF$4:$HF$171,AY125),"")</f>
        <v/>
      </c>
      <c r="AU125" s="2031" t="str" cm="1">
        <f t="array" ref="AU125">IFERROR(INDEX($GJ$4:$GJ$171,AY125),"")</f>
        <v/>
      </c>
      <c r="AV125" s="2031" t="str" cm="1">
        <f t="array" ref="AV125">IFERROR(INDEX($GK$4:$GK$171,AY125),"")</f>
        <v/>
      </c>
      <c r="AY125" s="2042" t="str" cm="1">
        <f t="array" ref="AY125">IFERROR(SMALL(IF($HI$4:$HI$171=1,ROW($HI$4:$HI$171)-3),ROW(W110)),IFERROR(SMALL(IF($HI$4:$HI$171=2,ROW($HI$4:$HI$171)-3),ROW(W110)-COUNTIF($HI$4:$HI$171,1)),IFERROR(SMALL(IF($HI$4:$HI$171=0,ROW($HI$4:$HI$171)-3),ROW(W110)-COUNTIF($HI$4:$HI$171,1)-COUNTIF($HI$4:$HI$171,2)),"")))</f>
        <v/>
      </c>
      <c r="AZ125" s="2042" t="str">
        <f t="shared" si="215"/>
        <v>a</v>
      </c>
      <c r="BA125" s="2053" t="e">
        <f t="shared" si="226"/>
        <v>#VALUE!</v>
      </c>
      <c r="BB125" s="2053" cm="1">
        <f t="array" ref="BB125">IFERROR(INDEX($HI$4:$HI$171,AY125),0)</f>
        <v>0</v>
      </c>
      <c r="BC125" s="2053">
        <f t="shared" si="227"/>
        <v>0</v>
      </c>
      <c r="BD125" s="2053"/>
      <c r="BE125" s="2307"/>
      <c r="BF125" s="2307"/>
      <c r="BG125" s="2307"/>
      <c r="BH125" s="2307"/>
      <c r="BI125" s="2307"/>
      <c r="BJ125" s="2307"/>
      <c r="BK125" s="2307"/>
      <c r="BL125" s="2307"/>
      <c r="BM125" s="2307"/>
      <c r="BN125" s="2307"/>
      <c r="BO125" s="2307"/>
      <c r="BP125" s="2043"/>
      <c r="BQ125" s="2042"/>
      <c r="BR125" s="2042"/>
      <c r="BS125" s="2042"/>
      <c r="BT125" s="2042"/>
      <c r="BU125" s="2059"/>
      <c r="BV125" s="2277"/>
      <c r="BW125" s="2277"/>
      <c r="BX125" s="2277"/>
      <c r="BY125" s="2277"/>
      <c r="BZ125" s="2277"/>
      <c r="CA125" s="2277"/>
      <c r="CB125" s="2277"/>
      <c r="CC125" s="2277"/>
      <c r="CD125" s="2277"/>
      <c r="CE125" s="2277"/>
      <c r="CF125" s="2277"/>
      <c r="CG125" s="2277"/>
      <c r="CH125" s="2277"/>
      <c r="CI125" s="2277"/>
      <c r="CJ125" s="2277"/>
      <c r="CK125" s="2277"/>
      <c r="CL125" s="2042"/>
      <c r="CM125" s="2042"/>
      <c r="CN125" s="2042"/>
      <c r="CO125" s="2042"/>
      <c r="CP125" s="2042"/>
      <c r="CQ125" s="2042"/>
      <c r="CR125" s="2042"/>
      <c r="CS125" s="2042"/>
      <c r="CT125" s="2042"/>
      <c r="CU125" s="2042"/>
      <c r="CV125" s="2042"/>
      <c r="CW125" s="2069" t="str">
        <f>Pflanzen!C126</f>
        <v>Biertreber, siliert</v>
      </c>
      <c r="CX125" s="2042">
        <f>IFERROR(MATCH($CW125,Pflanzen!$C$122:$C$160,0),1)</f>
        <v>5</v>
      </c>
      <c r="CY125" s="2069">
        <f>Pflanzen!I126</f>
        <v>2</v>
      </c>
      <c r="CZ125" s="2042">
        <f t="shared" si="279"/>
        <v>0</v>
      </c>
      <c r="DA125" s="2042">
        <f t="shared" si="280"/>
        <v>0</v>
      </c>
      <c r="DB125" s="2042">
        <f t="shared" si="280"/>
        <v>0</v>
      </c>
      <c r="DC125" s="2042">
        <f t="shared" si="280"/>
        <v>0</v>
      </c>
      <c r="DD125" s="2042">
        <f t="shared" si="280"/>
        <v>0</v>
      </c>
      <c r="DE125" s="2042">
        <f t="shared" si="280"/>
        <v>0</v>
      </c>
      <c r="DF125" s="2042">
        <f t="shared" si="280"/>
        <v>0</v>
      </c>
      <c r="DG125" s="2042">
        <f t="shared" si="280"/>
        <v>0</v>
      </c>
      <c r="DH125" s="2042">
        <f t="shared" si="280"/>
        <v>0</v>
      </c>
      <c r="DI125" s="2042">
        <f t="shared" si="280"/>
        <v>0</v>
      </c>
      <c r="DJ125" s="2042">
        <f t="shared" si="280"/>
        <v>0</v>
      </c>
      <c r="DK125" s="2042">
        <f t="shared" si="280"/>
        <v>0</v>
      </c>
      <c r="DL125" s="2042"/>
      <c r="DM125" s="2042">
        <f t="shared" si="281"/>
        <v>0</v>
      </c>
      <c r="DN125" s="2042">
        <f t="shared" si="282"/>
        <v>0</v>
      </c>
      <c r="DO125" s="2042">
        <f t="shared" si="282"/>
        <v>0</v>
      </c>
      <c r="DP125" s="2042">
        <f t="shared" si="282"/>
        <v>0</v>
      </c>
      <c r="DQ125" s="2042">
        <f t="shared" si="282"/>
        <v>0</v>
      </c>
      <c r="DR125" s="2042">
        <f t="shared" si="282"/>
        <v>0</v>
      </c>
      <c r="DS125" s="2042">
        <f t="shared" si="282"/>
        <v>0</v>
      </c>
      <c r="DT125" s="2042">
        <f t="shared" si="282"/>
        <v>0</v>
      </c>
      <c r="DU125" s="2042">
        <f t="shared" si="282"/>
        <v>0</v>
      </c>
      <c r="DV125" s="2042">
        <f t="shared" si="282"/>
        <v>0</v>
      </c>
      <c r="DW125" s="2042">
        <f t="shared" si="282"/>
        <v>0</v>
      </c>
      <c r="DX125" s="2042">
        <f t="shared" si="282"/>
        <v>0</v>
      </c>
      <c r="DY125" s="2042"/>
      <c r="DZ125" s="2042"/>
      <c r="EA125" s="2042"/>
      <c r="EB125" s="2042"/>
      <c r="EC125" s="2042"/>
      <c r="ED125" s="2042"/>
      <c r="EE125" s="2042"/>
      <c r="EF125" s="2042"/>
      <c r="EG125" s="2042"/>
      <c r="EH125" s="2042"/>
      <c r="EI125" s="2042"/>
      <c r="EJ125" s="2042"/>
      <c r="EK125" s="2042"/>
      <c r="EL125" s="2042"/>
      <c r="EM125" s="2042"/>
      <c r="EN125" s="2042"/>
      <c r="EO125" s="2042"/>
      <c r="EP125" s="2042"/>
      <c r="EQ125" s="2042"/>
      <c r="ER125" s="2042"/>
      <c r="ES125" s="2042"/>
      <c r="ET125" s="2042"/>
      <c r="EU125" s="2042"/>
      <c r="EV125" s="2042"/>
      <c r="EW125" s="2042"/>
      <c r="EX125" s="2042"/>
      <c r="EY125" s="2042"/>
      <c r="EZ125" s="2045">
        <f t="shared" si="283"/>
        <v>0</v>
      </c>
      <c r="FA125" s="2216">
        <f t="shared" si="250"/>
        <v>0</v>
      </c>
      <c r="FB125" s="2216">
        <f t="shared" si="251"/>
        <v>0</v>
      </c>
      <c r="FC125" s="2216">
        <f t="shared" si="252"/>
        <v>0</v>
      </c>
      <c r="FD125" s="2216">
        <f t="shared" si="253"/>
        <v>0</v>
      </c>
      <c r="FE125" s="2216">
        <f t="shared" si="254"/>
        <v>0</v>
      </c>
      <c r="FF125" s="2216">
        <f t="shared" si="255"/>
        <v>0</v>
      </c>
      <c r="FG125" s="2216">
        <f t="shared" si="256"/>
        <v>0</v>
      </c>
      <c r="FH125" s="2216">
        <f t="shared" si="257"/>
        <v>0</v>
      </c>
      <c r="FI125" s="2216">
        <f t="shared" si="258"/>
        <v>0</v>
      </c>
      <c r="FJ125" s="2216">
        <f t="shared" si="259"/>
        <v>0</v>
      </c>
      <c r="FK125" s="2216">
        <f t="shared" si="260"/>
        <v>0</v>
      </c>
      <c r="FL125" s="2216">
        <f t="shared" si="261"/>
        <v>0</v>
      </c>
      <c r="FM125" s="2042"/>
      <c r="FN125" s="2045">
        <f t="shared" si="284"/>
        <v>0</v>
      </c>
      <c r="FO125" s="2216">
        <f t="shared" si="262"/>
        <v>0</v>
      </c>
      <c r="FP125" s="2216">
        <f t="shared" si="263"/>
        <v>0</v>
      </c>
      <c r="FQ125" s="2216">
        <f t="shared" si="264"/>
        <v>0</v>
      </c>
      <c r="FR125" s="2216">
        <f t="shared" si="265"/>
        <v>0</v>
      </c>
      <c r="FS125" s="2216">
        <f t="shared" si="266"/>
        <v>0</v>
      </c>
      <c r="FT125" s="2216">
        <f t="shared" si="267"/>
        <v>0</v>
      </c>
      <c r="FU125" s="2216">
        <f t="shared" si="268"/>
        <v>0</v>
      </c>
      <c r="FV125" s="2216">
        <f t="shared" si="269"/>
        <v>0</v>
      </c>
      <c r="FW125" s="2216">
        <f t="shared" si="270"/>
        <v>0</v>
      </c>
      <c r="FX125" s="2216">
        <f t="shared" si="271"/>
        <v>0</v>
      </c>
      <c r="FY125" s="2216">
        <f t="shared" si="272"/>
        <v>0</v>
      </c>
      <c r="FZ125" s="2216">
        <f t="shared" si="273"/>
        <v>0</v>
      </c>
      <c r="GA125" s="2042"/>
      <c r="GB125" s="2042">
        <f t="shared" si="285"/>
        <v>0</v>
      </c>
      <c r="GC125" s="2042">
        <f t="shared" si="286"/>
        <v>0</v>
      </c>
      <c r="GD125" s="2042"/>
      <c r="GE125" s="2042"/>
      <c r="GF125" s="2042"/>
      <c r="GG125" s="2042"/>
      <c r="GH125" s="2042">
        <f t="shared" si="287"/>
        <v>0</v>
      </c>
      <c r="GI125" s="2042">
        <f t="shared" si="288"/>
        <v>0</v>
      </c>
      <c r="GJ125" s="2042">
        <f t="shared" si="232"/>
        <v>0</v>
      </c>
      <c r="GK125" s="2042">
        <f t="shared" si="233"/>
        <v>0</v>
      </c>
      <c r="GL125" s="2042">
        <f t="shared" si="274"/>
        <v>0</v>
      </c>
      <c r="GM125" s="2042" cm="1">
        <f t="array" ref="GM125">IF(GL125=0,0,(SUMPRODUCT($J$75:$J$79,$CH$75:$CH$79,($BR$75:$BR$79=CX125)*1)+SUMPRODUCT($R$75:$R$79,$CP$75:$CP$79,($BR$75:$BR$79=CX125)*1))/GL125)</f>
        <v>0</v>
      </c>
      <c r="GN125" s="2042">
        <f t="shared" si="275"/>
        <v>0</v>
      </c>
      <c r="GO125" s="2042"/>
      <c r="GP125" s="2042"/>
      <c r="GQ125" s="2042">
        <f t="shared" si="276"/>
        <v>0</v>
      </c>
      <c r="GR125" s="2042">
        <f t="shared" si="201"/>
        <v>0</v>
      </c>
      <c r="GS125" s="2042">
        <f t="shared" si="277"/>
        <v>0</v>
      </c>
      <c r="GT125" s="2042">
        <f t="shared" si="278"/>
        <v>0</v>
      </c>
      <c r="GU125" s="2045" t="str">
        <f t="shared" si="175"/>
        <v xml:space="preserve"> </v>
      </c>
      <c r="GV125" s="2045" t="str">
        <f t="shared" si="175"/>
        <v xml:space="preserve"> </v>
      </c>
      <c r="GW125" s="2054">
        <f t="shared" si="235"/>
        <v>0</v>
      </c>
      <c r="GX125" s="2042">
        <f t="shared" si="236"/>
        <v>0</v>
      </c>
      <c r="GY125" s="2042" t="str">
        <f t="shared" si="229"/>
        <v>a</v>
      </c>
      <c r="GZ125" s="2055">
        <f t="shared" si="237"/>
        <v>0</v>
      </c>
      <c r="HA125" s="2055">
        <f t="shared" si="238"/>
        <v>0</v>
      </c>
      <c r="HB125" s="2055"/>
      <c r="HC125" s="2046">
        <f t="shared" si="239"/>
        <v>0</v>
      </c>
      <c r="HD125" s="2055">
        <f t="shared" si="240"/>
        <v>0</v>
      </c>
      <c r="HE125" s="2055">
        <f t="shared" si="241"/>
        <v>0</v>
      </c>
      <c r="HF125" s="2055">
        <f t="shared" si="242"/>
        <v>0</v>
      </c>
      <c r="HG125" s="2282" cm="1">
        <f t="array" ref="HG125">IF(AND(HE125=0,GJ125=0),0,IF(HE125=0,1,IF(OR(GJ125*1000/HE125/HF125&gt;INDEX(Pflanzen!$AD$122:$AD$160,CX125)/INDEX(Pflanzen!$M$122:$M$160,CX125)*$HG$1,GJ125*1000/HE125/HF125&lt;INDEX(Pflanzen!$AD$122:$AD$160,CX125)/INDEX(Pflanzen!$M$122:$M$160,CX125)/$HG$1),1,0)))</f>
        <v>0</v>
      </c>
      <c r="HH125" s="2287" cm="1">
        <f t="array" ref="HH125">IF(AND(GK125=0,HE125=0),0,IF(HE125=0,1,IF(OR(GK125*1000/HE125/HF125&gt;INDEX(Pflanzen!$AE$122:$AE$160,CX125)/INDEX(Pflanzen!$M$122:$M$160,CX125)*$HG$2,GK125*1000/HE125/HF125&lt;INDEX(Pflanzen!$AE$122:$AE$160,CX125)/INDEX(Pflanzen!$M$122:$M$160,CX125)/$HG$2),1,0)))</f>
        <v>0</v>
      </c>
      <c r="HI125" s="2042">
        <f t="shared" si="243"/>
        <v>3</v>
      </c>
      <c r="HJ125" s="2042"/>
      <c r="HL125" s="2042"/>
      <c r="HM125" s="2042"/>
      <c r="HN125" s="2042"/>
      <c r="HO125" s="2042"/>
      <c r="HP125" s="2042"/>
      <c r="HQ125" s="2042"/>
      <c r="HR125" s="2042"/>
      <c r="HS125" s="2042"/>
      <c r="HT125" s="2042"/>
      <c r="HU125" s="2042"/>
      <c r="HV125" s="2042"/>
      <c r="HW125" s="2042"/>
      <c r="HX125" s="2042"/>
      <c r="HY125" s="2042"/>
      <c r="HZ125" s="2042"/>
      <c r="IA125" s="2042"/>
      <c r="IB125" s="2042"/>
      <c r="IC125" s="2042"/>
      <c r="ID125" s="2042"/>
      <c r="IE125" s="2042"/>
      <c r="IF125" s="2042"/>
      <c r="IG125" s="2042"/>
      <c r="IH125" s="2042"/>
      <c r="II125" s="2042"/>
      <c r="IJ125" s="2042"/>
    </row>
    <row r="126" spans="25:244" ht="15.75" customHeight="1" x14ac:dyDescent="0.2">
      <c r="Y126" s="2005" t="str" cm="1">
        <f t="array" ref="Y126">IFERROR(INDEX($CW$4:$CW$171,AY126),"")</f>
        <v/>
      </c>
      <c r="Z126" s="510"/>
      <c r="AA126" s="510"/>
      <c r="AB126" s="510"/>
      <c r="AC126" s="2031" t="str" cm="1">
        <f t="array" ref="AC126">IFERROR(INDEX($GL$4:$GL$171,AY126),"")</f>
        <v/>
      </c>
      <c r="AD126" s="2031" t="str" cm="1">
        <f t="array" ref="AD126">IFERROR(INDEX($GM$4:$GM$171,AY126),"")</f>
        <v/>
      </c>
      <c r="AE126" s="2031" t="str" cm="1">
        <f t="array" ref="AE126">IFERROR(INDEX($GH$4:$GH$171,AY126),"")</f>
        <v/>
      </c>
      <c r="AF126" s="2031" t="str" cm="1">
        <f t="array" ref="AF126">IFERROR(INDEX($GI$4:$GI$171,AY126),"")</f>
        <v/>
      </c>
      <c r="AG126" s="2031" t="str" cm="1">
        <f t="array" ref="AG126">IFERROR(INDEX($GO$4:$GO$171,AY126),"")</f>
        <v/>
      </c>
      <c r="AH126" s="2031" t="str" cm="1">
        <f t="array" ref="AH126">IFERROR(INDEX($GP$4:$GP$171,AY126),"")</f>
        <v/>
      </c>
      <c r="AI126" s="2031" t="str" cm="1">
        <f t="array" ref="AI126">IFERROR(INDEX($GF$4:$GF$171,AY126),"")</f>
        <v/>
      </c>
      <c r="AJ126" s="2031" t="str" cm="1">
        <f t="array" ref="AJ126">IFERROR(INDEX($GG$4:$GG$171,AY126),"")</f>
        <v/>
      </c>
      <c r="AK126" s="2031" t="str" cm="1">
        <f t="array" ref="AK126">IFERROR(INDEX($GS$4:$GS$171,AY126),"")</f>
        <v/>
      </c>
      <c r="AL126" s="2032" t="str" cm="1">
        <f t="array" ref="AL126">IFERROR(INDEX($GT$4:$GT$171,AY126),"")</f>
        <v/>
      </c>
      <c r="AM126" s="2031" t="str" cm="1">
        <f t="array" ref="AM126">IFERROR(INDEX($GB$4:$GB$171,AY126),"")</f>
        <v/>
      </c>
      <c r="AN126" s="2031" t="str" cm="1">
        <f t="array" ref="AN126">IFERROR(INDEX($GC$4:$GC$171,AY126),"")</f>
        <v/>
      </c>
      <c r="AO126" s="1310" t="str" cm="1">
        <f t="array" ref="AO126">IFERROR(INDEX($GU$4:$GU$171,AY126),"")</f>
        <v/>
      </c>
      <c r="AP126" s="1310" t="str" cm="1">
        <f t="array" ref="AP126">IFERROR(INDEX($GX$4:$GX$171,AY126),"")</f>
        <v/>
      </c>
      <c r="AQ126" s="1316"/>
      <c r="AR126" s="2031" t="str" cm="1">
        <f t="array" ref="AR126">IFERROR(INDEX($HD$4:$HD$171,AY126),"")</f>
        <v/>
      </c>
      <c r="AS126" s="2031" t="str" cm="1">
        <f t="array" ref="AS126">IFERROR(INDEX($HE$4:$HE$171,AY126),"")</f>
        <v/>
      </c>
      <c r="AT126" s="2031" t="str" cm="1">
        <f t="array" ref="AT126">IFERROR(INDEX($HF$4:$HF$171,AY126),"")</f>
        <v/>
      </c>
      <c r="AU126" s="2031" t="str" cm="1">
        <f t="array" ref="AU126">IFERROR(INDEX($GJ$4:$GJ$171,AY126),"")</f>
        <v/>
      </c>
      <c r="AV126" s="2031" t="str" cm="1">
        <f t="array" ref="AV126">IFERROR(INDEX($GK$4:$GK$171,AY126),"")</f>
        <v/>
      </c>
      <c r="AY126" s="2042" t="str" cm="1">
        <f t="array" ref="AY126">IFERROR(SMALL(IF($HI$4:$HI$171=1,ROW($HI$4:$HI$171)-3),ROW(W111)),IFERROR(SMALL(IF($HI$4:$HI$171=2,ROW($HI$4:$HI$171)-3),ROW(W111)-COUNTIF($HI$4:$HI$171,1)),IFERROR(SMALL(IF($HI$4:$HI$171=0,ROW($HI$4:$HI$171)-3),ROW(W111)-COUNTIF($HI$4:$HI$171,1)-COUNTIF($HI$4:$HI$171,2)),"")))</f>
        <v/>
      </c>
      <c r="AZ126" s="2042" t="str">
        <f t="shared" si="215"/>
        <v>a</v>
      </c>
      <c r="BA126" s="2053" t="e">
        <f t="shared" si="226"/>
        <v>#VALUE!</v>
      </c>
      <c r="BB126" s="2053" cm="1">
        <f t="array" ref="BB126">IFERROR(INDEX($HI$4:$HI$171,AY126),0)</f>
        <v>0</v>
      </c>
      <c r="BC126" s="2053">
        <f t="shared" si="227"/>
        <v>0</v>
      </c>
      <c r="BD126" s="2053"/>
      <c r="BE126" s="2307"/>
      <c r="BF126" s="2307"/>
      <c r="BG126" s="2307"/>
      <c r="BH126" s="2307"/>
      <c r="BI126" s="2307"/>
      <c r="BJ126" s="2307"/>
      <c r="BK126" s="2307"/>
      <c r="BL126" s="2307"/>
      <c r="BM126" s="2307"/>
      <c r="BN126" s="2307"/>
      <c r="BO126" s="2307"/>
      <c r="BP126" s="2043"/>
      <c r="BQ126" s="2042"/>
      <c r="BR126" s="2042"/>
      <c r="BS126" s="2042"/>
      <c r="BT126" s="2042"/>
      <c r="BU126" s="2059"/>
      <c r="BV126" s="2277"/>
      <c r="BW126" s="2277"/>
      <c r="BX126" s="2277"/>
      <c r="BY126" s="2277"/>
      <c r="BZ126" s="2277"/>
      <c r="CA126" s="2277"/>
      <c r="CB126" s="2277"/>
      <c r="CC126" s="2277"/>
      <c r="CD126" s="2277"/>
      <c r="CE126" s="2277"/>
      <c r="CF126" s="2277"/>
      <c r="CG126" s="2277"/>
      <c r="CH126" s="2277"/>
      <c r="CI126" s="2277"/>
      <c r="CJ126" s="2277"/>
      <c r="CK126" s="2277"/>
      <c r="CL126" s="2042"/>
      <c r="CM126" s="2042"/>
      <c r="CN126" s="2042"/>
      <c r="CO126" s="2042"/>
      <c r="CP126" s="2042"/>
      <c r="CQ126" s="2042"/>
      <c r="CR126" s="2042"/>
      <c r="CS126" s="2042"/>
      <c r="CT126" s="2042"/>
      <c r="CU126" s="2042"/>
      <c r="CV126" s="2042"/>
      <c r="CW126" s="2069" t="str">
        <f>Pflanzen!C127</f>
        <v>Fischmehl</v>
      </c>
      <c r="CX126" s="2042">
        <f>IFERROR(MATCH($CW126,Pflanzen!$C$122:$C$160,0),1)</f>
        <v>6</v>
      </c>
      <c r="CY126" s="2069">
        <f>Pflanzen!I127</f>
        <v>2</v>
      </c>
      <c r="CZ126" s="2042">
        <f t="shared" si="279"/>
        <v>0</v>
      </c>
      <c r="DA126" s="2042">
        <f t="shared" si="280"/>
        <v>0</v>
      </c>
      <c r="DB126" s="2042">
        <f t="shared" si="280"/>
        <v>0</v>
      </c>
      <c r="DC126" s="2042">
        <f t="shared" si="280"/>
        <v>0</v>
      </c>
      <c r="DD126" s="2042">
        <f t="shared" si="280"/>
        <v>0</v>
      </c>
      <c r="DE126" s="2042">
        <f t="shared" si="280"/>
        <v>0</v>
      </c>
      <c r="DF126" s="2042">
        <f t="shared" si="280"/>
        <v>0</v>
      </c>
      <c r="DG126" s="2042">
        <f t="shared" si="280"/>
        <v>0</v>
      </c>
      <c r="DH126" s="2042">
        <f t="shared" si="280"/>
        <v>0</v>
      </c>
      <c r="DI126" s="2042">
        <f t="shared" si="280"/>
        <v>0</v>
      </c>
      <c r="DJ126" s="2042">
        <f t="shared" si="280"/>
        <v>0</v>
      </c>
      <c r="DK126" s="2042">
        <f t="shared" si="280"/>
        <v>0</v>
      </c>
      <c r="DL126" s="2042"/>
      <c r="DM126" s="2042">
        <f t="shared" si="281"/>
        <v>0</v>
      </c>
      <c r="DN126" s="2042">
        <f t="shared" si="282"/>
        <v>0</v>
      </c>
      <c r="DO126" s="2042">
        <f t="shared" si="282"/>
        <v>0</v>
      </c>
      <c r="DP126" s="2042">
        <f t="shared" si="282"/>
        <v>0</v>
      </c>
      <c r="DQ126" s="2042">
        <f t="shared" si="282"/>
        <v>0</v>
      </c>
      <c r="DR126" s="2042">
        <f t="shared" si="282"/>
        <v>0</v>
      </c>
      <c r="DS126" s="2042">
        <f t="shared" si="282"/>
        <v>0</v>
      </c>
      <c r="DT126" s="2042">
        <f t="shared" si="282"/>
        <v>0</v>
      </c>
      <c r="DU126" s="2042">
        <f t="shared" si="282"/>
        <v>0</v>
      </c>
      <c r="DV126" s="2042">
        <f t="shared" si="282"/>
        <v>0</v>
      </c>
      <c r="DW126" s="2042">
        <f t="shared" si="282"/>
        <v>0</v>
      </c>
      <c r="DX126" s="2042">
        <f t="shared" si="282"/>
        <v>0</v>
      </c>
      <c r="DY126" s="2042"/>
      <c r="DZ126" s="2042"/>
      <c r="EA126" s="2042"/>
      <c r="EB126" s="2042"/>
      <c r="EC126" s="2042"/>
      <c r="ED126" s="2042"/>
      <c r="EE126" s="2042"/>
      <c r="EF126" s="2042"/>
      <c r="EG126" s="2042"/>
      <c r="EH126" s="2042"/>
      <c r="EI126" s="2042"/>
      <c r="EJ126" s="2042"/>
      <c r="EK126" s="2042"/>
      <c r="EL126" s="2042"/>
      <c r="EM126" s="2042"/>
      <c r="EN126" s="2042"/>
      <c r="EO126" s="2042"/>
      <c r="EP126" s="2042"/>
      <c r="EQ126" s="2042"/>
      <c r="ER126" s="2042"/>
      <c r="ES126" s="2042"/>
      <c r="ET126" s="2042"/>
      <c r="EU126" s="2042"/>
      <c r="EV126" s="2042"/>
      <c r="EW126" s="2042"/>
      <c r="EX126" s="2042"/>
      <c r="EY126" s="2042"/>
      <c r="EZ126" s="2045">
        <f t="shared" si="283"/>
        <v>0</v>
      </c>
      <c r="FA126" s="2216">
        <f t="shared" si="250"/>
        <v>0</v>
      </c>
      <c r="FB126" s="2216">
        <f t="shared" si="251"/>
        <v>0</v>
      </c>
      <c r="FC126" s="2216">
        <f t="shared" si="252"/>
        <v>0</v>
      </c>
      <c r="FD126" s="2216">
        <f t="shared" si="253"/>
        <v>0</v>
      </c>
      <c r="FE126" s="2216">
        <f t="shared" si="254"/>
        <v>0</v>
      </c>
      <c r="FF126" s="2216">
        <f t="shared" si="255"/>
        <v>0</v>
      </c>
      <c r="FG126" s="2216">
        <f t="shared" si="256"/>
        <v>0</v>
      </c>
      <c r="FH126" s="2216">
        <f t="shared" si="257"/>
        <v>0</v>
      </c>
      <c r="FI126" s="2216">
        <f t="shared" si="258"/>
        <v>0</v>
      </c>
      <c r="FJ126" s="2216">
        <f t="shared" si="259"/>
        <v>0</v>
      </c>
      <c r="FK126" s="2216">
        <f t="shared" si="260"/>
        <v>0</v>
      </c>
      <c r="FL126" s="2216">
        <f t="shared" si="261"/>
        <v>0</v>
      </c>
      <c r="FM126" s="2042"/>
      <c r="FN126" s="2045">
        <f t="shared" si="284"/>
        <v>0</v>
      </c>
      <c r="FO126" s="2216">
        <f t="shared" si="262"/>
        <v>0</v>
      </c>
      <c r="FP126" s="2216">
        <f t="shared" si="263"/>
        <v>0</v>
      </c>
      <c r="FQ126" s="2216">
        <f t="shared" si="264"/>
        <v>0</v>
      </c>
      <c r="FR126" s="2216">
        <f t="shared" si="265"/>
        <v>0</v>
      </c>
      <c r="FS126" s="2216">
        <f t="shared" si="266"/>
        <v>0</v>
      </c>
      <c r="FT126" s="2216">
        <f t="shared" si="267"/>
        <v>0</v>
      </c>
      <c r="FU126" s="2216">
        <f t="shared" si="268"/>
        <v>0</v>
      </c>
      <c r="FV126" s="2216">
        <f t="shared" si="269"/>
        <v>0</v>
      </c>
      <c r="FW126" s="2216">
        <f t="shared" si="270"/>
        <v>0</v>
      </c>
      <c r="FX126" s="2216">
        <f t="shared" si="271"/>
        <v>0</v>
      </c>
      <c r="FY126" s="2216">
        <f t="shared" si="272"/>
        <v>0</v>
      </c>
      <c r="FZ126" s="2216">
        <f t="shared" si="273"/>
        <v>0</v>
      </c>
      <c r="GA126" s="2042"/>
      <c r="GB126" s="2042">
        <f t="shared" si="285"/>
        <v>0</v>
      </c>
      <c r="GC126" s="2042">
        <f t="shared" si="286"/>
        <v>0</v>
      </c>
      <c r="GD126" s="2042"/>
      <c r="GE126" s="2042"/>
      <c r="GF126" s="2042"/>
      <c r="GG126" s="2042"/>
      <c r="GH126" s="2042">
        <f t="shared" si="287"/>
        <v>0</v>
      </c>
      <c r="GI126" s="2042">
        <f t="shared" si="288"/>
        <v>0</v>
      </c>
      <c r="GJ126" s="2042">
        <f t="shared" si="232"/>
        <v>0</v>
      </c>
      <c r="GK126" s="2042">
        <f t="shared" si="233"/>
        <v>0</v>
      </c>
      <c r="GL126" s="2042">
        <f t="shared" si="274"/>
        <v>0</v>
      </c>
      <c r="GM126" s="2042" cm="1">
        <f t="array" ref="GM126">IF(GL126=0,0,(SUMPRODUCT($J$75:$J$79,$CH$75:$CH$79,($BR$75:$BR$79=CX126)*1)+SUMPRODUCT($R$75:$R$79,$CP$75:$CP$79,($BR$75:$BR$79=CX126)*1))/GL126)</f>
        <v>0</v>
      </c>
      <c r="GN126" s="2042">
        <f t="shared" si="275"/>
        <v>0</v>
      </c>
      <c r="GO126" s="2042"/>
      <c r="GP126" s="2042"/>
      <c r="GQ126" s="2042">
        <f t="shared" si="276"/>
        <v>0</v>
      </c>
      <c r="GR126" s="2042">
        <f t="shared" si="201"/>
        <v>0</v>
      </c>
      <c r="GS126" s="2042">
        <f t="shared" si="277"/>
        <v>0</v>
      </c>
      <c r="GT126" s="2042">
        <f t="shared" si="278"/>
        <v>0</v>
      </c>
      <c r="GU126" s="2045" t="str">
        <f t="shared" si="175"/>
        <v xml:space="preserve"> </v>
      </c>
      <c r="GV126" s="2045" t="str">
        <f t="shared" si="175"/>
        <v xml:space="preserve"> </v>
      </c>
      <c r="GW126" s="2054">
        <f t="shared" si="235"/>
        <v>0</v>
      </c>
      <c r="GX126" s="2042">
        <f t="shared" si="236"/>
        <v>0</v>
      </c>
      <c r="GY126" s="2042" t="str">
        <f t="shared" si="229"/>
        <v>a</v>
      </c>
      <c r="GZ126" s="2055">
        <f t="shared" si="237"/>
        <v>0</v>
      </c>
      <c r="HA126" s="2055">
        <f t="shared" si="238"/>
        <v>0</v>
      </c>
      <c r="HB126" s="2055"/>
      <c r="HC126" s="2046">
        <f t="shared" si="239"/>
        <v>0</v>
      </c>
      <c r="HD126" s="2055">
        <f t="shared" si="240"/>
        <v>0</v>
      </c>
      <c r="HE126" s="2055">
        <f t="shared" si="241"/>
        <v>0</v>
      </c>
      <c r="HF126" s="2055">
        <f t="shared" si="242"/>
        <v>0</v>
      </c>
      <c r="HG126" s="2282" cm="1">
        <f t="array" ref="HG126">IF(AND(HE126=0,GJ126=0),0,IF(HE126=0,1,IF(OR(GJ126*1000/HE126/HF126&gt;INDEX(Pflanzen!$AD$122:$AD$160,CX126)/INDEX(Pflanzen!$M$122:$M$160,CX126)*$HG$1,GJ126*1000/HE126/HF126&lt;INDEX(Pflanzen!$AD$122:$AD$160,CX126)/INDEX(Pflanzen!$M$122:$M$160,CX126)/$HG$1),1,0)))</f>
        <v>0</v>
      </c>
      <c r="HH126" s="2287" cm="1">
        <f t="array" ref="HH126">IF(AND(GK126=0,HE126=0),0,IF(HE126=0,1,IF(OR(GK126*1000/HE126/HF126&gt;INDEX(Pflanzen!$AE$122:$AE$160,CX126)/INDEX(Pflanzen!$M$122:$M$160,CX126)*$HG$2,GK126*1000/HE126/HF126&lt;INDEX(Pflanzen!$AE$122:$AE$160,CX126)/INDEX(Pflanzen!$M$122:$M$160,CX126)/$HG$2),1,0)))</f>
        <v>0</v>
      </c>
      <c r="HI126" s="2042">
        <f t="shared" si="243"/>
        <v>3</v>
      </c>
      <c r="HJ126" s="2042"/>
      <c r="HL126" s="2042"/>
      <c r="HM126" s="2042"/>
      <c r="HN126" s="2042"/>
      <c r="HO126" s="2042"/>
      <c r="HP126" s="2042"/>
      <c r="HQ126" s="2042"/>
      <c r="HR126" s="2042"/>
      <c r="HS126" s="2042"/>
      <c r="HT126" s="2042"/>
      <c r="HU126" s="2042"/>
      <c r="HV126" s="2042"/>
      <c r="HW126" s="2042"/>
      <c r="HX126" s="2042"/>
      <c r="HY126" s="2042"/>
      <c r="HZ126" s="2042"/>
      <c r="IA126" s="2042"/>
      <c r="IB126" s="2042"/>
      <c r="IC126" s="2042"/>
      <c r="ID126" s="2042"/>
      <c r="IE126" s="2042"/>
      <c r="IF126" s="2042"/>
      <c r="IG126" s="2042"/>
      <c r="IH126" s="2042"/>
      <c r="II126" s="2042"/>
      <c r="IJ126" s="2042"/>
    </row>
    <row r="127" spans="25:244" ht="15.75" customHeight="1" x14ac:dyDescent="0.2">
      <c r="Y127" s="2005" t="str" cm="1">
        <f t="array" ref="Y127">IFERROR(INDEX($CW$4:$CW$171,AY127),"")</f>
        <v/>
      </c>
      <c r="Z127" s="510"/>
      <c r="AA127" s="510"/>
      <c r="AB127" s="510"/>
      <c r="AC127" s="2031" t="str" cm="1">
        <f t="array" ref="AC127">IFERROR(INDEX($GL$4:$GL$171,AY127),"")</f>
        <v/>
      </c>
      <c r="AD127" s="2031" t="str" cm="1">
        <f t="array" ref="AD127">IFERROR(INDEX($GM$4:$GM$171,AY127),"")</f>
        <v/>
      </c>
      <c r="AE127" s="2031" t="str" cm="1">
        <f t="array" ref="AE127">IFERROR(INDEX($GH$4:$GH$171,AY127),"")</f>
        <v/>
      </c>
      <c r="AF127" s="2031" t="str" cm="1">
        <f t="array" ref="AF127">IFERROR(INDEX($GI$4:$GI$171,AY127),"")</f>
        <v/>
      </c>
      <c r="AG127" s="2031" t="str" cm="1">
        <f t="array" ref="AG127">IFERROR(INDEX($GO$4:$GO$171,AY127),"")</f>
        <v/>
      </c>
      <c r="AH127" s="2031" t="str" cm="1">
        <f t="array" ref="AH127">IFERROR(INDEX($GP$4:$GP$171,AY127),"")</f>
        <v/>
      </c>
      <c r="AI127" s="2031" t="str" cm="1">
        <f t="array" ref="AI127">IFERROR(INDEX($GF$4:$GF$171,AY127),"")</f>
        <v/>
      </c>
      <c r="AJ127" s="2031" t="str" cm="1">
        <f t="array" ref="AJ127">IFERROR(INDEX($GG$4:$GG$171,AY127),"")</f>
        <v/>
      </c>
      <c r="AK127" s="2031" t="str" cm="1">
        <f t="array" ref="AK127">IFERROR(INDEX($GS$4:$GS$171,AY127),"")</f>
        <v/>
      </c>
      <c r="AL127" s="2032" t="str" cm="1">
        <f t="array" ref="AL127">IFERROR(INDEX($GT$4:$GT$171,AY127),"")</f>
        <v/>
      </c>
      <c r="AM127" s="2031" t="str" cm="1">
        <f t="array" ref="AM127">IFERROR(INDEX($GB$4:$GB$171,AY127),"")</f>
        <v/>
      </c>
      <c r="AN127" s="2031" t="str" cm="1">
        <f t="array" ref="AN127">IFERROR(INDEX($GC$4:$GC$171,AY127),"")</f>
        <v/>
      </c>
      <c r="AO127" s="1310" t="str" cm="1">
        <f t="array" ref="AO127">IFERROR(INDEX($GU$4:$GU$171,AY127),"")</f>
        <v/>
      </c>
      <c r="AP127" s="1310" t="str" cm="1">
        <f t="array" ref="AP127">IFERROR(INDEX($GX$4:$GX$171,AY127),"")</f>
        <v/>
      </c>
      <c r="AQ127" s="1316"/>
      <c r="AR127" s="2031" t="str" cm="1">
        <f t="array" ref="AR127">IFERROR(INDEX($HD$4:$HD$171,AY127),"")</f>
        <v/>
      </c>
      <c r="AS127" s="2031" t="str" cm="1">
        <f t="array" ref="AS127">IFERROR(INDEX($HE$4:$HE$171,AY127),"")</f>
        <v/>
      </c>
      <c r="AT127" s="2031" t="str" cm="1">
        <f t="array" ref="AT127">IFERROR(INDEX($HF$4:$HF$171,AY127),"")</f>
        <v/>
      </c>
      <c r="AU127" s="2031" t="str" cm="1">
        <f t="array" ref="AU127">IFERROR(INDEX($GJ$4:$GJ$171,AY127),"")</f>
        <v/>
      </c>
      <c r="AV127" s="2031" t="str" cm="1">
        <f t="array" ref="AV127">IFERROR(INDEX($GK$4:$GK$171,AY127),"")</f>
        <v/>
      </c>
      <c r="AY127" s="2042" t="str" cm="1">
        <f t="array" ref="AY127">IFERROR(SMALL(IF($HI$4:$HI$171=1,ROW($HI$4:$HI$171)-3),ROW(W112)),IFERROR(SMALL(IF($HI$4:$HI$171=2,ROW($HI$4:$HI$171)-3),ROW(W112)-COUNTIF($HI$4:$HI$171,1)),IFERROR(SMALL(IF($HI$4:$HI$171=0,ROW($HI$4:$HI$171)-3),ROW(W112)-COUNTIF($HI$4:$HI$171,1)-COUNTIF($HI$4:$HI$171,2)),"")))</f>
        <v/>
      </c>
      <c r="AZ127" s="2042" t="str">
        <f t="shared" si="215"/>
        <v>a</v>
      </c>
      <c r="BA127" s="2053" t="e">
        <f t="shared" si="226"/>
        <v>#VALUE!</v>
      </c>
      <c r="BB127" s="2053" cm="1">
        <f t="array" ref="BB127">IFERROR(INDEX($HI$4:$HI$171,AY127),0)</f>
        <v>0</v>
      </c>
      <c r="BC127" s="2053">
        <f t="shared" si="227"/>
        <v>0</v>
      </c>
      <c r="BD127" s="2053"/>
      <c r="BE127" s="2307"/>
      <c r="BF127" s="2307"/>
      <c r="BG127" s="2307"/>
      <c r="BH127" s="2307"/>
      <c r="BI127" s="2307"/>
      <c r="BJ127" s="2307"/>
      <c r="BK127" s="2307"/>
      <c r="BL127" s="2307"/>
      <c r="BM127" s="2307"/>
      <c r="BN127" s="2307"/>
      <c r="BO127" s="2307"/>
      <c r="BP127" s="2043"/>
      <c r="BQ127" s="2042"/>
      <c r="BR127" s="2042"/>
      <c r="BS127" s="2042"/>
      <c r="BT127" s="2042"/>
      <c r="BU127" s="2059"/>
      <c r="BV127" s="2277"/>
      <c r="BW127" s="2277"/>
      <c r="BX127" s="2277"/>
      <c r="BY127" s="2277"/>
      <c r="BZ127" s="2277"/>
      <c r="CA127" s="2277"/>
      <c r="CB127" s="2277"/>
      <c r="CC127" s="2277"/>
      <c r="CD127" s="2277"/>
      <c r="CE127" s="2277"/>
      <c r="CF127" s="2277"/>
      <c r="CG127" s="2277"/>
      <c r="CH127" s="2277"/>
      <c r="CI127" s="2277"/>
      <c r="CJ127" s="2277"/>
      <c r="CK127" s="2277"/>
      <c r="CL127" s="2042"/>
      <c r="CM127" s="2042"/>
      <c r="CN127" s="2042"/>
      <c r="CO127" s="2042"/>
      <c r="CP127" s="2042"/>
      <c r="CQ127" s="2042"/>
      <c r="CR127" s="2042"/>
      <c r="CS127" s="2042"/>
      <c r="CT127" s="2042"/>
      <c r="CU127" s="2042"/>
      <c r="CV127" s="2042"/>
      <c r="CW127" s="2069" t="str">
        <f>Pflanzen!C128</f>
        <v>Getreideschlempe, frisch (Weizen)</v>
      </c>
      <c r="CX127" s="2042">
        <f>IFERROR(MATCH($CW127,Pflanzen!$C$122:$C$160,0),1)</f>
        <v>7</v>
      </c>
      <c r="CY127" s="2069">
        <f>Pflanzen!I128</f>
        <v>2</v>
      </c>
      <c r="CZ127" s="2042">
        <f t="shared" si="279"/>
        <v>0</v>
      </c>
      <c r="DA127" s="2042">
        <f t="shared" si="280"/>
        <v>0</v>
      </c>
      <c r="DB127" s="2042">
        <f t="shared" si="280"/>
        <v>0</v>
      </c>
      <c r="DC127" s="2042">
        <f t="shared" si="280"/>
        <v>0</v>
      </c>
      <c r="DD127" s="2042">
        <f t="shared" si="280"/>
        <v>0</v>
      </c>
      <c r="DE127" s="2042">
        <f t="shared" si="280"/>
        <v>0</v>
      </c>
      <c r="DF127" s="2042">
        <f t="shared" si="280"/>
        <v>0</v>
      </c>
      <c r="DG127" s="2042">
        <f t="shared" si="280"/>
        <v>0</v>
      </c>
      <c r="DH127" s="2042">
        <f t="shared" si="280"/>
        <v>0</v>
      </c>
      <c r="DI127" s="2042">
        <f t="shared" si="280"/>
        <v>0</v>
      </c>
      <c r="DJ127" s="2042">
        <f t="shared" si="280"/>
        <v>0</v>
      </c>
      <c r="DK127" s="2042">
        <f t="shared" si="280"/>
        <v>0</v>
      </c>
      <c r="DL127" s="2042"/>
      <c r="DM127" s="2042">
        <f t="shared" si="281"/>
        <v>0</v>
      </c>
      <c r="DN127" s="2042">
        <f t="shared" si="282"/>
        <v>0</v>
      </c>
      <c r="DO127" s="2042">
        <f t="shared" si="282"/>
        <v>0</v>
      </c>
      <c r="DP127" s="2042">
        <f t="shared" si="282"/>
        <v>0</v>
      </c>
      <c r="DQ127" s="2042">
        <f t="shared" si="282"/>
        <v>0</v>
      </c>
      <c r="DR127" s="2042">
        <f t="shared" si="282"/>
        <v>0</v>
      </c>
      <c r="DS127" s="2042">
        <f t="shared" si="282"/>
        <v>0</v>
      </c>
      <c r="DT127" s="2042">
        <f t="shared" si="282"/>
        <v>0</v>
      </c>
      <c r="DU127" s="2042">
        <f t="shared" si="282"/>
        <v>0</v>
      </c>
      <c r="DV127" s="2042">
        <f t="shared" si="282"/>
        <v>0</v>
      </c>
      <c r="DW127" s="2042">
        <f t="shared" si="282"/>
        <v>0</v>
      </c>
      <c r="DX127" s="2042">
        <f t="shared" si="282"/>
        <v>0</v>
      </c>
      <c r="DY127" s="2042"/>
      <c r="DZ127" s="2042"/>
      <c r="EA127" s="2042"/>
      <c r="EB127" s="2042"/>
      <c r="EC127" s="2042"/>
      <c r="ED127" s="2042"/>
      <c r="EE127" s="2042"/>
      <c r="EF127" s="2042"/>
      <c r="EG127" s="2042"/>
      <c r="EH127" s="2042"/>
      <c r="EI127" s="2042"/>
      <c r="EJ127" s="2042"/>
      <c r="EK127" s="2042"/>
      <c r="EL127" s="2042"/>
      <c r="EM127" s="2042"/>
      <c r="EN127" s="2042"/>
      <c r="EO127" s="2042"/>
      <c r="EP127" s="2042"/>
      <c r="EQ127" s="2042"/>
      <c r="ER127" s="2042"/>
      <c r="ES127" s="2042"/>
      <c r="ET127" s="2042"/>
      <c r="EU127" s="2042"/>
      <c r="EV127" s="2042"/>
      <c r="EW127" s="2042"/>
      <c r="EX127" s="2042"/>
      <c r="EY127" s="2042"/>
      <c r="EZ127" s="2045">
        <f t="shared" si="283"/>
        <v>0</v>
      </c>
      <c r="FA127" s="2216">
        <f t="shared" si="250"/>
        <v>0</v>
      </c>
      <c r="FB127" s="2216">
        <f t="shared" si="251"/>
        <v>0</v>
      </c>
      <c r="FC127" s="2216">
        <f t="shared" si="252"/>
        <v>0</v>
      </c>
      <c r="FD127" s="2216">
        <f t="shared" si="253"/>
        <v>0</v>
      </c>
      <c r="FE127" s="2216">
        <f t="shared" si="254"/>
        <v>0</v>
      </c>
      <c r="FF127" s="2216">
        <f t="shared" si="255"/>
        <v>0</v>
      </c>
      <c r="FG127" s="2216">
        <f t="shared" si="256"/>
        <v>0</v>
      </c>
      <c r="FH127" s="2216">
        <f t="shared" si="257"/>
        <v>0</v>
      </c>
      <c r="FI127" s="2216">
        <f t="shared" si="258"/>
        <v>0</v>
      </c>
      <c r="FJ127" s="2216">
        <f t="shared" si="259"/>
        <v>0</v>
      </c>
      <c r="FK127" s="2216">
        <f t="shared" si="260"/>
        <v>0</v>
      </c>
      <c r="FL127" s="2216">
        <f t="shared" si="261"/>
        <v>0</v>
      </c>
      <c r="FM127" s="2042"/>
      <c r="FN127" s="2045">
        <f t="shared" si="284"/>
        <v>0</v>
      </c>
      <c r="FO127" s="2216">
        <f t="shared" si="262"/>
        <v>0</v>
      </c>
      <c r="FP127" s="2216">
        <f t="shared" si="263"/>
        <v>0</v>
      </c>
      <c r="FQ127" s="2216">
        <f t="shared" si="264"/>
        <v>0</v>
      </c>
      <c r="FR127" s="2216">
        <f t="shared" si="265"/>
        <v>0</v>
      </c>
      <c r="FS127" s="2216">
        <f t="shared" si="266"/>
        <v>0</v>
      </c>
      <c r="FT127" s="2216">
        <f t="shared" si="267"/>
        <v>0</v>
      </c>
      <c r="FU127" s="2216">
        <f t="shared" si="268"/>
        <v>0</v>
      </c>
      <c r="FV127" s="2216">
        <f t="shared" si="269"/>
        <v>0</v>
      </c>
      <c r="FW127" s="2216">
        <f t="shared" si="270"/>
        <v>0</v>
      </c>
      <c r="FX127" s="2216">
        <f t="shared" si="271"/>
        <v>0</v>
      </c>
      <c r="FY127" s="2216">
        <f t="shared" si="272"/>
        <v>0</v>
      </c>
      <c r="FZ127" s="2216">
        <f t="shared" si="273"/>
        <v>0</v>
      </c>
      <c r="GA127" s="2042"/>
      <c r="GB127" s="2042">
        <f t="shared" si="285"/>
        <v>0</v>
      </c>
      <c r="GC127" s="2042">
        <f t="shared" si="286"/>
        <v>0</v>
      </c>
      <c r="GD127" s="2042"/>
      <c r="GE127" s="2042"/>
      <c r="GF127" s="2042"/>
      <c r="GG127" s="2042"/>
      <c r="GH127" s="2042">
        <f t="shared" si="287"/>
        <v>0</v>
      </c>
      <c r="GI127" s="2042">
        <f t="shared" si="288"/>
        <v>0</v>
      </c>
      <c r="GJ127" s="2042">
        <f t="shared" si="232"/>
        <v>0</v>
      </c>
      <c r="GK127" s="2042">
        <f t="shared" si="233"/>
        <v>0</v>
      </c>
      <c r="GL127" s="2042">
        <f t="shared" si="274"/>
        <v>0</v>
      </c>
      <c r="GM127" s="2042" cm="1">
        <f t="array" ref="GM127">IF(GL127=0,0,(SUMPRODUCT($J$75:$J$79,$CH$75:$CH$79,($BR$75:$BR$79=CX127)*1)+SUMPRODUCT($R$75:$R$79,$CP$75:$CP$79,($BR$75:$BR$79=CX127)*1))/GL127)</f>
        <v>0</v>
      </c>
      <c r="GN127" s="2042">
        <f t="shared" si="275"/>
        <v>0</v>
      </c>
      <c r="GO127" s="2042"/>
      <c r="GP127" s="2042"/>
      <c r="GQ127" s="2042">
        <f t="shared" si="276"/>
        <v>0</v>
      </c>
      <c r="GR127" s="2042">
        <f t="shared" si="201"/>
        <v>0</v>
      </c>
      <c r="GS127" s="2042">
        <f t="shared" si="277"/>
        <v>0</v>
      </c>
      <c r="GT127" s="2042">
        <f t="shared" si="278"/>
        <v>0</v>
      </c>
      <c r="GU127" s="2045" t="str">
        <f t="shared" si="175"/>
        <v xml:space="preserve"> </v>
      </c>
      <c r="GV127" s="2045" t="str">
        <f t="shared" si="175"/>
        <v xml:space="preserve"> </v>
      </c>
      <c r="GW127" s="2054">
        <f t="shared" si="235"/>
        <v>0</v>
      </c>
      <c r="GX127" s="2042">
        <f t="shared" si="236"/>
        <v>0</v>
      </c>
      <c r="GY127" s="2042" t="str">
        <f t="shared" si="229"/>
        <v>a</v>
      </c>
      <c r="GZ127" s="2055">
        <f t="shared" si="237"/>
        <v>0</v>
      </c>
      <c r="HA127" s="2055">
        <f t="shared" si="238"/>
        <v>0</v>
      </c>
      <c r="HB127" s="2055"/>
      <c r="HC127" s="2046">
        <f t="shared" si="239"/>
        <v>0</v>
      </c>
      <c r="HD127" s="2055">
        <f t="shared" si="240"/>
        <v>0</v>
      </c>
      <c r="HE127" s="2055">
        <f t="shared" si="241"/>
        <v>0</v>
      </c>
      <c r="HF127" s="2055">
        <f t="shared" si="242"/>
        <v>0</v>
      </c>
      <c r="HG127" s="2282" cm="1">
        <f t="array" ref="HG127">IF(AND(HE127=0,GJ127=0),0,IF(HE127=0,1,IF(OR(GJ127*1000/HE127/HF127&gt;INDEX(Pflanzen!$AD$122:$AD$160,CX127)/INDEX(Pflanzen!$M$122:$M$160,CX127)*$HG$1,GJ127*1000/HE127/HF127&lt;INDEX(Pflanzen!$AD$122:$AD$160,CX127)/INDEX(Pflanzen!$M$122:$M$160,CX127)/$HG$1),1,0)))</f>
        <v>0</v>
      </c>
      <c r="HH127" s="2287" cm="1">
        <f t="array" ref="HH127">IF(AND(GK127=0,HE127=0),0,IF(HE127=0,1,IF(OR(GK127*1000/HE127/HF127&gt;INDEX(Pflanzen!$AE$122:$AE$160,CX127)/INDEX(Pflanzen!$M$122:$M$160,CX127)*$HG$2,GK127*1000/HE127/HF127&lt;INDEX(Pflanzen!$AE$122:$AE$160,CX127)/INDEX(Pflanzen!$M$122:$M$160,CX127)/$HG$2),1,0)))</f>
        <v>0</v>
      </c>
      <c r="HI127" s="2042">
        <f t="shared" si="243"/>
        <v>3</v>
      </c>
      <c r="HJ127" s="2042"/>
      <c r="HL127" s="2042"/>
      <c r="HM127" s="2042"/>
      <c r="HN127" s="2042"/>
      <c r="HO127" s="2042"/>
      <c r="HP127" s="2042"/>
      <c r="HQ127" s="2042"/>
      <c r="HR127" s="2042"/>
      <c r="HS127" s="2042"/>
      <c r="HT127" s="2042"/>
      <c r="HU127" s="2042"/>
      <c r="HV127" s="2042"/>
      <c r="HW127" s="2042"/>
      <c r="HX127" s="2042"/>
      <c r="HY127" s="2042"/>
      <c r="HZ127" s="2042"/>
      <c r="IA127" s="2042"/>
      <c r="IB127" s="2042"/>
      <c r="IC127" s="2042"/>
      <c r="ID127" s="2042"/>
      <c r="IE127" s="2042"/>
      <c r="IF127" s="2042"/>
      <c r="IG127" s="2042"/>
      <c r="IH127" s="2042"/>
      <c r="II127" s="2042"/>
      <c r="IJ127" s="2042"/>
    </row>
    <row r="128" spans="25:244" ht="15.75" customHeight="1" x14ac:dyDescent="0.2">
      <c r="Y128" s="2005" t="str" cm="1">
        <f t="array" ref="Y128">IFERROR(INDEX($CW$4:$CW$171,AY128),"")</f>
        <v/>
      </c>
      <c r="Z128" s="510"/>
      <c r="AA128" s="510"/>
      <c r="AB128" s="510"/>
      <c r="AC128" s="2031" t="str" cm="1">
        <f t="array" ref="AC128">IFERROR(INDEX($GL$4:$GL$171,AY128),"")</f>
        <v/>
      </c>
      <c r="AD128" s="2031" t="str" cm="1">
        <f t="array" ref="AD128">IFERROR(INDEX($GM$4:$GM$171,AY128),"")</f>
        <v/>
      </c>
      <c r="AE128" s="2031" t="str" cm="1">
        <f t="array" ref="AE128">IFERROR(INDEX($GH$4:$GH$171,AY128),"")</f>
        <v/>
      </c>
      <c r="AF128" s="2031" t="str" cm="1">
        <f t="array" ref="AF128">IFERROR(INDEX($GI$4:$GI$171,AY128),"")</f>
        <v/>
      </c>
      <c r="AG128" s="2031" t="str" cm="1">
        <f t="array" ref="AG128">IFERROR(INDEX($GO$4:$GO$171,AY128),"")</f>
        <v/>
      </c>
      <c r="AH128" s="2031" t="str" cm="1">
        <f t="array" ref="AH128">IFERROR(INDEX($GP$4:$GP$171,AY128),"")</f>
        <v/>
      </c>
      <c r="AI128" s="2031" t="str" cm="1">
        <f t="array" ref="AI128">IFERROR(INDEX($GF$4:$GF$171,AY128),"")</f>
        <v/>
      </c>
      <c r="AJ128" s="2031" t="str" cm="1">
        <f t="array" ref="AJ128">IFERROR(INDEX($GG$4:$GG$171,AY128),"")</f>
        <v/>
      </c>
      <c r="AK128" s="2031" t="str" cm="1">
        <f t="array" ref="AK128">IFERROR(INDEX($GS$4:$GS$171,AY128),"")</f>
        <v/>
      </c>
      <c r="AL128" s="2032" t="str" cm="1">
        <f t="array" ref="AL128">IFERROR(INDEX($GT$4:$GT$171,AY128),"")</f>
        <v/>
      </c>
      <c r="AM128" s="2031" t="str" cm="1">
        <f t="array" ref="AM128">IFERROR(INDEX($GB$4:$GB$171,AY128),"")</f>
        <v/>
      </c>
      <c r="AN128" s="2031" t="str" cm="1">
        <f t="array" ref="AN128">IFERROR(INDEX($GC$4:$GC$171,AY128),"")</f>
        <v/>
      </c>
      <c r="AO128" s="1310" t="str" cm="1">
        <f t="array" ref="AO128">IFERROR(INDEX($GU$4:$GU$171,AY128),"")</f>
        <v/>
      </c>
      <c r="AP128" s="1310" t="str" cm="1">
        <f t="array" ref="AP128">IFERROR(INDEX($GX$4:$GX$171,AY128),"")</f>
        <v/>
      </c>
      <c r="AQ128" s="1316"/>
      <c r="AR128" s="2031" t="str" cm="1">
        <f t="array" ref="AR128">IFERROR(INDEX($HD$4:$HD$171,AY128),"")</f>
        <v/>
      </c>
      <c r="AS128" s="2031" t="str" cm="1">
        <f t="array" ref="AS128">IFERROR(INDEX($HE$4:$HE$171,AY128),"")</f>
        <v/>
      </c>
      <c r="AT128" s="2031" t="str" cm="1">
        <f t="array" ref="AT128">IFERROR(INDEX($HF$4:$HF$171,AY128),"")</f>
        <v/>
      </c>
      <c r="AU128" s="2031" t="str" cm="1">
        <f t="array" ref="AU128">IFERROR(INDEX($GJ$4:$GJ$171,AY128),"")</f>
        <v/>
      </c>
      <c r="AV128" s="2031" t="str" cm="1">
        <f t="array" ref="AV128">IFERROR(INDEX($GK$4:$GK$171,AY128),"")</f>
        <v/>
      </c>
      <c r="AY128" s="2042" t="str" cm="1">
        <f t="array" ref="AY128">IFERROR(SMALL(IF($HI$4:$HI$171=1,ROW($HI$4:$HI$171)-3),ROW(W113)),IFERROR(SMALL(IF($HI$4:$HI$171=2,ROW($HI$4:$HI$171)-3),ROW(W113)-COUNTIF($HI$4:$HI$171,1)),IFERROR(SMALL(IF($HI$4:$HI$171=0,ROW($HI$4:$HI$171)-3),ROW(W113)-COUNTIF($HI$4:$HI$171,1)-COUNTIF($HI$4:$HI$171,2)),"")))</f>
        <v/>
      </c>
      <c r="AZ128" s="2042" t="str">
        <f t="shared" si="215"/>
        <v>a</v>
      </c>
      <c r="BA128" s="2053" t="e">
        <f t="shared" si="226"/>
        <v>#VALUE!</v>
      </c>
      <c r="BB128" s="2053" cm="1">
        <f t="array" ref="BB128">IFERROR(INDEX($HI$4:$HI$171,AY128),0)</f>
        <v>0</v>
      </c>
      <c r="BC128" s="2053">
        <f t="shared" si="227"/>
        <v>0</v>
      </c>
      <c r="BD128" s="2053"/>
      <c r="BE128" s="2307"/>
      <c r="BF128" s="2307"/>
      <c r="BG128" s="2307"/>
      <c r="BH128" s="2307"/>
      <c r="BI128" s="2307"/>
      <c r="BJ128" s="2307"/>
      <c r="BK128" s="2307"/>
      <c r="BL128" s="2307"/>
      <c r="BM128" s="2307"/>
      <c r="BN128" s="2307"/>
      <c r="BO128" s="2307"/>
      <c r="BP128" s="2043"/>
      <c r="BQ128" s="2042"/>
      <c r="BR128" s="2042"/>
      <c r="BS128" s="2042"/>
      <c r="BT128" s="2042"/>
      <c r="BU128" s="2059"/>
      <c r="BV128" s="2277"/>
      <c r="BW128" s="2277"/>
      <c r="BX128" s="2277"/>
      <c r="BY128" s="2277"/>
      <c r="BZ128" s="2277"/>
      <c r="CA128" s="2277"/>
      <c r="CB128" s="2277"/>
      <c r="CC128" s="2277"/>
      <c r="CD128" s="2277"/>
      <c r="CE128" s="2277"/>
      <c r="CF128" s="2277"/>
      <c r="CG128" s="2277"/>
      <c r="CH128" s="2277"/>
      <c r="CI128" s="2277"/>
      <c r="CJ128" s="2277"/>
      <c r="CK128" s="2277"/>
      <c r="CL128" s="2042"/>
      <c r="CM128" s="2042"/>
      <c r="CN128" s="2042"/>
      <c r="CO128" s="2042"/>
      <c r="CP128" s="2042"/>
      <c r="CQ128" s="2042"/>
      <c r="CR128" s="2042"/>
      <c r="CS128" s="2042"/>
      <c r="CT128" s="2042"/>
      <c r="CU128" s="2042"/>
      <c r="CV128" s="2042"/>
      <c r="CW128" s="2069" t="str">
        <f>Pflanzen!C129</f>
        <v>Getreideschlempe, getrocknet (Weizen)</v>
      </c>
      <c r="CX128" s="2042">
        <f>IFERROR(MATCH($CW128,Pflanzen!$C$122:$C$160,0),1)</f>
        <v>8</v>
      </c>
      <c r="CY128" s="2069">
        <f>Pflanzen!I129</f>
        <v>2</v>
      </c>
      <c r="CZ128" s="2042">
        <f t="shared" si="279"/>
        <v>0</v>
      </c>
      <c r="DA128" s="2042">
        <f t="shared" si="280"/>
        <v>0</v>
      </c>
      <c r="DB128" s="2042">
        <f t="shared" si="280"/>
        <v>0</v>
      </c>
      <c r="DC128" s="2042">
        <f t="shared" si="280"/>
        <v>0</v>
      </c>
      <c r="DD128" s="2042">
        <f t="shared" si="280"/>
        <v>0</v>
      </c>
      <c r="DE128" s="2042">
        <f t="shared" si="280"/>
        <v>0</v>
      </c>
      <c r="DF128" s="2042">
        <f t="shared" si="280"/>
        <v>0</v>
      </c>
      <c r="DG128" s="2042">
        <f t="shared" si="280"/>
        <v>0</v>
      </c>
      <c r="DH128" s="2042">
        <f t="shared" si="280"/>
        <v>0</v>
      </c>
      <c r="DI128" s="2042">
        <f t="shared" si="280"/>
        <v>0</v>
      </c>
      <c r="DJ128" s="2042">
        <f t="shared" si="280"/>
        <v>0</v>
      </c>
      <c r="DK128" s="2042">
        <f t="shared" si="280"/>
        <v>0</v>
      </c>
      <c r="DL128" s="2042"/>
      <c r="DM128" s="2042">
        <f t="shared" si="281"/>
        <v>0</v>
      </c>
      <c r="DN128" s="2042">
        <f t="shared" si="282"/>
        <v>0</v>
      </c>
      <c r="DO128" s="2042">
        <f t="shared" si="282"/>
        <v>0</v>
      </c>
      <c r="DP128" s="2042">
        <f t="shared" si="282"/>
        <v>0</v>
      </c>
      <c r="DQ128" s="2042">
        <f t="shared" si="282"/>
        <v>0</v>
      </c>
      <c r="DR128" s="2042">
        <f t="shared" si="282"/>
        <v>0</v>
      </c>
      <c r="DS128" s="2042">
        <f t="shared" si="282"/>
        <v>0</v>
      </c>
      <c r="DT128" s="2042">
        <f t="shared" si="282"/>
        <v>0</v>
      </c>
      <c r="DU128" s="2042">
        <f t="shared" si="282"/>
        <v>0</v>
      </c>
      <c r="DV128" s="2042">
        <f t="shared" si="282"/>
        <v>0</v>
      </c>
      <c r="DW128" s="2042">
        <f t="shared" si="282"/>
        <v>0</v>
      </c>
      <c r="DX128" s="2042">
        <f t="shared" si="282"/>
        <v>0</v>
      </c>
      <c r="DY128" s="2042"/>
      <c r="DZ128" s="2042"/>
      <c r="EA128" s="2042"/>
      <c r="EB128" s="2042"/>
      <c r="EC128" s="2042"/>
      <c r="ED128" s="2042"/>
      <c r="EE128" s="2042"/>
      <c r="EF128" s="2042"/>
      <c r="EG128" s="2042"/>
      <c r="EH128" s="2042"/>
      <c r="EI128" s="2042"/>
      <c r="EJ128" s="2042"/>
      <c r="EK128" s="2042"/>
      <c r="EL128" s="2042"/>
      <c r="EM128" s="2042"/>
      <c r="EN128" s="2042"/>
      <c r="EO128" s="2042"/>
      <c r="EP128" s="2042"/>
      <c r="EQ128" s="2042"/>
      <c r="ER128" s="2042"/>
      <c r="ES128" s="2042"/>
      <c r="ET128" s="2042"/>
      <c r="EU128" s="2042"/>
      <c r="EV128" s="2042"/>
      <c r="EW128" s="2042"/>
      <c r="EX128" s="2042"/>
      <c r="EY128" s="2042"/>
      <c r="EZ128" s="2045">
        <f t="shared" si="283"/>
        <v>0</v>
      </c>
      <c r="FA128" s="2216">
        <f t="shared" si="250"/>
        <v>0</v>
      </c>
      <c r="FB128" s="2216">
        <f t="shared" si="251"/>
        <v>0</v>
      </c>
      <c r="FC128" s="2216">
        <f t="shared" si="252"/>
        <v>0</v>
      </c>
      <c r="FD128" s="2216">
        <f t="shared" si="253"/>
        <v>0</v>
      </c>
      <c r="FE128" s="2216">
        <f t="shared" si="254"/>
        <v>0</v>
      </c>
      <c r="FF128" s="2216">
        <f t="shared" si="255"/>
        <v>0</v>
      </c>
      <c r="FG128" s="2216">
        <f t="shared" si="256"/>
        <v>0</v>
      </c>
      <c r="FH128" s="2216">
        <f t="shared" si="257"/>
        <v>0</v>
      </c>
      <c r="FI128" s="2216">
        <f t="shared" si="258"/>
        <v>0</v>
      </c>
      <c r="FJ128" s="2216">
        <f t="shared" si="259"/>
        <v>0</v>
      </c>
      <c r="FK128" s="2216">
        <f t="shared" si="260"/>
        <v>0</v>
      </c>
      <c r="FL128" s="2216">
        <f t="shared" si="261"/>
        <v>0</v>
      </c>
      <c r="FM128" s="2042"/>
      <c r="FN128" s="2045">
        <f t="shared" si="284"/>
        <v>0</v>
      </c>
      <c r="FO128" s="2216">
        <f t="shared" si="262"/>
        <v>0</v>
      </c>
      <c r="FP128" s="2216">
        <f t="shared" si="263"/>
        <v>0</v>
      </c>
      <c r="FQ128" s="2216">
        <f t="shared" si="264"/>
        <v>0</v>
      </c>
      <c r="FR128" s="2216">
        <f t="shared" si="265"/>
        <v>0</v>
      </c>
      <c r="FS128" s="2216">
        <f t="shared" si="266"/>
        <v>0</v>
      </c>
      <c r="FT128" s="2216">
        <f t="shared" si="267"/>
        <v>0</v>
      </c>
      <c r="FU128" s="2216">
        <f t="shared" si="268"/>
        <v>0</v>
      </c>
      <c r="FV128" s="2216">
        <f t="shared" si="269"/>
        <v>0</v>
      </c>
      <c r="FW128" s="2216">
        <f t="shared" si="270"/>
        <v>0</v>
      </c>
      <c r="FX128" s="2216">
        <f t="shared" si="271"/>
        <v>0</v>
      </c>
      <c r="FY128" s="2216">
        <f t="shared" si="272"/>
        <v>0</v>
      </c>
      <c r="FZ128" s="2216">
        <f t="shared" si="273"/>
        <v>0</v>
      </c>
      <c r="GA128" s="2042"/>
      <c r="GB128" s="2042">
        <f t="shared" si="285"/>
        <v>0</v>
      </c>
      <c r="GC128" s="2042">
        <f t="shared" si="286"/>
        <v>0</v>
      </c>
      <c r="GD128" s="2042"/>
      <c r="GE128" s="2042"/>
      <c r="GF128" s="2042"/>
      <c r="GG128" s="2042"/>
      <c r="GH128" s="2042">
        <f t="shared" si="287"/>
        <v>0</v>
      </c>
      <c r="GI128" s="2042">
        <f t="shared" si="288"/>
        <v>0</v>
      </c>
      <c r="GJ128" s="2042">
        <f t="shared" si="232"/>
        <v>0</v>
      </c>
      <c r="GK128" s="2042">
        <f t="shared" si="233"/>
        <v>0</v>
      </c>
      <c r="GL128" s="2042">
        <f t="shared" si="274"/>
        <v>0</v>
      </c>
      <c r="GM128" s="2042" cm="1">
        <f t="array" ref="GM128">IF(GL128=0,0,(SUMPRODUCT($J$75:$J$79,$CH$75:$CH$79,($BR$75:$BR$79=CX128)*1)+SUMPRODUCT($R$75:$R$79,$CP$75:$CP$79,($BR$75:$BR$79=CX128)*1))/GL128)</f>
        <v>0</v>
      </c>
      <c r="GN128" s="2042">
        <f t="shared" si="275"/>
        <v>0</v>
      </c>
      <c r="GO128" s="2042"/>
      <c r="GP128" s="2042"/>
      <c r="GQ128" s="2042">
        <f t="shared" si="276"/>
        <v>0</v>
      </c>
      <c r="GR128" s="2042">
        <f t="shared" si="201"/>
        <v>0</v>
      </c>
      <c r="GS128" s="2042">
        <f t="shared" si="277"/>
        <v>0</v>
      </c>
      <c r="GT128" s="2042">
        <f t="shared" si="278"/>
        <v>0</v>
      </c>
      <c r="GU128" s="2045" t="str">
        <f t="shared" si="175"/>
        <v xml:space="preserve"> </v>
      </c>
      <c r="GV128" s="2045" t="str">
        <f t="shared" si="175"/>
        <v xml:space="preserve"> </v>
      </c>
      <c r="GW128" s="2054">
        <f t="shared" si="235"/>
        <v>0</v>
      </c>
      <c r="GX128" s="2042">
        <f t="shared" si="236"/>
        <v>0</v>
      </c>
      <c r="GY128" s="2042" t="str">
        <f t="shared" si="229"/>
        <v>a</v>
      </c>
      <c r="GZ128" s="2055">
        <f t="shared" si="237"/>
        <v>0</v>
      </c>
      <c r="HA128" s="2055">
        <f t="shared" si="238"/>
        <v>0</v>
      </c>
      <c r="HB128" s="2055"/>
      <c r="HC128" s="2046">
        <f t="shared" si="239"/>
        <v>0</v>
      </c>
      <c r="HD128" s="2055">
        <f t="shared" si="240"/>
        <v>0</v>
      </c>
      <c r="HE128" s="2055">
        <f t="shared" si="241"/>
        <v>0</v>
      </c>
      <c r="HF128" s="2055">
        <f t="shared" si="242"/>
        <v>0</v>
      </c>
      <c r="HG128" s="2282" cm="1">
        <f t="array" ref="HG128">IF(AND(HE128=0,GJ128=0),0,IF(HE128=0,1,IF(OR(GJ128*1000/HE128/HF128&gt;INDEX(Pflanzen!$AD$122:$AD$160,CX128)/INDEX(Pflanzen!$M$122:$M$160,CX128)*$HG$1,GJ128*1000/HE128/HF128&lt;INDEX(Pflanzen!$AD$122:$AD$160,CX128)/INDEX(Pflanzen!$M$122:$M$160,CX128)/$HG$1),1,0)))</f>
        <v>0</v>
      </c>
      <c r="HH128" s="2287" cm="1">
        <f t="array" ref="HH128">IF(AND(GK128=0,HE128=0),0,IF(HE128=0,1,IF(OR(GK128*1000/HE128/HF128&gt;INDEX(Pflanzen!$AE$122:$AE$160,CX128)/INDEX(Pflanzen!$M$122:$M$160,CX128)*$HG$2,GK128*1000/HE128/HF128&lt;INDEX(Pflanzen!$AE$122:$AE$160,CX128)/INDEX(Pflanzen!$M$122:$M$160,CX128)/$HG$2),1,0)))</f>
        <v>0</v>
      </c>
      <c r="HI128" s="2042">
        <f t="shared" si="243"/>
        <v>3</v>
      </c>
      <c r="HJ128" s="2042"/>
      <c r="HL128" s="2042"/>
      <c r="HM128" s="2042"/>
      <c r="HN128" s="2042"/>
      <c r="HO128" s="2042"/>
      <c r="HP128" s="2042"/>
      <c r="HQ128" s="2042"/>
      <c r="HR128" s="2042"/>
      <c r="HS128" s="2042"/>
      <c r="HT128" s="2042"/>
      <c r="HU128" s="2042"/>
      <c r="HV128" s="2042"/>
      <c r="HW128" s="2042"/>
      <c r="HX128" s="2042"/>
      <c r="HY128" s="2042"/>
      <c r="HZ128" s="2042"/>
      <c r="IA128" s="2042"/>
      <c r="IB128" s="2042"/>
      <c r="IC128" s="2042"/>
      <c r="ID128" s="2042"/>
      <c r="IE128" s="2042"/>
      <c r="IF128" s="2042"/>
      <c r="IG128" s="2042"/>
      <c r="IH128" s="2042"/>
      <c r="II128" s="2042"/>
      <c r="IJ128" s="2042"/>
    </row>
    <row r="129" spans="25:244" ht="15.75" customHeight="1" x14ac:dyDescent="0.2">
      <c r="Y129" s="2005" t="str" cm="1">
        <f t="array" ref="Y129">IFERROR(INDEX($CW$4:$CW$171,AY129),"")</f>
        <v/>
      </c>
      <c r="Z129" s="510"/>
      <c r="AA129" s="510"/>
      <c r="AB129" s="510"/>
      <c r="AC129" s="2031" t="str" cm="1">
        <f t="array" ref="AC129">IFERROR(INDEX($GL$4:$GL$171,AY129),"")</f>
        <v/>
      </c>
      <c r="AD129" s="2031" t="str" cm="1">
        <f t="array" ref="AD129">IFERROR(INDEX($GM$4:$GM$171,AY129),"")</f>
        <v/>
      </c>
      <c r="AE129" s="2031" t="str" cm="1">
        <f t="array" ref="AE129">IFERROR(INDEX($GH$4:$GH$171,AY129),"")</f>
        <v/>
      </c>
      <c r="AF129" s="2031" t="str" cm="1">
        <f t="array" ref="AF129">IFERROR(INDEX($GI$4:$GI$171,AY129),"")</f>
        <v/>
      </c>
      <c r="AG129" s="2031" t="str" cm="1">
        <f t="array" ref="AG129">IFERROR(INDEX($GO$4:$GO$171,AY129),"")</f>
        <v/>
      </c>
      <c r="AH129" s="2031" t="str" cm="1">
        <f t="array" ref="AH129">IFERROR(INDEX($GP$4:$GP$171,AY129),"")</f>
        <v/>
      </c>
      <c r="AI129" s="2031" t="str" cm="1">
        <f t="array" ref="AI129">IFERROR(INDEX($GF$4:$GF$171,AY129),"")</f>
        <v/>
      </c>
      <c r="AJ129" s="2031" t="str" cm="1">
        <f t="array" ref="AJ129">IFERROR(INDEX($GG$4:$GG$171,AY129),"")</f>
        <v/>
      </c>
      <c r="AK129" s="2031" t="str" cm="1">
        <f t="array" ref="AK129">IFERROR(INDEX($GS$4:$GS$171,AY129),"")</f>
        <v/>
      </c>
      <c r="AL129" s="2032" t="str" cm="1">
        <f t="array" ref="AL129">IFERROR(INDEX($GT$4:$GT$171,AY129),"")</f>
        <v/>
      </c>
      <c r="AM129" s="2031" t="str" cm="1">
        <f t="array" ref="AM129">IFERROR(INDEX($GB$4:$GB$171,AY129),"")</f>
        <v/>
      </c>
      <c r="AN129" s="2031" t="str" cm="1">
        <f t="array" ref="AN129">IFERROR(INDEX($GC$4:$GC$171,AY129),"")</f>
        <v/>
      </c>
      <c r="AO129" s="1310" t="str" cm="1">
        <f t="array" ref="AO129">IFERROR(INDEX($GU$4:$GU$171,AY129),"")</f>
        <v/>
      </c>
      <c r="AP129" s="1310" t="str" cm="1">
        <f t="array" ref="AP129">IFERROR(INDEX($GX$4:$GX$171,AY129),"")</f>
        <v/>
      </c>
      <c r="AQ129" s="1316"/>
      <c r="AR129" s="2031" t="str" cm="1">
        <f t="array" ref="AR129">IFERROR(INDEX($HD$4:$HD$171,AY129),"")</f>
        <v/>
      </c>
      <c r="AS129" s="2031" t="str" cm="1">
        <f t="array" ref="AS129">IFERROR(INDEX($HE$4:$HE$171,AY129),"")</f>
        <v/>
      </c>
      <c r="AT129" s="2031" t="str" cm="1">
        <f t="array" ref="AT129">IFERROR(INDEX($HF$4:$HF$171,AY129),"")</f>
        <v/>
      </c>
      <c r="AU129" s="2031" t="str" cm="1">
        <f t="array" ref="AU129">IFERROR(INDEX($GJ$4:$GJ$171,AY129),"")</f>
        <v/>
      </c>
      <c r="AV129" s="2031" t="str" cm="1">
        <f t="array" ref="AV129">IFERROR(INDEX($GK$4:$GK$171,AY129),"")</f>
        <v/>
      </c>
      <c r="AY129" s="2042" t="str" cm="1">
        <f t="array" ref="AY129">IFERROR(SMALL(IF($HI$4:$HI$171=1,ROW($HI$4:$HI$171)-3),ROW(W114)),IFERROR(SMALL(IF($HI$4:$HI$171=2,ROW($HI$4:$HI$171)-3),ROW(W114)-COUNTIF($HI$4:$HI$171,1)),IFERROR(SMALL(IF($HI$4:$HI$171=0,ROW($HI$4:$HI$171)-3),ROW(W114)-COUNTIF($HI$4:$HI$171,1)-COUNTIF($HI$4:$HI$171,2)),"")))</f>
        <v/>
      </c>
      <c r="AZ129" s="2042" t="str">
        <f t="shared" si="215"/>
        <v>a</v>
      </c>
      <c r="BA129" s="2053" t="e">
        <f t="shared" si="226"/>
        <v>#VALUE!</v>
      </c>
      <c r="BB129" s="2053" cm="1">
        <f t="array" ref="BB129">IFERROR(INDEX($HI$4:$HI$171,AY129),0)</f>
        <v>0</v>
      </c>
      <c r="BC129" s="2053">
        <f t="shared" si="227"/>
        <v>0</v>
      </c>
      <c r="BD129" s="2053"/>
      <c r="BE129" s="2307"/>
      <c r="BF129" s="2307"/>
      <c r="BG129" s="2307"/>
      <c r="BH129" s="2307"/>
      <c r="BI129" s="2307"/>
      <c r="BJ129" s="2307"/>
      <c r="BK129" s="2307"/>
      <c r="BL129" s="2307"/>
      <c r="BM129" s="2307"/>
      <c r="BN129" s="2307"/>
      <c r="BO129" s="2307"/>
      <c r="BP129" s="2043"/>
      <c r="BQ129" s="2042"/>
      <c r="BR129" s="2042"/>
      <c r="BS129" s="2042"/>
      <c r="BT129" s="2042"/>
      <c r="BU129" s="2059"/>
      <c r="BV129" s="2277"/>
      <c r="BW129" s="2277"/>
      <c r="BX129" s="2277"/>
      <c r="BY129" s="2277"/>
      <c r="BZ129" s="2277"/>
      <c r="CA129" s="2277"/>
      <c r="CB129" s="2277"/>
      <c r="CC129" s="2277"/>
      <c r="CD129" s="2277"/>
      <c r="CE129" s="2277"/>
      <c r="CF129" s="2277"/>
      <c r="CG129" s="2277"/>
      <c r="CH129" s="2277"/>
      <c r="CI129" s="2277"/>
      <c r="CJ129" s="2277"/>
      <c r="CK129" s="2277"/>
      <c r="CL129" s="2042"/>
      <c r="CM129" s="2042"/>
      <c r="CN129" s="2042"/>
      <c r="CO129" s="2042"/>
      <c r="CP129" s="2042"/>
      <c r="CQ129" s="2042"/>
      <c r="CR129" s="2042"/>
      <c r="CS129" s="2042"/>
      <c r="CT129" s="2042"/>
      <c r="CU129" s="2042"/>
      <c r="CV129" s="2042"/>
      <c r="CW129" s="2069" t="str">
        <f>Pflanzen!C130</f>
        <v>Haferschälkleie</v>
      </c>
      <c r="CX129" s="2042">
        <f>IFERROR(MATCH($CW129,Pflanzen!$C$122:$C$160,0),1)</f>
        <v>9</v>
      </c>
      <c r="CY129" s="2069">
        <f>Pflanzen!I130</f>
        <v>2</v>
      </c>
      <c r="CZ129" s="2042">
        <f t="shared" si="279"/>
        <v>0</v>
      </c>
      <c r="DA129" s="2042">
        <f t="shared" si="280"/>
        <v>0</v>
      </c>
      <c r="DB129" s="2042">
        <f t="shared" si="280"/>
        <v>0</v>
      </c>
      <c r="DC129" s="2042">
        <f t="shared" si="280"/>
        <v>0</v>
      </c>
      <c r="DD129" s="2042">
        <f t="shared" si="280"/>
        <v>0</v>
      </c>
      <c r="DE129" s="2042">
        <f t="shared" si="280"/>
        <v>0</v>
      </c>
      <c r="DF129" s="2042">
        <f t="shared" si="280"/>
        <v>0</v>
      </c>
      <c r="DG129" s="2042">
        <f t="shared" si="280"/>
        <v>0</v>
      </c>
      <c r="DH129" s="2042">
        <f t="shared" si="280"/>
        <v>0</v>
      </c>
      <c r="DI129" s="2042">
        <f t="shared" si="280"/>
        <v>0</v>
      </c>
      <c r="DJ129" s="2042">
        <f t="shared" si="280"/>
        <v>0</v>
      </c>
      <c r="DK129" s="2042">
        <f t="shared" si="280"/>
        <v>0</v>
      </c>
      <c r="DL129" s="2042"/>
      <c r="DM129" s="2042">
        <f t="shared" si="281"/>
        <v>0</v>
      </c>
      <c r="DN129" s="2042">
        <f t="shared" si="282"/>
        <v>0</v>
      </c>
      <c r="DO129" s="2042">
        <f t="shared" si="282"/>
        <v>0</v>
      </c>
      <c r="DP129" s="2042">
        <f t="shared" si="282"/>
        <v>0</v>
      </c>
      <c r="DQ129" s="2042">
        <f t="shared" si="282"/>
        <v>0</v>
      </c>
      <c r="DR129" s="2042">
        <f t="shared" si="282"/>
        <v>0</v>
      </c>
      <c r="DS129" s="2042">
        <f t="shared" si="282"/>
        <v>0</v>
      </c>
      <c r="DT129" s="2042">
        <f t="shared" si="282"/>
        <v>0</v>
      </c>
      <c r="DU129" s="2042">
        <f t="shared" si="282"/>
        <v>0</v>
      </c>
      <c r="DV129" s="2042">
        <f t="shared" si="282"/>
        <v>0</v>
      </c>
      <c r="DW129" s="2042">
        <f t="shared" si="282"/>
        <v>0</v>
      </c>
      <c r="DX129" s="2042">
        <f t="shared" si="282"/>
        <v>0</v>
      </c>
      <c r="DY129" s="2042"/>
      <c r="DZ129" s="2042"/>
      <c r="EA129" s="2042"/>
      <c r="EB129" s="2042"/>
      <c r="EC129" s="2042"/>
      <c r="ED129" s="2042"/>
      <c r="EE129" s="2042"/>
      <c r="EF129" s="2042"/>
      <c r="EG129" s="2042"/>
      <c r="EH129" s="2042"/>
      <c r="EI129" s="2042"/>
      <c r="EJ129" s="2042"/>
      <c r="EK129" s="2042"/>
      <c r="EL129" s="2042"/>
      <c r="EM129" s="2042"/>
      <c r="EN129" s="2042"/>
      <c r="EO129" s="2042"/>
      <c r="EP129" s="2042"/>
      <c r="EQ129" s="2042"/>
      <c r="ER129" s="2042"/>
      <c r="ES129" s="2042"/>
      <c r="ET129" s="2042"/>
      <c r="EU129" s="2042"/>
      <c r="EV129" s="2042"/>
      <c r="EW129" s="2042"/>
      <c r="EX129" s="2042"/>
      <c r="EY129" s="2042"/>
      <c r="EZ129" s="2045">
        <f t="shared" si="283"/>
        <v>0</v>
      </c>
      <c r="FA129" s="2216">
        <f t="shared" si="250"/>
        <v>0</v>
      </c>
      <c r="FB129" s="2216">
        <f t="shared" si="251"/>
        <v>0</v>
      </c>
      <c r="FC129" s="2216">
        <f t="shared" si="252"/>
        <v>0</v>
      </c>
      <c r="FD129" s="2216">
        <f t="shared" si="253"/>
        <v>0</v>
      </c>
      <c r="FE129" s="2216">
        <f t="shared" si="254"/>
        <v>0</v>
      </c>
      <c r="FF129" s="2216">
        <f t="shared" si="255"/>
        <v>0</v>
      </c>
      <c r="FG129" s="2216">
        <f t="shared" si="256"/>
        <v>0</v>
      </c>
      <c r="FH129" s="2216">
        <f t="shared" si="257"/>
        <v>0</v>
      </c>
      <c r="FI129" s="2216">
        <f t="shared" si="258"/>
        <v>0</v>
      </c>
      <c r="FJ129" s="2216">
        <f t="shared" si="259"/>
        <v>0</v>
      </c>
      <c r="FK129" s="2216">
        <f t="shared" si="260"/>
        <v>0</v>
      </c>
      <c r="FL129" s="2216">
        <f t="shared" si="261"/>
        <v>0</v>
      </c>
      <c r="FM129" s="2042"/>
      <c r="FN129" s="2045">
        <f t="shared" si="284"/>
        <v>0</v>
      </c>
      <c r="FO129" s="2216">
        <f t="shared" si="262"/>
        <v>0</v>
      </c>
      <c r="FP129" s="2216">
        <f t="shared" si="263"/>
        <v>0</v>
      </c>
      <c r="FQ129" s="2216">
        <f t="shared" si="264"/>
        <v>0</v>
      </c>
      <c r="FR129" s="2216">
        <f t="shared" si="265"/>
        <v>0</v>
      </c>
      <c r="FS129" s="2216">
        <f t="shared" si="266"/>
        <v>0</v>
      </c>
      <c r="FT129" s="2216">
        <f t="shared" si="267"/>
        <v>0</v>
      </c>
      <c r="FU129" s="2216">
        <f t="shared" si="268"/>
        <v>0</v>
      </c>
      <c r="FV129" s="2216">
        <f t="shared" si="269"/>
        <v>0</v>
      </c>
      <c r="FW129" s="2216">
        <f t="shared" si="270"/>
        <v>0</v>
      </c>
      <c r="FX129" s="2216">
        <f t="shared" si="271"/>
        <v>0</v>
      </c>
      <c r="FY129" s="2216">
        <f t="shared" si="272"/>
        <v>0</v>
      </c>
      <c r="FZ129" s="2216">
        <f t="shared" si="273"/>
        <v>0</v>
      </c>
      <c r="GA129" s="2042"/>
      <c r="GB129" s="2042">
        <f t="shared" si="285"/>
        <v>0</v>
      </c>
      <c r="GC129" s="2042">
        <f t="shared" si="286"/>
        <v>0</v>
      </c>
      <c r="GD129" s="2042"/>
      <c r="GE129" s="2042"/>
      <c r="GF129" s="2042"/>
      <c r="GG129" s="2042"/>
      <c r="GH129" s="2042">
        <f t="shared" si="287"/>
        <v>0</v>
      </c>
      <c r="GI129" s="2042">
        <f t="shared" si="288"/>
        <v>0</v>
      </c>
      <c r="GJ129" s="2042">
        <f t="shared" si="232"/>
        <v>0</v>
      </c>
      <c r="GK129" s="2042">
        <f t="shared" si="233"/>
        <v>0</v>
      </c>
      <c r="GL129" s="2042">
        <f t="shared" si="274"/>
        <v>0</v>
      </c>
      <c r="GM129" s="2042" cm="1">
        <f t="array" ref="GM129">IF(GL129=0,0,(SUMPRODUCT($J$75:$J$79,$CH$75:$CH$79,($BR$75:$BR$79=CX129)*1)+SUMPRODUCT($R$75:$R$79,$CP$75:$CP$79,($BR$75:$BR$79=CX129)*1))/GL129)</f>
        <v>0</v>
      </c>
      <c r="GN129" s="2042">
        <f t="shared" si="275"/>
        <v>0</v>
      </c>
      <c r="GO129" s="2042"/>
      <c r="GP129" s="2042"/>
      <c r="GQ129" s="2042">
        <f t="shared" si="276"/>
        <v>0</v>
      </c>
      <c r="GR129" s="2042">
        <f t="shared" si="201"/>
        <v>0</v>
      </c>
      <c r="GS129" s="2042">
        <f t="shared" si="277"/>
        <v>0</v>
      </c>
      <c r="GT129" s="2042">
        <f t="shared" si="278"/>
        <v>0</v>
      </c>
      <c r="GU129" s="2045" t="str">
        <f t="shared" si="175"/>
        <v xml:space="preserve"> </v>
      </c>
      <c r="GV129" s="2045" t="str">
        <f t="shared" si="175"/>
        <v xml:space="preserve"> </v>
      </c>
      <c r="GW129" s="2054">
        <f t="shared" si="235"/>
        <v>0</v>
      </c>
      <c r="GX129" s="2042">
        <f t="shared" si="236"/>
        <v>0</v>
      </c>
      <c r="GY129" s="2042" t="str">
        <f t="shared" si="229"/>
        <v>a</v>
      </c>
      <c r="GZ129" s="2055">
        <f t="shared" si="237"/>
        <v>0</v>
      </c>
      <c r="HA129" s="2055">
        <f t="shared" si="238"/>
        <v>0</v>
      </c>
      <c r="HB129" s="2055"/>
      <c r="HC129" s="2046">
        <f t="shared" si="239"/>
        <v>0</v>
      </c>
      <c r="HD129" s="2055">
        <f t="shared" si="240"/>
        <v>0</v>
      </c>
      <c r="HE129" s="2055">
        <f t="shared" si="241"/>
        <v>0</v>
      </c>
      <c r="HF129" s="2055">
        <f t="shared" si="242"/>
        <v>0</v>
      </c>
      <c r="HG129" s="2282" cm="1">
        <f t="array" ref="HG129">IF(AND(HE129=0,GJ129=0),0,IF(HE129=0,1,IF(OR(GJ129*1000/HE129/HF129&gt;INDEX(Pflanzen!$AD$122:$AD$160,CX129)/INDEX(Pflanzen!$M$122:$M$160,CX129)*$HG$1,GJ129*1000/HE129/HF129&lt;INDEX(Pflanzen!$AD$122:$AD$160,CX129)/INDEX(Pflanzen!$M$122:$M$160,CX129)/$HG$1),1,0)))</f>
        <v>0</v>
      </c>
      <c r="HH129" s="2287" cm="1">
        <f t="array" ref="HH129">IF(AND(GK129=0,HE129=0),0,IF(HE129=0,1,IF(OR(GK129*1000/HE129/HF129&gt;INDEX(Pflanzen!$AE$122:$AE$160,CX129)/INDEX(Pflanzen!$M$122:$M$160,CX129)*$HG$2,GK129*1000/HE129/HF129&lt;INDEX(Pflanzen!$AE$122:$AE$160,CX129)/INDEX(Pflanzen!$M$122:$M$160,CX129)/$HG$2),1,0)))</f>
        <v>0</v>
      </c>
      <c r="HI129" s="2042">
        <f t="shared" si="243"/>
        <v>3</v>
      </c>
      <c r="HJ129" s="2042"/>
      <c r="HL129" s="2042"/>
      <c r="HM129" s="2042"/>
      <c r="HN129" s="2042"/>
      <c r="HO129" s="2042"/>
      <c r="HP129" s="2042"/>
      <c r="HQ129" s="2042"/>
      <c r="HR129" s="2042"/>
      <c r="HS129" s="2042"/>
      <c r="HT129" s="2042"/>
      <c r="HU129" s="2042"/>
      <c r="HV129" s="2042"/>
      <c r="HW129" s="2042"/>
      <c r="HX129" s="2042"/>
      <c r="HY129" s="2042"/>
      <c r="HZ129" s="2042"/>
      <c r="IA129" s="2042"/>
      <c r="IB129" s="2042"/>
      <c r="IC129" s="2042"/>
      <c r="ID129" s="2042"/>
      <c r="IE129" s="2042"/>
      <c r="IF129" s="2042"/>
      <c r="IG129" s="2042"/>
      <c r="IH129" s="2042"/>
      <c r="II129" s="2042"/>
      <c r="IJ129" s="2042"/>
    </row>
    <row r="130" spans="25:244" ht="15.75" customHeight="1" x14ac:dyDescent="0.2">
      <c r="Y130" s="2005" t="str" cm="1">
        <f t="array" ref="Y130">IFERROR(INDEX($CW$4:$CW$171,AY130),"")</f>
        <v/>
      </c>
      <c r="Z130" s="510"/>
      <c r="AA130" s="510"/>
      <c r="AB130" s="510"/>
      <c r="AC130" s="2031" t="str" cm="1">
        <f t="array" ref="AC130">IFERROR(INDEX($GL$4:$GL$171,AY130),"")</f>
        <v/>
      </c>
      <c r="AD130" s="2031" t="str" cm="1">
        <f t="array" ref="AD130">IFERROR(INDEX($GM$4:$GM$171,AY130),"")</f>
        <v/>
      </c>
      <c r="AE130" s="2031" t="str" cm="1">
        <f t="array" ref="AE130">IFERROR(INDEX($GH$4:$GH$171,AY130),"")</f>
        <v/>
      </c>
      <c r="AF130" s="2031" t="str" cm="1">
        <f t="array" ref="AF130">IFERROR(INDEX($GI$4:$GI$171,AY130),"")</f>
        <v/>
      </c>
      <c r="AG130" s="2031" t="str" cm="1">
        <f t="array" ref="AG130">IFERROR(INDEX($GO$4:$GO$171,AY130),"")</f>
        <v/>
      </c>
      <c r="AH130" s="2031" t="str" cm="1">
        <f t="array" ref="AH130">IFERROR(INDEX($GP$4:$GP$171,AY130),"")</f>
        <v/>
      </c>
      <c r="AI130" s="2031" t="str" cm="1">
        <f t="array" ref="AI130">IFERROR(INDEX($GF$4:$GF$171,AY130),"")</f>
        <v/>
      </c>
      <c r="AJ130" s="2031" t="str" cm="1">
        <f t="array" ref="AJ130">IFERROR(INDEX($GG$4:$GG$171,AY130),"")</f>
        <v/>
      </c>
      <c r="AK130" s="2031" t="str" cm="1">
        <f t="array" ref="AK130">IFERROR(INDEX($GS$4:$GS$171,AY130),"")</f>
        <v/>
      </c>
      <c r="AL130" s="2032" t="str" cm="1">
        <f t="array" ref="AL130">IFERROR(INDEX($GT$4:$GT$171,AY130),"")</f>
        <v/>
      </c>
      <c r="AM130" s="2031" t="str" cm="1">
        <f t="array" ref="AM130">IFERROR(INDEX($GB$4:$GB$171,AY130),"")</f>
        <v/>
      </c>
      <c r="AN130" s="2031" t="str" cm="1">
        <f t="array" ref="AN130">IFERROR(INDEX($GC$4:$GC$171,AY130),"")</f>
        <v/>
      </c>
      <c r="AO130" s="1310" t="str" cm="1">
        <f t="array" ref="AO130">IFERROR(INDEX($GU$4:$GU$171,AY130),"")</f>
        <v/>
      </c>
      <c r="AP130" s="1310" t="str" cm="1">
        <f t="array" ref="AP130">IFERROR(INDEX($GX$4:$GX$171,AY130),"")</f>
        <v/>
      </c>
      <c r="AQ130" s="1316"/>
      <c r="AR130" s="2031" t="str" cm="1">
        <f t="array" ref="AR130">IFERROR(INDEX($HD$4:$HD$171,AY130),"")</f>
        <v/>
      </c>
      <c r="AS130" s="2031" t="str" cm="1">
        <f t="array" ref="AS130">IFERROR(INDEX($HE$4:$HE$171,AY130),"")</f>
        <v/>
      </c>
      <c r="AT130" s="2031" t="str" cm="1">
        <f t="array" ref="AT130">IFERROR(INDEX($HF$4:$HF$171,AY130),"")</f>
        <v/>
      </c>
      <c r="AU130" s="2031" t="str" cm="1">
        <f t="array" ref="AU130">IFERROR(INDEX($GJ$4:$GJ$171,AY130),"")</f>
        <v/>
      </c>
      <c r="AV130" s="2031" t="str" cm="1">
        <f t="array" ref="AV130">IFERROR(INDEX($GK$4:$GK$171,AY130),"")</f>
        <v/>
      </c>
      <c r="AY130" s="2042" t="str" cm="1">
        <f t="array" ref="AY130">IFERROR(SMALL(IF($HI$4:$HI$171=1,ROW($HI$4:$HI$171)-3),ROW(W115)),IFERROR(SMALL(IF($HI$4:$HI$171=2,ROW($HI$4:$HI$171)-3),ROW(W115)-COUNTIF($HI$4:$HI$171,1)),IFERROR(SMALL(IF($HI$4:$HI$171=0,ROW($HI$4:$HI$171)-3),ROW(W115)-COUNTIF($HI$4:$HI$171,1)-COUNTIF($HI$4:$HI$171,2)),"")))</f>
        <v/>
      </c>
      <c r="AZ130" s="2042" t="str">
        <f t="shared" si="215"/>
        <v>a</v>
      </c>
      <c r="BA130" s="2053" t="e">
        <f t="shared" si="226"/>
        <v>#VALUE!</v>
      </c>
      <c r="BB130" s="2053" cm="1">
        <f t="array" ref="BB130">IFERROR(INDEX($HI$4:$HI$171,AY130),0)</f>
        <v>0</v>
      </c>
      <c r="BC130" s="2053">
        <f t="shared" si="227"/>
        <v>0</v>
      </c>
      <c r="BD130" s="2053"/>
      <c r="BE130" s="2307"/>
      <c r="BF130" s="2307"/>
      <c r="BG130" s="2307"/>
      <c r="BH130" s="2307"/>
      <c r="BI130" s="2307"/>
      <c r="BJ130" s="2307"/>
      <c r="BK130" s="2307"/>
      <c r="BL130" s="2307"/>
      <c r="BM130" s="2307"/>
      <c r="BN130" s="2307"/>
      <c r="BO130" s="2307"/>
      <c r="BP130" s="2043"/>
      <c r="BQ130" s="2042"/>
      <c r="BR130" s="2042"/>
      <c r="BS130" s="2042"/>
      <c r="BT130" s="2042"/>
      <c r="BU130" s="2059"/>
      <c r="BV130" s="2277"/>
      <c r="BW130" s="2277"/>
      <c r="BX130" s="2277"/>
      <c r="BY130" s="2277"/>
      <c r="BZ130" s="2277"/>
      <c r="CA130" s="2277"/>
      <c r="CB130" s="2277"/>
      <c r="CC130" s="2277"/>
      <c r="CD130" s="2277"/>
      <c r="CE130" s="2277"/>
      <c r="CF130" s="2277"/>
      <c r="CG130" s="2277"/>
      <c r="CH130" s="2277"/>
      <c r="CI130" s="2277"/>
      <c r="CJ130" s="2277"/>
      <c r="CK130" s="2277"/>
      <c r="CL130" s="2042"/>
      <c r="CM130" s="2059"/>
      <c r="CN130" s="2059"/>
      <c r="CO130" s="2059"/>
      <c r="CP130" s="2070"/>
      <c r="CQ130" s="2070"/>
      <c r="CR130" s="2070"/>
      <c r="CS130" s="2070"/>
      <c r="CT130" s="2070"/>
      <c r="CU130" s="2070"/>
      <c r="CV130" s="2042"/>
      <c r="CW130" s="2069" t="str">
        <f>Pflanzen!C131</f>
        <v>Kartoffeleiweiß</v>
      </c>
      <c r="CX130" s="2042">
        <f>IFERROR(MATCH($CW130,Pflanzen!$C$122:$C$160,0),1)</f>
        <v>10</v>
      </c>
      <c r="CY130" s="2069">
        <f>Pflanzen!I131</f>
        <v>2</v>
      </c>
      <c r="CZ130" s="2042">
        <f t="shared" si="279"/>
        <v>0</v>
      </c>
      <c r="DA130" s="2042">
        <f t="shared" si="280"/>
        <v>0</v>
      </c>
      <c r="DB130" s="2042">
        <f t="shared" si="280"/>
        <v>0</v>
      </c>
      <c r="DC130" s="2042">
        <f t="shared" si="280"/>
        <v>0</v>
      </c>
      <c r="DD130" s="2042">
        <f t="shared" si="280"/>
        <v>0</v>
      </c>
      <c r="DE130" s="2042">
        <f t="shared" si="280"/>
        <v>0</v>
      </c>
      <c r="DF130" s="2042">
        <f t="shared" si="280"/>
        <v>0</v>
      </c>
      <c r="DG130" s="2042">
        <f t="shared" si="280"/>
        <v>0</v>
      </c>
      <c r="DH130" s="2042">
        <f t="shared" si="280"/>
        <v>0</v>
      </c>
      <c r="DI130" s="2042">
        <f t="shared" si="280"/>
        <v>0</v>
      </c>
      <c r="DJ130" s="2042">
        <f t="shared" si="280"/>
        <v>0</v>
      </c>
      <c r="DK130" s="2042">
        <f t="shared" si="280"/>
        <v>0</v>
      </c>
      <c r="DL130" s="2042"/>
      <c r="DM130" s="2042">
        <f t="shared" si="281"/>
        <v>0</v>
      </c>
      <c r="DN130" s="2042">
        <f t="shared" si="282"/>
        <v>0</v>
      </c>
      <c r="DO130" s="2042">
        <f t="shared" si="282"/>
        <v>0</v>
      </c>
      <c r="DP130" s="2042">
        <f t="shared" si="282"/>
        <v>0</v>
      </c>
      <c r="DQ130" s="2042">
        <f t="shared" si="282"/>
        <v>0</v>
      </c>
      <c r="DR130" s="2042">
        <f t="shared" si="282"/>
        <v>0</v>
      </c>
      <c r="DS130" s="2042">
        <f t="shared" si="282"/>
        <v>0</v>
      </c>
      <c r="DT130" s="2042">
        <f t="shared" si="282"/>
        <v>0</v>
      </c>
      <c r="DU130" s="2042">
        <f t="shared" si="282"/>
        <v>0</v>
      </c>
      <c r="DV130" s="2042">
        <f t="shared" si="282"/>
        <v>0</v>
      </c>
      <c r="DW130" s="2042">
        <f t="shared" si="282"/>
        <v>0</v>
      </c>
      <c r="DX130" s="2042">
        <f t="shared" si="282"/>
        <v>0</v>
      </c>
      <c r="DY130" s="2042"/>
      <c r="DZ130" s="2042"/>
      <c r="EA130" s="2042"/>
      <c r="EB130" s="2042"/>
      <c r="EC130" s="2042"/>
      <c r="ED130" s="2042"/>
      <c r="EE130" s="2042"/>
      <c r="EF130" s="2042"/>
      <c r="EG130" s="2042"/>
      <c r="EH130" s="2042"/>
      <c r="EI130" s="2042"/>
      <c r="EJ130" s="2042"/>
      <c r="EK130" s="2042"/>
      <c r="EL130" s="2042"/>
      <c r="EM130" s="2042"/>
      <c r="EN130" s="2042"/>
      <c r="EO130" s="2042"/>
      <c r="EP130" s="2042"/>
      <c r="EQ130" s="2042"/>
      <c r="ER130" s="2042"/>
      <c r="ES130" s="2042"/>
      <c r="ET130" s="2042"/>
      <c r="EU130" s="2042"/>
      <c r="EV130" s="2042"/>
      <c r="EW130" s="2042"/>
      <c r="EX130" s="2042"/>
      <c r="EY130" s="2042"/>
      <c r="EZ130" s="2045">
        <f t="shared" si="283"/>
        <v>0</v>
      </c>
      <c r="FA130" s="2216">
        <f t="shared" si="250"/>
        <v>0</v>
      </c>
      <c r="FB130" s="2216">
        <f t="shared" si="251"/>
        <v>0</v>
      </c>
      <c r="FC130" s="2216">
        <f t="shared" si="252"/>
        <v>0</v>
      </c>
      <c r="FD130" s="2216">
        <f t="shared" si="253"/>
        <v>0</v>
      </c>
      <c r="FE130" s="2216">
        <f t="shared" si="254"/>
        <v>0</v>
      </c>
      <c r="FF130" s="2216">
        <f t="shared" si="255"/>
        <v>0</v>
      </c>
      <c r="FG130" s="2216">
        <f t="shared" si="256"/>
        <v>0</v>
      </c>
      <c r="FH130" s="2216">
        <f t="shared" si="257"/>
        <v>0</v>
      </c>
      <c r="FI130" s="2216">
        <f t="shared" si="258"/>
        <v>0</v>
      </c>
      <c r="FJ130" s="2216">
        <f t="shared" si="259"/>
        <v>0</v>
      </c>
      <c r="FK130" s="2216">
        <f t="shared" si="260"/>
        <v>0</v>
      </c>
      <c r="FL130" s="2216">
        <f t="shared" si="261"/>
        <v>0</v>
      </c>
      <c r="FM130" s="2042"/>
      <c r="FN130" s="2045">
        <f t="shared" si="284"/>
        <v>0</v>
      </c>
      <c r="FO130" s="2216">
        <f t="shared" si="262"/>
        <v>0</v>
      </c>
      <c r="FP130" s="2216">
        <f t="shared" si="263"/>
        <v>0</v>
      </c>
      <c r="FQ130" s="2216">
        <f t="shared" si="264"/>
        <v>0</v>
      </c>
      <c r="FR130" s="2216">
        <f t="shared" si="265"/>
        <v>0</v>
      </c>
      <c r="FS130" s="2216">
        <f t="shared" si="266"/>
        <v>0</v>
      </c>
      <c r="FT130" s="2216">
        <f t="shared" si="267"/>
        <v>0</v>
      </c>
      <c r="FU130" s="2216">
        <f t="shared" si="268"/>
        <v>0</v>
      </c>
      <c r="FV130" s="2216">
        <f t="shared" si="269"/>
        <v>0</v>
      </c>
      <c r="FW130" s="2216">
        <f t="shared" si="270"/>
        <v>0</v>
      </c>
      <c r="FX130" s="2216">
        <f t="shared" si="271"/>
        <v>0</v>
      </c>
      <c r="FY130" s="2216">
        <f t="shared" si="272"/>
        <v>0</v>
      </c>
      <c r="FZ130" s="2216">
        <f t="shared" si="273"/>
        <v>0</v>
      </c>
      <c r="GA130" s="2042"/>
      <c r="GB130" s="2042">
        <f t="shared" si="285"/>
        <v>0</v>
      </c>
      <c r="GC130" s="2042">
        <f t="shared" si="286"/>
        <v>0</v>
      </c>
      <c r="GD130" s="2042"/>
      <c r="GE130" s="2042"/>
      <c r="GF130" s="2042"/>
      <c r="GG130" s="2042"/>
      <c r="GH130" s="2042">
        <f t="shared" si="287"/>
        <v>0</v>
      </c>
      <c r="GI130" s="2042">
        <f t="shared" si="288"/>
        <v>0</v>
      </c>
      <c r="GJ130" s="2042">
        <f t="shared" si="232"/>
        <v>0</v>
      </c>
      <c r="GK130" s="2042">
        <f t="shared" si="233"/>
        <v>0</v>
      </c>
      <c r="GL130" s="2042">
        <f t="shared" si="274"/>
        <v>0</v>
      </c>
      <c r="GM130" s="2042" cm="1">
        <f t="array" ref="GM130">IF(GL130=0,0,(SUMPRODUCT($J$75:$J$79,$CH$75:$CH$79,($BR$75:$BR$79=CX130)*1)+SUMPRODUCT($R$75:$R$79,$CP$75:$CP$79,($BR$75:$BR$79=CX130)*1))/GL130)</f>
        <v>0</v>
      </c>
      <c r="GN130" s="2042">
        <f t="shared" si="275"/>
        <v>0</v>
      </c>
      <c r="GO130" s="2042"/>
      <c r="GP130" s="2042"/>
      <c r="GQ130" s="2042">
        <f t="shared" si="276"/>
        <v>0</v>
      </c>
      <c r="GR130" s="2042">
        <f t="shared" si="201"/>
        <v>0</v>
      </c>
      <c r="GS130" s="2042">
        <f t="shared" si="277"/>
        <v>0</v>
      </c>
      <c r="GT130" s="2042">
        <f t="shared" si="278"/>
        <v>0</v>
      </c>
      <c r="GU130" s="2045" t="str">
        <f t="shared" si="175"/>
        <v xml:space="preserve"> </v>
      </c>
      <c r="GV130" s="2045" t="str">
        <f t="shared" si="175"/>
        <v xml:space="preserve"> </v>
      </c>
      <c r="GW130" s="2054">
        <f t="shared" si="235"/>
        <v>0</v>
      </c>
      <c r="GX130" s="2042">
        <f t="shared" si="236"/>
        <v>0</v>
      </c>
      <c r="GY130" s="2042" t="str">
        <f t="shared" si="229"/>
        <v>a</v>
      </c>
      <c r="GZ130" s="2055">
        <f t="shared" si="237"/>
        <v>0</v>
      </c>
      <c r="HA130" s="2055">
        <f t="shared" si="238"/>
        <v>0</v>
      </c>
      <c r="HB130" s="2055"/>
      <c r="HC130" s="2046">
        <f t="shared" si="239"/>
        <v>0</v>
      </c>
      <c r="HD130" s="2055">
        <f t="shared" si="240"/>
        <v>0</v>
      </c>
      <c r="HE130" s="2055">
        <f t="shared" si="241"/>
        <v>0</v>
      </c>
      <c r="HF130" s="2055">
        <f t="shared" si="242"/>
        <v>0</v>
      </c>
      <c r="HG130" s="2282" cm="1">
        <f t="array" ref="HG130">IF(AND(HE130=0,GJ130=0),0,IF(HE130=0,1,IF(OR(GJ130*1000/HE130/HF130&gt;INDEX(Pflanzen!$AD$122:$AD$160,CX130)/INDEX(Pflanzen!$M$122:$M$160,CX130)*$HG$1,GJ130*1000/HE130/HF130&lt;INDEX(Pflanzen!$AD$122:$AD$160,CX130)/INDEX(Pflanzen!$M$122:$M$160,CX130)/$HG$1),1,0)))</f>
        <v>0</v>
      </c>
      <c r="HH130" s="2287" cm="1">
        <f t="array" ref="HH130">IF(AND(GK130=0,HE130=0),0,IF(HE130=0,1,IF(OR(GK130*1000/HE130/HF130&gt;INDEX(Pflanzen!$AE$122:$AE$160,CX130)/INDEX(Pflanzen!$M$122:$M$160,CX130)*$HG$2,GK130*1000/HE130/HF130&lt;INDEX(Pflanzen!$AE$122:$AE$160,CX130)/INDEX(Pflanzen!$M$122:$M$160,CX130)/$HG$2),1,0)))</f>
        <v>0</v>
      </c>
      <c r="HI130" s="2042">
        <f t="shared" si="243"/>
        <v>3</v>
      </c>
      <c r="HJ130" s="2042"/>
      <c r="HL130" s="2042"/>
      <c r="HM130" s="2042"/>
      <c r="HN130" s="2042"/>
      <c r="HO130" s="2042"/>
      <c r="HP130" s="2042"/>
      <c r="HQ130" s="2042"/>
      <c r="HR130" s="2042"/>
      <c r="HS130" s="2042"/>
      <c r="HT130" s="2042"/>
      <c r="HU130" s="2042"/>
      <c r="HV130" s="2042"/>
      <c r="HW130" s="2042"/>
      <c r="HX130" s="2042"/>
      <c r="HY130" s="2042"/>
      <c r="HZ130" s="2042"/>
      <c r="IA130" s="2042"/>
      <c r="IB130" s="2042"/>
      <c r="IC130" s="2042"/>
      <c r="ID130" s="2042"/>
      <c r="IE130" s="2042"/>
      <c r="IF130" s="2042"/>
      <c r="IG130" s="2042"/>
      <c r="IH130" s="2042"/>
      <c r="II130" s="2042"/>
      <c r="IJ130" s="2042"/>
    </row>
    <row r="131" spans="25:244" ht="15.75" customHeight="1" x14ac:dyDescent="0.2">
      <c r="Y131" s="2005" t="str" cm="1">
        <f t="array" ref="Y131">IFERROR(INDEX($CW$4:$CW$171,AY131),"")</f>
        <v/>
      </c>
      <c r="Z131" s="510"/>
      <c r="AA131" s="510"/>
      <c r="AB131" s="510"/>
      <c r="AC131" s="2031" t="str" cm="1">
        <f t="array" ref="AC131">IFERROR(INDEX($GL$4:$GL$171,AY131),"")</f>
        <v/>
      </c>
      <c r="AD131" s="2031" t="str" cm="1">
        <f t="array" ref="AD131">IFERROR(INDEX($GM$4:$GM$171,AY131),"")</f>
        <v/>
      </c>
      <c r="AE131" s="2031" t="str" cm="1">
        <f t="array" ref="AE131">IFERROR(INDEX($GH$4:$GH$171,AY131),"")</f>
        <v/>
      </c>
      <c r="AF131" s="2031" t="str" cm="1">
        <f t="array" ref="AF131">IFERROR(INDEX($GI$4:$GI$171,AY131),"")</f>
        <v/>
      </c>
      <c r="AG131" s="2031" t="str" cm="1">
        <f t="array" ref="AG131">IFERROR(INDEX($GO$4:$GO$171,AY131),"")</f>
        <v/>
      </c>
      <c r="AH131" s="2031" t="str" cm="1">
        <f t="array" ref="AH131">IFERROR(INDEX($GP$4:$GP$171,AY131),"")</f>
        <v/>
      </c>
      <c r="AI131" s="2031" t="str" cm="1">
        <f t="array" ref="AI131">IFERROR(INDEX($GF$4:$GF$171,AY131),"")</f>
        <v/>
      </c>
      <c r="AJ131" s="2031" t="str" cm="1">
        <f t="array" ref="AJ131">IFERROR(INDEX($GG$4:$GG$171,AY131),"")</f>
        <v/>
      </c>
      <c r="AK131" s="2031" t="str" cm="1">
        <f t="array" ref="AK131">IFERROR(INDEX($GS$4:$GS$171,AY131),"")</f>
        <v/>
      </c>
      <c r="AL131" s="2032" t="str" cm="1">
        <f t="array" ref="AL131">IFERROR(INDEX($GT$4:$GT$171,AY131),"")</f>
        <v/>
      </c>
      <c r="AM131" s="2031" t="str" cm="1">
        <f t="array" ref="AM131">IFERROR(INDEX($GB$4:$GB$171,AY131),"")</f>
        <v/>
      </c>
      <c r="AN131" s="2031" t="str" cm="1">
        <f t="array" ref="AN131">IFERROR(INDEX($GC$4:$GC$171,AY131),"")</f>
        <v/>
      </c>
      <c r="AO131" s="1310" t="str" cm="1">
        <f t="array" ref="AO131">IFERROR(INDEX($GU$4:$GU$171,AY131),"")</f>
        <v/>
      </c>
      <c r="AP131" s="1310" t="str" cm="1">
        <f t="array" ref="AP131">IFERROR(INDEX($GX$4:$GX$171,AY131),"")</f>
        <v/>
      </c>
      <c r="AQ131" s="1316"/>
      <c r="AR131" s="2031" t="str" cm="1">
        <f t="array" ref="AR131">IFERROR(INDEX($HD$4:$HD$171,AY131),"")</f>
        <v/>
      </c>
      <c r="AS131" s="2031" t="str" cm="1">
        <f t="array" ref="AS131">IFERROR(INDEX($HE$4:$HE$171,AY131),"")</f>
        <v/>
      </c>
      <c r="AT131" s="2031" t="str" cm="1">
        <f t="array" ref="AT131">IFERROR(INDEX($HF$4:$HF$171,AY131),"")</f>
        <v/>
      </c>
      <c r="AU131" s="2031" t="str" cm="1">
        <f t="array" ref="AU131">IFERROR(INDEX($GJ$4:$GJ$171,AY131),"")</f>
        <v/>
      </c>
      <c r="AV131" s="2031" t="str" cm="1">
        <f t="array" ref="AV131">IFERROR(INDEX($GK$4:$GK$171,AY131),"")</f>
        <v/>
      </c>
      <c r="AY131" s="2042" t="str" cm="1">
        <f t="array" ref="AY131">IFERROR(SMALL(IF($HI$4:$HI$171=1,ROW($HI$4:$HI$171)-3),ROW(W116)),IFERROR(SMALL(IF($HI$4:$HI$171=2,ROW($HI$4:$HI$171)-3),ROW(W116)-COUNTIF($HI$4:$HI$171,1)),IFERROR(SMALL(IF($HI$4:$HI$171=0,ROW($HI$4:$HI$171)-3),ROW(W116)-COUNTIF($HI$4:$HI$171,1)-COUNTIF($HI$4:$HI$171,2)),"")))</f>
        <v/>
      </c>
      <c r="AZ131" s="2042" t="str">
        <f t="shared" si="215"/>
        <v>a</v>
      </c>
      <c r="BA131" s="2053" t="e">
        <f t="shared" si="226"/>
        <v>#VALUE!</v>
      </c>
      <c r="BB131" s="2053" cm="1">
        <f t="array" ref="BB131">IFERROR(INDEX($HI$4:$HI$171,AY131),0)</f>
        <v>0</v>
      </c>
      <c r="BC131" s="2053">
        <f t="shared" si="227"/>
        <v>0</v>
      </c>
      <c r="BD131" s="2053"/>
      <c r="BE131" s="2307"/>
      <c r="BF131" s="2307"/>
      <c r="BG131" s="2307"/>
      <c r="BH131" s="2307"/>
      <c r="BI131" s="2307"/>
      <c r="BJ131" s="2307"/>
      <c r="BK131" s="2307"/>
      <c r="BL131" s="2307"/>
      <c r="BM131" s="2307"/>
      <c r="BN131" s="2307"/>
      <c r="BO131" s="2307"/>
      <c r="BP131" s="2043"/>
      <c r="BQ131" s="2042"/>
      <c r="BR131" s="2042"/>
      <c r="BS131" s="2042"/>
      <c r="BT131" s="2042"/>
      <c r="BU131" s="2059"/>
      <c r="BV131" s="2277"/>
      <c r="BW131" s="2277"/>
      <c r="BX131" s="2277"/>
      <c r="BY131" s="2277"/>
      <c r="BZ131" s="2277"/>
      <c r="CA131" s="2277"/>
      <c r="CB131" s="2277"/>
      <c r="CC131" s="2277"/>
      <c r="CD131" s="2277"/>
      <c r="CE131" s="2277"/>
      <c r="CF131" s="2277"/>
      <c r="CG131" s="2277"/>
      <c r="CH131" s="2277"/>
      <c r="CI131" s="2277"/>
      <c r="CJ131" s="2277"/>
      <c r="CK131" s="2277"/>
      <c r="CL131" s="2042"/>
      <c r="CM131" s="2042"/>
      <c r="CN131" s="2042"/>
      <c r="CO131" s="2042"/>
      <c r="CP131" s="2042"/>
      <c r="CQ131" s="2042"/>
      <c r="CR131" s="2042"/>
      <c r="CS131" s="2042"/>
      <c r="CT131" s="2042"/>
      <c r="CU131" s="2042"/>
      <c r="CV131" s="2042"/>
      <c r="CW131" s="2069" t="str">
        <f>Pflanzen!C132</f>
        <v>Kartoffelpülpe, siliert</v>
      </c>
      <c r="CX131" s="2042">
        <f>IFERROR(MATCH($CW131,Pflanzen!$C$122:$C$160,0),1)</f>
        <v>11</v>
      </c>
      <c r="CY131" s="2069">
        <f>Pflanzen!I132</f>
        <v>2</v>
      </c>
      <c r="CZ131" s="2042">
        <f t="shared" si="279"/>
        <v>0</v>
      </c>
      <c r="DA131" s="2042">
        <f t="shared" si="280"/>
        <v>0</v>
      </c>
      <c r="DB131" s="2042">
        <f t="shared" si="280"/>
        <v>0</v>
      </c>
      <c r="DC131" s="2042">
        <f t="shared" si="280"/>
        <v>0</v>
      </c>
      <c r="DD131" s="2042">
        <f t="shared" si="280"/>
        <v>0</v>
      </c>
      <c r="DE131" s="2042">
        <f t="shared" si="280"/>
        <v>0</v>
      </c>
      <c r="DF131" s="2042">
        <f t="shared" si="280"/>
        <v>0</v>
      </c>
      <c r="DG131" s="2042">
        <f t="shared" si="280"/>
        <v>0</v>
      </c>
      <c r="DH131" s="2042">
        <f t="shared" si="280"/>
        <v>0</v>
      </c>
      <c r="DI131" s="2042">
        <f t="shared" si="280"/>
        <v>0</v>
      </c>
      <c r="DJ131" s="2042">
        <f t="shared" si="280"/>
        <v>0</v>
      </c>
      <c r="DK131" s="2042">
        <f t="shared" si="280"/>
        <v>0</v>
      </c>
      <c r="DL131" s="2042"/>
      <c r="DM131" s="2042">
        <f t="shared" si="281"/>
        <v>0</v>
      </c>
      <c r="DN131" s="2042">
        <f t="shared" si="282"/>
        <v>0</v>
      </c>
      <c r="DO131" s="2042">
        <f t="shared" si="282"/>
        <v>0</v>
      </c>
      <c r="DP131" s="2042">
        <f t="shared" si="282"/>
        <v>0</v>
      </c>
      <c r="DQ131" s="2042">
        <f t="shared" si="282"/>
        <v>0</v>
      </c>
      <c r="DR131" s="2042">
        <f t="shared" si="282"/>
        <v>0</v>
      </c>
      <c r="DS131" s="2042">
        <f t="shared" si="282"/>
        <v>0</v>
      </c>
      <c r="DT131" s="2042">
        <f t="shared" si="282"/>
        <v>0</v>
      </c>
      <c r="DU131" s="2042">
        <f t="shared" si="282"/>
        <v>0</v>
      </c>
      <c r="DV131" s="2042">
        <f t="shared" si="282"/>
        <v>0</v>
      </c>
      <c r="DW131" s="2042">
        <f t="shared" si="282"/>
        <v>0</v>
      </c>
      <c r="DX131" s="2042">
        <f t="shared" si="282"/>
        <v>0</v>
      </c>
      <c r="DY131" s="2042"/>
      <c r="DZ131" s="2042"/>
      <c r="EA131" s="2042"/>
      <c r="EB131" s="2042"/>
      <c r="EC131" s="2042"/>
      <c r="ED131" s="2042"/>
      <c r="EE131" s="2042"/>
      <c r="EF131" s="2042"/>
      <c r="EG131" s="2042"/>
      <c r="EH131" s="2042"/>
      <c r="EI131" s="2042"/>
      <c r="EJ131" s="2042"/>
      <c r="EK131" s="2042"/>
      <c r="EL131" s="2042"/>
      <c r="EM131" s="2042"/>
      <c r="EN131" s="2042"/>
      <c r="EO131" s="2042"/>
      <c r="EP131" s="2042"/>
      <c r="EQ131" s="2042"/>
      <c r="ER131" s="2042"/>
      <c r="ES131" s="2042"/>
      <c r="ET131" s="2042"/>
      <c r="EU131" s="2042"/>
      <c r="EV131" s="2042"/>
      <c r="EW131" s="2042"/>
      <c r="EX131" s="2042"/>
      <c r="EY131" s="2042"/>
      <c r="EZ131" s="2045">
        <f t="shared" si="283"/>
        <v>0</v>
      </c>
      <c r="FA131" s="2216">
        <f t="shared" si="250"/>
        <v>0</v>
      </c>
      <c r="FB131" s="2216">
        <f t="shared" si="251"/>
        <v>0</v>
      </c>
      <c r="FC131" s="2216">
        <f t="shared" si="252"/>
        <v>0</v>
      </c>
      <c r="FD131" s="2216">
        <f t="shared" si="253"/>
        <v>0</v>
      </c>
      <c r="FE131" s="2216">
        <f t="shared" si="254"/>
        <v>0</v>
      </c>
      <c r="FF131" s="2216">
        <f t="shared" si="255"/>
        <v>0</v>
      </c>
      <c r="FG131" s="2216">
        <f t="shared" si="256"/>
        <v>0</v>
      </c>
      <c r="FH131" s="2216">
        <f t="shared" si="257"/>
        <v>0</v>
      </c>
      <c r="FI131" s="2216">
        <f t="shared" si="258"/>
        <v>0</v>
      </c>
      <c r="FJ131" s="2216">
        <f t="shared" si="259"/>
        <v>0</v>
      </c>
      <c r="FK131" s="2216">
        <f t="shared" si="260"/>
        <v>0</v>
      </c>
      <c r="FL131" s="2216">
        <f t="shared" si="261"/>
        <v>0</v>
      </c>
      <c r="FM131" s="2042"/>
      <c r="FN131" s="2045">
        <f t="shared" si="284"/>
        <v>0</v>
      </c>
      <c r="FO131" s="2216">
        <f t="shared" si="262"/>
        <v>0</v>
      </c>
      <c r="FP131" s="2216">
        <f t="shared" si="263"/>
        <v>0</v>
      </c>
      <c r="FQ131" s="2216">
        <f t="shared" si="264"/>
        <v>0</v>
      </c>
      <c r="FR131" s="2216">
        <f t="shared" si="265"/>
        <v>0</v>
      </c>
      <c r="FS131" s="2216">
        <f t="shared" si="266"/>
        <v>0</v>
      </c>
      <c r="FT131" s="2216">
        <f t="shared" si="267"/>
        <v>0</v>
      </c>
      <c r="FU131" s="2216">
        <f t="shared" si="268"/>
        <v>0</v>
      </c>
      <c r="FV131" s="2216">
        <f t="shared" si="269"/>
        <v>0</v>
      </c>
      <c r="FW131" s="2216">
        <f t="shared" si="270"/>
        <v>0</v>
      </c>
      <c r="FX131" s="2216">
        <f t="shared" si="271"/>
        <v>0</v>
      </c>
      <c r="FY131" s="2216">
        <f t="shared" si="272"/>
        <v>0</v>
      </c>
      <c r="FZ131" s="2216">
        <f t="shared" si="273"/>
        <v>0</v>
      </c>
      <c r="GA131" s="2042"/>
      <c r="GB131" s="2042">
        <f t="shared" si="285"/>
        <v>0</v>
      </c>
      <c r="GC131" s="2042">
        <f t="shared" si="286"/>
        <v>0</v>
      </c>
      <c r="GD131" s="2042"/>
      <c r="GE131" s="2042"/>
      <c r="GF131" s="2042"/>
      <c r="GG131" s="2042"/>
      <c r="GH131" s="2042">
        <f t="shared" si="287"/>
        <v>0</v>
      </c>
      <c r="GI131" s="2042">
        <f t="shared" si="288"/>
        <v>0</v>
      </c>
      <c r="GJ131" s="2042">
        <f t="shared" si="232"/>
        <v>0</v>
      </c>
      <c r="GK131" s="2042">
        <f t="shared" si="233"/>
        <v>0</v>
      </c>
      <c r="GL131" s="2042">
        <f t="shared" si="274"/>
        <v>0</v>
      </c>
      <c r="GM131" s="2042" cm="1">
        <f t="array" ref="GM131">IF(GL131=0,0,(SUMPRODUCT($J$75:$J$79,$CH$75:$CH$79,($BR$75:$BR$79=CX131)*1)+SUMPRODUCT($R$75:$R$79,$CP$75:$CP$79,($BR$75:$BR$79=CX131)*1))/GL131)</f>
        <v>0</v>
      </c>
      <c r="GN131" s="2042">
        <f t="shared" si="275"/>
        <v>0</v>
      </c>
      <c r="GO131" s="2042"/>
      <c r="GP131" s="2042"/>
      <c r="GQ131" s="2042">
        <f t="shared" si="276"/>
        <v>0</v>
      </c>
      <c r="GR131" s="2042">
        <f t="shared" si="201"/>
        <v>0</v>
      </c>
      <c r="GS131" s="2042">
        <f t="shared" si="277"/>
        <v>0</v>
      </c>
      <c r="GT131" s="2042">
        <f t="shared" si="278"/>
        <v>0</v>
      </c>
      <c r="GU131" s="2045" t="str">
        <f t="shared" si="175"/>
        <v xml:space="preserve"> </v>
      </c>
      <c r="GV131" s="2045" t="str">
        <f t="shared" si="175"/>
        <v xml:space="preserve"> </v>
      </c>
      <c r="GW131" s="2054">
        <f t="shared" si="235"/>
        <v>0</v>
      </c>
      <c r="GX131" s="2042">
        <f t="shared" si="236"/>
        <v>0</v>
      </c>
      <c r="GY131" s="2042" t="str">
        <f t="shared" si="229"/>
        <v>a</v>
      </c>
      <c r="GZ131" s="2055">
        <f t="shared" si="237"/>
        <v>0</v>
      </c>
      <c r="HA131" s="2055">
        <f t="shared" si="238"/>
        <v>0</v>
      </c>
      <c r="HB131" s="2055"/>
      <c r="HC131" s="2046">
        <f t="shared" si="239"/>
        <v>0</v>
      </c>
      <c r="HD131" s="2055">
        <f t="shared" si="240"/>
        <v>0</v>
      </c>
      <c r="HE131" s="2055">
        <f t="shared" si="241"/>
        <v>0</v>
      </c>
      <c r="HF131" s="2055">
        <f t="shared" si="242"/>
        <v>0</v>
      </c>
      <c r="HG131" s="2282" cm="1">
        <f t="array" ref="HG131">IF(AND(HE131=0,GJ131=0),0,IF(HE131=0,1,IF(OR(GJ131*1000/HE131/HF131&gt;INDEX(Pflanzen!$AD$122:$AD$160,CX131)/INDEX(Pflanzen!$M$122:$M$160,CX131)*$HG$1,GJ131*1000/HE131/HF131&lt;INDEX(Pflanzen!$AD$122:$AD$160,CX131)/INDEX(Pflanzen!$M$122:$M$160,CX131)/$HG$1),1,0)))</f>
        <v>0</v>
      </c>
      <c r="HH131" s="2287" cm="1">
        <f t="array" ref="HH131">IF(AND(GK131=0,HE131=0),0,IF(HE131=0,1,IF(OR(GK131*1000/HE131/HF131&gt;INDEX(Pflanzen!$AE$122:$AE$160,CX131)/INDEX(Pflanzen!$M$122:$M$160,CX131)*$HG$2,GK131*1000/HE131/HF131&lt;INDEX(Pflanzen!$AE$122:$AE$160,CX131)/INDEX(Pflanzen!$M$122:$M$160,CX131)/$HG$2),1,0)))</f>
        <v>0</v>
      </c>
      <c r="HI131" s="2042">
        <f t="shared" si="243"/>
        <v>3</v>
      </c>
      <c r="HJ131" s="2042"/>
      <c r="HL131" s="2042"/>
      <c r="HM131" s="2042"/>
      <c r="HN131" s="2042"/>
      <c r="HO131" s="2042"/>
      <c r="HP131" s="2042"/>
      <c r="HQ131" s="2042"/>
      <c r="HR131" s="2042"/>
      <c r="HS131" s="2042"/>
      <c r="HT131" s="2042"/>
      <c r="HU131" s="2042"/>
      <c r="HV131" s="2042"/>
      <c r="HW131" s="2042"/>
      <c r="HX131" s="2042"/>
      <c r="HY131" s="2042"/>
      <c r="HZ131" s="2042"/>
      <c r="IA131" s="2042"/>
      <c r="IB131" s="2042"/>
      <c r="IC131" s="2042"/>
      <c r="ID131" s="2042"/>
      <c r="IE131" s="2042"/>
      <c r="IF131" s="2042"/>
      <c r="IG131" s="2042"/>
      <c r="IH131" s="2042"/>
      <c r="II131" s="2042"/>
      <c r="IJ131" s="2042"/>
    </row>
    <row r="132" spans="25:244" ht="15.75" customHeight="1" x14ac:dyDescent="0.2">
      <c r="Y132" s="2005" t="str" cm="1">
        <f t="array" ref="Y132">IFERROR(INDEX($CW$4:$CW$171,AY132),"")</f>
        <v/>
      </c>
      <c r="Z132" s="510"/>
      <c r="AA132" s="510"/>
      <c r="AB132" s="510"/>
      <c r="AC132" s="2031" t="str" cm="1">
        <f t="array" ref="AC132">IFERROR(INDEX($GL$4:$GL$171,AY132),"")</f>
        <v/>
      </c>
      <c r="AD132" s="2031" t="str" cm="1">
        <f t="array" ref="AD132">IFERROR(INDEX($GM$4:$GM$171,AY132),"")</f>
        <v/>
      </c>
      <c r="AE132" s="2031" t="str" cm="1">
        <f t="array" ref="AE132">IFERROR(INDEX($GH$4:$GH$171,AY132),"")</f>
        <v/>
      </c>
      <c r="AF132" s="2031" t="str" cm="1">
        <f t="array" ref="AF132">IFERROR(INDEX($GI$4:$GI$171,AY132),"")</f>
        <v/>
      </c>
      <c r="AG132" s="2031" t="str" cm="1">
        <f t="array" ref="AG132">IFERROR(INDEX($GO$4:$GO$171,AY132),"")</f>
        <v/>
      </c>
      <c r="AH132" s="2031" t="str" cm="1">
        <f t="array" ref="AH132">IFERROR(INDEX($GP$4:$GP$171,AY132),"")</f>
        <v/>
      </c>
      <c r="AI132" s="2031" t="str" cm="1">
        <f t="array" ref="AI132">IFERROR(INDEX($GF$4:$GF$171,AY132),"")</f>
        <v/>
      </c>
      <c r="AJ132" s="2031" t="str" cm="1">
        <f t="array" ref="AJ132">IFERROR(INDEX($GG$4:$GG$171,AY132),"")</f>
        <v/>
      </c>
      <c r="AK132" s="2031" t="str" cm="1">
        <f t="array" ref="AK132">IFERROR(INDEX($GS$4:$GS$171,AY132),"")</f>
        <v/>
      </c>
      <c r="AL132" s="2032" t="str" cm="1">
        <f t="array" ref="AL132">IFERROR(INDEX($GT$4:$GT$171,AY132),"")</f>
        <v/>
      </c>
      <c r="AM132" s="2031" t="str" cm="1">
        <f t="array" ref="AM132">IFERROR(INDEX($GB$4:$GB$171,AY132),"")</f>
        <v/>
      </c>
      <c r="AN132" s="2031" t="str" cm="1">
        <f t="array" ref="AN132">IFERROR(INDEX($GC$4:$GC$171,AY132),"")</f>
        <v/>
      </c>
      <c r="AO132" s="1310" t="str" cm="1">
        <f t="array" ref="AO132">IFERROR(INDEX($GU$4:$GU$171,AY132),"")</f>
        <v/>
      </c>
      <c r="AP132" s="1310" t="str" cm="1">
        <f t="array" ref="AP132">IFERROR(INDEX($GX$4:$GX$171,AY132),"")</f>
        <v/>
      </c>
      <c r="AQ132" s="1316"/>
      <c r="AR132" s="2031" t="str" cm="1">
        <f t="array" ref="AR132">IFERROR(INDEX($HD$4:$HD$171,AY132),"")</f>
        <v/>
      </c>
      <c r="AS132" s="2031" t="str" cm="1">
        <f t="array" ref="AS132">IFERROR(INDEX($HE$4:$HE$171,AY132),"")</f>
        <v/>
      </c>
      <c r="AT132" s="2031" t="str" cm="1">
        <f t="array" ref="AT132">IFERROR(INDEX($HF$4:$HF$171,AY132),"")</f>
        <v/>
      </c>
      <c r="AU132" s="2031" t="str" cm="1">
        <f t="array" ref="AU132">IFERROR(INDEX($GJ$4:$GJ$171,AY132),"")</f>
        <v/>
      </c>
      <c r="AV132" s="2031" t="str" cm="1">
        <f t="array" ref="AV132">IFERROR(INDEX($GK$4:$GK$171,AY132),"")</f>
        <v/>
      </c>
      <c r="AY132" s="2042" t="str" cm="1">
        <f t="array" ref="AY132">IFERROR(SMALL(IF($HI$4:$HI$171=1,ROW($HI$4:$HI$171)-3),ROW(W117)),IFERROR(SMALL(IF($HI$4:$HI$171=2,ROW($HI$4:$HI$171)-3),ROW(W117)-COUNTIF($HI$4:$HI$171,1)),IFERROR(SMALL(IF($HI$4:$HI$171=0,ROW($HI$4:$HI$171)-3),ROW(W117)-COUNTIF($HI$4:$HI$171,1)-COUNTIF($HI$4:$HI$171,2)),"")))</f>
        <v/>
      </c>
      <c r="AZ132" s="2042" t="str">
        <f t="shared" si="215"/>
        <v>a</v>
      </c>
      <c r="BA132" s="2053" t="e">
        <f t="shared" si="226"/>
        <v>#VALUE!</v>
      </c>
      <c r="BB132" s="2053" cm="1">
        <f t="array" ref="BB132">IFERROR(INDEX($HI$4:$HI$171,AY132),0)</f>
        <v>0</v>
      </c>
      <c r="BC132" s="2053">
        <f t="shared" si="227"/>
        <v>0</v>
      </c>
      <c r="BD132" s="2053"/>
      <c r="BE132" s="2307"/>
      <c r="BF132" s="2307"/>
      <c r="BG132" s="2307"/>
      <c r="BH132" s="2307"/>
      <c r="BI132" s="2307"/>
      <c r="BJ132" s="2307"/>
      <c r="BK132" s="2307"/>
      <c r="BL132" s="2307"/>
      <c r="BM132" s="2307"/>
      <c r="BN132" s="2307"/>
      <c r="BO132" s="2307"/>
      <c r="BP132" s="2043"/>
      <c r="BQ132" s="2042"/>
      <c r="BR132" s="2042"/>
      <c r="BS132" s="2042"/>
      <c r="BT132" s="2042"/>
      <c r="BU132" s="2059"/>
      <c r="BV132" s="2277"/>
      <c r="BW132" s="2277"/>
      <c r="BX132" s="2277"/>
      <c r="BY132" s="2277"/>
      <c r="BZ132" s="2277"/>
      <c r="CA132" s="2277"/>
      <c r="CB132" s="2277"/>
      <c r="CC132" s="2277"/>
      <c r="CD132" s="2277"/>
      <c r="CE132" s="2277"/>
      <c r="CF132" s="2277"/>
      <c r="CG132" s="2277"/>
      <c r="CH132" s="2277"/>
      <c r="CI132" s="2277"/>
      <c r="CJ132" s="2277"/>
      <c r="CK132" s="2277"/>
      <c r="CL132" s="2042"/>
      <c r="CM132" s="2042"/>
      <c r="CN132" s="2042"/>
      <c r="CO132" s="2042"/>
      <c r="CP132" s="2042"/>
      <c r="CQ132" s="2042"/>
      <c r="CR132" s="2042"/>
      <c r="CS132" s="2042"/>
      <c r="CT132" s="2042"/>
      <c r="CU132" s="2042"/>
      <c r="CV132" s="2042"/>
      <c r="CW132" s="2069" t="str">
        <f>Pflanzen!C133</f>
        <v>Kartoffelschlempe, frisch</v>
      </c>
      <c r="CX132" s="2042">
        <f>IFERROR(MATCH($CW132,Pflanzen!$C$122:$C$160,0),1)</f>
        <v>12</v>
      </c>
      <c r="CY132" s="2069">
        <f>Pflanzen!I133</f>
        <v>2</v>
      </c>
      <c r="CZ132" s="2042">
        <f t="shared" si="279"/>
        <v>0</v>
      </c>
      <c r="DA132" s="2042">
        <f t="shared" si="280"/>
        <v>0</v>
      </c>
      <c r="DB132" s="2042">
        <f t="shared" si="280"/>
        <v>0</v>
      </c>
      <c r="DC132" s="2042">
        <f t="shared" si="280"/>
        <v>0</v>
      </c>
      <c r="DD132" s="2042">
        <f t="shared" si="280"/>
        <v>0</v>
      </c>
      <c r="DE132" s="2042">
        <f t="shared" si="280"/>
        <v>0</v>
      </c>
      <c r="DF132" s="2042">
        <f t="shared" si="280"/>
        <v>0</v>
      </c>
      <c r="DG132" s="2042">
        <f t="shared" si="280"/>
        <v>0</v>
      </c>
      <c r="DH132" s="2042">
        <f t="shared" si="280"/>
        <v>0</v>
      </c>
      <c r="DI132" s="2042">
        <f t="shared" si="280"/>
        <v>0</v>
      </c>
      <c r="DJ132" s="2042">
        <f t="shared" si="280"/>
        <v>0</v>
      </c>
      <c r="DK132" s="2042">
        <f t="shared" si="280"/>
        <v>0</v>
      </c>
      <c r="DL132" s="2042"/>
      <c r="DM132" s="2042">
        <f t="shared" si="281"/>
        <v>0</v>
      </c>
      <c r="DN132" s="2042">
        <f t="shared" si="282"/>
        <v>0</v>
      </c>
      <c r="DO132" s="2042">
        <f t="shared" si="282"/>
        <v>0</v>
      </c>
      <c r="DP132" s="2042">
        <f t="shared" si="282"/>
        <v>0</v>
      </c>
      <c r="DQ132" s="2042">
        <f t="shared" si="282"/>
        <v>0</v>
      </c>
      <c r="DR132" s="2042">
        <f t="shared" si="282"/>
        <v>0</v>
      </c>
      <c r="DS132" s="2042">
        <f t="shared" si="282"/>
        <v>0</v>
      </c>
      <c r="DT132" s="2042">
        <f t="shared" si="282"/>
        <v>0</v>
      </c>
      <c r="DU132" s="2042">
        <f t="shared" si="282"/>
        <v>0</v>
      </c>
      <c r="DV132" s="2042">
        <f t="shared" si="282"/>
        <v>0</v>
      </c>
      <c r="DW132" s="2042">
        <f t="shared" si="282"/>
        <v>0</v>
      </c>
      <c r="DX132" s="2042">
        <f t="shared" si="282"/>
        <v>0</v>
      </c>
      <c r="DY132" s="2042"/>
      <c r="DZ132" s="2042"/>
      <c r="EA132" s="2042"/>
      <c r="EB132" s="2042"/>
      <c r="EC132" s="2042"/>
      <c r="ED132" s="2042"/>
      <c r="EE132" s="2042"/>
      <c r="EF132" s="2042"/>
      <c r="EG132" s="2042"/>
      <c r="EH132" s="2042"/>
      <c r="EI132" s="2042"/>
      <c r="EJ132" s="2042"/>
      <c r="EK132" s="2042"/>
      <c r="EL132" s="2042"/>
      <c r="EM132" s="2042"/>
      <c r="EN132" s="2042"/>
      <c r="EO132" s="2042"/>
      <c r="EP132" s="2042"/>
      <c r="EQ132" s="2042"/>
      <c r="ER132" s="2042"/>
      <c r="ES132" s="2042"/>
      <c r="ET132" s="2042"/>
      <c r="EU132" s="2042"/>
      <c r="EV132" s="2042"/>
      <c r="EW132" s="2042"/>
      <c r="EX132" s="2042"/>
      <c r="EY132" s="2042"/>
      <c r="EZ132" s="2045">
        <f t="shared" si="283"/>
        <v>0</v>
      </c>
      <c r="FA132" s="2216">
        <f t="shared" si="250"/>
        <v>0</v>
      </c>
      <c r="FB132" s="2216">
        <f t="shared" si="251"/>
        <v>0</v>
      </c>
      <c r="FC132" s="2216">
        <f t="shared" si="252"/>
        <v>0</v>
      </c>
      <c r="FD132" s="2216">
        <f t="shared" si="253"/>
        <v>0</v>
      </c>
      <c r="FE132" s="2216">
        <f t="shared" si="254"/>
        <v>0</v>
      </c>
      <c r="FF132" s="2216">
        <f t="shared" si="255"/>
        <v>0</v>
      </c>
      <c r="FG132" s="2216">
        <f t="shared" si="256"/>
        <v>0</v>
      </c>
      <c r="FH132" s="2216">
        <f t="shared" si="257"/>
        <v>0</v>
      </c>
      <c r="FI132" s="2216">
        <f t="shared" si="258"/>
        <v>0</v>
      </c>
      <c r="FJ132" s="2216">
        <f t="shared" si="259"/>
        <v>0</v>
      </c>
      <c r="FK132" s="2216">
        <f t="shared" si="260"/>
        <v>0</v>
      </c>
      <c r="FL132" s="2216">
        <f t="shared" si="261"/>
        <v>0</v>
      </c>
      <c r="FM132" s="2042"/>
      <c r="FN132" s="2045">
        <f t="shared" si="284"/>
        <v>0</v>
      </c>
      <c r="FO132" s="2216">
        <f t="shared" si="262"/>
        <v>0</v>
      </c>
      <c r="FP132" s="2216">
        <f t="shared" si="263"/>
        <v>0</v>
      </c>
      <c r="FQ132" s="2216">
        <f t="shared" si="264"/>
        <v>0</v>
      </c>
      <c r="FR132" s="2216">
        <f t="shared" si="265"/>
        <v>0</v>
      </c>
      <c r="FS132" s="2216">
        <f t="shared" si="266"/>
        <v>0</v>
      </c>
      <c r="FT132" s="2216">
        <f t="shared" si="267"/>
        <v>0</v>
      </c>
      <c r="FU132" s="2216">
        <f t="shared" si="268"/>
        <v>0</v>
      </c>
      <c r="FV132" s="2216">
        <f t="shared" si="269"/>
        <v>0</v>
      </c>
      <c r="FW132" s="2216">
        <f t="shared" si="270"/>
        <v>0</v>
      </c>
      <c r="FX132" s="2216">
        <f t="shared" si="271"/>
        <v>0</v>
      </c>
      <c r="FY132" s="2216">
        <f t="shared" si="272"/>
        <v>0</v>
      </c>
      <c r="FZ132" s="2216">
        <f t="shared" si="273"/>
        <v>0</v>
      </c>
      <c r="GA132" s="2042"/>
      <c r="GB132" s="2042">
        <f t="shared" si="285"/>
        <v>0</v>
      </c>
      <c r="GC132" s="2042">
        <f t="shared" si="286"/>
        <v>0</v>
      </c>
      <c r="GD132" s="2042"/>
      <c r="GE132" s="2042"/>
      <c r="GF132" s="2042"/>
      <c r="GG132" s="2042"/>
      <c r="GH132" s="2042">
        <f t="shared" si="287"/>
        <v>0</v>
      </c>
      <c r="GI132" s="2042">
        <f t="shared" si="288"/>
        <v>0</v>
      </c>
      <c r="GJ132" s="2042">
        <f t="shared" si="232"/>
        <v>0</v>
      </c>
      <c r="GK132" s="2042">
        <f t="shared" si="233"/>
        <v>0</v>
      </c>
      <c r="GL132" s="2042">
        <f t="shared" si="274"/>
        <v>0</v>
      </c>
      <c r="GM132" s="2042" cm="1">
        <f t="array" ref="GM132">IF(GL132=0,0,(SUMPRODUCT($J$75:$J$79,$CH$75:$CH$79,($BR$75:$BR$79=CX132)*1)+SUMPRODUCT($R$75:$R$79,$CP$75:$CP$79,($BR$75:$BR$79=CX132)*1))/GL132)</f>
        <v>0</v>
      </c>
      <c r="GN132" s="2042">
        <f t="shared" si="275"/>
        <v>0</v>
      </c>
      <c r="GO132" s="2042"/>
      <c r="GP132" s="2042"/>
      <c r="GQ132" s="2042">
        <f t="shared" si="276"/>
        <v>0</v>
      </c>
      <c r="GR132" s="2042">
        <f t="shared" si="201"/>
        <v>0</v>
      </c>
      <c r="GS132" s="2042">
        <f t="shared" si="277"/>
        <v>0</v>
      </c>
      <c r="GT132" s="2042">
        <f t="shared" si="278"/>
        <v>0</v>
      </c>
      <c r="GU132" s="2045" t="str">
        <f t="shared" si="175"/>
        <v xml:space="preserve"> </v>
      </c>
      <c r="GV132" s="2045" t="str">
        <f t="shared" si="175"/>
        <v xml:space="preserve"> </v>
      </c>
      <c r="GW132" s="2054">
        <f t="shared" si="235"/>
        <v>0</v>
      </c>
      <c r="GX132" s="2042">
        <f t="shared" si="236"/>
        <v>0</v>
      </c>
      <c r="GY132" s="2042" t="str">
        <f t="shared" si="229"/>
        <v>a</v>
      </c>
      <c r="GZ132" s="2055">
        <f t="shared" si="237"/>
        <v>0</v>
      </c>
      <c r="HA132" s="2055">
        <f t="shared" si="238"/>
        <v>0</v>
      </c>
      <c r="HB132" s="2055"/>
      <c r="HC132" s="2046">
        <f t="shared" si="239"/>
        <v>0</v>
      </c>
      <c r="HD132" s="2055">
        <f t="shared" si="240"/>
        <v>0</v>
      </c>
      <c r="HE132" s="2055">
        <f t="shared" si="241"/>
        <v>0</v>
      </c>
      <c r="HF132" s="2055">
        <f t="shared" si="242"/>
        <v>0</v>
      </c>
      <c r="HG132" s="2282" cm="1">
        <f t="array" ref="HG132">IF(AND(HE132=0,GJ132=0),0,IF(HE132=0,1,IF(OR(GJ132*1000/HE132/HF132&gt;INDEX(Pflanzen!$AD$122:$AD$160,CX132)/INDEX(Pflanzen!$M$122:$M$160,CX132)*$HG$1,GJ132*1000/HE132/HF132&lt;INDEX(Pflanzen!$AD$122:$AD$160,CX132)/INDEX(Pflanzen!$M$122:$M$160,CX132)/$HG$1),1,0)))</f>
        <v>0</v>
      </c>
      <c r="HH132" s="2287" cm="1">
        <f t="array" ref="HH132">IF(AND(GK132=0,HE132=0),0,IF(HE132=0,1,IF(OR(GK132*1000/HE132/HF132&gt;INDEX(Pflanzen!$AE$122:$AE$160,CX132)/INDEX(Pflanzen!$M$122:$M$160,CX132)*$HG$2,GK132*1000/HE132/HF132&lt;INDEX(Pflanzen!$AE$122:$AE$160,CX132)/INDEX(Pflanzen!$M$122:$M$160,CX132)/$HG$2),1,0)))</f>
        <v>0</v>
      </c>
      <c r="HI132" s="2042">
        <f t="shared" si="243"/>
        <v>3</v>
      </c>
      <c r="HJ132" s="2042"/>
      <c r="HL132" s="2042"/>
      <c r="HM132" s="2042"/>
      <c r="HN132" s="2042"/>
      <c r="HO132" s="2042"/>
      <c r="HP132" s="2042"/>
      <c r="HQ132" s="2042"/>
      <c r="HR132" s="2042"/>
      <c r="HS132" s="2042"/>
      <c r="HT132" s="2042"/>
      <c r="HU132" s="2042"/>
      <c r="HV132" s="2042"/>
      <c r="HW132" s="2042"/>
      <c r="HX132" s="2042"/>
      <c r="HY132" s="2042"/>
      <c r="HZ132" s="2042"/>
      <c r="IA132" s="2042"/>
      <c r="IB132" s="2042"/>
      <c r="IC132" s="2042"/>
      <c r="ID132" s="2042"/>
      <c r="IE132" s="2042"/>
      <c r="IF132" s="2042"/>
      <c r="IG132" s="2042"/>
      <c r="IH132" s="2042"/>
      <c r="II132" s="2042"/>
      <c r="IJ132" s="2042"/>
    </row>
    <row r="133" spans="25:244" ht="15.75" customHeight="1" x14ac:dyDescent="0.2">
      <c r="Y133" s="510"/>
      <c r="Z133" s="510"/>
      <c r="AA133" s="510"/>
      <c r="AB133" s="510"/>
      <c r="AC133" s="2033"/>
      <c r="AD133" s="2033"/>
      <c r="AE133" s="2033"/>
      <c r="AF133" s="2033"/>
      <c r="AG133" s="2033"/>
      <c r="AH133" s="2033"/>
      <c r="AI133" s="2033"/>
      <c r="AJ133" s="2033"/>
      <c r="AK133" s="2033"/>
      <c r="AL133" s="2033"/>
      <c r="AM133" s="2033"/>
      <c r="AN133" s="2033"/>
      <c r="AO133" s="517"/>
      <c r="AP133" s="517"/>
      <c r="AQ133" s="517"/>
      <c r="AR133" s="2033"/>
      <c r="AS133" s="2033"/>
      <c r="AT133" s="2033"/>
      <c r="AU133" s="2033"/>
      <c r="AV133" s="2033"/>
      <c r="AY133" s="2042"/>
      <c r="AZ133" s="2042"/>
      <c r="BA133" s="2042"/>
      <c r="BB133" s="2042"/>
      <c r="BC133" s="2042"/>
      <c r="BD133" s="2042"/>
      <c r="BP133" s="2043"/>
      <c r="BQ133" s="2042"/>
      <c r="BR133" s="2042"/>
      <c r="BS133" s="2042"/>
      <c r="BT133" s="2042"/>
      <c r="BU133" s="2059"/>
      <c r="BV133" s="2277"/>
      <c r="BW133" s="2277"/>
      <c r="BX133" s="2277"/>
      <c r="BY133" s="2277"/>
      <c r="BZ133" s="2277"/>
      <c r="CA133" s="2277"/>
      <c r="CB133" s="2277"/>
      <c r="CC133" s="2277"/>
      <c r="CD133" s="2277"/>
      <c r="CE133" s="2277"/>
      <c r="CF133" s="2277"/>
      <c r="CG133" s="2277"/>
      <c r="CH133" s="2277"/>
      <c r="CI133" s="2277"/>
      <c r="CJ133" s="2277"/>
      <c r="CK133" s="2277"/>
      <c r="CL133" s="2042"/>
      <c r="CM133" s="2042"/>
      <c r="CN133" s="2042"/>
      <c r="CO133" s="2042"/>
      <c r="CP133" s="2042"/>
      <c r="CQ133" s="2042"/>
      <c r="CR133" s="2042"/>
      <c r="CS133" s="2042"/>
      <c r="CT133" s="2042"/>
      <c r="CU133" s="2042"/>
      <c r="CV133" s="2042"/>
      <c r="CW133" s="2069" t="str">
        <f>Pflanzen!C134</f>
        <v>Leinextraktionsschrot</v>
      </c>
      <c r="CX133" s="2042">
        <f>IFERROR(MATCH($CW133,Pflanzen!$C$122:$C$160,0),1)</f>
        <v>13</v>
      </c>
      <c r="CY133" s="2069">
        <f>Pflanzen!I134</f>
        <v>2</v>
      </c>
      <c r="CZ133" s="2042">
        <f t="shared" si="279"/>
        <v>0</v>
      </c>
      <c r="DA133" s="2042">
        <f t="shared" ref="DA133:DK142" si="289">SUMIFS($CQ$75:$CQ$79,$BW$75:$BW$79,1,$BX$75:$BX$79,DA$2,$BR$75:$BR$79,$CX133)+   SUMIFS($CQ$75:$CQ$79,$BW$75:$BW$79,"&gt;1",$BX$75:$BX$79,"&lt;="&amp;DA$2,$BY$75:$BY$79,"&gt;="&amp;DA$2,$BR$75:$BR$79,$CX133)</f>
        <v>0</v>
      </c>
      <c r="DB133" s="2042">
        <f t="shared" si="289"/>
        <v>0</v>
      </c>
      <c r="DC133" s="2042">
        <f t="shared" si="289"/>
        <v>0</v>
      </c>
      <c r="DD133" s="2042">
        <f t="shared" si="289"/>
        <v>0</v>
      </c>
      <c r="DE133" s="2042">
        <f t="shared" si="289"/>
        <v>0</v>
      </c>
      <c r="DF133" s="2042">
        <f t="shared" si="289"/>
        <v>0</v>
      </c>
      <c r="DG133" s="2042">
        <f t="shared" si="289"/>
        <v>0</v>
      </c>
      <c r="DH133" s="2042">
        <f t="shared" si="289"/>
        <v>0</v>
      </c>
      <c r="DI133" s="2042">
        <f t="shared" si="289"/>
        <v>0</v>
      </c>
      <c r="DJ133" s="2042">
        <f t="shared" si="289"/>
        <v>0</v>
      </c>
      <c r="DK133" s="2042">
        <f t="shared" si="289"/>
        <v>0</v>
      </c>
      <c r="DL133" s="2042"/>
      <c r="DM133" s="2042">
        <f t="shared" si="281"/>
        <v>0</v>
      </c>
      <c r="DN133" s="2042">
        <f t="shared" ref="DN133:DX142" si="290">SUMIFS($CS$75:$CS$79,$BW$75:$BW$79,1,$BX$75:$BX$79,DN$2,$BR$75:$BR$79,$CX133)+   SUMIFS($CS$75:$CS$79,$BW$75:$BW$79,"&gt;1",$BX$75:$BX$79,"&lt;="&amp;DN$2,$BY$75:$BY$79,"&gt;="&amp;DN$2,$BR$75:$BR$79,$CX133)</f>
        <v>0</v>
      </c>
      <c r="DO133" s="2042">
        <f t="shared" si="290"/>
        <v>0</v>
      </c>
      <c r="DP133" s="2042">
        <f t="shared" si="290"/>
        <v>0</v>
      </c>
      <c r="DQ133" s="2042">
        <f t="shared" si="290"/>
        <v>0</v>
      </c>
      <c r="DR133" s="2042">
        <f t="shared" si="290"/>
        <v>0</v>
      </c>
      <c r="DS133" s="2042">
        <f t="shared" si="290"/>
        <v>0</v>
      </c>
      <c r="DT133" s="2042">
        <f t="shared" si="290"/>
        <v>0</v>
      </c>
      <c r="DU133" s="2042">
        <f t="shared" si="290"/>
        <v>0</v>
      </c>
      <c r="DV133" s="2042">
        <f t="shared" si="290"/>
        <v>0</v>
      </c>
      <c r="DW133" s="2042">
        <f t="shared" si="290"/>
        <v>0</v>
      </c>
      <c r="DX133" s="2042">
        <f t="shared" si="290"/>
        <v>0</v>
      </c>
      <c r="DY133" s="2042"/>
      <c r="DZ133" s="2042"/>
      <c r="EA133" s="2042"/>
      <c r="EB133" s="2042"/>
      <c r="EC133" s="2042"/>
      <c r="ED133" s="2042"/>
      <c r="EE133" s="2042"/>
      <c r="EF133" s="2042"/>
      <c r="EG133" s="2042"/>
      <c r="EH133" s="2042"/>
      <c r="EI133" s="2042"/>
      <c r="EJ133" s="2042"/>
      <c r="EK133" s="2042"/>
      <c r="EL133" s="2042"/>
      <c r="EM133" s="2042"/>
      <c r="EN133" s="2042"/>
      <c r="EO133" s="2042"/>
      <c r="EP133" s="2042"/>
      <c r="EQ133" s="2042"/>
      <c r="ER133" s="2042"/>
      <c r="ES133" s="2042"/>
      <c r="ET133" s="2042"/>
      <c r="EU133" s="2042"/>
      <c r="EV133" s="2042"/>
      <c r="EW133" s="2042"/>
      <c r="EX133" s="2042"/>
      <c r="EY133" s="2042"/>
      <c r="EZ133" s="2045">
        <f t="shared" si="283"/>
        <v>0</v>
      </c>
      <c r="FA133" s="2216">
        <f t="shared" si="250"/>
        <v>0</v>
      </c>
      <c r="FB133" s="2216">
        <f t="shared" si="251"/>
        <v>0</v>
      </c>
      <c r="FC133" s="2216">
        <f t="shared" si="252"/>
        <v>0</v>
      </c>
      <c r="FD133" s="2216">
        <f t="shared" si="253"/>
        <v>0</v>
      </c>
      <c r="FE133" s="2216">
        <f t="shared" si="254"/>
        <v>0</v>
      </c>
      <c r="FF133" s="2216">
        <f t="shared" si="255"/>
        <v>0</v>
      </c>
      <c r="FG133" s="2216">
        <f t="shared" si="256"/>
        <v>0</v>
      </c>
      <c r="FH133" s="2216">
        <f t="shared" si="257"/>
        <v>0</v>
      </c>
      <c r="FI133" s="2216">
        <f t="shared" si="258"/>
        <v>0</v>
      </c>
      <c r="FJ133" s="2216">
        <f t="shared" si="259"/>
        <v>0</v>
      </c>
      <c r="FK133" s="2216">
        <f t="shared" si="260"/>
        <v>0</v>
      </c>
      <c r="FL133" s="2216">
        <f t="shared" si="261"/>
        <v>0</v>
      </c>
      <c r="FM133" s="2042"/>
      <c r="FN133" s="2045">
        <f t="shared" si="284"/>
        <v>0</v>
      </c>
      <c r="FO133" s="2216">
        <f t="shared" si="262"/>
        <v>0</v>
      </c>
      <c r="FP133" s="2216">
        <f t="shared" si="263"/>
        <v>0</v>
      </c>
      <c r="FQ133" s="2216">
        <f t="shared" si="264"/>
        <v>0</v>
      </c>
      <c r="FR133" s="2216">
        <f t="shared" si="265"/>
        <v>0</v>
      </c>
      <c r="FS133" s="2216">
        <f t="shared" si="266"/>
        <v>0</v>
      </c>
      <c r="FT133" s="2216">
        <f t="shared" si="267"/>
        <v>0</v>
      </c>
      <c r="FU133" s="2216">
        <f t="shared" si="268"/>
        <v>0</v>
      </c>
      <c r="FV133" s="2216">
        <f t="shared" si="269"/>
        <v>0</v>
      </c>
      <c r="FW133" s="2216">
        <f t="shared" si="270"/>
        <v>0</v>
      </c>
      <c r="FX133" s="2216">
        <f t="shared" si="271"/>
        <v>0</v>
      </c>
      <c r="FY133" s="2216">
        <f t="shared" si="272"/>
        <v>0</v>
      </c>
      <c r="FZ133" s="2216">
        <f t="shared" si="273"/>
        <v>0</v>
      </c>
      <c r="GA133" s="2042"/>
      <c r="GB133" s="2042">
        <f t="shared" si="285"/>
        <v>0</v>
      </c>
      <c r="GC133" s="2042">
        <f t="shared" si="286"/>
        <v>0</v>
      </c>
      <c r="GD133" s="2042"/>
      <c r="GE133" s="2042"/>
      <c r="GF133" s="2042"/>
      <c r="GG133" s="2042"/>
      <c r="GH133" s="2042">
        <f t="shared" si="287"/>
        <v>0</v>
      </c>
      <c r="GI133" s="2042">
        <f t="shared" si="288"/>
        <v>0</v>
      </c>
      <c r="GJ133" s="2042">
        <f t="shared" si="232"/>
        <v>0</v>
      </c>
      <c r="GK133" s="2042">
        <f t="shared" si="233"/>
        <v>0</v>
      </c>
      <c r="GL133" s="2042">
        <f t="shared" si="274"/>
        <v>0</v>
      </c>
      <c r="GM133" s="2042" cm="1">
        <f t="array" ref="GM133">IF(GL133=0,0,(SUMPRODUCT($J$75:$J$79,$CH$75:$CH$79,($BR$75:$BR$79=CX133)*1)+SUMPRODUCT($R$75:$R$79,$CP$75:$CP$79,($BR$75:$BR$79=CX133)*1))/GL133)</f>
        <v>0</v>
      </c>
      <c r="GN133" s="2042">
        <f t="shared" si="275"/>
        <v>0</v>
      </c>
      <c r="GO133" s="2042"/>
      <c r="GP133" s="2042"/>
      <c r="GQ133" s="2042">
        <f t="shared" si="276"/>
        <v>0</v>
      </c>
      <c r="GR133" s="2042">
        <f t="shared" si="201"/>
        <v>0</v>
      </c>
      <c r="GS133" s="2042">
        <f t="shared" si="277"/>
        <v>0</v>
      </c>
      <c r="GT133" s="2042">
        <f t="shared" si="278"/>
        <v>0</v>
      </c>
      <c r="GU133" s="2045" t="str">
        <f t="shared" si="175"/>
        <v xml:space="preserve"> </v>
      </c>
      <c r="GV133" s="2045"/>
      <c r="GW133" s="2054">
        <f t="shared" si="235"/>
        <v>0</v>
      </c>
      <c r="GX133" s="2042">
        <f t="shared" si="236"/>
        <v>0</v>
      </c>
      <c r="GY133" s="2042" t="str">
        <f t="shared" si="229"/>
        <v>a</v>
      </c>
      <c r="GZ133" s="2055">
        <f t="shared" si="237"/>
        <v>0</v>
      </c>
      <c r="HA133" s="2055">
        <f t="shared" si="238"/>
        <v>0</v>
      </c>
      <c r="HB133" s="2055"/>
      <c r="HC133" s="2046">
        <f t="shared" si="239"/>
        <v>0</v>
      </c>
      <c r="HD133" s="2055">
        <f t="shared" si="240"/>
        <v>0</v>
      </c>
      <c r="HE133" s="2055">
        <f t="shared" si="241"/>
        <v>0</v>
      </c>
      <c r="HF133" s="2055">
        <f t="shared" si="242"/>
        <v>0</v>
      </c>
      <c r="HG133" s="2282" cm="1">
        <f t="array" ref="HG133">IF(AND(HE133=0,GJ133=0),0,IF(HE133=0,1,IF(OR(GJ133*1000/HE133/HF133&gt;INDEX(Pflanzen!$AD$122:$AD$160,CX133)/INDEX(Pflanzen!$M$122:$M$160,CX133)*$HG$1,GJ133*1000/HE133/HF133&lt;INDEX(Pflanzen!$AD$122:$AD$160,CX133)/INDEX(Pflanzen!$M$122:$M$160,CX133)/$HG$1),1,0)))</f>
        <v>0</v>
      </c>
      <c r="HH133" s="2287" cm="1">
        <f t="array" ref="HH133">IF(AND(GK133=0,HE133=0),0,IF(HE133=0,1,IF(OR(GK133*1000/HE133/HF133&gt;INDEX(Pflanzen!$AE$122:$AE$160,CX133)/INDEX(Pflanzen!$M$122:$M$160,CX133)*$HG$2,GK133*1000/HE133/HF133&lt;INDEX(Pflanzen!$AE$122:$AE$160,CX133)/INDEX(Pflanzen!$M$122:$M$160,CX133)/$HG$2),1,0)))</f>
        <v>0</v>
      </c>
      <c r="HI133" s="2042">
        <f t="shared" si="243"/>
        <v>3</v>
      </c>
      <c r="HJ133" s="2042"/>
      <c r="HL133" s="2042"/>
      <c r="HM133" s="2042"/>
      <c r="HN133" s="2042"/>
      <c r="HO133" s="2042"/>
      <c r="HP133" s="2042"/>
      <c r="HQ133" s="2042"/>
      <c r="HR133" s="2042"/>
      <c r="HS133" s="2042"/>
      <c r="HT133" s="2042"/>
      <c r="HU133" s="2042"/>
      <c r="HV133" s="2042"/>
      <c r="HW133" s="2042"/>
      <c r="HX133" s="2042"/>
      <c r="HY133" s="2042"/>
      <c r="HZ133" s="2042"/>
      <c r="IA133" s="2042"/>
      <c r="IB133" s="2042"/>
      <c r="IC133" s="2042"/>
      <c r="ID133" s="2042"/>
      <c r="IE133" s="2042"/>
      <c r="IF133" s="2042"/>
      <c r="IG133" s="2042"/>
      <c r="IH133" s="2042"/>
      <c r="II133" s="2042"/>
      <c r="IJ133" s="2042"/>
    </row>
    <row r="134" spans="25:244" ht="15.75" customHeight="1" x14ac:dyDescent="0.2">
      <c r="Y134" s="510"/>
      <c r="Z134" s="510"/>
      <c r="AA134" s="510"/>
      <c r="AB134" s="510"/>
      <c r="AC134" s="2033"/>
      <c r="AD134" s="2033"/>
      <c r="AE134" s="2033"/>
      <c r="AF134" s="2033"/>
      <c r="AG134" s="2033"/>
      <c r="AH134" s="2033"/>
      <c r="AI134" s="2033"/>
      <c r="AJ134" s="2033"/>
      <c r="AK134" s="2033"/>
      <c r="AL134" s="2033"/>
      <c r="AM134" s="2033"/>
      <c r="AN134" s="2033"/>
      <c r="AO134" s="517"/>
      <c r="AP134" s="517"/>
      <c r="AQ134" s="517"/>
      <c r="AR134" s="2033"/>
      <c r="AS134" s="2033"/>
      <c r="AT134" s="2033"/>
      <c r="AU134" s="2033"/>
      <c r="AV134" s="2033"/>
      <c r="AY134" s="2042"/>
      <c r="AZ134" s="2042"/>
      <c r="BA134" s="2042"/>
      <c r="BB134" s="2042"/>
      <c r="BC134" s="2042"/>
      <c r="BD134" s="2042"/>
      <c r="BP134" s="2043"/>
      <c r="BQ134" s="2042"/>
      <c r="BR134" s="2042"/>
      <c r="BS134" s="2042"/>
      <c r="BT134" s="2042"/>
      <c r="BU134" s="2059"/>
      <c r="BV134" s="2277"/>
      <c r="BW134" s="2277"/>
      <c r="BX134" s="2277"/>
      <c r="BY134" s="2277"/>
      <c r="BZ134" s="2277"/>
      <c r="CA134" s="2277"/>
      <c r="CB134" s="2277"/>
      <c r="CC134" s="2277"/>
      <c r="CD134" s="2277"/>
      <c r="CE134" s="2277"/>
      <c r="CF134" s="2277"/>
      <c r="CG134" s="2277"/>
      <c r="CH134" s="2277"/>
      <c r="CI134" s="2277"/>
      <c r="CJ134" s="2277"/>
      <c r="CK134" s="2277"/>
      <c r="CL134" s="2042"/>
      <c r="CM134" s="2042"/>
      <c r="CN134" s="2042"/>
      <c r="CO134" s="2042"/>
      <c r="CP134" s="2042"/>
      <c r="CQ134" s="2042"/>
      <c r="CR134" s="2042"/>
      <c r="CS134" s="2042"/>
      <c r="CT134" s="2042"/>
      <c r="CU134" s="2042"/>
      <c r="CV134" s="2042"/>
      <c r="CW134" s="2069" t="str">
        <f>Pflanzen!C135</f>
        <v>Leinkuchen</v>
      </c>
      <c r="CX134" s="2042">
        <f>IFERROR(MATCH($CW134,Pflanzen!$C$122:$C$160,0),1)</f>
        <v>14</v>
      </c>
      <c r="CY134" s="2069">
        <f>Pflanzen!I135</f>
        <v>2</v>
      </c>
      <c r="CZ134" s="2042">
        <f t="shared" si="279"/>
        <v>0</v>
      </c>
      <c r="DA134" s="2042">
        <f t="shared" si="289"/>
        <v>0</v>
      </c>
      <c r="DB134" s="2042">
        <f t="shared" si="289"/>
        <v>0</v>
      </c>
      <c r="DC134" s="2042">
        <f t="shared" si="289"/>
        <v>0</v>
      </c>
      <c r="DD134" s="2042">
        <f t="shared" si="289"/>
        <v>0</v>
      </c>
      <c r="DE134" s="2042">
        <f t="shared" si="289"/>
        <v>0</v>
      </c>
      <c r="DF134" s="2042">
        <f t="shared" si="289"/>
        <v>0</v>
      </c>
      <c r="DG134" s="2042">
        <f t="shared" si="289"/>
        <v>0</v>
      </c>
      <c r="DH134" s="2042">
        <f t="shared" si="289"/>
        <v>0</v>
      </c>
      <c r="DI134" s="2042">
        <f t="shared" si="289"/>
        <v>0</v>
      </c>
      <c r="DJ134" s="2042">
        <f t="shared" si="289"/>
        <v>0</v>
      </c>
      <c r="DK134" s="2042">
        <f t="shared" si="289"/>
        <v>0</v>
      </c>
      <c r="DL134" s="2042"/>
      <c r="DM134" s="2042">
        <f t="shared" si="281"/>
        <v>0</v>
      </c>
      <c r="DN134" s="2042">
        <f t="shared" si="290"/>
        <v>0</v>
      </c>
      <c r="DO134" s="2042">
        <f t="shared" si="290"/>
        <v>0</v>
      </c>
      <c r="DP134" s="2042">
        <f t="shared" si="290"/>
        <v>0</v>
      </c>
      <c r="DQ134" s="2042">
        <f t="shared" si="290"/>
        <v>0</v>
      </c>
      <c r="DR134" s="2042">
        <f t="shared" si="290"/>
        <v>0</v>
      </c>
      <c r="DS134" s="2042">
        <f t="shared" si="290"/>
        <v>0</v>
      </c>
      <c r="DT134" s="2042">
        <f t="shared" si="290"/>
        <v>0</v>
      </c>
      <c r="DU134" s="2042">
        <f t="shared" si="290"/>
        <v>0</v>
      </c>
      <c r="DV134" s="2042">
        <f t="shared" si="290"/>
        <v>0</v>
      </c>
      <c r="DW134" s="2042">
        <f t="shared" si="290"/>
        <v>0</v>
      </c>
      <c r="DX134" s="2042">
        <f t="shared" si="290"/>
        <v>0</v>
      </c>
      <c r="DY134" s="2042"/>
      <c r="DZ134" s="2042"/>
      <c r="EA134" s="2042"/>
      <c r="EB134" s="2042"/>
      <c r="EC134" s="2042"/>
      <c r="ED134" s="2042"/>
      <c r="EE134" s="2042"/>
      <c r="EF134" s="2042"/>
      <c r="EG134" s="2042"/>
      <c r="EH134" s="2042"/>
      <c r="EI134" s="2042"/>
      <c r="EJ134" s="2042"/>
      <c r="EK134" s="2042"/>
      <c r="EL134" s="2042"/>
      <c r="EM134" s="2042"/>
      <c r="EN134" s="2042"/>
      <c r="EO134" s="2042"/>
      <c r="EP134" s="2042"/>
      <c r="EQ134" s="2042"/>
      <c r="ER134" s="2042"/>
      <c r="ES134" s="2042"/>
      <c r="ET134" s="2042"/>
      <c r="EU134" s="2042"/>
      <c r="EV134" s="2042"/>
      <c r="EW134" s="2042"/>
      <c r="EX134" s="2042"/>
      <c r="EY134" s="2042"/>
      <c r="EZ134" s="2045">
        <f t="shared" si="283"/>
        <v>0</v>
      </c>
      <c r="FA134" s="2216">
        <f t="shared" si="250"/>
        <v>0</v>
      </c>
      <c r="FB134" s="2216">
        <f t="shared" si="251"/>
        <v>0</v>
      </c>
      <c r="FC134" s="2216">
        <f t="shared" si="252"/>
        <v>0</v>
      </c>
      <c r="FD134" s="2216">
        <f t="shared" si="253"/>
        <v>0</v>
      </c>
      <c r="FE134" s="2216">
        <f t="shared" si="254"/>
        <v>0</v>
      </c>
      <c r="FF134" s="2216">
        <f t="shared" si="255"/>
        <v>0</v>
      </c>
      <c r="FG134" s="2216">
        <f t="shared" si="256"/>
        <v>0</v>
      </c>
      <c r="FH134" s="2216">
        <f t="shared" si="257"/>
        <v>0</v>
      </c>
      <c r="FI134" s="2216">
        <f t="shared" si="258"/>
        <v>0</v>
      </c>
      <c r="FJ134" s="2216">
        <f t="shared" si="259"/>
        <v>0</v>
      </c>
      <c r="FK134" s="2216">
        <f t="shared" si="260"/>
        <v>0</v>
      </c>
      <c r="FL134" s="2216">
        <f t="shared" si="261"/>
        <v>0</v>
      </c>
      <c r="FM134" s="2042"/>
      <c r="FN134" s="2045">
        <f t="shared" si="284"/>
        <v>0</v>
      </c>
      <c r="FO134" s="2216">
        <f t="shared" si="262"/>
        <v>0</v>
      </c>
      <c r="FP134" s="2216">
        <f t="shared" si="263"/>
        <v>0</v>
      </c>
      <c r="FQ134" s="2216">
        <f t="shared" si="264"/>
        <v>0</v>
      </c>
      <c r="FR134" s="2216">
        <f t="shared" si="265"/>
        <v>0</v>
      </c>
      <c r="FS134" s="2216">
        <f t="shared" si="266"/>
        <v>0</v>
      </c>
      <c r="FT134" s="2216">
        <f t="shared" si="267"/>
        <v>0</v>
      </c>
      <c r="FU134" s="2216">
        <f t="shared" si="268"/>
        <v>0</v>
      </c>
      <c r="FV134" s="2216">
        <f t="shared" si="269"/>
        <v>0</v>
      </c>
      <c r="FW134" s="2216">
        <f t="shared" si="270"/>
        <v>0</v>
      </c>
      <c r="FX134" s="2216">
        <f t="shared" si="271"/>
        <v>0</v>
      </c>
      <c r="FY134" s="2216">
        <f t="shared" si="272"/>
        <v>0</v>
      </c>
      <c r="FZ134" s="2216">
        <f t="shared" si="273"/>
        <v>0</v>
      </c>
      <c r="GA134" s="2042"/>
      <c r="GB134" s="2042">
        <f t="shared" si="285"/>
        <v>0</v>
      </c>
      <c r="GC134" s="2042">
        <f t="shared" si="286"/>
        <v>0</v>
      </c>
      <c r="GD134" s="2042"/>
      <c r="GE134" s="2042"/>
      <c r="GF134" s="2042"/>
      <c r="GG134" s="2042"/>
      <c r="GH134" s="2042">
        <f t="shared" si="287"/>
        <v>0</v>
      </c>
      <c r="GI134" s="2042">
        <f t="shared" si="288"/>
        <v>0</v>
      </c>
      <c r="GJ134" s="2042">
        <f t="shared" si="232"/>
        <v>0</v>
      </c>
      <c r="GK134" s="2042">
        <f t="shared" si="233"/>
        <v>0</v>
      </c>
      <c r="GL134" s="2042">
        <f t="shared" si="274"/>
        <v>0</v>
      </c>
      <c r="GM134" s="2042" cm="1">
        <f t="array" ref="GM134">IF(GL134=0,0,(SUMPRODUCT($J$75:$J$79,$CH$75:$CH$79,($BR$75:$BR$79=CX134)*1)+SUMPRODUCT($R$75:$R$79,$CP$75:$CP$79,($BR$75:$BR$79=CX134)*1))/GL134)</f>
        <v>0</v>
      </c>
      <c r="GN134" s="2042">
        <f t="shared" si="275"/>
        <v>0</v>
      </c>
      <c r="GO134" s="2042"/>
      <c r="GP134" s="2042"/>
      <c r="GQ134" s="2042">
        <f t="shared" si="276"/>
        <v>0</v>
      </c>
      <c r="GR134" s="2042">
        <f t="shared" si="201"/>
        <v>0</v>
      </c>
      <c r="GS134" s="2042">
        <f t="shared" si="277"/>
        <v>0</v>
      </c>
      <c r="GT134" s="2042">
        <f t="shared" si="278"/>
        <v>0</v>
      </c>
      <c r="GU134" s="2045" t="str">
        <f t="shared" si="175"/>
        <v xml:space="preserve"> </v>
      </c>
      <c r="GV134" s="2045"/>
      <c r="GW134" s="2054">
        <f t="shared" si="235"/>
        <v>0</v>
      </c>
      <c r="GX134" s="2042">
        <f t="shared" si="236"/>
        <v>0</v>
      </c>
      <c r="GY134" s="2042" t="str">
        <f t="shared" si="229"/>
        <v>a</v>
      </c>
      <c r="GZ134" s="2055">
        <f t="shared" si="237"/>
        <v>0</v>
      </c>
      <c r="HA134" s="2055">
        <f t="shared" si="238"/>
        <v>0</v>
      </c>
      <c r="HB134" s="2055"/>
      <c r="HC134" s="2046">
        <f t="shared" si="239"/>
        <v>0</v>
      </c>
      <c r="HD134" s="2055">
        <f t="shared" si="240"/>
        <v>0</v>
      </c>
      <c r="HE134" s="2055">
        <f t="shared" si="241"/>
        <v>0</v>
      </c>
      <c r="HF134" s="2055">
        <f t="shared" si="242"/>
        <v>0</v>
      </c>
      <c r="HG134" s="2282" cm="1">
        <f t="array" ref="HG134">IF(AND(HE134=0,GJ134=0),0,IF(HE134=0,1,IF(OR(GJ134*1000/HE134/HF134&gt;INDEX(Pflanzen!$AD$122:$AD$160,CX134)/INDEX(Pflanzen!$M$122:$M$160,CX134)*$HG$1,GJ134*1000/HE134/HF134&lt;INDEX(Pflanzen!$AD$122:$AD$160,CX134)/INDEX(Pflanzen!$M$122:$M$160,CX134)/$HG$1),1,0)))</f>
        <v>0</v>
      </c>
      <c r="HH134" s="2287" cm="1">
        <f t="array" ref="HH134">IF(AND(GK134=0,HE134=0),0,IF(HE134=0,1,IF(OR(GK134*1000/HE134/HF134&gt;INDEX(Pflanzen!$AE$122:$AE$160,CX134)/INDEX(Pflanzen!$M$122:$M$160,CX134)*$HG$2,GK134*1000/HE134/HF134&lt;INDEX(Pflanzen!$AE$122:$AE$160,CX134)/INDEX(Pflanzen!$M$122:$M$160,CX134)/$HG$2),1,0)))</f>
        <v>0</v>
      </c>
      <c r="HI134" s="2042">
        <f t="shared" si="243"/>
        <v>3</v>
      </c>
      <c r="HJ134" s="2042"/>
      <c r="HL134" s="2042"/>
      <c r="HM134" s="2042"/>
      <c r="HN134" s="2042"/>
      <c r="HO134" s="2042"/>
      <c r="HP134" s="2042"/>
      <c r="HQ134" s="2042"/>
      <c r="HR134" s="2042"/>
      <c r="HS134" s="2042"/>
      <c r="HT134" s="2042"/>
      <c r="HU134" s="2042"/>
      <c r="HV134" s="2042"/>
      <c r="HW134" s="2042"/>
      <c r="HX134" s="2042"/>
      <c r="HY134" s="2042"/>
      <c r="HZ134" s="2042"/>
      <c r="IA134" s="2042"/>
      <c r="IB134" s="2042"/>
      <c r="IC134" s="2042"/>
      <c r="ID134" s="2042"/>
      <c r="IE134" s="2042"/>
      <c r="IF134" s="2042"/>
      <c r="IG134" s="2042"/>
      <c r="IH134" s="2042"/>
      <c r="II134" s="2042"/>
      <c r="IJ134" s="2042"/>
    </row>
    <row r="135" spans="25:244" ht="15.75" customHeight="1" x14ac:dyDescent="0.2">
      <c r="Y135" s="510"/>
      <c r="Z135" s="510"/>
      <c r="AA135" s="510"/>
      <c r="AB135" s="510"/>
      <c r="AC135" s="2033"/>
      <c r="AD135" s="2033"/>
      <c r="AE135" s="2033"/>
      <c r="AF135" s="2033"/>
      <c r="AG135" s="2033"/>
      <c r="AH135" s="2033"/>
      <c r="AI135" s="2033"/>
      <c r="AJ135" s="2033"/>
      <c r="AK135" s="2033"/>
      <c r="AL135" s="2033"/>
      <c r="AM135" s="2033"/>
      <c r="AN135" s="2033"/>
      <c r="AO135" s="517"/>
      <c r="AP135" s="517"/>
      <c r="AQ135" s="517"/>
      <c r="AR135" s="2033"/>
      <c r="AS135" s="2033"/>
      <c r="AT135" s="2033"/>
      <c r="AU135" s="2033"/>
      <c r="AV135" s="2033"/>
      <c r="AY135" s="2042"/>
      <c r="AZ135" s="2042"/>
      <c r="BA135" s="2042"/>
      <c r="BB135" s="2042"/>
      <c r="BC135" s="2042"/>
      <c r="BD135" s="2042"/>
      <c r="BP135" s="2043"/>
      <c r="BQ135" s="2042"/>
      <c r="BR135" s="2042"/>
      <c r="BS135" s="2042"/>
      <c r="BT135" s="2042"/>
      <c r="BU135" s="2059"/>
      <c r="BV135" s="2277"/>
      <c r="BW135" s="2277"/>
      <c r="BX135" s="2277"/>
      <c r="BY135" s="2277"/>
      <c r="BZ135" s="2277"/>
      <c r="CA135" s="2277"/>
      <c r="CB135" s="2277"/>
      <c r="CC135" s="2277"/>
      <c r="CD135" s="2277"/>
      <c r="CE135" s="2277"/>
      <c r="CF135" s="2277"/>
      <c r="CG135" s="2277"/>
      <c r="CH135" s="2277"/>
      <c r="CI135" s="2277"/>
      <c r="CJ135" s="2277"/>
      <c r="CK135" s="2277"/>
      <c r="CL135" s="2042"/>
      <c r="CM135" s="2042"/>
      <c r="CN135" s="2042"/>
      <c r="CO135" s="2042"/>
      <c r="CP135" s="2042"/>
      <c r="CQ135" s="2042"/>
      <c r="CR135" s="2042"/>
      <c r="CS135" s="2042"/>
      <c r="CT135" s="2042"/>
      <c r="CU135" s="2042"/>
      <c r="CV135" s="2042"/>
      <c r="CW135" s="2069" t="str">
        <f>Pflanzen!C136</f>
        <v>Luzernegrünmehl</v>
      </c>
      <c r="CX135" s="2042">
        <f>IFERROR(MATCH($CW135,Pflanzen!$C$122:$C$160,0),1)</f>
        <v>15</v>
      </c>
      <c r="CY135" s="2069">
        <f>Pflanzen!I136</f>
        <v>2</v>
      </c>
      <c r="CZ135" s="2042">
        <f t="shared" si="279"/>
        <v>0</v>
      </c>
      <c r="DA135" s="2042">
        <f t="shared" si="289"/>
        <v>0</v>
      </c>
      <c r="DB135" s="2042">
        <f t="shared" si="289"/>
        <v>0</v>
      </c>
      <c r="DC135" s="2042">
        <f t="shared" si="289"/>
        <v>0</v>
      </c>
      <c r="DD135" s="2042">
        <f t="shared" si="289"/>
        <v>0</v>
      </c>
      <c r="DE135" s="2042">
        <f t="shared" si="289"/>
        <v>0</v>
      </c>
      <c r="DF135" s="2042">
        <f t="shared" si="289"/>
        <v>0</v>
      </c>
      <c r="DG135" s="2042">
        <f t="shared" si="289"/>
        <v>0</v>
      </c>
      <c r="DH135" s="2042">
        <f t="shared" si="289"/>
        <v>0</v>
      </c>
      <c r="DI135" s="2042">
        <f t="shared" si="289"/>
        <v>0</v>
      </c>
      <c r="DJ135" s="2042">
        <f t="shared" si="289"/>
        <v>0</v>
      </c>
      <c r="DK135" s="2042">
        <f t="shared" si="289"/>
        <v>0</v>
      </c>
      <c r="DL135" s="2042"/>
      <c r="DM135" s="2042">
        <f t="shared" si="281"/>
        <v>0</v>
      </c>
      <c r="DN135" s="2042">
        <f t="shared" si="290"/>
        <v>0</v>
      </c>
      <c r="DO135" s="2042">
        <f t="shared" si="290"/>
        <v>0</v>
      </c>
      <c r="DP135" s="2042">
        <f t="shared" si="290"/>
        <v>0</v>
      </c>
      <c r="DQ135" s="2042">
        <f t="shared" si="290"/>
        <v>0</v>
      </c>
      <c r="DR135" s="2042">
        <f t="shared" si="290"/>
        <v>0</v>
      </c>
      <c r="DS135" s="2042">
        <f t="shared" si="290"/>
        <v>0</v>
      </c>
      <c r="DT135" s="2042">
        <f t="shared" si="290"/>
        <v>0</v>
      </c>
      <c r="DU135" s="2042">
        <f t="shared" si="290"/>
        <v>0</v>
      </c>
      <c r="DV135" s="2042">
        <f t="shared" si="290"/>
        <v>0</v>
      </c>
      <c r="DW135" s="2042">
        <f t="shared" si="290"/>
        <v>0</v>
      </c>
      <c r="DX135" s="2042">
        <f t="shared" si="290"/>
        <v>0</v>
      </c>
      <c r="DY135" s="2042"/>
      <c r="DZ135" s="2042"/>
      <c r="EA135" s="2042"/>
      <c r="EB135" s="2042"/>
      <c r="EC135" s="2042"/>
      <c r="ED135" s="2042"/>
      <c r="EE135" s="2042"/>
      <c r="EF135" s="2042"/>
      <c r="EG135" s="2042"/>
      <c r="EH135" s="2042"/>
      <c r="EI135" s="2042"/>
      <c r="EJ135" s="2042"/>
      <c r="EK135" s="2042"/>
      <c r="EL135" s="2042"/>
      <c r="EM135" s="2042"/>
      <c r="EN135" s="2042"/>
      <c r="EO135" s="2042"/>
      <c r="EP135" s="2042"/>
      <c r="EQ135" s="2042"/>
      <c r="ER135" s="2042"/>
      <c r="ES135" s="2042"/>
      <c r="ET135" s="2042"/>
      <c r="EU135" s="2042"/>
      <c r="EV135" s="2042"/>
      <c r="EW135" s="2042"/>
      <c r="EX135" s="2042"/>
      <c r="EY135" s="2042"/>
      <c r="EZ135" s="2045">
        <f t="shared" si="283"/>
        <v>0</v>
      </c>
      <c r="FA135" s="2216">
        <f t="shared" si="250"/>
        <v>0</v>
      </c>
      <c r="FB135" s="2216">
        <f t="shared" si="251"/>
        <v>0</v>
      </c>
      <c r="FC135" s="2216">
        <f t="shared" si="252"/>
        <v>0</v>
      </c>
      <c r="FD135" s="2216">
        <f t="shared" si="253"/>
        <v>0</v>
      </c>
      <c r="FE135" s="2216">
        <f t="shared" si="254"/>
        <v>0</v>
      </c>
      <c r="FF135" s="2216">
        <f t="shared" si="255"/>
        <v>0</v>
      </c>
      <c r="FG135" s="2216">
        <f t="shared" si="256"/>
        <v>0</v>
      </c>
      <c r="FH135" s="2216">
        <f t="shared" si="257"/>
        <v>0</v>
      </c>
      <c r="FI135" s="2216">
        <f t="shared" si="258"/>
        <v>0</v>
      </c>
      <c r="FJ135" s="2216">
        <f t="shared" si="259"/>
        <v>0</v>
      </c>
      <c r="FK135" s="2216">
        <f t="shared" si="260"/>
        <v>0</v>
      </c>
      <c r="FL135" s="2216">
        <f t="shared" si="261"/>
        <v>0</v>
      </c>
      <c r="FM135" s="2042"/>
      <c r="FN135" s="2045">
        <f t="shared" si="284"/>
        <v>0</v>
      </c>
      <c r="FO135" s="2216">
        <f t="shared" si="262"/>
        <v>0</v>
      </c>
      <c r="FP135" s="2216">
        <f t="shared" si="263"/>
        <v>0</v>
      </c>
      <c r="FQ135" s="2216">
        <f t="shared" si="264"/>
        <v>0</v>
      </c>
      <c r="FR135" s="2216">
        <f t="shared" si="265"/>
        <v>0</v>
      </c>
      <c r="FS135" s="2216">
        <f t="shared" si="266"/>
        <v>0</v>
      </c>
      <c r="FT135" s="2216">
        <f t="shared" si="267"/>
        <v>0</v>
      </c>
      <c r="FU135" s="2216">
        <f t="shared" si="268"/>
        <v>0</v>
      </c>
      <c r="FV135" s="2216">
        <f t="shared" si="269"/>
        <v>0</v>
      </c>
      <c r="FW135" s="2216">
        <f t="shared" si="270"/>
        <v>0</v>
      </c>
      <c r="FX135" s="2216">
        <f t="shared" si="271"/>
        <v>0</v>
      </c>
      <c r="FY135" s="2216">
        <f t="shared" si="272"/>
        <v>0</v>
      </c>
      <c r="FZ135" s="2216">
        <f t="shared" si="273"/>
        <v>0</v>
      </c>
      <c r="GA135" s="2042"/>
      <c r="GB135" s="2042">
        <f t="shared" si="285"/>
        <v>0</v>
      </c>
      <c r="GC135" s="2042">
        <f t="shared" si="286"/>
        <v>0</v>
      </c>
      <c r="GD135" s="2042"/>
      <c r="GE135" s="2042"/>
      <c r="GF135" s="2042"/>
      <c r="GG135" s="2042"/>
      <c r="GH135" s="2042">
        <f t="shared" si="287"/>
        <v>0</v>
      </c>
      <c r="GI135" s="2042">
        <f t="shared" si="288"/>
        <v>0</v>
      </c>
      <c r="GJ135" s="2042">
        <f t="shared" si="232"/>
        <v>0</v>
      </c>
      <c r="GK135" s="2042">
        <f t="shared" si="233"/>
        <v>0</v>
      </c>
      <c r="GL135" s="2042">
        <f t="shared" si="274"/>
        <v>0</v>
      </c>
      <c r="GM135" s="2042" cm="1">
        <f t="array" ref="GM135">IF(GL135=0,0,(SUMPRODUCT($J$75:$J$79,$CH$75:$CH$79,($BR$75:$BR$79=CX135)*1)+SUMPRODUCT($R$75:$R$79,$CP$75:$CP$79,($BR$75:$BR$79=CX135)*1))/GL135)</f>
        <v>0</v>
      </c>
      <c r="GN135" s="2042">
        <f t="shared" si="275"/>
        <v>0</v>
      </c>
      <c r="GO135" s="2042"/>
      <c r="GP135" s="2042"/>
      <c r="GQ135" s="2042">
        <f t="shared" si="276"/>
        <v>0</v>
      </c>
      <c r="GR135" s="2042">
        <f t="shared" si="201"/>
        <v>0</v>
      </c>
      <c r="GS135" s="2042">
        <f t="shared" si="277"/>
        <v>0</v>
      </c>
      <c r="GT135" s="2042">
        <f t="shared" si="278"/>
        <v>0</v>
      </c>
      <c r="GU135" s="2045" t="str">
        <f t="shared" si="175"/>
        <v xml:space="preserve"> </v>
      </c>
      <c r="GV135" s="2045"/>
      <c r="GW135" s="2054">
        <f t="shared" si="235"/>
        <v>0</v>
      </c>
      <c r="GX135" s="2042">
        <f t="shared" si="236"/>
        <v>0</v>
      </c>
      <c r="GY135" s="2042" t="str">
        <f t="shared" si="229"/>
        <v>a</v>
      </c>
      <c r="GZ135" s="2055">
        <f t="shared" si="237"/>
        <v>0</v>
      </c>
      <c r="HA135" s="2055">
        <f t="shared" si="238"/>
        <v>0</v>
      </c>
      <c r="HB135" s="2055"/>
      <c r="HC135" s="2046">
        <f t="shared" si="239"/>
        <v>0</v>
      </c>
      <c r="HD135" s="2055">
        <f t="shared" si="240"/>
        <v>0</v>
      </c>
      <c r="HE135" s="2055">
        <f t="shared" si="241"/>
        <v>0</v>
      </c>
      <c r="HF135" s="2055">
        <f t="shared" si="242"/>
        <v>0</v>
      </c>
      <c r="HG135" s="2282" cm="1">
        <f t="array" ref="HG135">IF(AND(HE135=0,GJ135=0),0,IF(HE135=0,1,IF(OR(GJ135*1000/HE135/HF135&gt;INDEX(Pflanzen!$AD$122:$AD$160,CX135)/INDEX(Pflanzen!$M$122:$M$160,CX135)*$HG$1,GJ135*1000/HE135/HF135&lt;INDEX(Pflanzen!$AD$122:$AD$160,CX135)/INDEX(Pflanzen!$M$122:$M$160,CX135)/$HG$1),1,0)))</f>
        <v>0</v>
      </c>
      <c r="HH135" s="2287" cm="1">
        <f t="array" ref="HH135">IF(AND(GK135=0,HE135=0),0,IF(HE135=0,1,IF(OR(GK135*1000/HE135/HF135&gt;INDEX(Pflanzen!$AE$122:$AE$160,CX135)/INDEX(Pflanzen!$M$122:$M$160,CX135)*$HG$2,GK135*1000/HE135/HF135&lt;INDEX(Pflanzen!$AE$122:$AE$160,CX135)/INDEX(Pflanzen!$M$122:$M$160,CX135)/$HG$2),1,0)))</f>
        <v>0</v>
      </c>
      <c r="HI135" s="2042">
        <f t="shared" si="243"/>
        <v>3</v>
      </c>
      <c r="HJ135" s="2042"/>
      <c r="HL135" s="2042"/>
      <c r="HM135" s="2042"/>
      <c r="HN135" s="2042"/>
      <c r="HO135" s="2042"/>
      <c r="HP135" s="2042"/>
      <c r="HQ135" s="2042"/>
      <c r="HR135" s="2042"/>
      <c r="HS135" s="2042"/>
      <c r="HT135" s="2042"/>
      <c r="HU135" s="2042"/>
      <c r="HV135" s="2042"/>
      <c r="HW135" s="2042"/>
      <c r="HX135" s="2042"/>
      <c r="HY135" s="2042"/>
      <c r="HZ135" s="2042"/>
      <c r="IA135" s="2042"/>
      <c r="IB135" s="2042"/>
      <c r="IC135" s="2042"/>
      <c r="ID135" s="2042"/>
      <c r="IE135" s="2042"/>
      <c r="IF135" s="2042"/>
      <c r="IG135" s="2042"/>
      <c r="IH135" s="2042"/>
      <c r="II135" s="2042"/>
      <c r="IJ135" s="2042"/>
    </row>
    <row r="136" spans="25:244" ht="15.75" customHeight="1" x14ac:dyDescent="0.2">
      <c r="Y136" s="510"/>
      <c r="Z136" s="510"/>
      <c r="AA136" s="510"/>
      <c r="AB136" s="510"/>
      <c r="AC136" s="2033"/>
      <c r="AD136" s="2033"/>
      <c r="AE136" s="2033"/>
      <c r="AF136" s="2033"/>
      <c r="AG136" s="2033"/>
      <c r="AH136" s="2033"/>
      <c r="AI136" s="2033"/>
      <c r="AJ136" s="2033"/>
      <c r="AK136" s="2033"/>
      <c r="AL136" s="2033"/>
      <c r="AM136" s="2033"/>
      <c r="AN136" s="2033"/>
      <c r="AO136" s="517"/>
      <c r="AP136" s="517"/>
      <c r="AQ136" s="517"/>
      <c r="AR136" s="2033"/>
      <c r="AS136" s="2033"/>
      <c r="AT136" s="2033"/>
      <c r="AU136" s="2033"/>
      <c r="AV136" s="2033"/>
      <c r="AY136" s="2042"/>
      <c r="AZ136" s="2042"/>
      <c r="BA136" s="2042"/>
      <c r="BB136" s="2042"/>
      <c r="BC136" s="2042"/>
      <c r="BD136" s="2042"/>
      <c r="BP136" s="2043"/>
      <c r="BQ136" s="2042"/>
      <c r="BR136" s="2042"/>
      <c r="BS136" s="2042"/>
      <c r="BT136" s="2042"/>
      <c r="BU136" s="2059"/>
      <c r="BV136" s="2277"/>
      <c r="BW136" s="2277"/>
      <c r="BX136" s="2277"/>
      <c r="BY136" s="2277"/>
      <c r="BZ136" s="2277"/>
      <c r="CA136" s="2277"/>
      <c r="CB136" s="2277"/>
      <c r="CC136" s="2277"/>
      <c r="CD136" s="2277"/>
      <c r="CE136" s="2277"/>
      <c r="CF136" s="2277"/>
      <c r="CG136" s="2277"/>
      <c r="CH136" s="2277"/>
      <c r="CI136" s="2277"/>
      <c r="CJ136" s="2277"/>
      <c r="CK136" s="2277"/>
      <c r="CL136" s="2042"/>
      <c r="CM136" s="2042"/>
      <c r="CN136" s="2042"/>
      <c r="CO136" s="2042"/>
      <c r="CP136" s="2042"/>
      <c r="CQ136" s="2042"/>
      <c r="CR136" s="2042"/>
      <c r="CS136" s="2042"/>
      <c r="CT136" s="2042"/>
      <c r="CU136" s="2042"/>
      <c r="CV136" s="2042"/>
      <c r="CW136" s="2069" t="str">
        <f>Pflanzen!C137</f>
        <v>Magermilch, frisch</v>
      </c>
      <c r="CX136" s="2042">
        <f>IFERROR(MATCH($CW136,Pflanzen!$C$122:$C$160,0),1)</f>
        <v>16</v>
      </c>
      <c r="CY136" s="2069">
        <f>Pflanzen!I137</f>
        <v>2</v>
      </c>
      <c r="CZ136" s="2042">
        <f t="shared" si="279"/>
        <v>0</v>
      </c>
      <c r="DA136" s="2042">
        <f t="shared" si="289"/>
        <v>0</v>
      </c>
      <c r="DB136" s="2042">
        <f t="shared" si="289"/>
        <v>0</v>
      </c>
      <c r="DC136" s="2042">
        <f t="shared" si="289"/>
        <v>0</v>
      </c>
      <c r="DD136" s="2042">
        <f t="shared" si="289"/>
        <v>0</v>
      </c>
      <c r="DE136" s="2042">
        <f t="shared" si="289"/>
        <v>0</v>
      </c>
      <c r="DF136" s="2042">
        <f t="shared" si="289"/>
        <v>0</v>
      </c>
      <c r="DG136" s="2042">
        <f t="shared" si="289"/>
        <v>0</v>
      </c>
      <c r="DH136" s="2042">
        <f t="shared" si="289"/>
        <v>0</v>
      </c>
      <c r="DI136" s="2042">
        <f t="shared" si="289"/>
        <v>0</v>
      </c>
      <c r="DJ136" s="2042">
        <f t="shared" si="289"/>
        <v>0</v>
      </c>
      <c r="DK136" s="2042">
        <f t="shared" si="289"/>
        <v>0</v>
      </c>
      <c r="DL136" s="2042"/>
      <c r="DM136" s="2042">
        <f t="shared" si="281"/>
        <v>0</v>
      </c>
      <c r="DN136" s="2042">
        <f t="shared" si="290"/>
        <v>0</v>
      </c>
      <c r="DO136" s="2042">
        <f t="shared" si="290"/>
        <v>0</v>
      </c>
      <c r="DP136" s="2042">
        <f t="shared" si="290"/>
        <v>0</v>
      </c>
      <c r="DQ136" s="2042">
        <f t="shared" si="290"/>
        <v>0</v>
      </c>
      <c r="DR136" s="2042">
        <f t="shared" si="290"/>
        <v>0</v>
      </c>
      <c r="DS136" s="2042">
        <f t="shared" si="290"/>
        <v>0</v>
      </c>
      <c r="DT136" s="2042">
        <f t="shared" si="290"/>
        <v>0</v>
      </c>
      <c r="DU136" s="2042">
        <f t="shared" si="290"/>
        <v>0</v>
      </c>
      <c r="DV136" s="2042">
        <f t="shared" si="290"/>
        <v>0</v>
      </c>
      <c r="DW136" s="2042">
        <f t="shared" si="290"/>
        <v>0</v>
      </c>
      <c r="DX136" s="2042">
        <f t="shared" si="290"/>
        <v>0</v>
      </c>
      <c r="DY136" s="2042"/>
      <c r="DZ136" s="2042"/>
      <c r="EA136" s="2042"/>
      <c r="EB136" s="2042"/>
      <c r="EC136" s="2042"/>
      <c r="ED136" s="2042"/>
      <c r="EE136" s="2042"/>
      <c r="EF136" s="2042"/>
      <c r="EG136" s="2042"/>
      <c r="EH136" s="2042"/>
      <c r="EI136" s="2042"/>
      <c r="EJ136" s="2042"/>
      <c r="EK136" s="2042"/>
      <c r="EL136" s="2042"/>
      <c r="EM136" s="2042"/>
      <c r="EN136" s="2042"/>
      <c r="EO136" s="2042"/>
      <c r="EP136" s="2042"/>
      <c r="EQ136" s="2042"/>
      <c r="ER136" s="2042"/>
      <c r="ES136" s="2042"/>
      <c r="ET136" s="2042"/>
      <c r="EU136" s="2042"/>
      <c r="EV136" s="2042"/>
      <c r="EW136" s="2042"/>
      <c r="EX136" s="2042"/>
      <c r="EY136" s="2042"/>
      <c r="EZ136" s="2045">
        <f t="shared" si="283"/>
        <v>0</v>
      </c>
      <c r="FA136" s="2216">
        <f t="shared" si="250"/>
        <v>0</v>
      </c>
      <c r="FB136" s="2216">
        <f t="shared" si="251"/>
        <v>0</v>
      </c>
      <c r="FC136" s="2216">
        <f t="shared" si="252"/>
        <v>0</v>
      </c>
      <c r="FD136" s="2216">
        <f t="shared" si="253"/>
        <v>0</v>
      </c>
      <c r="FE136" s="2216">
        <f t="shared" si="254"/>
        <v>0</v>
      </c>
      <c r="FF136" s="2216">
        <f t="shared" si="255"/>
        <v>0</v>
      </c>
      <c r="FG136" s="2216">
        <f t="shared" si="256"/>
        <v>0</v>
      </c>
      <c r="FH136" s="2216">
        <f t="shared" si="257"/>
        <v>0</v>
      </c>
      <c r="FI136" s="2216">
        <f t="shared" si="258"/>
        <v>0</v>
      </c>
      <c r="FJ136" s="2216">
        <f t="shared" si="259"/>
        <v>0</v>
      </c>
      <c r="FK136" s="2216">
        <f t="shared" si="260"/>
        <v>0</v>
      </c>
      <c r="FL136" s="2216">
        <f t="shared" si="261"/>
        <v>0</v>
      </c>
      <c r="FM136" s="2042"/>
      <c r="FN136" s="2045">
        <f t="shared" si="284"/>
        <v>0</v>
      </c>
      <c r="FO136" s="2216">
        <f t="shared" si="262"/>
        <v>0</v>
      </c>
      <c r="FP136" s="2216">
        <f t="shared" si="263"/>
        <v>0</v>
      </c>
      <c r="FQ136" s="2216">
        <f t="shared" si="264"/>
        <v>0</v>
      </c>
      <c r="FR136" s="2216">
        <f t="shared" si="265"/>
        <v>0</v>
      </c>
      <c r="FS136" s="2216">
        <f t="shared" si="266"/>
        <v>0</v>
      </c>
      <c r="FT136" s="2216">
        <f t="shared" si="267"/>
        <v>0</v>
      </c>
      <c r="FU136" s="2216">
        <f t="shared" si="268"/>
        <v>0</v>
      </c>
      <c r="FV136" s="2216">
        <f t="shared" si="269"/>
        <v>0</v>
      </c>
      <c r="FW136" s="2216">
        <f t="shared" si="270"/>
        <v>0</v>
      </c>
      <c r="FX136" s="2216">
        <f t="shared" si="271"/>
        <v>0</v>
      </c>
      <c r="FY136" s="2216">
        <f t="shared" si="272"/>
        <v>0</v>
      </c>
      <c r="FZ136" s="2216">
        <f t="shared" si="273"/>
        <v>0</v>
      </c>
      <c r="GA136" s="2042"/>
      <c r="GB136" s="2042">
        <f t="shared" si="285"/>
        <v>0</v>
      </c>
      <c r="GC136" s="2042">
        <f t="shared" si="286"/>
        <v>0</v>
      </c>
      <c r="GD136" s="2042"/>
      <c r="GE136" s="2042"/>
      <c r="GF136" s="2042"/>
      <c r="GG136" s="2042"/>
      <c r="GH136" s="2042">
        <f t="shared" si="287"/>
        <v>0</v>
      </c>
      <c r="GI136" s="2042">
        <f t="shared" si="288"/>
        <v>0</v>
      </c>
      <c r="GJ136" s="2042">
        <f t="shared" si="232"/>
        <v>0</v>
      </c>
      <c r="GK136" s="2042">
        <f t="shared" si="233"/>
        <v>0</v>
      </c>
      <c r="GL136" s="2042">
        <f t="shared" si="274"/>
        <v>0</v>
      </c>
      <c r="GM136" s="2042" cm="1">
        <f t="array" ref="GM136">IF(GL136=0,0,(SUMPRODUCT($J$75:$J$79,$CH$75:$CH$79,($BR$75:$BR$79=CX136)*1)+SUMPRODUCT($R$75:$R$79,$CP$75:$CP$79,($BR$75:$BR$79=CX136)*1))/GL136)</f>
        <v>0</v>
      </c>
      <c r="GN136" s="2042">
        <f t="shared" si="275"/>
        <v>0</v>
      </c>
      <c r="GO136" s="2042"/>
      <c r="GP136" s="2042"/>
      <c r="GQ136" s="2042">
        <f t="shared" si="276"/>
        <v>0</v>
      </c>
      <c r="GR136" s="2042">
        <f t="shared" si="201"/>
        <v>0</v>
      </c>
      <c r="GS136" s="2042">
        <f t="shared" si="277"/>
        <v>0</v>
      </c>
      <c r="GT136" s="2042">
        <f t="shared" si="278"/>
        <v>0</v>
      </c>
      <c r="GU136" s="2045" t="str">
        <f t="shared" si="175"/>
        <v xml:space="preserve"> </v>
      </c>
      <c r="GV136" s="2045"/>
      <c r="GW136" s="2054">
        <f t="shared" si="235"/>
        <v>0</v>
      </c>
      <c r="GX136" s="2042">
        <f t="shared" si="236"/>
        <v>0</v>
      </c>
      <c r="GY136" s="2042" t="str">
        <f t="shared" si="229"/>
        <v>a</v>
      </c>
      <c r="GZ136" s="2055">
        <f t="shared" si="237"/>
        <v>0</v>
      </c>
      <c r="HA136" s="2055">
        <f t="shared" si="238"/>
        <v>0</v>
      </c>
      <c r="HB136" s="2055"/>
      <c r="HC136" s="2046">
        <f t="shared" si="239"/>
        <v>0</v>
      </c>
      <c r="HD136" s="2055">
        <f t="shared" si="240"/>
        <v>0</v>
      </c>
      <c r="HE136" s="2055">
        <f t="shared" si="241"/>
        <v>0</v>
      </c>
      <c r="HF136" s="2055">
        <f t="shared" si="242"/>
        <v>0</v>
      </c>
      <c r="HG136" s="2282" cm="1">
        <f t="array" ref="HG136">IF(AND(HE136=0,GJ136=0),0,IF(HE136=0,1,IF(OR(GJ136*1000/HE136/HF136&gt;INDEX(Pflanzen!$AD$122:$AD$160,CX136)/INDEX(Pflanzen!$M$122:$M$160,CX136)*$HG$1,GJ136*1000/HE136/HF136&lt;INDEX(Pflanzen!$AD$122:$AD$160,CX136)/INDEX(Pflanzen!$M$122:$M$160,CX136)/$HG$1),1,0)))</f>
        <v>0</v>
      </c>
      <c r="HH136" s="2287" cm="1">
        <f t="array" ref="HH136">IF(AND(GK136=0,HE136=0),0,IF(HE136=0,1,IF(OR(GK136*1000/HE136/HF136&gt;INDEX(Pflanzen!$AE$122:$AE$160,CX136)/INDEX(Pflanzen!$M$122:$M$160,CX136)*$HG$2,GK136*1000/HE136/HF136&lt;INDEX(Pflanzen!$AE$122:$AE$160,CX136)/INDEX(Pflanzen!$M$122:$M$160,CX136)/$HG$2),1,0)))</f>
        <v>0</v>
      </c>
      <c r="HI136" s="2042">
        <f t="shared" si="243"/>
        <v>3</v>
      </c>
      <c r="HJ136" s="2042"/>
      <c r="HL136" s="2042"/>
      <c r="HM136" s="2042"/>
      <c r="HN136" s="2042"/>
      <c r="HO136" s="2042"/>
      <c r="HP136" s="2042"/>
      <c r="HQ136" s="2042"/>
      <c r="HR136" s="2042"/>
      <c r="HS136" s="2042"/>
      <c r="HT136" s="2042"/>
      <c r="HU136" s="2042"/>
      <c r="HV136" s="2042"/>
      <c r="HW136" s="2042"/>
      <c r="HX136" s="2042"/>
      <c r="HY136" s="2042"/>
      <c r="HZ136" s="2042"/>
      <c r="IA136" s="2042"/>
      <c r="IB136" s="2042"/>
      <c r="IC136" s="2042"/>
      <c r="ID136" s="2042"/>
      <c r="IE136" s="2042"/>
      <c r="IF136" s="2042"/>
      <c r="IG136" s="2042"/>
      <c r="IH136" s="2042"/>
      <c r="II136" s="2042"/>
      <c r="IJ136" s="2042"/>
    </row>
    <row r="137" spans="25:244" ht="15.75" customHeight="1" x14ac:dyDescent="0.2">
      <c r="Y137" s="510"/>
      <c r="Z137" s="510"/>
      <c r="AA137" s="510"/>
      <c r="AB137" s="510"/>
      <c r="AC137" s="2033"/>
      <c r="AD137" s="2033"/>
      <c r="AE137" s="2033"/>
      <c r="AF137" s="2033"/>
      <c r="AG137" s="2033"/>
      <c r="AH137" s="2033"/>
      <c r="AI137" s="2033"/>
      <c r="AJ137" s="2033"/>
      <c r="AK137" s="2033"/>
      <c r="AL137" s="2033"/>
      <c r="AM137" s="2033"/>
      <c r="AN137" s="2033"/>
      <c r="AO137" s="517"/>
      <c r="AP137" s="517"/>
      <c r="AQ137" s="517"/>
      <c r="AR137" s="2033"/>
      <c r="AS137" s="2033"/>
      <c r="AT137" s="2033"/>
      <c r="AU137" s="2033"/>
      <c r="AV137" s="2033"/>
      <c r="AY137" s="2042"/>
      <c r="AZ137" s="2042"/>
      <c r="BA137" s="2042"/>
      <c r="BB137" s="2042"/>
      <c r="BC137" s="2042"/>
      <c r="BD137" s="2042"/>
      <c r="BP137" s="2043"/>
      <c r="BQ137" s="2042"/>
      <c r="BR137" s="2042"/>
      <c r="BS137" s="2042"/>
      <c r="BT137" s="2042"/>
      <c r="BU137" s="2059"/>
      <c r="BV137" s="2277"/>
      <c r="BW137" s="2277"/>
      <c r="BX137" s="2277"/>
      <c r="BY137" s="2277"/>
      <c r="BZ137" s="2277"/>
      <c r="CA137" s="2277"/>
      <c r="CB137" s="2277"/>
      <c r="CC137" s="2277"/>
      <c r="CD137" s="2277"/>
      <c r="CE137" s="2277"/>
      <c r="CF137" s="2277"/>
      <c r="CG137" s="2277"/>
      <c r="CH137" s="2277"/>
      <c r="CI137" s="2277"/>
      <c r="CJ137" s="2277"/>
      <c r="CK137" s="2277"/>
      <c r="CL137" s="2042"/>
      <c r="CM137" s="2042"/>
      <c r="CN137" s="2042"/>
      <c r="CO137" s="2042"/>
      <c r="CP137" s="2042"/>
      <c r="CQ137" s="2042"/>
      <c r="CR137" s="2042"/>
      <c r="CS137" s="2042"/>
      <c r="CT137" s="2042"/>
      <c r="CU137" s="2042"/>
      <c r="CV137" s="2042"/>
      <c r="CW137" s="2069" t="str">
        <f>Pflanzen!C138</f>
        <v>Maiskeimextraktionsschrot</v>
      </c>
      <c r="CX137" s="2042">
        <f>IFERROR(MATCH($CW137,Pflanzen!$C$122:$C$160,0),1)</f>
        <v>17</v>
      </c>
      <c r="CY137" s="2069">
        <f>Pflanzen!I138</f>
        <v>2</v>
      </c>
      <c r="CZ137" s="2042">
        <f t="shared" si="279"/>
        <v>0</v>
      </c>
      <c r="DA137" s="2042">
        <f t="shared" si="289"/>
        <v>0</v>
      </c>
      <c r="DB137" s="2042">
        <f t="shared" si="289"/>
        <v>0</v>
      </c>
      <c r="DC137" s="2042">
        <f t="shared" si="289"/>
        <v>0</v>
      </c>
      <c r="DD137" s="2042">
        <f t="shared" si="289"/>
        <v>0</v>
      </c>
      <c r="DE137" s="2042">
        <f t="shared" si="289"/>
        <v>0</v>
      </c>
      <c r="DF137" s="2042">
        <f t="shared" si="289"/>
        <v>0</v>
      </c>
      <c r="DG137" s="2042">
        <f t="shared" si="289"/>
        <v>0</v>
      </c>
      <c r="DH137" s="2042">
        <f t="shared" si="289"/>
        <v>0</v>
      </c>
      <c r="DI137" s="2042">
        <f t="shared" si="289"/>
        <v>0</v>
      </c>
      <c r="DJ137" s="2042">
        <f t="shared" si="289"/>
        <v>0</v>
      </c>
      <c r="DK137" s="2042">
        <f t="shared" si="289"/>
        <v>0</v>
      </c>
      <c r="DL137" s="2042"/>
      <c r="DM137" s="2042">
        <f t="shared" si="281"/>
        <v>0</v>
      </c>
      <c r="DN137" s="2042">
        <f t="shared" si="290"/>
        <v>0</v>
      </c>
      <c r="DO137" s="2042">
        <f t="shared" si="290"/>
        <v>0</v>
      </c>
      <c r="DP137" s="2042">
        <f t="shared" si="290"/>
        <v>0</v>
      </c>
      <c r="DQ137" s="2042">
        <f t="shared" si="290"/>
        <v>0</v>
      </c>
      <c r="DR137" s="2042">
        <f t="shared" si="290"/>
        <v>0</v>
      </c>
      <c r="DS137" s="2042">
        <f t="shared" si="290"/>
        <v>0</v>
      </c>
      <c r="DT137" s="2042">
        <f t="shared" si="290"/>
        <v>0</v>
      </c>
      <c r="DU137" s="2042">
        <f t="shared" si="290"/>
        <v>0</v>
      </c>
      <c r="DV137" s="2042">
        <f t="shared" si="290"/>
        <v>0</v>
      </c>
      <c r="DW137" s="2042">
        <f t="shared" si="290"/>
        <v>0</v>
      </c>
      <c r="DX137" s="2042">
        <f t="shared" si="290"/>
        <v>0</v>
      </c>
      <c r="DY137" s="2042"/>
      <c r="DZ137" s="2042"/>
      <c r="EA137" s="2042"/>
      <c r="EB137" s="2042"/>
      <c r="EC137" s="2042"/>
      <c r="ED137" s="2042"/>
      <c r="EE137" s="2042"/>
      <c r="EF137" s="2042"/>
      <c r="EG137" s="2042"/>
      <c r="EH137" s="2042"/>
      <c r="EI137" s="2042"/>
      <c r="EJ137" s="2042"/>
      <c r="EK137" s="2042"/>
      <c r="EL137" s="2042"/>
      <c r="EM137" s="2042"/>
      <c r="EN137" s="2042"/>
      <c r="EO137" s="2042"/>
      <c r="EP137" s="2042"/>
      <c r="EQ137" s="2042"/>
      <c r="ER137" s="2042"/>
      <c r="ES137" s="2042"/>
      <c r="ET137" s="2042"/>
      <c r="EU137" s="2042"/>
      <c r="EV137" s="2042"/>
      <c r="EW137" s="2042"/>
      <c r="EX137" s="2042"/>
      <c r="EY137" s="2042"/>
      <c r="EZ137" s="2045">
        <f t="shared" si="283"/>
        <v>0</v>
      </c>
      <c r="FA137" s="2216">
        <f t="shared" si="250"/>
        <v>0</v>
      </c>
      <c r="FB137" s="2216">
        <f t="shared" si="251"/>
        <v>0</v>
      </c>
      <c r="FC137" s="2216">
        <f t="shared" si="252"/>
        <v>0</v>
      </c>
      <c r="FD137" s="2216">
        <f t="shared" si="253"/>
        <v>0</v>
      </c>
      <c r="FE137" s="2216">
        <f t="shared" si="254"/>
        <v>0</v>
      </c>
      <c r="FF137" s="2216">
        <f t="shared" si="255"/>
        <v>0</v>
      </c>
      <c r="FG137" s="2216">
        <f t="shared" si="256"/>
        <v>0</v>
      </c>
      <c r="FH137" s="2216">
        <f t="shared" si="257"/>
        <v>0</v>
      </c>
      <c r="FI137" s="2216">
        <f t="shared" si="258"/>
        <v>0</v>
      </c>
      <c r="FJ137" s="2216">
        <f t="shared" si="259"/>
        <v>0</v>
      </c>
      <c r="FK137" s="2216">
        <f t="shared" si="260"/>
        <v>0</v>
      </c>
      <c r="FL137" s="2216">
        <f t="shared" si="261"/>
        <v>0</v>
      </c>
      <c r="FM137" s="2042"/>
      <c r="FN137" s="2045">
        <f t="shared" si="284"/>
        <v>0</v>
      </c>
      <c r="FO137" s="2216">
        <f t="shared" si="262"/>
        <v>0</v>
      </c>
      <c r="FP137" s="2216">
        <f t="shared" si="263"/>
        <v>0</v>
      </c>
      <c r="FQ137" s="2216">
        <f t="shared" si="264"/>
        <v>0</v>
      </c>
      <c r="FR137" s="2216">
        <f t="shared" si="265"/>
        <v>0</v>
      </c>
      <c r="FS137" s="2216">
        <f t="shared" si="266"/>
        <v>0</v>
      </c>
      <c r="FT137" s="2216">
        <f t="shared" si="267"/>
        <v>0</v>
      </c>
      <c r="FU137" s="2216">
        <f t="shared" si="268"/>
        <v>0</v>
      </c>
      <c r="FV137" s="2216">
        <f t="shared" si="269"/>
        <v>0</v>
      </c>
      <c r="FW137" s="2216">
        <f t="shared" si="270"/>
        <v>0</v>
      </c>
      <c r="FX137" s="2216">
        <f t="shared" si="271"/>
        <v>0</v>
      </c>
      <c r="FY137" s="2216">
        <f t="shared" si="272"/>
        <v>0</v>
      </c>
      <c r="FZ137" s="2216">
        <f t="shared" si="273"/>
        <v>0</v>
      </c>
      <c r="GA137" s="2042"/>
      <c r="GB137" s="2042">
        <f t="shared" si="285"/>
        <v>0</v>
      </c>
      <c r="GC137" s="2042">
        <f t="shared" si="286"/>
        <v>0</v>
      </c>
      <c r="GD137" s="2042"/>
      <c r="GE137" s="2042"/>
      <c r="GF137" s="2042"/>
      <c r="GG137" s="2042"/>
      <c r="GH137" s="2042">
        <f t="shared" si="287"/>
        <v>0</v>
      </c>
      <c r="GI137" s="2042">
        <f t="shared" si="288"/>
        <v>0</v>
      </c>
      <c r="GJ137" s="2042">
        <f t="shared" si="232"/>
        <v>0</v>
      </c>
      <c r="GK137" s="2042">
        <f t="shared" si="233"/>
        <v>0</v>
      </c>
      <c r="GL137" s="2042">
        <f t="shared" si="274"/>
        <v>0</v>
      </c>
      <c r="GM137" s="2042" cm="1">
        <f t="array" ref="GM137">IF(GL137=0,0,(SUMPRODUCT($J$75:$J$79,$CH$75:$CH$79,($BR$75:$BR$79=CX137)*1)+SUMPRODUCT($R$75:$R$79,$CP$75:$CP$79,($BR$75:$BR$79=CX137)*1))/GL137)</f>
        <v>0</v>
      </c>
      <c r="GN137" s="2042">
        <f t="shared" si="275"/>
        <v>0</v>
      </c>
      <c r="GO137" s="2042"/>
      <c r="GP137" s="2042"/>
      <c r="GQ137" s="2042">
        <f t="shared" si="276"/>
        <v>0</v>
      </c>
      <c r="GR137" s="2042">
        <f t="shared" si="201"/>
        <v>0</v>
      </c>
      <c r="GS137" s="2042">
        <f t="shared" si="277"/>
        <v>0</v>
      </c>
      <c r="GT137" s="2042">
        <f t="shared" si="278"/>
        <v>0</v>
      </c>
      <c r="GU137" s="2045" t="str">
        <f t="shared" si="175"/>
        <v xml:space="preserve"> </v>
      </c>
      <c r="GV137" s="2045"/>
      <c r="GW137" s="2054">
        <f t="shared" si="235"/>
        <v>0</v>
      </c>
      <c r="GX137" s="2042">
        <f t="shared" si="236"/>
        <v>0</v>
      </c>
      <c r="GY137" s="2042" t="str">
        <f t="shared" ref="GY137:GY169" si="291">IF(HI137=3,"a",VLOOKUP(CW137,$Y$13:$AZ$132,COLUMN($AZ$1)-COLUMN($Y$1)+1,FALSE))</f>
        <v>a</v>
      </c>
      <c r="GZ137" s="2055">
        <f t="shared" si="237"/>
        <v>0</v>
      </c>
      <c r="HA137" s="2055">
        <f t="shared" si="238"/>
        <v>0</v>
      </c>
      <c r="HB137" s="2055"/>
      <c r="HC137" s="2046">
        <f t="shared" si="239"/>
        <v>0</v>
      </c>
      <c r="HD137" s="2055">
        <f t="shared" si="240"/>
        <v>0</v>
      </c>
      <c r="HE137" s="2055">
        <f t="shared" si="241"/>
        <v>0</v>
      </c>
      <c r="HF137" s="2055">
        <f t="shared" si="242"/>
        <v>0</v>
      </c>
      <c r="HG137" s="2282" cm="1">
        <f t="array" ref="HG137">IF(AND(HE137=0,GJ137=0),0,IF(HE137=0,1,IF(OR(GJ137*1000/HE137/HF137&gt;INDEX(Pflanzen!$AD$122:$AD$160,CX137)/INDEX(Pflanzen!$M$122:$M$160,CX137)*$HG$1,GJ137*1000/HE137/HF137&lt;INDEX(Pflanzen!$AD$122:$AD$160,CX137)/INDEX(Pflanzen!$M$122:$M$160,CX137)/$HG$1),1,0)))</f>
        <v>0</v>
      </c>
      <c r="HH137" s="2287" cm="1">
        <f t="array" ref="HH137">IF(AND(GK137=0,HE137=0),0,IF(HE137=0,1,IF(OR(GK137*1000/HE137/HF137&gt;INDEX(Pflanzen!$AE$122:$AE$160,CX137)/INDEX(Pflanzen!$M$122:$M$160,CX137)*$HG$2,GK137*1000/HE137/HF137&lt;INDEX(Pflanzen!$AE$122:$AE$160,CX137)/INDEX(Pflanzen!$M$122:$M$160,CX137)/$HG$2),1,0)))</f>
        <v>0</v>
      </c>
      <c r="HI137" s="2042">
        <f t="shared" si="243"/>
        <v>3</v>
      </c>
      <c r="HJ137" s="2042"/>
      <c r="HL137" s="2042"/>
      <c r="HM137" s="2042"/>
      <c r="HN137" s="2042"/>
      <c r="HO137" s="2042"/>
      <c r="HP137" s="2042"/>
      <c r="HQ137" s="2042"/>
      <c r="HR137" s="2042"/>
      <c r="HS137" s="2042"/>
      <c r="HT137" s="2042"/>
      <c r="HU137" s="2042"/>
      <c r="HV137" s="2042"/>
      <c r="HW137" s="2042"/>
      <c r="HX137" s="2042"/>
      <c r="HY137" s="2042"/>
      <c r="HZ137" s="2042"/>
      <c r="IA137" s="2042"/>
      <c r="IB137" s="2042"/>
      <c r="IC137" s="2042"/>
      <c r="ID137" s="2042"/>
      <c r="IE137" s="2042"/>
      <c r="IF137" s="2042"/>
      <c r="IG137" s="2042"/>
      <c r="IH137" s="2042"/>
      <c r="II137" s="2042"/>
      <c r="IJ137" s="2042"/>
    </row>
    <row r="138" spans="25:244" ht="15.75" customHeight="1" x14ac:dyDescent="0.2">
      <c r="Y138" s="510"/>
      <c r="Z138" s="510"/>
      <c r="AA138" s="510"/>
      <c r="AB138" s="510"/>
      <c r="AC138" s="2033"/>
      <c r="AD138" s="2033"/>
      <c r="AE138" s="2033"/>
      <c r="AF138" s="2033"/>
      <c r="AG138" s="2033"/>
      <c r="AH138" s="2033"/>
      <c r="AI138" s="2033"/>
      <c r="AJ138" s="2033"/>
      <c r="AK138" s="2033"/>
      <c r="AL138" s="2033"/>
      <c r="AM138" s="2033"/>
      <c r="AN138" s="2033"/>
      <c r="AO138" s="517"/>
      <c r="AP138" s="517"/>
      <c r="AQ138" s="517"/>
      <c r="AR138" s="2033"/>
      <c r="AS138" s="2033"/>
      <c r="AT138" s="2033"/>
      <c r="AU138" s="2033"/>
      <c r="AV138" s="2033"/>
      <c r="AY138" s="2042"/>
      <c r="AZ138" s="2042"/>
      <c r="BA138" s="2042"/>
      <c r="BB138" s="2042"/>
      <c r="BC138" s="2042"/>
      <c r="BD138" s="2042"/>
      <c r="BP138" s="2043"/>
      <c r="BQ138" s="2042"/>
      <c r="BR138" s="2042"/>
      <c r="BS138" s="2042"/>
      <c r="BT138" s="2042"/>
      <c r="BU138" s="2059"/>
      <c r="BV138" s="2277"/>
      <c r="BW138" s="2277"/>
      <c r="BX138" s="2277"/>
      <c r="BY138" s="2277"/>
      <c r="BZ138" s="2277"/>
      <c r="CA138" s="2277"/>
      <c r="CB138" s="2277"/>
      <c r="CC138" s="2277"/>
      <c r="CD138" s="2277"/>
      <c r="CE138" s="2277"/>
      <c r="CF138" s="2277"/>
      <c r="CG138" s="2277"/>
      <c r="CH138" s="2277"/>
      <c r="CI138" s="2277"/>
      <c r="CJ138" s="2277"/>
      <c r="CK138" s="2277"/>
      <c r="CL138" s="2042"/>
      <c r="CM138" s="2042"/>
      <c r="CN138" s="2042"/>
      <c r="CO138" s="2042"/>
      <c r="CP138" s="2042"/>
      <c r="CQ138" s="2042"/>
      <c r="CR138" s="2042"/>
      <c r="CS138" s="2042"/>
      <c r="CT138" s="2042"/>
      <c r="CU138" s="2042"/>
      <c r="CV138" s="2042"/>
      <c r="CW138" s="2069" t="str">
        <f>Pflanzen!C139</f>
        <v>Maiskleberfutter (23-35 % RP)</v>
      </c>
      <c r="CX138" s="2042">
        <f>IFERROR(MATCH($CW138,Pflanzen!$C$122:$C$160,0),1)</f>
        <v>18</v>
      </c>
      <c r="CY138" s="2069">
        <f>Pflanzen!I139</f>
        <v>2</v>
      </c>
      <c r="CZ138" s="2042">
        <f t="shared" si="279"/>
        <v>0</v>
      </c>
      <c r="DA138" s="2042">
        <f t="shared" si="289"/>
        <v>0</v>
      </c>
      <c r="DB138" s="2042">
        <f t="shared" si="289"/>
        <v>0</v>
      </c>
      <c r="DC138" s="2042">
        <f t="shared" si="289"/>
        <v>0</v>
      </c>
      <c r="DD138" s="2042">
        <f t="shared" si="289"/>
        <v>0</v>
      </c>
      <c r="DE138" s="2042">
        <f t="shared" si="289"/>
        <v>0</v>
      </c>
      <c r="DF138" s="2042">
        <f t="shared" si="289"/>
        <v>0</v>
      </c>
      <c r="DG138" s="2042">
        <f t="shared" si="289"/>
        <v>0</v>
      </c>
      <c r="DH138" s="2042">
        <f t="shared" si="289"/>
        <v>0</v>
      </c>
      <c r="DI138" s="2042">
        <f t="shared" si="289"/>
        <v>0</v>
      </c>
      <c r="DJ138" s="2042">
        <f t="shared" si="289"/>
        <v>0</v>
      </c>
      <c r="DK138" s="2042">
        <f t="shared" si="289"/>
        <v>0</v>
      </c>
      <c r="DL138" s="2042"/>
      <c r="DM138" s="2042">
        <f t="shared" si="281"/>
        <v>0</v>
      </c>
      <c r="DN138" s="2042">
        <f t="shared" si="290"/>
        <v>0</v>
      </c>
      <c r="DO138" s="2042">
        <f t="shared" si="290"/>
        <v>0</v>
      </c>
      <c r="DP138" s="2042">
        <f t="shared" si="290"/>
        <v>0</v>
      </c>
      <c r="DQ138" s="2042">
        <f t="shared" si="290"/>
        <v>0</v>
      </c>
      <c r="DR138" s="2042">
        <f t="shared" si="290"/>
        <v>0</v>
      </c>
      <c r="DS138" s="2042">
        <f t="shared" si="290"/>
        <v>0</v>
      </c>
      <c r="DT138" s="2042">
        <f t="shared" si="290"/>
        <v>0</v>
      </c>
      <c r="DU138" s="2042">
        <f t="shared" si="290"/>
        <v>0</v>
      </c>
      <c r="DV138" s="2042">
        <f t="shared" si="290"/>
        <v>0</v>
      </c>
      <c r="DW138" s="2042">
        <f t="shared" si="290"/>
        <v>0</v>
      </c>
      <c r="DX138" s="2042">
        <f t="shared" si="290"/>
        <v>0</v>
      </c>
      <c r="DY138" s="2042"/>
      <c r="DZ138" s="2042"/>
      <c r="EA138" s="2042"/>
      <c r="EB138" s="2042"/>
      <c r="EC138" s="2042"/>
      <c r="ED138" s="2042"/>
      <c r="EE138" s="2042"/>
      <c r="EF138" s="2042"/>
      <c r="EG138" s="2042"/>
      <c r="EH138" s="2042"/>
      <c r="EI138" s="2042"/>
      <c r="EJ138" s="2042"/>
      <c r="EK138" s="2042"/>
      <c r="EL138" s="2042"/>
      <c r="EM138" s="2042"/>
      <c r="EN138" s="2042"/>
      <c r="EO138" s="2042"/>
      <c r="EP138" s="2042"/>
      <c r="EQ138" s="2042"/>
      <c r="ER138" s="2042"/>
      <c r="ES138" s="2042"/>
      <c r="ET138" s="2042"/>
      <c r="EU138" s="2042"/>
      <c r="EV138" s="2042"/>
      <c r="EW138" s="2042"/>
      <c r="EX138" s="2042"/>
      <c r="EY138" s="2042"/>
      <c r="EZ138" s="2045">
        <f t="shared" si="283"/>
        <v>0</v>
      </c>
      <c r="FA138" s="2216">
        <f t="shared" si="250"/>
        <v>0</v>
      </c>
      <c r="FB138" s="2216">
        <f t="shared" si="251"/>
        <v>0</v>
      </c>
      <c r="FC138" s="2216">
        <f t="shared" si="252"/>
        <v>0</v>
      </c>
      <c r="FD138" s="2216">
        <f t="shared" si="253"/>
        <v>0</v>
      </c>
      <c r="FE138" s="2216">
        <f t="shared" si="254"/>
        <v>0</v>
      </c>
      <c r="FF138" s="2216">
        <f t="shared" si="255"/>
        <v>0</v>
      </c>
      <c r="FG138" s="2216">
        <f t="shared" si="256"/>
        <v>0</v>
      </c>
      <c r="FH138" s="2216">
        <f t="shared" si="257"/>
        <v>0</v>
      </c>
      <c r="FI138" s="2216">
        <f t="shared" si="258"/>
        <v>0</v>
      </c>
      <c r="FJ138" s="2216">
        <f t="shared" si="259"/>
        <v>0</v>
      </c>
      <c r="FK138" s="2216">
        <f t="shared" si="260"/>
        <v>0</v>
      </c>
      <c r="FL138" s="2216">
        <f t="shared" si="261"/>
        <v>0</v>
      </c>
      <c r="FM138" s="2042"/>
      <c r="FN138" s="2045">
        <f t="shared" si="284"/>
        <v>0</v>
      </c>
      <c r="FO138" s="2216">
        <f t="shared" si="262"/>
        <v>0</v>
      </c>
      <c r="FP138" s="2216">
        <f t="shared" si="263"/>
        <v>0</v>
      </c>
      <c r="FQ138" s="2216">
        <f t="shared" si="264"/>
        <v>0</v>
      </c>
      <c r="FR138" s="2216">
        <f t="shared" si="265"/>
        <v>0</v>
      </c>
      <c r="FS138" s="2216">
        <f t="shared" si="266"/>
        <v>0</v>
      </c>
      <c r="FT138" s="2216">
        <f t="shared" si="267"/>
        <v>0</v>
      </c>
      <c r="FU138" s="2216">
        <f t="shared" si="268"/>
        <v>0</v>
      </c>
      <c r="FV138" s="2216">
        <f t="shared" si="269"/>
        <v>0</v>
      </c>
      <c r="FW138" s="2216">
        <f t="shared" si="270"/>
        <v>0</v>
      </c>
      <c r="FX138" s="2216">
        <f t="shared" si="271"/>
        <v>0</v>
      </c>
      <c r="FY138" s="2216">
        <f t="shared" si="272"/>
        <v>0</v>
      </c>
      <c r="FZ138" s="2216">
        <f t="shared" si="273"/>
        <v>0</v>
      </c>
      <c r="GA138" s="2042"/>
      <c r="GB138" s="2042">
        <f t="shared" si="285"/>
        <v>0</v>
      </c>
      <c r="GC138" s="2042">
        <f t="shared" si="286"/>
        <v>0</v>
      </c>
      <c r="GD138" s="2042"/>
      <c r="GE138" s="2042"/>
      <c r="GF138" s="2042"/>
      <c r="GG138" s="2042"/>
      <c r="GH138" s="2042">
        <f t="shared" si="287"/>
        <v>0</v>
      </c>
      <c r="GI138" s="2042">
        <f t="shared" si="288"/>
        <v>0</v>
      </c>
      <c r="GJ138" s="2042">
        <f t="shared" si="232"/>
        <v>0</v>
      </c>
      <c r="GK138" s="2042">
        <f t="shared" si="233"/>
        <v>0</v>
      </c>
      <c r="GL138" s="2042">
        <f t="shared" si="274"/>
        <v>0</v>
      </c>
      <c r="GM138" s="2042" cm="1">
        <f t="array" ref="GM138">IF(GL138=0,0,(SUMPRODUCT($J$75:$J$79,$CH$75:$CH$79,($BR$75:$BR$79=CX138)*1)+SUMPRODUCT($R$75:$R$79,$CP$75:$CP$79,($BR$75:$BR$79=CX138)*1))/GL138)</f>
        <v>0</v>
      </c>
      <c r="GN138" s="2042">
        <f t="shared" si="275"/>
        <v>0</v>
      </c>
      <c r="GO138" s="2042"/>
      <c r="GP138" s="2042"/>
      <c r="GQ138" s="2042">
        <f t="shared" si="276"/>
        <v>0</v>
      </c>
      <c r="GR138" s="2042">
        <f t="shared" si="201"/>
        <v>0</v>
      </c>
      <c r="GS138" s="2042">
        <f t="shared" si="277"/>
        <v>0</v>
      </c>
      <c r="GT138" s="2042">
        <f t="shared" si="278"/>
        <v>0</v>
      </c>
      <c r="GU138" s="2045" t="str">
        <f t="shared" si="175"/>
        <v xml:space="preserve"> </v>
      </c>
      <c r="GV138" s="2045"/>
      <c r="GW138" s="2054">
        <f t="shared" si="235"/>
        <v>0</v>
      </c>
      <c r="GX138" s="2042">
        <f t="shared" si="236"/>
        <v>0</v>
      </c>
      <c r="GY138" s="2042" t="str">
        <f t="shared" si="291"/>
        <v>a</v>
      </c>
      <c r="GZ138" s="2055">
        <f t="shared" si="237"/>
        <v>0</v>
      </c>
      <c r="HA138" s="2055">
        <f t="shared" si="238"/>
        <v>0</v>
      </c>
      <c r="HB138" s="2055"/>
      <c r="HC138" s="2046">
        <f t="shared" si="239"/>
        <v>0</v>
      </c>
      <c r="HD138" s="2055">
        <f t="shared" si="240"/>
        <v>0</v>
      </c>
      <c r="HE138" s="2055">
        <f t="shared" si="241"/>
        <v>0</v>
      </c>
      <c r="HF138" s="2055">
        <f t="shared" si="242"/>
        <v>0</v>
      </c>
      <c r="HG138" s="2282" cm="1">
        <f t="array" ref="HG138">IF(AND(HE138=0,GJ138=0),0,IF(HE138=0,1,IF(OR(GJ138*1000/HE138/HF138&gt;INDEX(Pflanzen!$AD$122:$AD$160,CX138)/INDEX(Pflanzen!$M$122:$M$160,CX138)*$HG$1,GJ138*1000/HE138/HF138&lt;INDEX(Pflanzen!$AD$122:$AD$160,CX138)/INDEX(Pflanzen!$M$122:$M$160,CX138)/$HG$1),1,0)))</f>
        <v>0</v>
      </c>
      <c r="HH138" s="2287" cm="1">
        <f t="array" ref="HH138">IF(AND(GK138=0,HE138=0),0,IF(HE138=0,1,IF(OR(GK138*1000/HE138/HF138&gt;INDEX(Pflanzen!$AE$122:$AE$160,CX138)/INDEX(Pflanzen!$M$122:$M$160,CX138)*$HG$2,GK138*1000/HE138/HF138&lt;INDEX(Pflanzen!$AE$122:$AE$160,CX138)/INDEX(Pflanzen!$M$122:$M$160,CX138)/$HG$2),1,0)))</f>
        <v>0</v>
      </c>
      <c r="HI138" s="2042">
        <f t="shared" si="243"/>
        <v>3</v>
      </c>
      <c r="HJ138" s="2042"/>
      <c r="HL138" s="2042"/>
      <c r="HM138" s="2042"/>
      <c r="HN138" s="2042"/>
      <c r="HO138" s="2042"/>
      <c r="HP138" s="2042"/>
      <c r="HQ138" s="2042"/>
      <c r="HR138" s="2042"/>
      <c r="HS138" s="2042"/>
      <c r="HT138" s="2042"/>
      <c r="HU138" s="2042"/>
      <c r="HV138" s="2042"/>
      <c r="HW138" s="2042"/>
      <c r="HX138" s="2042"/>
      <c r="HY138" s="2042"/>
      <c r="HZ138" s="2042"/>
      <c r="IA138" s="2042"/>
      <c r="IB138" s="2042"/>
      <c r="IC138" s="2042"/>
      <c r="ID138" s="2042"/>
      <c r="IE138" s="2042"/>
      <c r="IF138" s="2042"/>
      <c r="IG138" s="2042"/>
      <c r="IH138" s="2042"/>
      <c r="II138" s="2042"/>
      <c r="IJ138" s="2042"/>
    </row>
    <row r="139" spans="25:244" ht="15.75" customHeight="1" x14ac:dyDescent="0.2">
      <c r="Y139" s="510"/>
      <c r="Z139" s="510"/>
      <c r="AA139" s="510"/>
      <c r="AB139" s="510"/>
      <c r="AC139" s="2033"/>
      <c r="AD139" s="2033"/>
      <c r="AE139" s="2033"/>
      <c r="AF139" s="2033"/>
      <c r="AG139" s="2033"/>
      <c r="AH139" s="2033"/>
      <c r="AI139" s="2033"/>
      <c r="AJ139" s="2033"/>
      <c r="AK139" s="2033"/>
      <c r="AL139" s="2033"/>
      <c r="AM139" s="2033"/>
      <c r="AN139" s="2033"/>
      <c r="AO139" s="517"/>
      <c r="AP139" s="517"/>
      <c r="AQ139" s="517"/>
      <c r="AR139" s="2033"/>
      <c r="AS139" s="2033"/>
      <c r="AT139" s="2033"/>
      <c r="AU139" s="2033"/>
      <c r="AV139" s="2033"/>
      <c r="AY139" s="2042"/>
      <c r="AZ139" s="2042"/>
      <c r="BA139" s="2042"/>
      <c r="BB139" s="2042"/>
      <c r="BC139" s="2042"/>
      <c r="BD139" s="2042"/>
      <c r="BP139" s="2043"/>
      <c r="BQ139" s="2042"/>
      <c r="BR139" s="2042"/>
      <c r="BS139" s="2042"/>
      <c r="BT139" s="2042"/>
      <c r="BU139" s="2059"/>
      <c r="BV139" s="2277"/>
      <c r="BW139" s="2277"/>
      <c r="BX139" s="2277"/>
      <c r="BY139" s="2277"/>
      <c r="BZ139" s="2277"/>
      <c r="CA139" s="2277"/>
      <c r="CB139" s="2277"/>
      <c r="CC139" s="2277"/>
      <c r="CD139" s="2277"/>
      <c r="CE139" s="2277"/>
      <c r="CF139" s="2277"/>
      <c r="CG139" s="2277"/>
      <c r="CH139" s="2277"/>
      <c r="CI139" s="2277"/>
      <c r="CJ139" s="2277"/>
      <c r="CK139" s="2277"/>
      <c r="CL139" s="2042"/>
      <c r="CM139" s="2042"/>
      <c r="CN139" s="2042"/>
      <c r="CO139" s="2042"/>
      <c r="CP139" s="2042"/>
      <c r="CQ139" s="2042"/>
      <c r="CR139" s="2042"/>
      <c r="CS139" s="2042"/>
      <c r="CT139" s="2042"/>
      <c r="CU139" s="2042"/>
      <c r="CV139" s="2042"/>
      <c r="CW139" s="2069" t="str">
        <f>Pflanzen!C140</f>
        <v>Malzkeime</v>
      </c>
      <c r="CX139" s="2042">
        <f>IFERROR(MATCH($CW139,Pflanzen!$C$122:$C$160,0),1)</f>
        <v>19</v>
      </c>
      <c r="CY139" s="2069">
        <f>Pflanzen!I140</f>
        <v>2</v>
      </c>
      <c r="CZ139" s="2042">
        <f t="shared" si="279"/>
        <v>0</v>
      </c>
      <c r="DA139" s="2042">
        <f t="shared" si="289"/>
        <v>0</v>
      </c>
      <c r="DB139" s="2042">
        <f t="shared" si="289"/>
        <v>0</v>
      </c>
      <c r="DC139" s="2042">
        <f t="shared" si="289"/>
        <v>0</v>
      </c>
      <c r="DD139" s="2042">
        <f t="shared" si="289"/>
        <v>0</v>
      </c>
      <c r="DE139" s="2042">
        <f t="shared" si="289"/>
        <v>0</v>
      </c>
      <c r="DF139" s="2042">
        <f t="shared" si="289"/>
        <v>0</v>
      </c>
      <c r="DG139" s="2042">
        <f t="shared" si="289"/>
        <v>0</v>
      </c>
      <c r="DH139" s="2042">
        <f t="shared" si="289"/>
        <v>0</v>
      </c>
      <c r="DI139" s="2042">
        <f t="shared" si="289"/>
        <v>0</v>
      </c>
      <c r="DJ139" s="2042">
        <f t="shared" si="289"/>
        <v>0</v>
      </c>
      <c r="DK139" s="2042">
        <f t="shared" si="289"/>
        <v>0</v>
      </c>
      <c r="DL139" s="2042"/>
      <c r="DM139" s="2042">
        <f t="shared" si="281"/>
        <v>0</v>
      </c>
      <c r="DN139" s="2042">
        <f t="shared" si="290"/>
        <v>0</v>
      </c>
      <c r="DO139" s="2042">
        <f t="shared" si="290"/>
        <v>0</v>
      </c>
      <c r="DP139" s="2042">
        <f t="shared" si="290"/>
        <v>0</v>
      </c>
      <c r="DQ139" s="2042">
        <f t="shared" si="290"/>
        <v>0</v>
      </c>
      <c r="DR139" s="2042">
        <f t="shared" si="290"/>
        <v>0</v>
      </c>
      <c r="DS139" s="2042">
        <f t="shared" si="290"/>
        <v>0</v>
      </c>
      <c r="DT139" s="2042">
        <f t="shared" si="290"/>
        <v>0</v>
      </c>
      <c r="DU139" s="2042">
        <f t="shared" si="290"/>
        <v>0</v>
      </c>
      <c r="DV139" s="2042">
        <f t="shared" si="290"/>
        <v>0</v>
      </c>
      <c r="DW139" s="2042">
        <f t="shared" si="290"/>
        <v>0</v>
      </c>
      <c r="DX139" s="2042">
        <f t="shared" si="290"/>
        <v>0</v>
      </c>
      <c r="DY139" s="2042"/>
      <c r="DZ139" s="2042"/>
      <c r="EA139" s="2042"/>
      <c r="EB139" s="2042"/>
      <c r="EC139" s="2042"/>
      <c r="ED139" s="2042"/>
      <c r="EE139" s="2042"/>
      <c r="EF139" s="2042"/>
      <c r="EG139" s="2042"/>
      <c r="EH139" s="2042"/>
      <c r="EI139" s="2042"/>
      <c r="EJ139" s="2042"/>
      <c r="EK139" s="2042"/>
      <c r="EL139" s="2042"/>
      <c r="EM139" s="2042"/>
      <c r="EN139" s="2042"/>
      <c r="EO139" s="2042"/>
      <c r="EP139" s="2042"/>
      <c r="EQ139" s="2042"/>
      <c r="ER139" s="2042"/>
      <c r="ES139" s="2042"/>
      <c r="ET139" s="2042"/>
      <c r="EU139" s="2042"/>
      <c r="EV139" s="2042"/>
      <c r="EW139" s="2042"/>
      <c r="EX139" s="2042"/>
      <c r="EY139" s="2042"/>
      <c r="EZ139" s="2045">
        <f t="shared" si="283"/>
        <v>0</v>
      </c>
      <c r="FA139" s="2216">
        <f t="shared" si="250"/>
        <v>0</v>
      </c>
      <c r="FB139" s="2216">
        <f t="shared" si="251"/>
        <v>0</v>
      </c>
      <c r="FC139" s="2216">
        <f t="shared" si="252"/>
        <v>0</v>
      </c>
      <c r="FD139" s="2216">
        <f t="shared" si="253"/>
        <v>0</v>
      </c>
      <c r="FE139" s="2216">
        <f t="shared" si="254"/>
        <v>0</v>
      </c>
      <c r="FF139" s="2216">
        <f t="shared" si="255"/>
        <v>0</v>
      </c>
      <c r="FG139" s="2216">
        <f t="shared" si="256"/>
        <v>0</v>
      </c>
      <c r="FH139" s="2216">
        <f t="shared" si="257"/>
        <v>0</v>
      </c>
      <c r="FI139" s="2216">
        <f t="shared" si="258"/>
        <v>0</v>
      </c>
      <c r="FJ139" s="2216">
        <f t="shared" si="259"/>
        <v>0</v>
      </c>
      <c r="FK139" s="2216">
        <f t="shared" si="260"/>
        <v>0</v>
      </c>
      <c r="FL139" s="2216">
        <f t="shared" si="261"/>
        <v>0</v>
      </c>
      <c r="FM139" s="2042"/>
      <c r="FN139" s="2045">
        <f t="shared" si="284"/>
        <v>0</v>
      </c>
      <c r="FO139" s="2216">
        <f t="shared" si="262"/>
        <v>0</v>
      </c>
      <c r="FP139" s="2216">
        <f t="shared" si="263"/>
        <v>0</v>
      </c>
      <c r="FQ139" s="2216">
        <f t="shared" si="264"/>
        <v>0</v>
      </c>
      <c r="FR139" s="2216">
        <f t="shared" si="265"/>
        <v>0</v>
      </c>
      <c r="FS139" s="2216">
        <f t="shared" si="266"/>
        <v>0</v>
      </c>
      <c r="FT139" s="2216">
        <f t="shared" si="267"/>
        <v>0</v>
      </c>
      <c r="FU139" s="2216">
        <f t="shared" si="268"/>
        <v>0</v>
      </c>
      <c r="FV139" s="2216">
        <f t="shared" si="269"/>
        <v>0</v>
      </c>
      <c r="FW139" s="2216">
        <f t="shared" si="270"/>
        <v>0</v>
      </c>
      <c r="FX139" s="2216">
        <f t="shared" si="271"/>
        <v>0</v>
      </c>
      <c r="FY139" s="2216">
        <f t="shared" si="272"/>
        <v>0</v>
      </c>
      <c r="FZ139" s="2216">
        <f t="shared" si="273"/>
        <v>0</v>
      </c>
      <c r="GA139" s="2042"/>
      <c r="GB139" s="2042">
        <f t="shared" si="285"/>
        <v>0</v>
      </c>
      <c r="GC139" s="2042">
        <f t="shared" si="286"/>
        <v>0</v>
      </c>
      <c r="GD139" s="2042"/>
      <c r="GE139" s="2042"/>
      <c r="GF139" s="2042"/>
      <c r="GG139" s="2042"/>
      <c r="GH139" s="2042">
        <f t="shared" si="287"/>
        <v>0</v>
      </c>
      <c r="GI139" s="2042">
        <f t="shared" si="288"/>
        <v>0</v>
      </c>
      <c r="GJ139" s="2042">
        <f t="shared" ref="GJ139:GJ169" si="292">GB139-GB139*HC139</f>
        <v>0</v>
      </c>
      <c r="GK139" s="2042">
        <f t="shared" ref="GK139:GK169" si="293">GC139-GC139*HC139</f>
        <v>0</v>
      </c>
      <c r="GL139" s="2042">
        <f t="shared" si="274"/>
        <v>0</v>
      </c>
      <c r="GM139" s="2042" cm="1">
        <f t="array" ref="GM139">IF(GL139=0,0,(SUMPRODUCT($J$75:$J$79,$CH$75:$CH$79,($BR$75:$BR$79=CX139)*1)+SUMPRODUCT($R$75:$R$79,$CP$75:$CP$79,($BR$75:$BR$79=CX139)*1))/GL139)</f>
        <v>0</v>
      </c>
      <c r="GN139" s="2042">
        <f t="shared" si="275"/>
        <v>0</v>
      </c>
      <c r="GO139" s="2042"/>
      <c r="GP139" s="2042"/>
      <c r="GQ139" s="2042">
        <f t="shared" si="276"/>
        <v>0</v>
      </c>
      <c r="GR139" s="2042">
        <f t="shared" si="201"/>
        <v>0</v>
      </c>
      <c r="GS139" s="2042">
        <f t="shared" si="277"/>
        <v>0</v>
      </c>
      <c r="GT139" s="2042">
        <f t="shared" si="278"/>
        <v>0</v>
      </c>
      <c r="GU139" s="2045" t="str">
        <f t="shared" si="175"/>
        <v xml:space="preserve"> </v>
      </c>
      <c r="GV139" s="2042"/>
      <c r="GW139" s="2054">
        <f t="shared" ref="GW139:GW169" si="294">IF(OR(HI139=3,GS139&lt;=0),0,IF(CY139=$CY$4,$GV$4/$GE$4,IF(CY139=$CY$6,$GV$6/$GE$6,0)))</f>
        <v>0</v>
      </c>
      <c r="GX139" s="2042">
        <f t="shared" ref="GX139:GX169" si="295">GS139*GW139</f>
        <v>0</v>
      </c>
      <c r="GY139" s="2042" t="str">
        <f t="shared" si="291"/>
        <v>a</v>
      </c>
      <c r="GZ139" s="2055">
        <f t="shared" ref="GZ139:GZ169" si="296">IF(GY139="a",0,GB139*HC139)</f>
        <v>0</v>
      </c>
      <c r="HA139" s="2055">
        <f t="shared" ref="HA139:HA169" si="297">IF(GY139="a",0,GB139*(1-HC139))</f>
        <v>0</v>
      </c>
      <c r="HB139" s="2055"/>
      <c r="HC139" s="2046">
        <f t="shared" ref="HC139:HC169" si="298">IF(OR(HI139=3,GS139&lt;=0),0,IF(GY139&lt;&gt;"a",IF(GS139=0,0,MIN(1,GY139/GS139)),IF(CY139=$CY$4,IF($GE$4-$HA$4-$GZ$4=0,0,$HB$4/($GE$4-$HA$4-$GZ$4)),IF(CY139=$CY$6,IF($GE$6-$HA$6-$GZ$6=0,0,$HB$6/($GE$6-$HA$6-$GZ$6)),0))))</f>
        <v>0</v>
      </c>
      <c r="HD139" s="2055">
        <f t="shared" ref="HD139:HD169" si="299">MAX(0,GS139*HC139)</f>
        <v>0</v>
      </c>
      <c r="HE139" s="2055">
        <f t="shared" ref="HE139:HE169" si="300">GS139-HD139</f>
        <v>0</v>
      </c>
      <c r="HF139" s="2055">
        <f t="shared" ref="HF139:HF169" si="301">GM139</f>
        <v>0</v>
      </c>
      <c r="HG139" s="2282" cm="1">
        <f t="array" ref="HG139">IF(AND(HE139=0,GJ139=0),0,IF(HE139=0,1,IF(OR(GJ139*1000/HE139/HF139&gt;INDEX(Pflanzen!$AD$122:$AD$160,CX139)/INDEX(Pflanzen!$M$122:$M$160,CX139)*$HG$1,GJ139*1000/HE139/HF139&lt;INDEX(Pflanzen!$AD$122:$AD$160,CX139)/INDEX(Pflanzen!$M$122:$M$160,CX139)/$HG$1),1,0)))</f>
        <v>0</v>
      </c>
      <c r="HH139" s="2287" cm="1">
        <f t="array" ref="HH139">IF(AND(GK139=0,HE139=0),0,IF(HE139=0,1,IF(OR(GK139*1000/HE139/HF139&gt;INDEX(Pflanzen!$AE$122:$AE$160,CX139)/INDEX(Pflanzen!$M$122:$M$160,CX139)*$HG$2,GK139*1000/HE139/HF139&lt;INDEX(Pflanzen!$AE$122:$AE$160,CX139)/INDEX(Pflanzen!$M$122:$M$160,CX139)/$HG$2),1,0)))</f>
        <v>0</v>
      </c>
      <c r="HI139" s="2042">
        <f t="shared" ref="HI139:HI169" si="302">IF(AND(GB139=0,GF139=0,GH139=0),3,CY139)</f>
        <v>3</v>
      </c>
      <c r="HJ139" s="2042"/>
      <c r="HL139" s="2042"/>
      <c r="HM139" s="2042"/>
      <c r="HN139" s="2042"/>
      <c r="HO139" s="2042"/>
      <c r="HP139" s="2042"/>
      <c r="HQ139" s="2042"/>
      <c r="HR139" s="2042"/>
      <c r="HS139" s="2042"/>
      <c r="HT139" s="2042"/>
      <c r="HU139" s="2042"/>
      <c r="HV139" s="2042"/>
      <c r="HW139" s="2042"/>
      <c r="HX139" s="2042"/>
      <c r="HY139" s="2042"/>
      <c r="HZ139" s="2042"/>
      <c r="IA139" s="2042"/>
      <c r="IB139" s="2042"/>
      <c r="IC139" s="2042"/>
      <c r="ID139" s="2042"/>
      <c r="IE139" s="2042"/>
      <c r="IF139" s="2042"/>
      <c r="IG139" s="2042"/>
      <c r="IH139" s="2042"/>
      <c r="II139" s="2042"/>
      <c r="IJ139" s="2042"/>
    </row>
    <row r="140" spans="25:244" ht="15.75" customHeight="1" x14ac:dyDescent="0.2">
      <c r="Y140" s="510"/>
      <c r="Z140" s="510"/>
      <c r="AA140" s="510"/>
      <c r="AB140" s="510"/>
      <c r="AC140" s="2033"/>
      <c r="AD140" s="2033"/>
      <c r="AE140" s="2033"/>
      <c r="AF140" s="2033"/>
      <c r="AG140" s="2033"/>
      <c r="AH140" s="2033"/>
      <c r="AI140" s="2033"/>
      <c r="AJ140" s="2033"/>
      <c r="AK140" s="2033"/>
      <c r="AL140" s="2033"/>
      <c r="AM140" s="2033"/>
      <c r="AN140" s="2033"/>
      <c r="AO140" s="517"/>
      <c r="AP140" s="517"/>
      <c r="AQ140" s="517"/>
      <c r="AR140" s="2033"/>
      <c r="AS140" s="2033"/>
      <c r="AT140" s="2033"/>
      <c r="AU140" s="2033"/>
      <c r="AV140" s="2033"/>
      <c r="AY140" s="2042"/>
      <c r="AZ140" s="2042"/>
      <c r="BA140" s="2042"/>
      <c r="BB140" s="2042"/>
      <c r="BC140" s="2042"/>
      <c r="BD140" s="2042"/>
      <c r="BP140" s="2043"/>
      <c r="BQ140" s="2042"/>
      <c r="BR140" s="2042"/>
      <c r="BS140" s="2042"/>
      <c r="BT140" s="2042"/>
      <c r="BU140" s="2059"/>
      <c r="BV140" s="2277"/>
      <c r="BW140" s="2277"/>
      <c r="BX140" s="2277"/>
      <c r="BY140" s="2277"/>
      <c r="BZ140" s="2277"/>
      <c r="CA140" s="2277"/>
      <c r="CB140" s="2277"/>
      <c r="CC140" s="2277"/>
      <c r="CD140" s="2277"/>
      <c r="CE140" s="2277"/>
      <c r="CF140" s="2277"/>
      <c r="CG140" s="2277"/>
      <c r="CH140" s="2277"/>
      <c r="CI140" s="2277"/>
      <c r="CJ140" s="2277"/>
      <c r="CK140" s="2277"/>
      <c r="CL140" s="2042"/>
      <c r="CM140" s="2042"/>
      <c r="CN140" s="2042"/>
      <c r="CO140" s="2042"/>
      <c r="CP140" s="2042"/>
      <c r="CQ140" s="2042"/>
      <c r="CR140" s="2042"/>
      <c r="CS140" s="2042"/>
      <c r="CT140" s="2042"/>
      <c r="CU140" s="2042"/>
      <c r="CV140" s="2042"/>
      <c r="CW140" s="2069" t="str">
        <f>Pflanzen!C141</f>
        <v>Maniok</v>
      </c>
      <c r="CX140" s="2042">
        <f>IFERROR(MATCH($CW140,Pflanzen!$C$122:$C$160,0),1)</f>
        <v>20</v>
      </c>
      <c r="CY140" s="2069">
        <f>Pflanzen!I141</f>
        <v>2</v>
      </c>
      <c r="CZ140" s="2042">
        <f t="shared" si="279"/>
        <v>0</v>
      </c>
      <c r="DA140" s="2042">
        <f t="shared" si="289"/>
        <v>0</v>
      </c>
      <c r="DB140" s="2042">
        <f t="shared" si="289"/>
        <v>0</v>
      </c>
      <c r="DC140" s="2042">
        <f t="shared" si="289"/>
        <v>0</v>
      </c>
      <c r="DD140" s="2042">
        <f t="shared" si="289"/>
        <v>0</v>
      </c>
      <c r="DE140" s="2042">
        <f t="shared" si="289"/>
        <v>0</v>
      </c>
      <c r="DF140" s="2042">
        <f t="shared" si="289"/>
        <v>0</v>
      </c>
      <c r="DG140" s="2042">
        <f t="shared" si="289"/>
        <v>0</v>
      </c>
      <c r="DH140" s="2042">
        <f t="shared" si="289"/>
        <v>0</v>
      </c>
      <c r="DI140" s="2042">
        <f t="shared" si="289"/>
        <v>0</v>
      </c>
      <c r="DJ140" s="2042">
        <f t="shared" si="289"/>
        <v>0</v>
      </c>
      <c r="DK140" s="2042">
        <f t="shared" si="289"/>
        <v>0</v>
      </c>
      <c r="DL140" s="2042"/>
      <c r="DM140" s="2042">
        <f t="shared" si="281"/>
        <v>0</v>
      </c>
      <c r="DN140" s="2042">
        <f t="shared" si="290"/>
        <v>0</v>
      </c>
      <c r="DO140" s="2042">
        <f t="shared" si="290"/>
        <v>0</v>
      </c>
      <c r="DP140" s="2042">
        <f t="shared" si="290"/>
        <v>0</v>
      </c>
      <c r="DQ140" s="2042">
        <f t="shared" si="290"/>
        <v>0</v>
      </c>
      <c r="DR140" s="2042">
        <f t="shared" si="290"/>
        <v>0</v>
      </c>
      <c r="DS140" s="2042">
        <f t="shared" si="290"/>
        <v>0</v>
      </c>
      <c r="DT140" s="2042">
        <f t="shared" si="290"/>
        <v>0</v>
      </c>
      <c r="DU140" s="2042">
        <f t="shared" si="290"/>
        <v>0</v>
      </c>
      <c r="DV140" s="2042">
        <f t="shared" si="290"/>
        <v>0</v>
      </c>
      <c r="DW140" s="2042">
        <f t="shared" si="290"/>
        <v>0</v>
      </c>
      <c r="DX140" s="2042">
        <f t="shared" si="290"/>
        <v>0</v>
      </c>
      <c r="DY140" s="2042"/>
      <c r="DZ140" s="2042"/>
      <c r="EA140" s="2042"/>
      <c r="EB140" s="2042"/>
      <c r="EC140" s="2042"/>
      <c r="ED140" s="2042"/>
      <c r="EE140" s="2042"/>
      <c r="EF140" s="2042"/>
      <c r="EG140" s="2042"/>
      <c r="EH140" s="2042"/>
      <c r="EI140" s="2042"/>
      <c r="EJ140" s="2042"/>
      <c r="EK140" s="2042"/>
      <c r="EL140" s="2042"/>
      <c r="EM140" s="2042"/>
      <c r="EN140" s="2042"/>
      <c r="EO140" s="2042"/>
      <c r="EP140" s="2042"/>
      <c r="EQ140" s="2042"/>
      <c r="ER140" s="2042"/>
      <c r="ES140" s="2042"/>
      <c r="ET140" s="2042"/>
      <c r="EU140" s="2042"/>
      <c r="EV140" s="2042"/>
      <c r="EW140" s="2042"/>
      <c r="EX140" s="2042"/>
      <c r="EY140" s="2042"/>
      <c r="EZ140" s="2045">
        <f t="shared" si="283"/>
        <v>0</v>
      </c>
      <c r="FA140" s="2216">
        <f t="shared" si="250"/>
        <v>0</v>
      </c>
      <c r="FB140" s="2216">
        <f t="shared" si="251"/>
        <v>0</v>
      </c>
      <c r="FC140" s="2216">
        <f t="shared" si="252"/>
        <v>0</v>
      </c>
      <c r="FD140" s="2216">
        <f t="shared" si="253"/>
        <v>0</v>
      </c>
      <c r="FE140" s="2216">
        <f t="shared" si="254"/>
        <v>0</v>
      </c>
      <c r="FF140" s="2216">
        <f t="shared" si="255"/>
        <v>0</v>
      </c>
      <c r="FG140" s="2216">
        <f t="shared" si="256"/>
        <v>0</v>
      </c>
      <c r="FH140" s="2216">
        <f t="shared" si="257"/>
        <v>0</v>
      </c>
      <c r="FI140" s="2216">
        <f t="shared" si="258"/>
        <v>0</v>
      </c>
      <c r="FJ140" s="2216">
        <f t="shared" si="259"/>
        <v>0</v>
      </c>
      <c r="FK140" s="2216">
        <f t="shared" si="260"/>
        <v>0</v>
      </c>
      <c r="FL140" s="2216">
        <f t="shared" si="261"/>
        <v>0</v>
      </c>
      <c r="FM140" s="2042"/>
      <c r="FN140" s="2045">
        <f t="shared" si="284"/>
        <v>0</v>
      </c>
      <c r="FO140" s="2216">
        <f t="shared" si="262"/>
        <v>0</v>
      </c>
      <c r="FP140" s="2216">
        <f t="shared" si="263"/>
        <v>0</v>
      </c>
      <c r="FQ140" s="2216">
        <f t="shared" si="264"/>
        <v>0</v>
      </c>
      <c r="FR140" s="2216">
        <f t="shared" si="265"/>
        <v>0</v>
      </c>
      <c r="FS140" s="2216">
        <f t="shared" si="266"/>
        <v>0</v>
      </c>
      <c r="FT140" s="2216">
        <f t="shared" si="267"/>
        <v>0</v>
      </c>
      <c r="FU140" s="2216">
        <f t="shared" si="268"/>
        <v>0</v>
      </c>
      <c r="FV140" s="2216">
        <f t="shared" si="269"/>
        <v>0</v>
      </c>
      <c r="FW140" s="2216">
        <f t="shared" si="270"/>
        <v>0</v>
      </c>
      <c r="FX140" s="2216">
        <f t="shared" si="271"/>
        <v>0</v>
      </c>
      <c r="FY140" s="2216">
        <f t="shared" si="272"/>
        <v>0</v>
      </c>
      <c r="FZ140" s="2216">
        <f t="shared" si="273"/>
        <v>0</v>
      </c>
      <c r="GA140" s="2042"/>
      <c r="GB140" s="2042">
        <f t="shared" si="285"/>
        <v>0</v>
      </c>
      <c r="GC140" s="2042">
        <f t="shared" si="286"/>
        <v>0</v>
      </c>
      <c r="GD140" s="2042"/>
      <c r="GE140" s="2042"/>
      <c r="GF140" s="2042"/>
      <c r="GG140" s="2042"/>
      <c r="GH140" s="2042">
        <f t="shared" si="287"/>
        <v>0</v>
      </c>
      <c r="GI140" s="2042">
        <f t="shared" si="288"/>
        <v>0</v>
      </c>
      <c r="GJ140" s="2042">
        <f t="shared" si="292"/>
        <v>0</v>
      </c>
      <c r="GK140" s="2042">
        <f t="shared" si="293"/>
        <v>0</v>
      </c>
      <c r="GL140" s="2042">
        <f t="shared" si="274"/>
        <v>0</v>
      </c>
      <c r="GM140" s="2042" cm="1">
        <f t="array" ref="GM140">IF(GL140=0,0,(SUMPRODUCT($J$75:$J$79,$CH$75:$CH$79,($BR$75:$BR$79=CX140)*1)+SUMPRODUCT($R$75:$R$79,$CP$75:$CP$79,($BR$75:$BR$79=CX140)*1))/GL140)</f>
        <v>0</v>
      </c>
      <c r="GN140" s="2042">
        <f t="shared" si="275"/>
        <v>0</v>
      </c>
      <c r="GO140" s="2042"/>
      <c r="GP140" s="2042"/>
      <c r="GQ140" s="2042">
        <f t="shared" si="276"/>
        <v>0</v>
      </c>
      <c r="GR140" s="2042">
        <f t="shared" ref="GR140:GR171" si="303">GN140-GQ140</f>
        <v>0</v>
      </c>
      <c r="GS140" s="2042">
        <f t="shared" si="277"/>
        <v>0</v>
      </c>
      <c r="GT140" s="2042">
        <f t="shared" si="278"/>
        <v>0</v>
      </c>
      <c r="GU140" s="2045" t="str">
        <f t="shared" si="175"/>
        <v xml:space="preserve"> </v>
      </c>
      <c r="GV140" s="2042"/>
      <c r="GW140" s="2054">
        <f t="shared" si="294"/>
        <v>0</v>
      </c>
      <c r="GX140" s="2042">
        <f t="shared" si="295"/>
        <v>0</v>
      </c>
      <c r="GY140" s="2042" t="str">
        <f t="shared" si="291"/>
        <v>a</v>
      </c>
      <c r="GZ140" s="2055">
        <f t="shared" si="296"/>
        <v>0</v>
      </c>
      <c r="HA140" s="2055">
        <f t="shared" si="297"/>
        <v>0</v>
      </c>
      <c r="HB140" s="2055"/>
      <c r="HC140" s="2046">
        <f t="shared" si="298"/>
        <v>0</v>
      </c>
      <c r="HD140" s="2055">
        <f t="shared" si="299"/>
        <v>0</v>
      </c>
      <c r="HE140" s="2055">
        <f t="shared" si="300"/>
        <v>0</v>
      </c>
      <c r="HF140" s="2055">
        <f t="shared" si="301"/>
        <v>0</v>
      </c>
      <c r="HG140" s="2282" cm="1">
        <f t="array" ref="HG140">IF(AND(HE140=0,GJ140=0),0,IF(HE140=0,1,IF(OR(GJ140*1000/HE140/HF140&gt;INDEX(Pflanzen!$AD$122:$AD$160,CX140)/INDEX(Pflanzen!$M$122:$M$160,CX140)*$HG$1,GJ140*1000/HE140/HF140&lt;INDEX(Pflanzen!$AD$122:$AD$160,CX140)/INDEX(Pflanzen!$M$122:$M$160,CX140)/$HG$1),1,0)))</f>
        <v>0</v>
      </c>
      <c r="HH140" s="2287" cm="1">
        <f t="array" ref="HH140">IF(AND(GK140=0,HE140=0),0,IF(HE140=0,1,IF(OR(GK140*1000/HE140/HF140&gt;INDEX(Pflanzen!$AE$122:$AE$160,CX140)/INDEX(Pflanzen!$M$122:$M$160,CX140)*$HG$2,GK140*1000/HE140/HF140&lt;INDEX(Pflanzen!$AE$122:$AE$160,CX140)/INDEX(Pflanzen!$M$122:$M$160,CX140)/$HG$2),1,0)))</f>
        <v>0</v>
      </c>
      <c r="HI140" s="2042">
        <f t="shared" si="302"/>
        <v>3</v>
      </c>
      <c r="HJ140" s="2042"/>
      <c r="HL140" s="2042"/>
      <c r="HM140" s="2042"/>
      <c r="HN140" s="2042"/>
      <c r="HO140" s="2042"/>
      <c r="HP140" s="2042"/>
      <c r="HQ140" s="2042"/>
      <c r="HR140" s="2042"/>
      <c r="HS140" s="2042"/>
      <c r="HT140" s="2042"/>
      <c r="HU140" s="2042"/>
      <c r="HV140" s="2042"/>
      <c r="HW140" s="2042"/>
      <c r="HX140" s="2042"/>
      <c r="HY140" s="2042"/>
      <c r="HZ140" s="2042"/>
      <c r="IA140" s="2042"/>
      <c r="IB140" s="2042"/>
      <c r="IC140" s="2042"/>
      <c r="ID140" s="2042"/>
      <c r="IE140" s="2042"/>
      <c r="IF140" s="2042"/>
      <c r="IG140" s="2042"/>
      <c r="IH140" s="2042"/>
      <c r="II140" s="2042"/>
      <c r="IJ140" s="2042"/>
    </row>
    <row r="141" spans="25:244" ht="15.75" customHeight="1" x14ac:dyDescent="0.2">
      <c r="Y141" s="510"/>
      <c r="Z141" s="510"/>
      <c r="AA141" s="510"/>
      <c r="AB141" s="510"/>
      <c r="AC141" s="2033"/>
      <c r="AD141" s="2033"/>
      <c r="AE141" s="2033"/>
      <c r="AF141" s="2033"/>
      <c r="AG141" s="2033"/>
      <c r="AH141" s="2033"/>
      <c r="AI141" s="2033"/>
      <c r="AJ141" s="2033"/>
      <c r="AK141" s="2033"/>
      <c r="AL141" s="2033"/>
      <c r="AM141" s="2033"/>
      <c r="AN141" s="2033"/>
      <c r="AO141" s="517"/>
      <c r="AP141" s="517"/>
      <c r="AQ141" s="517"/>
      <c r="AR141" s="2033"/>
      <c r="AS141" s="2033"/>
      <c r="AT141" s="2033"/>
      <c r="AU141" s="2033"/>
      <c r="AV141" s="2033"/>
      <c r="AY141" s="2042"/>
      <c r="AZ141" s="2042"/>
      <c r="BA141" s="2042"/>
      <c r="BB141" s="2042"/>
      <c r="BC141" s="2042"/>
      <c r="BD141" s="2042"/>
      <c r="BP141" s="2043"/>
      <c r="BQ141" s="2042"/>
      <c r="BR141" s="2042"/>
      <c r="BS141" s="2042"/>
      <c r="BT141" s="2042"/>
      <c r="BU141" s="2059"/>
      <c r="BV141" s="2277"/>
      <c r="BW141" s="2277"/>
      <c r="BX141" s="2277"/>
      <c r="BY141" s="2277"/>
      <c r="BZ141" s="2277"/>
      <c r="CA141" s="2277"/>
      <c r="CB141" s="2277"/>
      <c r="CC141" s="2277"/>
      <c r="CD141" s="2277"/>
      <c r="CE141" s="2277"/>
      <c r="CF141" s="2277"/>
      <c r="CG141" s="2277"/>
      <c r="CH141" s="2277"/>
      <c r="CI141" s="2277"/>
      <c r="CJ141" s="2277"/>
      <c r="CK141" s="2277"/>
      <c r="CL141" s="2042"/>
      <c r="CM141" s="2042"/>
      <c r="CN141" s="2042"/>
      <c r="CO141" s="2042"/>
      <c r="CP141" s="2042"/>
      <c r="CQ141" s="2042"/>
      <c r="CR141" s="2042"/>
      <c r="CS141" s="2042"/>
      <c r="CT141" s="2042"/>
      <c r="CU141" s="2042"/>
      <c r="CV141" s="2042"/>
      <c r="CW141" s="2069" t="str">
        <f>Pflanzen!C142</f>
        <v>Melasseschnitzel</v>
      </c>
      <c r="CX141" s="2042">
        <f>IFERROR(MATCH($CW141,Pflanzen!$C$122:$C$160,0),1)</f>
        <v>21</v>
      </c>
      <c r="CY141" s="2069">
        <f>Pflanzen!I142</f>
        <v>2</v>
      </c>
      <c r="CZ141" s="2042">
        <f t="shared" si="279"/>
        <v>0</v>
      </c>
      <c r="DA141" s="2042">
        <f t="shared" si="289"/>
        <v>0</v>
      </c>
      <c r="DB141" s="2042">
        <f t="shared" si="289"/>
        <v>0</v>
      </c>
      <c r="DC141" s="2042">
        <f t="shared" si="289"/>
        <v>0</v>
      </c>
      <c r="DD141" s="2042">
        <f t="shared" si="289"/>
        <v>0</v>
      </c>
      <c r="DE141" s="2042">
        <f t="shared" si="289"/>
        <v>0</v>
      </c>
      <c r="DF141" s="2042">
        <f t="shared" si="289"/>
        <v>0</v>
      </c>
      <c r="DG141" s="2042">
        <f t="shared" si="289"/>
        <v>0</v>
      </c>
      <c r="DH141" s="2042">
        <f t="shared" si="289"/>
        <v>0</v>
      </c>
      <c r="DI141" s="2042">
        <f t="shared" si="289"/>
        <v>0</v>
      </c>
      <c r="DJ141" s="2042">
        <f t="shared" si="289"/>
        <v>0</v>
      </c>
      <c r="DK141" s="2042">
        <f t="shared" si="289"/>
        <v>0</v>
      </c>
      <c r="DL141" s="2042"/>
      <c r="DM141" s="2042">
        <f t="shared" si="281"/>
        <v>0</v>
      </c>
      <c r="DN141" s="2042">
        <f t="shared" si="290"/>
        <v>0</v>
      </c>
      <c r="DO141" s="2042">
        <f t="shared" si="290"/>
        <v>0</v>
      </c>
      <c r="DP141" s="2042">
        <f t="shared" si="290"/>
        <v>0</v>
      </c>
      <c r="DQ141" s="2042">
        <f t="shared" si="290"/>
        <v>0</v>
      </c>
      <c r="DR141" s="2042">
        <f t="shared" si="290"/>
        <v>0</v>
      </c>
      <c r="DS141" s="2042">
        <f t="shared" si="290"/>
        <v>0</v>
      </c>
      <c r="DT141" s="2042">
        <f t="shared" si="290"/>
        <v>0</v>
      </c>
      <c r="DU141" s="2042">
        <f t="shared" si="290"/>
        <v>0</v>
      </c>
      <c r="DV141" s="2042">
        <f t="shared" si="290"/>
        <v>0</v>
      </c>
      <c r="DW141" s="2042">
        <f t="shared" si="290"/>
        <v>0</v>
      </c>
      <c r="DX141" s="2042">
        <f t="shared" si="290"/>
        <v>0</v>
      </c>
      <c r="DY141" s="2042"/>
      <c r="DZ141" s="2042"/>
      <c r="EA141" s="2042"/>
      <c r="EB141" s="2042"/>
      <c r="EC141" s="2042"/>
      <c r="ED141" s="2042"/>
      <c r="EE141" s="2042"/>
      <c r="EF141" s="2042"/>
      <c r="EG141" s="2042"/>
      <c r="EH141" s="2042"/>
      <c r="EI141" s="2042"/>
      <c r="EJ141" s="2042"/>
      <c r="EK141" s="2042"/>
      <c r="EL141" s="2042"/>
      <c r="EM141" s="2042"/>
      <c r="EN141" s="2042"/>
      <c r="EO141" s="2042"/>
      <c r="EP141" s="2042"/>
      <c r="EQ141" s="2042"/>
      <c r="ER141" s="2042"/>
      <c r="ES141" s="2042"/>
      <c r="ET141" s="2042"/>
      <c r="EU141" s="2042"/>
      <c r="EV141" s="2042"/>
      <c r="EW141" s="2042"/>
      <c r="EX141" s="2042"/>
      <c r="EY141" s="2042"/>
      <c r="EZ141" s="2045">
        <f t="shared" si="283"/>
        <v>0</v>
      </c>
      <c r="FA141" s="2216">
        <f t="shared" si="250"/>
        <v>0</v>
      </c>
      <c r="FB141" s="2216">
        <f t="shared" si="251"/>
        <v>0</v>
      </c>
      <c r="FC141" s="2216">
        <f t="shared" si="252"/>
        <v>0</v>
      </c>
      <c r="FD141" s="2216">
        <f t="shared" si="253"/>
        <v>0</v>
      </c>
      <c r="FE141" s="2216">
        <f t="shared" si="254"/>
        <v>0</v>
      </c>
      <c r="FF141" s="2216">
        <f t="shared" si="255"/>
        <v>0</v>
      </c>
      <c r="FG141" s="2216">
        <f t="shared" si="256"/>
        <v>0</v>
      </c>
      <c r="FH141" s="2216">
        <f t="shared" si="257"/>
        <v>0</v>
      </c>
      <c r="FI141" s="2216">
        <f t="shared" si="258"/>
        <v>0</v>
      </c>
      <c r="FJ141" s="2216">
        <f t="shared" si="259"/>
        <v>0</v>
      </c>
      <c r="FK141" s="2216">
        <f t="shared" si="260"/>
        <v>0</v>
      </c>
      <c r="FL141" s="2216">
        <f t="shared" si="261"/>
        <v>0</v>
      </c>
      <c r="FM141" s="2042"/>
      <c r="FN141" s="2045">
        <f t="shared" si="284"/>
        <v>0</v>
      </c>
      <c r="FO141" s="2216">
        <f t="shared" si="262"/>
        <v>0</v>
      </c>
      <c r="FP141" s="2216">
        <f t="shared" si="263"/>
        <v>0</v>
      </c>
      <c r="FQ141" s="2216">
        <f t="shared" si="264"/>
        <v>0</v>
      </c>
      <c r="FR141" s="2216">
        <f t="shared" si="265"/>
        <v>0</v>
      </c>
      <c r="FS141" s="2216">
        <f t="shared" si="266"/>
        <v>0</v>
      </c>
      <c r="FT141" s="2216">
        <f t="shared" si="267"/>
        <v>0</v>
      </c>
      <c r="FU141" s="2216">
        <f t="shared" si="268"/>
        <v>0</v>
      </c>
      <c r="FV141" s="2216">
        <f t="shared" si="269"/>
        <v>0</v>
      </c>
      <c r="FW141" s="2216">
        <f t="shared" si="270"/>
        <v>0</v>
      </c>
      <c r="FX141" s="2216">
        <f t="shared" si="271"/>
        <v>0</v>
      </c>
      <c r="FY141" s="2216">
        <f t="shared" si="272"/>
        <v>0</v>
      </c>
      <c r="FZ141" s="2216">
        <f t="shared" si="273"/>
        <v>0</v>
      </c>
      <c r="GA141" s="2042"/>
      <c r="GB141" s="2042">
        <f t="shared" si="285"/>
        <v>0</v>
      </c>
      <c r="GC141" s="2042">
        <f t="shared" si="286"/>
        <v>0</v>
      </c>
      <c r="GD141" s="2042"/>
      <c r="GE141" s="2042"/>
      <c r="GF141" s="2042"/>
      <c r="GG141" s="2042"/>
      <c r="GH141" s="2042">
        <f t="shared" si="287"/>
        <v>0</v>
      </c>
      <c r="GI141" s="2042">
        <f t="shared" si="288"/>
        <v>0</v>
      </c>
      <c r="GJ141" s="2042">
        <f t="shared" si="292"/>
        <v>0</v>
      </c>
      <c r="GK141" s="2042">
        <f t="shared" si="293"/>
        <v>0</v>
      </c>
      <c r="GL141" s="2042">
        <f t="shared" si="274"/>
        <v>0</v>
      </c>
      <c r="GM141" s="2042" cm="1">
        <f t="array" ref="GM141">IF(GL141=0,0,(SUMPRODUCT($J$75:$J$79,$CH$75:$CH$79,($BR$75:$BR$79=CX141)*1)+SUMPRODUCT($R$75:$R$79,$CP$75:$CP$79,($BR$75:$BR$79=CX141)*1))/GL141)</f>
        <v>0</v>
      </c>
      <c r="GN141" s="2042">
        <f t="shared" si="275"/>
        <v>0</v>
      </c>
      <c r="GO141" s="2042"/>
      <c r="GP141" s="2042"/>
      <c r="GQ141" s="2042">
        <f t="shared" si="276"/>
        <v>0</v>
      </c>
      <c r="GR141" s="2042">
        <f t="shared" si="303"/>
        <v>0</v>
      </c>
      <c r="GS141" s="2042">
        <f t="shared" si="277"/>
        <v>0</v>
      </c>
      <c r="GT141" s="2042">
        <f t="shared" si="278"/>
        <v>0</v>
      </c>
      <c r="GU141" s="2045" t="str">
        <f t="shared" si="175"/>
        <v xml:space="preserve"> </v>
      </c>
      <c r="GV141" s="2042"/>
      <c r="GW141" s="2054">
        <f t="shared" si="294"/>
        <v>0</v>
      </c>
      <c r="GX141" s="2042">
        <f t="shared" si="295"/>
        <v>0</v>
      </c>
      <c r="GY141" s="2042" t="str">
        <f t="shared" si="291"/>
        <v>a</v>
      </c>
      <c r="GZ141" s="2055">
        <f t="shared" si="296"/>
        <v>0</v>
      </c>
      <c r="HA141" s="2055">
        <f t="shared" si="297"/>
        <v>0</v>
      </c>
      <c r="HB141" s="2055"/>
      <c r="HC141" s="2046">
        <f t="shared" si="298"/>
        <v>0</v>
      </c>
      <c r="HD141" s="2055">
        <f t="shared" si="299"/>
        <v>0</v>
      </c>
      <c r="HE141" s="2055">
        <f t="shared" si="300"/>
        <v>0</v>
      </c>
      <c r="HF141" s="2055">
        <f t="shared" si="301"/>
        <v>0</v>
      </c>
      <c r="HG141" s="2282" cm="1">
        <f t="array" ref="HG141">IF(AND(HE141=0,GJ141=0),0,IF(HE141=0,1,IF(OR(GJ141*1000/HE141/HF141&gt;INDEX(Pflanzen!$AD$122:$AD$160,CX141)/INDEX(Pflanzen!$M$122:$M$160,CX141)*$HG$1,GJ141*1000/HE141/HF141&lt;INDEX(Pflanzen!$AD$122:$AD$160,CX141)/INDEX(Pflanzen!$M$122:$M$160,CX141)/$HG$1),1,0)))</f>
        <v>0</v>
      </c>
      <c r="HH141" s="2287" cm="1">
        <f t="array" ref="HH141">IF(AND(GK141=0,HE141=0),0,IF(HE141=0,1,IF(OR(GK141*1000/HE141/HF141&gt;INDEX(Pflanzen!$AE$122:$AE$160,CX141)/INDEX(Pflanzen!$M$122:$M$160,CX141)*$HG$2,GK141*1000/HE141/HF141&lt;INDEX(Pflanzen!$AE$122:$AE$160,CX141)/INDEX(Pflanzen!$M$122:$M$160,CX141)/$HG$2),1,0)))</f>
        <v>0</v>
      </c>
      <c r="HI141" s="2042">
        <f t="shared" si="302"/>
        <v>3</v>
      </c>
      <c r="HJ141" s="2042"/>
      <c r="HL141" s="2042"/>
      <c r="HM141" s="2042"/>
      <c r="HN141" s="2042"/>
      <c r="HO141" s="2042"/>
      <c r="HP141" s="2042"/>
      <c r="HQ141" s="2042"/>
      <c r="HR141" s="2042"/>
      <c r="HS141" s="2042"/>
      <c r="HT141" s="2042"/>
      <c r="HU141" s="2042"/>
      <c r="HV141" s="2042"/>
      <c r="HW141" s="2042"/>
      <c r="HX141" s="2042"/>
      <c r="HY141" s="2042"/>
      <c r="HZ141" s="2042"/>
      <c r="IA141" s="2042"/>
      <c r="IB141" s="2042"/>
      <c r="IC141" s="2042"/>
      <c r="ID141" s="2042"/>
      <c r="IE141" s="2042"/>
      <c r="IF141" s="2042"/>
      <c r="IG141" s="2042"/>
      <c r="IH141" s="2042"/>
      <c r="II141" s="2042"/>
      <c r="IJ141" s="2042"/>
    </row>
    <row r="142" spans="25:244" ht="15.75" customHeight="1" x14ac:dyDescent="0.2">
      <c r="Y142" s="510"/>
      <c r="Z142" s="510"/>
      <c r="AA142" s="510"/>
      <c r="AB142" s="510"/>
      <c r="AC142" s="2033"/>
      <c r="AD142" s="2033"/>
      <c r="AE142" s="2033"/>
      <c r="AF142" s="2033"/>
      <c r="AG142" s="2033"/>
      <c r="AH142" s="2033"/>
      <c r="AI142" s="2033"/>
      <c r="AJ142" s="2033"/>
      <c r="AK142" s="2033"/>
      <c r="AL142" s="2033"/>
      <c r="AM142" s="2033"/>
      <c r="AN142" s="2033"/>
      <c r="AO142" s="517"/>
      <c r="AP142" s="517"/>
      <c r="AQ142" s="517"/>
      <c r="AR142" s="2033"/>
      <c r="AS142" s="2033"/>
      <c r="AT142" s="2033"/>
      <c r="AU142" s="2033"/>
      <c r="AV142" s="2033"/>
      <c r="AY142" s="2042"/>
      <c r="AZ142" s="2042"/>
      <c r="BA142" s="2042"/>
      <c r="BB142" s="2042"/>
      <c r="BC142" s="2042"/>
      <c r="BD142" s="2042"/>
      <c r="BP142" s="2043"/>
      <c r="BQ142" s="2042"/>
      <c r="BR142" s="2042"/>
      <c r="BS142" s="2042"/>
      <c r="BT142" s="2042"/>
      <c r="BU142" s="2059"/>
      <c r="BV142" s="2277"/>
      <c r="BW142" s="2277"/>
      <c r="BX142" s="2277"/>
      <c r="BY142" s="2277"/>
      <c r="BZ142" s="2277"/>
      <c r="CA142" s="2277"/>
      <c r="CB142" s="2277"/>
      <c r="CC142" s="2277"/>
      <c r="CD142" s="2277"/>
      <c r="CE142" s="2277"/>
      <c r="CF142" s="2277"/>
      <c r="CG142" s="2277"/>
      <c r="CH142" s="2277"/>
      <c r="CI142" s="2277"/>
      <c r="CJ142" s="2277"/>
      <c r="CK142" s="2277"/>
      <c r="CL142" s="2042"/>
      <c r="CM142" s="2042"/>
      <c r="CN142" s="2042"/>
      <c r="CO142" s="2042"/>
      <c r="CP142" s="2042"/>
      <c r="CQ142" s="2042"/>
      <c r="CR142" s="2042"/>
      <c r="CS142" s="2042"/>
      <c r="CT142" s="2042"/>
      <c r="CU142" s="2042"/>
      <c r="CV142" s="2042"/>
      <c r="CW142" s="2069" t="str">
        <f>Pflanzen!C143</f>
        <v>Molke, Permeat</v>
      </c>
      <c r="CX142" s="2042">
        <f>IFERROR(MATCH($CW142,Pflanzen!$C$122:$C$160,0),1)</f>
        <v>22</v>
      </c>
      <c r="CY142" s="2069">
        <f>Pflanzen!I143</f>
        <v>2</v>
      </c>
      <c r="CZ142" s="2042">
        <f t="shared" si="279"/>
        <v>0</v>
      </c>
      <c r="DA142" s="2042">
        <f t="shared" si="289"/>
        <v>0</v>
      </c>
      <c r="DB142" s="2042">
        <f t="shared" si="289"/>
        <v>0</v>
      </c>
      <c r="DC142" s="2042">
        <f t="shared" si="289"/>
        <v>0</v>
      </c>
      <c r="DD142" s="2042">
        <f t="shared" si="289"/>
        <v>0</v>
      </c>
      <c r="DE142" s="2042">
        <f t="shared" si="289"/>
        <v>0</v>
      </c>
      <c r="DF142" s="2042">
        <f t="shared" si="289"/>
        <v>0</v>
      </c>
      <c r="DG142" s="2042">
        <f t="shared" si="289"/>
        <v>0</v>
      </c>
      <c r="DH142" s="2042">
        <f t="shared" si="289"/>
        <v>0</v>
      </c>
      <c r="DI142" s="2042">
        <f t="shared" si="289"/>
        <v>0</v>
      </c>
      <c r="DJ142" s="2042">
        <f t="shared" si="289"/>
        <v>0</v>
      </c>
      <c r="DK142" s="2042">
        <f t="shared" si="289"/>
        <v>0</v>
      </c>
      <c r="DL142" s="2042"/>
      <c r="DM142" s="2042">
        <f t="shared" si="281"/>
        <v>0</v>
      </c>
      <c r="DN142" s="2042">
        <f t="shared" si="290"/>
        <v>0</v>
      </c>
      <c r="DO142" s="2042">
        <f t="shared" si="290"/>
        <v>0</v>
      </c>
      <c r="DP142" s="2042">
        <f t="shared" si="290"/>
        <v>0</v>
      </c>
      <c r="DQ142" s="2042">
        <f t="shared" si="290"/>
        <v>0</v>
      </c>
      <c r="DR142" s="2042">
        <f t="shared" si="290"/>
        <v>0</v>
      </c>
      <c r="DS142" s="2042">
        <f t="shared" si="290"/>
        <v>0</v>
      </c>
      <c r="DT142" s="2042">
        <f t="shared" si="290"/>
        <v>0</v>
      </c>
      <c r="DU142" s="2042">
        <f t="shared" si="290"/>
        <v>0</v>
      </c>
      <c r="DV142" s="2042">
        <f t="shared" si="290"/>
        <v>0</v>
      </c>
      <c r="DW142" s="2042">
        <f t="shared" si="290"/>
        <v>0</v>
      </c>
      <c r="DX142" s="2042">
        <f t="shared" si="290"/>
        <v>0</v>
      </c>
      <c r="DY142" s="2042"/>
      <c r="DZ142" s="2042"/>
      <c r="EA142" s="2042"/>
      <c r="EB142" s="2042"/>
      <c r="EC142" s="2042"/>
      <c r="ED142" s="2042"/>
      <c r="EE142" s="2042"/>
      <c r="EF142" s="2042"/>
      <c r="EG142" s="2042"/>
      <c r="EH142" s="2042"/>
      <c r="EI142" s="2042"/>
      <c r="EJ142" s="2042"/>
      <c r="EK142" s="2042"/>
      <c r="EL142" s="2042"/>
      <c r="EM142" s="2042"/>
      <c r="EN142" s="2042"/>
      <c r="EO142" s="2042"/>
      <c r="EP142" s="2042"/>
      <c r="EQ142" s="2042"/>
      <c r="ER142" s="2042"/>
      <c r="ES142" s="2042"/>
      <c r="ET142" s="2042"/>
      <c r="EU142" s="2042"/>
      <c r="EV142" s="2042"/>
      <c r="EW142" s="2042"/>
      <c r="EX142" s="2042"/>
      <c r="EY142" s="2042"/>
      <c r="EZ142" s="2045">
        <f t="shared" si="283"/>
        <v>0</v>
      </c>
      <c r="FA142" s="2216">
        <f t="shared" si="250"/>
        <v>0</v>
      </c>
      <c r="FB142" s="2216">
        <f t="shared" si="251"/>
        <v>0</v>
      </c>
      <c r="FC142" s="2216">
        <f t="shared" si="252"/>
        <v>0</v>
      </c>
      <c r="FD142" s="2216">
        <f t="shared" si="253"/>
        <v>0</v>
      </c>
      <c r="FE142" s="2216">
        <f t="shared" si="254"/>
        <v>0</v>
      </c>
      <c r="FF142" s="2216">
        <f t="shared" si="255"/>
        <v>0</v>
      </c>
      <c r="FG142" s="2216">
        <f t="shared" si="256"/>
        <v>0</v>
      </c>
      <c r="FH142" s="2216">
        <f t="shared" si="257"/>
        <v>0</v>
      </c>
      <c r="FI142" s="2216">
        <f t="shared" si="258"/>
        <v>0</v>
      </c>
      <c r="FJ142" s="2216">
        <f t="shared" si="259"/>
        <v>0</v>
      </c>
      <c r="FK142" s="2216">
        <f t="shared" si="260"/>
        <v>0</v>
      </c>
      <c r="FL142" s="2216">
        <f t="shared" si="261"/>
        <v>0</v>
      </c>
      <c r="FM142" s="2042"/>
      <c r="FN142" s="2045">
        <f t="shared" si="284"/>
        <v>0</v>
      </c>
      <c r="FO142" s="2216">
        <f t="shared" si="262"/>
        <v>0</v>
      </c>
      <c r="FP142" s="2216">
        <f t="shared" si="263"/>
        <v>0</v>
      </c>
      <c r="FQ142" s="2216">
        <f t="shared" si="264"/>
        <v>0</v>
      </c>
      <c r="FR142" s="2216">
        <f t="shared" si="265"/>
        <v>0</v>
      </c>
      <c r="FS142" s="2216">
        <f t="shared" si="266"/>
        <v>0</v>
      </c>
      <c r="FT142" s="2216">
        <f t="shared" si="267"/>
        <v>0</v>
      </c>
      <c r="FU142" s="2216">
        <f t="shared" si="268"/>
        <v>0</v>
      </c>
      <c r="FV142" s="2216">
        <f t="shared" si="269"/>
        <v>0</v>
      </c>
      <c r="FW142" s="2216">
        <f t="shared" si="270"/>
        <v>0</v>
      </c>
      <c r="FX142" s="2216">
        <f t="shared" si="271"/>
        <v>0</v>
      </c>
      <c r="FY142" s="2216">
        <f t="shared" si="272"/>
        <v>0</v>
      </c>
      <c r="FZ142" s="2216">
        <f t="shared" si="273"/>
        <v>0</v>
      </c>
      <c r="GA142" s="2042"/>
      <c r="GB142" s="2042">
        <f t="shared" si="285"/>
        <v>0</v>
      </c>
      <c r="GC142" s="2042">
        <f t="shared" si="286"/>
        <v>0</v>
      </c>
      <c r="GD142" s="2042"/>
      <c r="GE142" s="2042"/>
      <c r="GF142" s="2042"/>
      <c r="GG142" s="2042"/>
      <c r="GH142" s="2042">
        <f t="shared" si="287"/>
        <v>0</v>
      </c>
      <c r="GI142" s="2042">
        <f t="shared" si="288"/>
        <v>0</v>
      </c>
      <c r="GJ142" s="2042">
        <f t="shared" si="292"/>
        <v>0</v>
      </c>
      <c r="GK142" s="2042">
        <f t="shared" si="293"/>
        <v>0</v>
      </c>
      <c r="GL142" s="2042">
        <f t="shared" si="274"/>
        <v>0</v>
      </c>
      <c r="GM142" s="2042" cm="1">
        <f t="array" ref="GM142">IF(GL142=0,0,(SUMPRODUCT($J$75:$J$79,$CH$75:$CH$79,($BR$75:$BR$79=CX142)*1)+SUMPRODUCT($R$75:$R$79,$CP$75:$CP$79,($BR$75:$BR$79=CX142)*1))/GL142)</f>
        <v>0</v>
      </c>
      <c r="GN142" s="2042">
        <f t="shared" si="275"/>
        <v>0</v>
      </c>
      <c r="GO142" s="2042"/>
      <c r="GP142" s="2042"/>
      <c r="GQ142" s="2042">
        <f t="shared" si="276"/>
        <v>0</v>
      </c>
      <c r="GR142" s="2042">
        <f t="shared" si="303"/>
        <v>0</v>
      </c>
      <c r="GS142" s="2042">
        <f t="shared" si="277"/>
        <v>0</v>
      </c>
      <c r="GT142" s="2042">
        <f t="shared" si="278"/>
        <v>0</v>
      </c>
      <c r="GU142" s="2045" t="str">
        <f t="shared" si="175"/>
        <v xml:space="preserve"> </v>
      </c>
      <c r="GV142" s="2042"/>
      <c r="GW142" s="2054">
        <f t="shared" si="294"/>
        <v>0</v>
      </c>
      <c r="GX142" s="2042">
        <f t="shared" si="295"/>
        <v>0</v>
      </c>
      <c r="GY142" s="2042" t="str">
        <f t="shared" si="291"/>
        <v>a</v>
      </c>
      <c r="GZ142" s="2055">
        <f t="shared" si="296"/>
        <v>0</v>
      </c>
      <c r="HA142" s="2055">
        <f t="shared" si="297"/>
        <v>0</v>
      </c>
      <c r="HB142" s="2055"/>
      <c r="HC142" s="2046">
        <f t="shared" si="298"/>
        <v>0</v>
      </c>
      <c r="HD142" s="2055">
        <f t="shared" si="299"/>
        <v>0</v>
      </c>
      <c r="HE142" s="2055">
        <f t="shared" si="300"/>
        <v>0</v>
      </c>
      <c r="HF142" s="2055">
        <f t="shared" si="301"/>
        <v>0</v>
      </c>
      <c r="HG142" s="2282" cm="1">
        <f t="array" ref="HG142">IF(AND(HE142=0,GJ142=0),0,IF(HE142=0,1,IF(OR(GJ142*1000/HE142/HF142&gt;INDEX(Pflanzen!$AD$122:$AD$160,CX142)/INDEX(Pflanzen!$M$122:$M$160,CX142)*$HG$1,GJ142*1000/HE142/HF142&lt;INDEX(Pflanzen!$AD$122:$AD$160,CX142)/INDEX(Pflanzen!$M$122:$M$160,CX142)/$HG$1),1,0)))</f>
        <v>0</v>
      </c>
      <c r="HH142" s="2287" cm="1">
        <f t="array" ref="HH142">IF(AND(GK142=0,HE142=0),0,IF(HE142=0,1,IF(OR(GK142*1000/HE142/HF142&gt;INDEX(Pflanzen!$AE$122:$AE$160,CX142)/INDEX(Pflanzen!$M$122:$M$160,CX142)*$HG$2,GK142*1000/HE142/HF142&lt;INDEX(Pflanzen!$AE$122:$AE$160,CX142)/INDEX(Pflanzen!$M$122:$M$160,CX142)/$HG$2),1,0)))</f>
        <v>0</v>
      </c>
      <c r="HI142" s="2042">
        <f t="shared" si="302"/>
        <v>3</v>
      </c>
      <c r="HJ142" s="2042"/>
      <c r="HL142" s="2042"/>
      <c r="HM142" s="2042"/>
      <c r="HN142" s="2042"/>
      <c r="HO142" s="2042"/>
      <c r="HP142" s="2042"/>
      <c r="HQ142" s="2042"/>
      <c r="HR142" s="2042"/>
      <c r="HS142" s="2042"/>
      <c r="HT142" s="2042"/>
      <c r="HU142" s="2042"/>
      <c r="HV142" s="2042"/>
      <c r="HW142" s="2042"/>
      <c r="HX142" s="2042"/>
      <c r="HY142" s="2042"/>
      <c r="HZ142" s="2042"/>
      <c r="IA142" s="2042"/>
      <c r="IB142" s="2042"/>
      <c r="IC142" s="2042"/>
      <c r="ID142" s="2042"/>
      <c r="IE142" s="2042"/>
      <c r="IF142" s="2042"/>
      <c r="IG142" s="2042"/>
      <c r="IH142" s="2042"/>
      <c r="II142" s="2042"/>
      <c r="IJ142" s="2042"/>
    </row>
    <row r="143" spans="25:244" ht="15.75" customHeight="1" x14ac:dyDescent="0.2">
      <c r="Y143" s="510"/>
      <c r="Z143" s="510"/>
      <c r="AA143" s="510"/>
      <c r="AB143" s="510"/>
      <c r="AC143" s="2033"/>
      <c r="AD143" s="2033"/>
      <c r="AE143" s="2033"/>
      <c r="AF143" s="2033"/>
      <c r="AG143" s="2033"/>
      <c r="AH143" s="2033"/>
      <c r="AI143" s="2033"/>
      <c r="AJ143" s="2033"/>
      <c r="AK143" s="2033"/>
      <c r="AL143" s="2033"/>
      <c r="AM143" s="2033"/>
      <c r="AN143" s="2033"/>
      <c r="AO143" s="517"/>
      <c r="AP143" s="517"/>
      <c r="AQ143" s="517"/>
      <c r="AR143" s="2033"/>
      <c r="AS143" s="2033"/>
      <c r="AT143" s="2033"/>
      <c r="AU143" s="2033"/>
      <c r="AV143" s="2033"/>
      <c r="AY143" s="2042"/>
      <c r="AZ143" s="2042"/>
      <c r="BA143" s="2042"/>
      <c r="BB143" s="2042"/>
      <c r="BC143" s="2042"/>
      <c r="BD143" s="2042"/>
      <c r="BP143" s="2043"/>
      <c r="BQ143" s="2042"/>
      <c r="BR143" s="2042"/>
      <c r="BS143" s="2042"/>
      <c r="BT143" s="2042"/>
      <c r="BU143" s="2059"/>
      <c r="BV143" s="2277"/>
      <c r="BW143" s="2277"/>
      <c r="BX143" s="2277"/>
      <c r="BY143" s="2277"/>
      <c r="BZ143" s="2277"/>
      <c r="CA143" s="2277"/>
      <c r="CB143" s="2277"/>
      <c r="CC143" s="2277"/>
      <c r="CD143" s="2277"/>
      <c r="CE143" s="2277"/>
      <c r="CF143" s="2277"/>
      <c r="CG143" s="2277"/>
      <c r="CH143" s="2277"/>
      <c r="CI143" s="2277"/>
      <c r="CJ143" s="2277"/>
      <c r="CK143" s="2277"/>
      <c r="CL143" s="2042"/>
      <c r="CM143" s="2042"/>
      <c r="CN143" s="2042"/>
      <c r="CO143" s="2042"/>
      <c r="CP143" s="2042"/>
      <c r="CQ143" s="2042"/>
      <c r="CR143" s="2042"/>
      <c r="CS143" s="2042"/>
      <c r="CT143" s="2042"/>
      <c r="CU143" s="2042"/>
      <c r="CV143" s="2070"/>
      <c r="CW143" s="2069" t="str">
        <f>Pflanzen!C144</f>
        <v>Pressschnitzel, siliert</v>
      </c>
      <c r="CX143" s="2042">
        <f>IFERROR(MATCH($CW143,Pflanzen!$C$122:$C$160,0),1)</f>
        <v>23</v>
      </c>
      <c r="CY143" s="2069">
        <f>Pflanzen!I144</f>
        <v>2</v>
      </c>
      <c r="CZ143" s="2042">
        <f t="shared" si="279"/>
        <v>0</v>
      </c>
      <c r="DA143" s="2042">
        <f t="shared" ref="DA143:DK152" si="304">SUMIFS($CQ$75:$CQ$79,$BW$75:$BW$79,1,$BX$75:$BX$79,DA$2,$BR$75:$BR$79,$CX143)+   SUMIFS($CQ$75:$CQ$79,$BW$75:$BW$79,"&gt;1",$BX$75:$BX$79,"&lt;="&amp;DA$2,$BY$75:$BY$79,"&gt;="&amp;DA$2,$BR$75:$BR$79,$CX143)</f>
        <v>0</v>
      </c>
      <c r="DB143" s="2042">
        <f t="shared" si="304"/>
        <v>0</v>
      </c>
      <c r="DC143" s="2042">
        <f t="shared" si="304"/>
        <v>0</v>
      </c>
      <c r="DD143" s="2042">
        <f t="shared" si="304"/>
        <v>0</v>
      </c>
      <c r="DE143" s="2042">
        <f t="shared" si="304"/>
        <v>0</v>
      </c>
      <c r="DF143" s="2042">
        <f t="shared" si="304"/>
        <v>0</v>
      </c>
      <c r="DG143" s="2042">
        <f t="shared" si="304"/>
        <v>0</v>
      </c>
      <c r="DH143" s="2042">
        <f t="shared" si="304"/>
        <v>0</v>
      </c>
      <c r="DI143" s="2042">
        <f t="shared" si="304"/>
        <v>0</v>
      </c>
      <c r="DJ143" s="2042">
        <f t="shared" si="304"/>
        <v>0</v>
      </c>
      <c r="DK143" s="2042">
        <f t="shared" si="304"/>
        <v>0</v>
      </c>
      <c r="DL143" s="2042"/>
      <c r="DM143" s="2042">
        <f t="shared" si="281"/>
        <v>0</v>
      </c>
      <c r="DN143" s="2042">
        <f t="shared" ref="DN143:DX152" si="305">SUMIFS($CS$75:$CS$79,$BW$75:$BW$79,1,$BX$75:$BX$79,DN$2,$BR$75:$BR$79,$CX143)+   SUMIFS($CS$75:$CS$79,$BW$75:$BW$79,"&gt;1",$BX$75:$BX$79,"&lt;="&amp;DN$2,$BY$75:$BY$79,"&gt;="&amp;DN$2,$BR$75:$BR$79,$CX143)</f>
        <v>0</v>
      </c>
      <c r="DO143" s="2042">
        <f t="shared" si="305"/>
        <v>0</v>
      </c>
      <c r="DP143" s="2042">
        <f t="shared" si="305"/>
        <v>0</v>
      </c>
      <c r="DQ143" s="2042">
        <f t="shared" si="305"/>
        <v>0</v>
      </c>
      <c r="DR143" s="2042">
        <f t="shared" si="305"/>
        <v>0</v>
      </c>
      <c r="DS143" s="2042">
        <f t="shared" si="305"/>
        <v>0</v>
      </c>
      <c r="DT143" s="2042">
        <f t="shared" si="305"/>
        <v>0</v>
      </c>
      <c r="DU143" s="2042">
        <f t="shared" si="305"/>
        <v>0</v>
      </c>
      <c r="DV143" s="2042">
        <f t="shared" si="305"/>
        <v>0</v>
      </c>
      <c r="DW143" s="2042">
        <f t="shared" si="305"/>
        <v>0</v>
      </c>
      <c r="DX143" s="2042">
        <f t="shared" si="305"/>
        <v>0</v>
      </c>
      <c r="DY143" s="2042"/>
      <c r="DZ143" s="2042"/>
      <c r="EA143" s="2042"/>
      <c r="EB143" s="2042"/>
      <c r="EC143" s="2042"/>
      <c r="ED143" s="2042"/>
      <c r="EE143" s="2042"/>
      <c r="EF143" s="2042"/>
      <c r="EG143" s="2042"/>
      <c r="EH143" s="2042"/>
      <c r="EI143" s="2042"/>
      <c r="EJ143" s="2042"/>
      <c r="EK143" s="2042"/>
      <c r="EL143" s="2042"/>
      <c r="EM143" s="2042"/>
      <c r="EN143" s="2042"/>
      <c r="EO143" s="2042"/>
      <c r="EP143" s="2042"/>
      <c r="EQ143" s="2042"/>
      <c r="ER143" s="2042"/>
      <c r="ES143" s="2042"/>
      <c r="ET143" s="2042"/>
      <c r="EU143" s="2042"/>
      <c r="EV143" s="2042"/>
      <c r="EW143" s="2042"/>
      <c r="EX143" s="2042"/>
      <c r="EY143" s="2042"/>
      <c r="EZ143" s="2045">
        <f t="shared" si="283"/>
        <v>0</v>
      </c>
      <c r="FA143" s="2216">
        <f t="shared" si="250"/>
        <v>0</v>
      </c>
      <c r="FB143" s="2216">
        <f t="shared" si="251"/>
        <v>0</v>
      </c>
      <c r="FC143" s="2216">
        <f t="shared" si="252"/>
        <v>0</v>
      </c>
      <c r="FD143" s="2216">
        <f t="shared" si="253"/>
        <v>0</v>
      </c>
      <c r="FE143" s="2216">
        <f t="shared" si="254"/>
        <v>0</v>
      </c>
      <c r="FF143" s="2216">
        <f t="shared" si="255"/>
        <v>0</v>
      </c>
      <c r="FG143" s="2216">
        <f t="shared" si="256"/>
        <v>0</v>
      </c>
      <c r="FH143" s="2216">
        <f t="shared" si="257"/>
        <v>0</v>
      </c>
      <c r="FI143" s="2216">
        <f t="shared" si="258"/>
        <v>0</v>
      </c>
      <c r="FJ143" s="2216">
        <f t="shared" si="259"/>
        <v>0</v>
      </c>
      <c r="FK143" s="2216">
        <f t="shared" si="260"/>
        <v>0</v>
      </c>
      <c r="FL143" s="2216">
        <f t="shared" si="261"/>
        <v>0</v>
      </c>
      <c r="FM143" s="2042"/>
      <c r="FN143" s="2045">
        <f t="shared" si="284"/>
        <v>0</v>
      </c>
      <c r="FO143" s="2216">
        <f t="shared" si="262"/>
        <v>0</v>
      </c>
      <c r="FP143" s="2216">
        <f t="shared" si="263"/>
        <v>0</v>
      </c>
      <c r="FQ143" s="2216">
        <f t="shared" si="264"/>
        <v>0</v>
      </c>
      <c r="FR143" s="2216">
        <f t="shared" si="265"/>
        <v>0</v>
      </c>
      <c r="FS143" s="2216">
        <f t="shared" si="266"/>
        <v>0</v>
      </c>
      <c r="FT143" s="2216">
        <f t="shared" si="267"/>
        <v>0</v>
      </c>
      <c r="FU143" s="2216">
        <f t="shared" si="268"/>
        <v>0</v>
      </c>
      <c r="FV143" s="2216">
        <f t="shared" si="269"/>
        <v>0</v>
      </c>
      <c r="FW143" s="2216">
        <f t="shared" si="270"/>
        <v>0</v>
      </c>
      <c r="FX143" s="2216">
        <f t="shared" si="271"/>
        <v>0</v>
      </c>
      <c r="FY143" s="2216">
        <f t="shared" si="272"/>
        <v>0</v>
      </c>
      <c r="FZ143" s="2216">
        <f t="shared" si="273"/>
        <v>0</v>
      </c>
      <c r="GA143" s="2042"/>
      <c r="GB143" s="2042">
        <f t="shared" si="285"/>
        <v>0</v>
      </c>
      <c r="GC143" s="2042">
        <f t="shared" si="286"/>
        <v>0</v>
      </c>
      <c r="GD143" s="2042"/>
      <c r="GE143" s="2042"/>
      <c r="GF143" s="2042"/>
      <c r="GG143" s="2042"/>
      <c r="GH143" s="2042">
        <f t="shared" si="287"/>
        <v>0</v>
      </c>
      <c r="GI143" s="2042">
        <f t="shared" si="288"/>
        <v>0</v>
      </c>
      <c r="GJ143" s="2042">
        <f t="shared" si="292"/>
        <v>0</v>
      </c>
      <c r="GK143" s="2042">
        <f t="shared" si="293"/>
        <v>0</v>
      </c>
      <c r="GL143" s="2042">
        <f t="shared" si="274"/>
        <v>0</v>
      </c>
      <c r="GM143" s="2042" cm="1">
        <f t="array" ref="GM143">IF(GL143=0,0,(SUMPRODUCT($J$75:$J$79,$CH$75:$CH$79,($BR$75:$BR$79=CX143)*1)+SUMPRODUCT($R$75:$R$79,$CP$75:$CP$79,($BR$75:$BR$79=CX143)*1))/GL143)</f>
        <v>0</v>
      </c>
      <c r="GN143" s="2042">
        <f t="shared" si="275"/>
        <v>0</v>
      </c>
      <c r="GO143" s="2042"/>
      <c r="GP143" s="2042"/>
      <c r="GQ143" s="2042">
        <f t="shared" si="276"/>
        <v>0</v>
      </c>
      <c r="GR143" s="2042">
        <f t="shared" si="303"/>
        <v>0</v>
      </c>
      <c r="GS143" s="2042">
        <f t="shared" si="277"/>
        <v>0</v>
      </c>
      <c r="GT143" s="2042">
        <f t="shared" si="278"/>
        <v>0</v>
      </c>
      <c r="GU143" s="2045" t="str">
        <f t="shared" si="175"/>
        <v xml:space="preserve"> </v>
      </c>
      <c r="GV143" s="2042"/>
      <c r="GW143" s="2054">
        <f t="shared" si="294"/>
        <v>0</v>
      </c>
      <c r="GX143" s="2042">
        <f t="shared" si="295"/>
        <v>0</v>
      </c>
      <c r="GY143" s="2042" t="str">
        <f t="shared" si="291"/>
        <v>a</v>
      </c>
      <c r="GZ143" s="2055">
        <f t="shared" si="296"/>
        <v>0</v>
      </c>
      <c r="HA143" s="2055">
        <f t="shared" si="297"/>
        <v>0</v>
      </c>
      <c r="HB143" s="2055"/>
      <c r="HC143" s="2046">
        <f t="shared" si="298"/>
        <v>0</v>
      </c>
      <c r="HD143" s="2055">
        <f t="shared" si="299"/>
        <v>0</v>
      </c>
      <c r="HE143" s="2055">
        <f t="shared" si="300"/>
        <v>0</v>
      </c>
      <c r="HF143" s="2055">
        <f t="shared" si="301"/>
        <v>0</v>
      </c>
      <c r="HG143" s="2282" cm="1">
        <f t="array" ref="HG143">IF(AND(HE143=0,GJ143=0),0,IF(HE143=0,1,IF(OR(GJ143*1000/HE143/HF143&gt;INDEX(Pflanzen!$AD$122:$AD$160,CX143)/INDEX(Pflanzen!$M$122:$M$160,CX143)*$HG$1,GJ143*1000/HE143/HF143&lt;INDEX(Pflanzen!$AD$122:$AD$160,CX143)/INDEX(Pflanzen!$M$122:$M$160,CX143)/$HG$1),1,0)))</f>
        <v>0</v>
      </c>
      <c r="HH143" s="2287" cm="1">
        <f t="array" ref="HH143">IF(AND(GK143=0,HE143=0),0,IF(HE143=0,1,IF(OR(GK143*1000/HE143/HF143&gt;INDEX(Pflanzen!$AE$122:$AE$160,CX143)/INDEX(Pflanzen!$M$122:$M$160,CX143)*$HG$2,GK143*1000/HE143/HF143&lt;INDEX(Pflanzen!$AE$122:$AE$160,CX143)/INDEX(Pflanzen!$M$122:$M$160,CX143)/$HG$2),1,0)))</f>
        <v>0</v>
      </c>
      <c r="HI143" s="2042">
        <f t="shared" si="302"/>
        <v>3</v>
      </c>
      <c r="HJ143" s="2042"/>
      <c r="HL143" s="2042"/>
      <c r="HM143" s="2042"/>
      <c r="HN143" s="2042"/>
      <c r="HO143" s="2042"/>
      <c r="HP143" s="2042"/>
      <c r="HQ143" s="2042"/>
      <c r="HR143" s="2042"/>
      <c r="HS143" s="2042"/>
      <c r="HT143" s="2042"/>
      <c r="HU143" s="2042"/>
      <c r="HV143" s="2042"/>
      <c r="HW143" s="2042"/>
      <c r="HX143" s="2042"/>
      <c r="HY143" s="2042"/>
      <c r="HZ143" s="2042"/>
      <c r="IA143" s="2042"/>
      <c r="IB143" s="2042"/>
      <c r="IC143" s="2042"/>
      <c r="ID143" s="2042"/>
      <c r="IE143" s="2042"/>
      <c r="IF143" s="2042"/>
      <c r="IG143" s="2042"/>
      <c r="IH143" s="2042"/>
      <c r="II143" s="2042"/>
      <c r="IJ143" s="2042"/>
    </row>
    <row r="144" spans="25:244" ht="15.75" customHeight="1" x14ac:dyDescent="0.2">
      <c r="Y144" s="510"/>
      <c r="Z144" s="510"/>
      <c r="AA144" s="510"/>
      <c r="AB144" s="510"/>
      <c r="AC144" s="2033"/>
      <c r="AD144" s="2033"/>
      <c r="AE144" s="2033"/>
      <c r="AF144" s="2033"/>
      <c r="AG144" s="2033"/>
      <c r="AH144" s="2033"/>
      <c r="AI144" s="2033"/>
      <c r="AJ144" s="2033"/>
      <c r="AK144" s="2033"/>
      <c r="AL144" s="2033"/>
      <c r="AM144" s="2033"/>
      <c r="AN144" s="2033"/>
      <c r="AO144" s="517"/>
      <c r="AP144" s="517"/>
      <c r="AQ144" s="517"/>
      <c r="AR144" s="2033"/>
      <c r="AS144" s="2033"/>
      <c r="AT144" s="2033"/>
      <c r="AU144" s="2033"/>
      <c r="AV144" s="2033"/>
      <c r="AY144" s="2042"/>
      <c r="AZ144" s="2042"/>
      <c r="BA144" s="2042"/>
      <c r="BB144" s="2042"/>
      <c r="BC144" s="2042"/>
      <c r="BD144" s="2042"/>
      <c r="BP144" s="2043"/>
      <c r="BQ144" s="2042"/>
      <c r="BR144" s="2042"/>
      <c r="BS144" s="2042"/>
      <c r="BT144" s="2042"/>
      <c r="BU144" s="2059"/>
      <c r="BV144" s="2277"/>
      <c r="BW144" s="2277"/>
      <c r="BX144" s="2277"/>
      <c r="BY144" s="2277"/>
      <c r="BZ144" s="2277"/>
      <c r="CA144" s="2277"/>
      <c r="CB144" s="2277"/>
      <c r="CC144" s="2277"/>
      <c r="CD144" s="2277"/>
      <c r="CE144" s="2277"/>
      <c r="CF144" s="2277"/>
      <c r="CG144" s="2277"/>
      <c r="CH144" s="2277"/>
      <c r="CI144" s="2277"/>
      <c r="CJ144" s="2277"/>
      <c r="CK144" s="2277"/>
      <c r="CL144" s="2042"/>
      <c r="CM144" s="2042"/>
      <c r="CN144" s="2042"/>
      <c r="CO144" s="2042"/>
      <c r="CP144" s="2042"/>
      <c r="CQ144" s="2042"/>
      <c r="CR144" s="2042"/>
      <c r="CS144" s="2042"/>
      <c r="CT144" s="2042"/>
      <c r="CU144" s="2042"/>
      <c r="CV144" s="2042"/>
      <c r="CW144" s="2069" t="str">
        <f>Pflanzen!C145</f>
        <v>Rapsextraktionsschrot</v>
      </c>
      <c r="CX144" s="2042">
        <f>IFERROR(MATCH($CW144,Pflanzen!$C$122:$C$160,0),1)</f>
        <v>24</v>
      </c>
      <c r="CY144" s="2069">
        <f>Pflanzen!I145</f>
        <v>2</v>
      </c>
      <c r="CZ144" s="2042">
        <f t="shared" si="279"/>
        <v>0</v>
      </c>
      <c r="DA144" s="2042">
        <f t="shared" si="304"/>
        <v>0</v>
      </c>
      <c r="DB144" s="2042">
        <f t="shared" si="304"/>
        <v>0</v>
      </c>
      <c r="DC144" s="2042">
        <f t="shared" si="304"/>
        <v>0</v>
      </c>
      <c r="DD144" s="2042">
        <f t="shared" si="304"/>
        <v>0</v>
      </c>
      <c r="DE144" s="2042">
        <f t="shared" si="304"/>
        <v>0</v>
      </c>
      <c r="DF144" s="2042">
        <f t="shared" si="304"/>
        <v>0</v>
      </c>
      <c r="DG144" s="2042">
        <f t="shared" si="304"/>
        <v>0</v>
      </c>
      <c r="DH144" s="2042">
        <f t="shared" si="304"/>
        <v>0</v>
      </c>
      <c r="DI144" s="2042">
        <f t="shared" si="304"/>
        <v>0</v>
      </c>
      <c r="DJ144" s="2042">
        <f t="shared" si="304"/>
        <v>0</v>
      </c>
      <c r="DK144" s="2042">
        <f t="shared" si="304"/>
        <v>0</v>
      </c>
      <c r="DL144" s="2042"/>
      <c r="DM144" s="2042">
        <f t="shared" si="281"/>
        <v>0</v>
      </c>
      <c r="DN144" s="2042">
        <f t="shared" si="305"/>
        <v>0</v>
      </c>
      <c r="DO144" s="2042">
        <f t="shared" si="305"/>
        <v>0</v>
      </c>
      <c r="DP144" s="2042">
        <f t="shared" si="305"/>
        <v>0</v>
      </c>
      <c r="DQ144" s="2042">
        <f t="shared" si="305"/>
        <v>0</v>
      </c>
      <c r="DR144" s="2042">
        <f t="shared" si="305"/>
        <v>0</v>
      </c>
      <c r="DS144" s="2042">
        <f t="shared" si="305"/>
        <v>0</v>
      </c>
      <c r="DT144" s="2042">
        <f t="shared" si="305"/>
        <v>0</v>
      </c>
      <c r="DU144" s="2042">
        <f t="shared" si="305"/>
        <v>0</v>
      </c>
      <c r="DV144" s="2042">
        <f t="shared" si="305"/>
        <v>0</v>
      </c>
      <c r="DW144" s="2042">
        <f t="shared" si="305"/>
        <v>0</v>
      </c>
      <c r="DX144" s="2042">
        <f t="shared" si="305"/>
        <v>0</v>
      </c>
      <c r="DY144" s="2042"/>
      <c r="DZ144" s="2042"/>
      <c r="EA144" s="2042"/>
      <c r="EB144" s="2042"/>
      <c r="EC144" s="2042"/>
      <c r="ED144" s="2042"/>
      <c r="EE144" s="2042"/>
      <c r="EF144" s="2042"/>
      <c r="EG144" s="2042"/>
      <c r="EH144" s="2042"/>
      <c r="EI144" s="2042"/>
      <c r="EJ144" s="2042"/>
      <c r="EK144" s="2042"/>
      <c r="EL144" s="2042"/>
      <c r="EM144" s="2042"/>
      <c r="EN144" s="2042"/>
      <c r="EO144" s="2042"/>
      <c r="EP144" s="2042"/>
      <c r="EQ144" s="2042"/>
      <c r="ER144" s="2042"/>
      <c r="ES144" s="2042"/>
      <c r="ET144" s="2042"/>
      <c r="EU144" s="2042"/>
      <c r="EV144" s="2042"/>
      <c r="EW144" s="2042"/>
      <c r="EX144" s="2042"/>
      <c r="EY144" s="2042"/>
      <c r="EZ144" s="2045">
        <f t="shared" si="283"/>
        <v>0</v>
      </c>
      <c r="FA144" s="2216">
        <f t="shared" si="250"/>
        <v>0</v>
      </c>
      <c r="FB144" s="2216">
        <f t="shared" si="251"/>
        <v>0</v>
      </c>
      <c r="FC144" s="2216">
        <f t="shared" si="252"/>
        <v>0</v>
      </c>
      <c r="FD144" s="2216">
        <f t="shared" si="253"/>
        <v>0</v>
      </c>
      <c r="FE144" s="2216">
        <f t="shared" si="254"/>
        <v>0</v>
      </c>
      <c r="FF144" s="2216">
        <f t="shared" si="255"/>
        <v>0</v>
      </c>
      <c r="FG144" s="2216">
        <f t="shared" si="256"/>
        <v>0</v>
      </c>
      <c r="FH144" s="2216">
        <f t="shared" si="257"/>
        <v>0</v>
      </c>
      <c r="FI144" s="2216">
        <f t="shared" si="258"/>
        <v>0</v>
      </c>
      <c r="FJ144" s="2216">
        <f t="shared" si="259"/>
        <v>0</v>
      </c>
      <c r="FK144" s="2216">
        <f t="shared" si="260"/>
        <v>0</v>
      </c>
      <c r="FL144" s="2216">
        <f t="shared" si="261"/>
        <v>0</v>
      </c>
      <c r="FM144" s="2042"/>
      <c r="FN144" s="2045">
        <f t="shared" si="284"/>
        <v>0</v>
      </c>
      <c r="FO144" s="2216">
        <f t="shared" si="262"/>
        <v>0</v>
      </c>
      <c r="FP144" s="2216">
        <f t="shared" si="263"/>
        <v>0</v>
      </c>
      <c r="FQ144" s="2216">
        <f t="shared" si="264"/>
        <v>0</v>
      </c>
      <c r="FR144" s="2216">
        <f t="shared" si="265"/>
        <v>0</v>
      </c>
      <c r="FS144" s="2216">
        <f t="shared" si="266"/>
        <v>0</v>
      </c>
      <c r="FT144" s="2216">
        <f t="shared" si="267"/>
        <v>0</v>
      </c>
      <c r="FU144" s="2216">
        <f t="shared" si="268"/>
        <v>0</v>
      </c>
      <c r="FV144" s="2216">
        <f t="shared" si="269"/>
        <v>0</v>
      </c>
      <c r="FW144" s="2216">
        <f t="shared" si="270"/>
        <v>0</v>
      </c>
      <c r="FX144" s="2216">
        <f t="shared" si="271"/>
        <v>0</v>
      </c>
      <c r="FY144" s="2216">
        <f t="shared" si="272"/>
        <v>0</v>
      </c>
      <c r="FZ144" s="2216">
        <f t="shared" si="273"/>
        <v>0</v>
      </c>
      <c r="GA144" s="2042"/>
      <c r="GB144" s="2042">
        <f t="shared" si="285"/>
        <v>0</v>
      </c>
      <c r="GC144" s="2042">
        <f t="shared" si="286"/>
        <v>0</v>
      </c>
      <c r="GD144" s="2042"/>
      <c r="GE144" s="2042"/>
      <c r="GF144" s="2042"/>
      <c r="GG144" s="2042"/>
      <c r="GH144" s="2042">
        <f t="shared" si="287"/>
        <v>0</v>
      </c>
      <c r="GI144" s="2042">
        <f t="shared" si="288"/>
        <v>0</v>
      </c>
      <c r="GJ144" s="2042">
        <f t="shared" si="292"/>
        <v>0</v>
      </c>
      <c r="GK144" s="2042">
        <f t="shared" si="293"/>
        <v>0</v>
      </c>
      <c r="GL144" s="2042">
        <f t="shared" si="274"/>
        <v>0</v>
      </c>
      <c r="GM144" s="2042" cm="1">
        <f t="array" ref="GM144">IF(GL144=0,0,(SUMPRODUCT($J$75:$J$79,$CH$75:$CH$79,($BR$75:$BR$79=CX144)*1)+SUMPRODUCT($R$75:$R$79,$CP$75:$CP$79,($BR$75:$BR$79=CX144)*1))/GL144)</f>
        <v>0</v>
      </c>
      <c r="GN144" s="2042">
        <f t="shared" si="275"/>
        <v>0</v>
      </c>
      <c r="GO144" s="2042"/>
      <c r="GP144" s="2042"/>
      <c r="GQ144" s="2042">
        <f t="shared" si="276"/>
        <v>0</v>
      </c>
      <c r="GR144" s="2042">
        <f t="shared" si="303"/>
        <v>0</v>
      </c>
      <c r="GS144" s="2042">
        <f t="shared" si="277"/>
        <v>0</v>
      </c>
      <c r="GT144" s="2042">
        <f t="shared" si="278"/>
        <v>0</v>
      </c>
      <c r="GU144" s="2045" t="str">
        <f t="shared" si="175"/>
        <v xml:space="preserve"> </v>
      </c>
      <c r="GV144" s="2042"/>
      <c r="GW144" s="2054">
        <f t="shared" si="294"/>
        <v>0</v>
      </c>
      <c r="GX144" s="2042">
        <f t="shared" si="295"/>
        <v>0</v>
      </c>
      <c r="GY144" s="2042" t="str">
        <f t="shared" si="291"/>
        <v>a</v>
      </c>
      <c r="GZ144" s="2055">
        <f t="shared" si="296"/>
        <v>0</v>
      </c>
      <c r="HA144" s="2055">
        <f t="shared" si="297"/>
        <v>0</v>
      </c>
      <c r="HB144" s="2055"/>
      <c r="HC144" s="2046">
        <f t="shared" si="298"/>
        <v>0</v>
      </c>
      <c r="HD144" s="2055">
        <f t="shared" si="299"/>
        <v>0</v>
      </c>
      <c r="HE144" s="2055">
        <f t="shared" si="300"/>
        <v>0</v>
      </c>
      <c r="HF144" s="2055">
        <f t="shared" si="301"/>
        <v>0</v>
      </c>
      <c r="HG144" s="2282" cm="1">
        <f t="array" ref="HG144">IF(AND(HE144=0,GJ144=0),0,IF(HE144=0,1,IF(OR(GJ144*1000/HE144/HF144&gt;INDEX(Pflanzen!$AD$122:$AD$160,CX144)/INDEX(Pflanzen!$M$122:$M$160,CX144)*$HG$1,GJ144*1000/HE144/HF144&lt;INDEX(Pflanzen!$AD$122:$AD$160,CX144)/INDEX(Pflanzen!$M$122:$M$160,CX144)/$HG$1),1,0)))</f>
        <v>0</v>
      </c>
      <c r="HH144" s="2287" cm="1">
        <f t="array" ref="HH144">IF(AND(GK144=0,HE144=0),0,IF(HE144=0,1,IF(OR(GK144*1000/HE144/HF144&gt;INDEX(Pflanzen!$AE$122:$AE$160,CX144)/INDEX(Pflanzen!$M$122:$M$160,CX144)*$HG$2,GK144*1000/HE144/HF144&lt;INDEX(Pflanzen!$AE$122:$AE$160,CX144)/INDEX(Pflanzen!$M$122:$M$160,CX144)/$HG$2),1,0)))</f>
        <v>0</v>
      </c>
      <c r="HI144" s="2042">
        <f t="shared" si="302"/>
        <v>3</v>
      </c>
      <c r="HJ144" s="2042"/>
      <c r="HL144" s="2042"/>
      <c r="HM144" s="2042"/>
      <c r="HN144" s="2042"/>
      <c r="HO144" s="2042"/>
      <c r="HP144" s="2042"/>
      <c r="HQ144" s="2042"/>
      <c r="HR144" s="2042"/>
      <c r="HS144" s="2042"/>
      <c r="HT144" s="2042"/>
      <c r="HU144" s="2042"/>
      <c r="HV144" s="2042"/>
      <c r="HW144" s="2042"/>
      <c r="HX144" s="2042"/>
      <c r="HY144" s="2042"/>
      <c r="HZ144" s="2042"/>
      <c r="IA144" s="2042"/>
      <c r="IB144" s="2042"/>
      <c r="IC144" s="2042"/>
      <c r="ID144" s="2042"/>
      <c r="IE144" s="2042"/>
      <c r="IF144" s="2042"/>
      <c r="IG144" s="2042"/>
      <c r="IH144" s="2042"/>
      <c r="II144" s="2042"/>
      <c r="IJ144" s="2042"/>
    </row>
    <row r="145" spans="25:244" ht="15.75" customHeight="1" x14ac:dyDescent="0.2">
      <c r="Y145" s="510"/>
      <c r="Z145" s="510"/>
      <c r="AA145" s="510"/>
      <c r="AB145" s="510"/>
      <c r="AC145" s="2033"/>
      <c r="AD145" s="2033"/>
      <c r="AE145" s="2033"/>
      <c r="AF145" s="2033"/>
      <c r="AG145" s="2033"/>
      <c r="AH145" s="2033"/>
      <c r="AI145" s="2033"/>
      <c r="AJ145" s="2033"/>
      <c r="AK145" s="2033"/>
      <c r="AL145" s="2033"/>
      <c r="AM145" s="2033"/>
      <c r="AN145" s="2033"/>
      <c r="AO145" s="517"/>
      <c r="AP145" s="517"/>
      <c r="AQ145" s="517"/>
      <c r="AR145" s="2033"/>
      <c r="AS145" s="2033"/>
      <c r="AT145" s="2033"/>
      <c r="AU145" s="2033"/>
      <c r="AV145" s="2033"/>
      <c r="AY145" s="2042"/>
      <c r="AZ145" s="2042"/>
      <c r="BA145" s="2042"/>
      <c r="BB145" s="2042"/>
      <c r="BC145" s="2042"/>
      <c r="BD145" s="2042"/>
      <c r="BP145" s="2043"/>
      <c r="BQ145" s="2042"/>
      <c r="BR145" s="2042"/>
      <c r="BS145" s="2042"/>
      <c r="BT145" s="2042"/>
      <c r="BU145" s="2059"/>
      <c r="BV145" s="2277"/>
      <c r="BW145" s="2277"/>
      <c r="BX145" s="2277"/>
      <c r="BY145" s="2277"/>
      <c r="BZ145" s="2277"/>
      <c r="CA145" s="2277"/>
      <c r="CB145" s="2277"/>
      <c r="CC145" s="2277"/>
      <c r="CD145" s="2277"/>
      <c r="CE145" s="2277"/>
      <c r="CF145" s="2277"/>
      <c r="CG145" s="2277"/>
      <c r="CH145" s="2277"/>
      <c r="CI145" s="2277"/>
      <c r="CJ145" s="2277"/>
      <c r="CK145" s="2277"/>
      <c r="CL145" s="2042"/>
      <c r="CM145" s="2042"/>
      <c r="CN145" s="2042"/>
      <c r="CO145" s="2042"/>
      <c r="CP145" s="2042"/>
      <c r="CQ145" s="2042"/>
      <c r="CR145" s="2042"/>
      <c r="CS145" s="2042"/>
      <c r="CT145" s="2042"/>
      <c r="CU145" s="2042"/>
      <c r="CV145" s="2042"/>
      <c r="CW145" s="2069" t="str">
        <f>Pflanzen!C146</f>
        <v>Rapskuchen, fettarm</v>
      </c>
      <c r="CX145" s="2042">
        <f>IFERROR(MATCH($CW145,Pflanzen!$C$122:$C$160,0),1)</f>
        <v>25</v>
      </c>
      <c r="CY145" s="2069">
        <f>Pflanzen!I146</f>
        <v>2</v>
      </c>
      <c r="CZ145" s="2042">
        <f t="shared" si="279"/>
        <v>0</v>
      </c>
      <c r="DA145" s="2042">
        <f t="shared" si="304"/>
        <v>0</v>
      </c>
      <c r="DB145" s="2042">
        <f t="shared" si="304"/>
        <v>0</v>
      </c>
      <c r="DC145" s="2042">
        <f t="shared" si="304"/>
        <v>0</v>
      </c>
      <c r="DD145" s="2042">
        <f t="shared" si="304"/>
        <v>0</v>
      </c>
      <c r="DE145" s="2042">
        <f t="shared" si="304"/>
        <v>0</v>
      </c>
      <c r="DF145" s="2042">
        <f t="shared" si="304"/>
        <v>0</v>
      </c>
      <c r="DG145" s="2042">
        <f t="shared" si="304"/>
        <v>0</v>
      </c>
      <c r="DH145" s="2042">
        <f t="shared" si="304"/>
        <v>0</v>
      </c>
      <c r="DI145" s="2042">
        <f t="shared" si="304"/>
        <v>0</v>
      </c>
      <c r="DJ145" s="2042">
        <f t="shared" si="304"/>
        <v>0</v>
      </c>
      <c r="DK145" s="2042">
        <f t="shared" si="304"/>
        <v>0</v>
      </c>
      <c r="DL145" s="2042"/>
      <c r="DM145" s="2042">
        <f t="shared" si="281"/>
        <v>0</v>
      </c>
      <c r="DN145" s="2042">
        <f t="shared" si="305"/>
        <v>0</v>
      </c>
      <c r="DO145" s="2042">
        <f t="shared" si="305"/>
        <v>0</v>
      </c>
      <c r="DP145" s="2042">
        <f t="shared" si="305"/>
        <v>0</v>
      </c>
      <c r="DQ145" s="2042">
        <f t="shared" si="305"/>
        <v>0</v>
      </c>
      <c r="DR145" s="2042">
        <f t="shared" si="305"/>
        <v>0</v>
      </c>
      <c r="DS145" s="2042">
        <f t="shared" si="305"/>
        <v>0</v>
      </c>
      <c r="DT145" s="2042">
        <f t="shared" si="305"/>
        <v>0</v>
      </c>
      <c r="DU145" s="2042">
        <f t="shared" si="305"/>
        <v>0</v>
      </c>
      <c r="DV145" s="2042">
        <f t="shared" si="305"/>
        <v>0</v>
      </c>
      <c r="DW145" s="2042">
        <f t="shared" si="305"/>
        <v>0</v>
      </c>
      <c r="DX145" s="2042">
        <f t="shared" si="305"/>
        <v>0</v>
      </c>
      <c r="DY145" s="2042"/>
      <c r="DZ145" s="2042"/>
      <c r="EA145" s="2042"/>
      <c r="EB145" s="2042"/>
      <c r="EC145" s="2042"/>
      <c r="ED145" s="2042"/>
      <c r="EE145" s="2042"/>
      <c r="EF145" s="2042"/>
      <c r="EG145" s="2042"/>
      <c r="EH145" s="2042"/>
      <c r="EI145" s="2042"/>
      <c r="EJ145" s="2042"/>
      <c r="EK145" s="2042"/>
      <c r="EL145" s="2042"/>
      <c r="EM145" s="2042"/>
      <c r="EN145" s="2042"/>
      <c r="EO145" s="2042"/>
      <c r="EP145" s="2042"/>
      <c r="EQ145" s="2042"/>
      <c r="ER145" s="2042"/>
      <c r="ES145" s="2042"/>
      <c r="ET145" s="2042"/>
      <c r="EU145" s="2042"/>
      <c r="EV145" s="2042"/>
      <c r="EW145" s="2042"/>
      <c r="EX145" s="2042"/>
      <c r="EY145" s="2042"/>
      <c r="EZ145" s="2045">
        <f t="shared" si="283"/>
        <v>0</v>
      </c>
      <c r="FA145" s="2216">
        <f t="shared" si="250"/>
        <v>0</v>
      </c>
      <c r="FB145" s="2216">
        <f t="shared" si="251"/>
        <v>0</v>
      </c>
      <c r="FC145" s="2216">
        <f t="shared" si="252"/>
        <v>0</v>
      </c>
      <c r="FD145" s="2216">
        <f t="shared" si="253"/>
        <v>0</v>
      </c>
      <c r="FE145" s="2216">
        <f t="shared" si="254"/>
        <v>0</v>
      </c>
      <c r="FF145" s="2216">
        <f t="shared" si="255"/>
        <v>0</v>
      </c>
      <c r="FG145" s="2216">
        <f t="shared" si="256"/>
        <v>0</v>
      </c>
      <c r="FH145" s="2216">
        <f t="shared" si="257"/>
        <v>0</v>
      </c>
      <c r="FI145" s="2216">
        <f t="shared" si="258"/>
        <v>0</v>
      </c>
      <c r="FJ145" s="2216">
        <f t="shared" si="259"/>
        <v>0</v>
      </c>
      <c r="FK145" s="2216">
        <f t="shared" si="260"/>
        <v>0</v>
      </c>
      <c r="FL145" s="2216">
        <f t="shared" si="261"/>
        <v>0</v>
      </c>
      <c r="FM145" s="2042"/>
      <c r="FN145" s="2045">
        <f t="shared" si="284"/>
        <v>0</v>
      </c>
      <c r="FO145" s="2216">
        <f t="shared" si="262"/>
        <v>0</v>
      </c>
      <c r="FP145" s="2216">
        <f t="shared" si="263"/>
        <v>0</v>
      </c>
      <c r="FQ145" s="2216">
        <f t="shared" si="264"/>
        <v>0</v>
      </c>
      <c r="FR145" s="2216">
        <f t="shared" si="265"/>
        <v>0</v>
      </c>
      <c r="FS145" s="2216">
        <f t="shared" si="266"/>
        <v>0</v>
      </c>
      <c r="FT145" s="2216">
        <f t="shared" si="267"/>
        <v>0</v>
      </c>
      <c r="FU145" s="2216">
        <f t="shared" si="268"/>
        <v>0</v>
      </c>
      <c r="FV145" s="2216">
        <f t="shared" si="269"/>
        <v>0</v>
      </c>
      <c r="FW145" s="2216">
        <f t="shared" si="270"/>
        <v>0</v>
      </c>
      <c r="FX145" s="2216">
        <f t="shared" si="271"/>
        <v>0</v>
      </c>
      <c r="FY145" s="2216">
        <f t="shared" si="272"/>
        <v>0</v>
      </c>
      <c r="FZ145" s="2216">
        <f t="shared" si="273"/>
        <v>0</v>
      </c>
      <c r="GA145" s="2042"/>
      <c r="GB145" s="2042">
        <f t="shared" si="285"/>
        <v>0</v>
      </c>
      <c r="GC145" s="2042">
        <f t="shared" si="286"/>
        <v>0</v>
      </c>
      <c r="GD145" s="2042"/>
      <c r="GE145" s="2042"/>
      <c r="GF145" s="2042"/>
      <c r="GG145" s="2042"/>
      <c r="GH145" s="2042">
        <f t="shared" si="287"/>
        <v>0</v>
      </c>
      <c r="GI145" s="2042">
        <f t="shared" si="288"/>
        <v>0</v>
      </c>
      <c r="GJ145" s="2042">
        <f t="shared" si="292"/>
        <v>0</v>
      </c>
      <c r="GK145" s="2042">
        <f t="shared" si="293"/>
        <v>0</v>
      </c>
      <c r="GL145" s="2042">
        <f t="shared" si="274"/>
        <v>0</v>
      </c>
      <c r="GM145" s="2042" cm="1">
        <f t="array" ref="GM145">IF(GL145=0,0,(SUMPRODUCT($J$75:$J$79,$CH$75:$CH$79,($BR$75:$BR$79=CX145)*1)+SUMPRODUCT($R$75:$R$79,$CP$75:$CP$79,($BR$75:$BR$79=CX145)*1))/GL145)</f>
        <v>0</v>
      </c>
      <c r="GN145" s="2042">
        <f t="shared" si="275"/>
        <v>0</v>
      </c>
      <c r="GO145" s="2042"/>
      <c r="GP145" s="2042"/>
      <c r="GQ145" s="2042">
        <f t="shared" si="276"/>
        <v>0</v>
      </c>
      <c r="GR145" s="2042">
        <f t="shared" si="303"/>
        <v>0</v>
      </c>
      <c r="GS145" s="2042">
        <f t="shared" si="277"/>
        <v>0</v>
      </c>
      <c r="GT145" s="2042">
        <f t="shared" si="278"/>
        <v>0</v>
      </c>
      <c r="GU145" s="2045" t="str">
        <f t="shared" si="175"/>
        <v xml:space="preserve"> </v>
      </c>
      <c r="GV145" s="2042"/>
      <c r="GW145" s="2054">
        <f t="shared" si="294"/>
        <v>0</v>
      </c>
      <c r="GX145" s="2042">
        <f t="shared" si="295"/>
        <v>0</v>
      </c>
      <c r="GY145" s="2042" t="str">
        <f t="shared" si="291"/>
        <v>a</v>
      </c>
      <c r="GZ145" s="2055">
        <f t="shared" si="296"/>
        <v>0</v>
      </c>
      <c r="HA145" s="2055">
        <f t="shared" si="297"/>
        <v>0</v>
      </c>
      <c r="HB145" s="2055"/>
      <c r="HC145" s="2046">
        <f t="shared" si="298"/>
        <v>0</v>
      </c>
      <c r="HD145" s="2055">
        <f t="shared" si="299"/>
        <v>0</v>
      </c>
      <c r="HE145" s="2055">
        <f t="shared" si="300"/>
        <v>0</v>
      </c>
      <c r="HF145" s="2055">
        <f t="shared" si="301"/>
        <v>0</v>
      </c>
      <c r="HG145" s="2282" cm="1">
        <f t="array" ref="HG145">IF(AND(HE145=0,GJ145=0),0,IF(HE145=0,1,IF(OR(GJ145*1000/HE145/HF145&gt;INDEX(Pflanzen!$AD$122:$AD$160,CX145)/INDEX(Pflanzen!$M$122:$M$160,CX145)*$HG$1,GJ145*1000/HE145/HF145&lt;INDEX(Pflanzen!$AD$122:$AD$160,CX145)/INDEX(Pflanzen!$M$122:$M$160,CX145)/$HG$1),1,0)))</f>
        <v>0</v>
      </c>
      <c r="HH145" s="2287" cm="1">
        <f t="array" ref="HH145">IF(AND(GK145=0,HE145=0),0,IF(HE145=0,1,IF(OR(GK145*1000/HE145/HF145&gt;INDEX(Pflanzen!$AE$122:$AE$160,CX145)/INDEX(Pflanzen!$M$122:$M$160,CX145)*$HG$2,GK145*1000/HE145/HF145&lt;INDEX(Pflanzen!$AE$122:$AE$160,CX145)/INDEX(Pflanzen!$M$122:$M$160,CX145)/$HG$2),1,0)))</f>
        <v>0</v>
      </c>
      <c r="HI145" s="2042">
        <f t="shared" si="302"/>
        <v>3</v>
      </c>
      <c r="HJ145" s="2042"/>
      <c r="HL145" s="2042"/>
      <c r="HM145" s="2042"/>
      <c r="HN145" s="2042"/>
      <c r="HO145" s="2042"/>
      <c r="HP145" s="2042"/>
      <c r="HQ145" s="2042"/>
      <c r="HR145" s="2042"/>
      <c r="HS145" s="2042"/>
      <c r="HT145" s="2042"/>
      <c r="HU145" s="2042"/>
      <c r="HV145" s="2042"/>
      <c r="HW145" s="2042"/>
      <c r="HX145" s="2042"/>
      <c r="HY145" s="2042"/>
      <c r="HZ145" s="2042"/>
      <c r="IA145" s="2042"/>
      <c r="IB145" s="2042"/>
      <c r="IC145" s="2042"/>
      <c r="ID145" s="2042"/>
      <c r="IE145" s="2042"/>
      <c r="IF145" s="2042"/>
      <c r="IG145" s="2042"/>
      <c r="IH145" s="2042"/>
      <c r="II145" s="2042"/>
      <c r="IJ145" s="2042"/>
    </row>
    <row r="146" spans="25:244" ht="15.75" customHeight="1" x14ac:dyDescent="0.2">
      <c r="Y146" s="510"/>
      <c r="Z146" s="510"/>
      <c r="AA146" s="510"/>
      <c r="AB146" s="510"/>
      <c r="AC146" s="2033"/>
      <c r="AD146" s="2033"/>
      <c r="AE146" s="2033"/>
      <c r="AF146" s="2033"/>
      <c r="AG146" s="2033"/>
      <c r="AH146" s="2033"/>
      <c r="AI146" s="2033"/>
      <c r="AJ146" s="2033"/>
      <c r="AK146" s="2033"/>
      <c r="AL146" s="2033"/>
      <c r="AM146" s="2033"/>
      <c r="AN146" s="2033"/>
      <c r="AO146" s="517"/>
      <c r="AP146" s="517"/>
      <c r="AQ146" s="517"/>
      <c r="AR146" s="2033"/>
      <c r="AS146" s="2033"/>
      <c r="AT146" s="2033"/>
      <c r="AU146" s="2033"/>
      <c r="AV146" s="2033"/>
      <c r="AY146" s="2042"/>
      <c r="AZ146" s="2042"/>
      <c r="BA146" s="2042"/>
      <c r="BB146" s="2042"/>
      <c r="BC146" s="2042"/>
      <c r="BD146" s="2042"/>
      <c r="BP146" s="2043"/>
      <c r="BQ146" s="2042"/>
      <c r="BR146" s="2042"/>
      <c r="BS146" s="2042"/>
      <c r="BT146" s="2042"/>
      <c r="BU146" s="2059"/>
      <c r="BV146" s="2277"/>
      <c r="BW146" s="2277"/>
      <c r="BX146" s="2277"/>
      <c r="BY146" s="2277"/>
      <c r="BZ146" s="2277"/>
      <c r="CA146" s="2277"/>
      <c r="CB146" s="2277"/>
      <c r="CC146" s="2277"/>
      <c r="CD146" s="2277"/>
      <c r="CE146" s="2277"/>
      <c r="CF146" s="2277"/>
      <c r="CG146" s="2277"/>
      <c r="CH146" s="2277"/>
      <c r="CI146" s="2277"/>
      <c r="CJ146" s="2277"/>
      <c r="CK146" s="2277"/>
      <c r="CL146" s="2042"/>
      <c r="CM146" s="2042"/>
      <c r="CN146" s="2042"/>
      <c r="CO146" s="2042"/>
      <c r="CP146" s="2042"/>
      <c r="CQ146" s="2042"/>
      <c r="CR146" s="2042"/>
      <c r="CS146" s="2042"/>
      <c r="CT146" s="2042"/>
      <c r="CU146" s="2042"/>
      <c r="CV146" s="2042"/>
      <c r="CW146" s="2069" t="str">
        <f>Pflanzen!C147</f>
        <v>Roggengrießkleie</v>
      </c>
      <c r="CX146" s="2042">
        <f>IFERROR(MATCH($CW146,Pflanzen!$C$122:$C$160,0),1)</f>
        <v>26</v>
      </c>
      <c r="CY146" s="2069">
        <f>Pflanzen!I147</f>
        <v>2</v>
      </c>
      <c r="CZ146" s="2042">
        <f t="shared" si="279"/>
        <v>0</v>
      </c>
      <c r="DA146" s="2042">
        <f t="shared" si="304"/>
        <v>0</v>
      </c>
      <c r="DB146" s="2042">
        <f t="shared" si="304"/>
        <v>0</v>
      </c>
      <c r="DC146" s="2042">
        <f t="shared" si="304"/>
        <v>0</v>
      </c>
      <c r="DD146" s="2042">
        <f t="shared" si="304"/>
        <v>0</v>
      </c>
      <c r="DE146" s="2042">
        <f t="shared" si="304"/>
        <v>0</v>
      </c>
      <c r="DF146" s="2042">
        <f t="shared" si="304"/>
        <v>0</v>
      </c>
      <c r="DG146" s="2042">
        <f t="shared" si="304"/>
        <v>0</v>
      </c>
      <c r="DH146" s="2042">
        <f t="shared" si="304"/>
        <v>0</v>
      </c>
      <c r="DI146" s="2042">
        <f t="shared" si="304"/>
        <v>0</v>
      </c>
      <c r="DJ146" s="2042">
        <f t="shared" si="304"/>
        <v>0</v>
      </c>
      <c r="DK146" s="2042">
        <f t="shared" si="304"/>
        <v>0</v>
      </c>
      <c r="DL146" s="2042"/>
      <c r="DM146" s="2042">
        <f t="shared" si="281"/>
        <v>0</v>
      </c>
      <c r="DN146" s="2042">
        <f t="shared" si="305"/>
        <v>0</v>
      </c>
      <c r="DO146" s="2042">
        <f t="shared" si="305"/>
        <v>0</v>
      </c>
      <c r="DP146" s="2042">
        <f t="shared" si="305"/>
        <v>0</v>
      </c>
      <c r="DQ146" s="2042">
        <f t="shared" si="305"/>
        <v>0</v>
      </c>
      <c r="DR146" s="2042">
        <f t="shared" si="305"/>
        <v>0</v>
      </c>
      <c r="DS146" s="2042">
        <f t="shared" si="305"/>
        <v>0</v>
      </c>
      <c r="DT146" s="2042">
        <f t="shared" si="305"/>
        <v>0</v>
      </c>
      <c r="DU146" s="2042">
        <f t="shared" si="305"/>
        <v>0</v>
      </c>
      <c r="DV146" s="2042">
        <f t="shared" si="305"/>
        <v>0</v>
      </c>
      <c r="DW146" s="2042">
        <f t="shared" si="305"/>
        <v>0</v>
      </c>
      <c r="DX146" s="2042">
        <f t="shared" si="305"/>
        <v>0</v>
      </c>
      <c r="DY146" s="2042"/>
      <c r="DZ146" s="2042"/>
      <c r="EA146" s="2042"/>
      <c r="EB146" s="2042"/>
      <c r="EC146" s="2042"/>
      <c r="ED146" s="2042"/>
      <c r="EE146" s="2042"/>
      <c r="EF146" s="2042"/>
      <c r="EG146" s="2042"/>
      <c r="EH146" s="2042"/>
      <c r="EI146" s="2042"/>
      <c r="EJ146" s="2042"/>
      <c r="EK146" s="2042"/>
      <c r="EL146" s="2042"/>
      <c r="EM146" s="2042"/>
      <c r="EN146" s="2042"/>
      <c r="EO146" s="2042"/>
      <c r="EP146" s="2042"/>
      <c r="EQ146" s="2042"/>
      <c r="ER146" s="2042"/>
      <c r="ES146" s="2042"/>
      <c r="ET146" s="2042"/>
      <c r="EU146" s="2042"/>
      <c r="EV146" s="2042"/>
      <c r="EW146" s="2042"/>
      <c r="EX146" s="2042"/>
      <c r="EY146" s="2042"/>
      <c r="EZ146" s="2045">
        <f t="shared" si="283"/>
        <v>0</v>
      </c>
      <c r="FA146" s="2216">
        <f t="shared" si="250"/>
        <v>0</v>
      </c>
      <c r="FB146" s="2216">
        <f t="shared" si="251"/>
        <v>0</v>
      </c>
      <c r="FC146" s="2216">
        <f t="shared" si="252"/>
        <v>0</v>
      </c>
      <c r="FD146" s="2216">
        <f t="shared" si="253"/>
        <v>0</v>
      </c>
      <c r="FE146" s="2216">
        <f t="shared" si="254"/>
        <v>0</v>
      </c>
      <c r="FF146" s="2216">
        <f t="shared" si="255"/>
        <v>0</v>
      </c>
      <c r="FG146" s="2216">
        <f t="shared" si="256"/>
        <v>0</v>
      </c>
      <c r="FH146" s="2216">
        <f t="shared" si="257"/>
        <v>0</v>
      </c>
      <c r="FI146" s="2216">
        <f t="shared" si="258"/>
        <v>0</v>
      </c>
      <c r="FJ146" s="2216">
        <f t="shared" si="259"/>
        <v>0</v>
      </c>
      <c r="FK146" s="2216">
        <f t="shared" si="260"/>
        <v>0</v>
      </c>
      <c r="FL146" s="2216">
        <f t="shared" si="261"/>
        <v>0</v>
      </c>
      <c r="FM146" s="2042"/>
      <c r="FN146" s="2045">
        <f t="shared" si="284"/>
        <v>0</v>
      </c>
      <c r="FO146" s="2216">
        <f t="shared" si="262"/>
        <v>0</v>
      </c>
      <c r="FP146" s="2216">
        <f t="shared" si="263"/>
        <v>0</v>
      </c>
      <c r="FQ146" s="2216">
        <f t="shared" si="264"/>
        <v>0</v>
      </c>
      <c r="FR146" s="2216">
        <f t="shared" si="265"/>
        <v>0</v>
      </c>
      <c r="FS146" s="2216">
        <f t="shared" si="266"/>
        <v>0</v>
      </c>
      <c r="FT146" s="2216">
        <f t="shared" si="267"/>
        <v>0</v>
      </c>
      <c r="FU146" s="2216">
        <f t="shared" si="268"/>
        <v>0</v>
      </c>
      <c r="FV146" s="2216">
        <f t="shared" si="269"/>
        <v>0</v>
      </c>
      <c r="FW146" s="2216">
        <f t="shared" si="270"/>
        <v>0</v>
      </c>
      <c r="FX146" s="2216">
        <f t="shared" si="271"/>
        <v>0</v>
      </c>
      <c r="FY146" s="2216">
        <f t="shared" si="272"/>
        <v>0</v>
      </c>
      <c r="FZ146" s="2216">
        <f t="shared" si="273"/>
        <v>0</v>
      </c>
      <c r="GA146" s="2042"/>
      <c r="GB146" s="2042">
        <f t="shared" si="285"/>
        <v>0</v>
      </c>
      <c r="GC146" s="2042">
        <f t="shared" si="286"/>
        <v>0</v>
      </c>
      <c r="GD146" s="2042"/>
      <c r="GE146" s="2042"/>
      <c r="GF146" s="2042"/>
      <c r="GG146" s="2042"/>
      <c r="GH146" s="2042">
        <f t="shared" si="287"/>
        <v>0</v>
      </c>
      <c r="GI146" s="2042">
        <f t="shared" si="288"/>
        <v>0</v>
      </c>
      <c r="GJ146" s="2042">
        <f t="shared" si="292"/>
        <v>0</v>
      </c>
      <c r="GK146" s="2042">
        <f t="shared" si="293"/>
        <v>0</v>
      </c>
      <c r="GL146" s="2042">
        <f t="shared" si="274"/>
        <v>0</v>
      </c>
      <c r="GM146" s="2042" cm="1">
        <f t="array" ref="GM146">IF(GL146=0,0,(SUMPRODUCT($J$75:$J$79,$CH$75:$CH$79,($BR$75:$BR$79=CX146)*1)+SUMPRODUCT($R$75:$R$79,$CP$75:$CP$79,($BR$75:$BR$79=CX146)*1))/GL146)</f>
        <v>0</v>
      </c>
      <c r="GN146" s="2042">
        <f t="shared" si="275"/>
        <v>0</v>
      </c>
      <c r="GO146" s="2042"/>
      <c r="GP146" s="2042"/>
      <c r="GQ146" s="2042">
        <f t="shared" si="276"/>
        <v>0</v>
      </c>
      <c r="GR146" s="2042">
        <f t="shared" si="303"/>
        <v>0</v>
      </c>
      <c r="GS146" s="2042">
        <f t="shared" si="277"/>
        <v>0</v>
      </c>
      <c r="GT146" s="2042">
        <f t="shared" si="278"/>
        <v>0</v>
      </c>
      <c r="GU146" s="2045" t="str">
        <f t="shared" si="175"/>
        <v xml:space="preserve"> </v>
      </c>
      <c r="GV146" s="2042"/>
      <c r="GW146" s="2054">
        <f t="shared" si="294"/>
        <v>0</v>
      </c>
      <c r="GX146" s="2042">
        <f t="shared" si="295"/>
        <v>0</v>
      </c>
      <c r="GY146" s="2042" t="str">
        <f t="shared" si="291"/>
        <v>a</v>
      </c>
      <c r="GZ146" s="2055">
        <f t="shared" si="296"/>
        <v>0</v>
      </c>
      <c r="HA146" s="2055">
        <f t="shared" si="297"/>
        <v>0</v>
      </c>
      <c r="HB146" s="2055"/>
      <c r="HC146" s="2046">
        <f t="shared" si="298"/>
        <v>0</v>
      </c>
      <c r="HD146" s="2055">
        <f t="shared" si="299"/>
        <v>0</v>
      </c>
      <c r="HE146" s="2055">
        <f t="shared" si="300"/>
        <v>0</v>
      </c>
      <c r="HF146" s="2055">
        <f t="shared" si="301"/>
        <v>0</v>
      </c>
      <c r="HG146" s="2282" cm="1">
        <f t="array" ref="HG146">IF(AND(HE146=0,GJ146=0),0,IF(HE146=0,1,IF(OR(GJ146*1000/HE146/HF146&gt;INDEX(Pflanzen!$AD$122:$AD$160,CX146)/INDEX(Pflanzen!$M$122:$M$160,CX146)*$HG$1,GJ146*1000/HE146/HF146&lt;INDEX(Pflanzen!$AD$122:$AD$160,CX146)/INDEX(Pflanzen!$M$122:$M$160,CX146)/$HG$1),1,0)))</f>
        <v>0</v>
      </c>
      <c r="HH146" s="2287" cm="1">
        <f t="array" ref="HH146">IF(AND(GK146=0,HE146=0),0,IF(HE146=0,1,IF(OR(GK146*1000/HE146/HF146&gt;INDEX(Pflanzen!$AE$122:$AE$160,CX146)/INDEX(Pflanzen!$M$122:$M$160,CX146)*$HG$2,GK146*1000/HE146/HF146&lt;INDEX(Pflanzen!$AE$122:$AE$160,CX146)/INDEX(Pflanzen!$M$122:$M$160,CX146)/$HG$2),1,0)))</f>
        <v>0</v>
      </c>
      <c r="HI146" s="2042">
        <f t="shared" si="302"/>
        <v>3</v>
      </c>
      <c r="HJ146" s="2042"/>
      <c r="HL146" s="2042"/>
      <c r="HM146" s="2042"/>
      <c r="HN146" s="2042"/>
      <c r="HO146" s="2042"/>
      <c r="HP146" s="2042"/>
      <c r="HQ146" s="2042"/>
      <c r="HR146" s="2042"/>
      <c r="HS146" s="2042"/>
      <c r="HT146" s="2042"/>
      <c r="HU146" s="2042"/>
      <c r="HV146" s="2042"/>
      <c r="HW146" s="2042"/>
      <c r="HX146" s="2042"/>
      <c r="HY146" s="2042"/>
      <c r="HZ146" s="2042"/>
      <c r="IA146" s="2042"/>
      <c r="IB146" s="2042"/>
      <c r="IC146" s="2042"/>
      <c r="ID146" s="2042"/>
      <c r="IE146" s="2042"/>
      <c r="IF146" s="2042"/>
      <c r="IG146" s="2042"/>
      <c r="IH146" s="2042"/>
      <c r="II146" s="2042"/>
      <c r="IJ146" s="2042"/>
    </row>
    <row r="147" spans="25:244" ht="15.75" customHeight="1" x14ac:dyDescent="0.2">
      <c r="Y147" s="510"/>
      <c r="Z147" s="510"/>
      <c r="AA147" s="510"/>
      <c r="AB147" s="510"/>
      <c r="AC147" s="2033"/>
      <c r="AD147" s="2033"/>
      <c r="AE147" s="2033"/>
      <c r="AF147" s="2033"/>
      <c r="AG147" s="2033"/>
      <c r="AH147" s="2033"/>
      <c r="AI147" s="2033"/>
      <c r="AJ147" s="2033"/>
      <c r="AK147" s="2033"/>
      <c r="AL147" s="2033"/>
      <c r="AM147" s="2033"/>
      <c r="AN147" s="2033"/>
      <c r="AO147" s="517"/>
      <c r="AP147" s="517"/>
      <c r="AQ147" s="517"/>
      <c r="AR147" s="2033"/>
      <c r="AS147" s="2033"/>
      <c r="AT147" s="2033"/>
      <c r="AU147" s="2033"/>
      <c r="AV147" s="2033"/>
      <c r="AY147" s="2042"/>
      <c r="AZ147" s="2042"/>
      <c r="BA147" s="2042"/>
      <c r="BB147" s="2042"/>
      <c r="BC147" s="2042"/>
      <c r="BD147" s="2042"/>
      <c r="BP147" s="2043"/>
      <c r="BQ147" s="2042"/>
      <c r="BR147" s="2042"/>
      <c r="BS147" s="2042"/>
      <c r="BT147" s="2042"/>
      <c r="BU147" s="2059"/>
      <c r="BV147" s="2277"/>
      <c r="BW147" s="2277"/>
      <c r="BX147" s="2277"/>
      <c r="BY147" s="2277"/>
      <c r="BZ147" s="2277"/>
      <c r="CA147" s="2277"/>
      <c r="CB147" s="2277"/>
      <c r="CC147" s="2277"/>
      <c r="CD147" s="2277"/>
      <c r="CE147" s="2277"/>
      <c r="CF147" s="2277"/>
      <c r="CG147" s="2277"/>
      <c r="CH147" s="2277"/>
      <c r="CI147" s="2277"/>
      <c r="CJ147" s="2277"/>
      <c r="CK147" s="2277"/>
      <c r="CL147" s="2042"/>
      <c r="CM147" s="2042"/>
      <c r="CN147" s="2042"/>
      <c r="CO147" s="2042"/>
      <c r="CP147" s="2042"/>
      <c r="CQ147" s="2042"/>
      <c r="CR147" s="2042"/>
      <c r="CS147" s="2042"/>
      <c r="CT147" s="2042"/>
      <c r="CU147" s="2042"/>
      <c r="CV147" s="2042"/>
      <c r="CW147" s="2069" t="str">
        <f>Pflanzen!C148</f>
        <v>Roggenkleie</v>
      </c>
      <c r="CX147" s="2042">
        <f>IFERROR(MATCH($CW147,Pflanzen!$C$122:$C$160,0),1)</f>
        <v>27</v>
      </c>
      <c r="CY147" s="2069">
        <f>Pflanzen!I148</f>
        <v>2</v>
      </c>
      <c r="CZ147" s="2042">
        <f t="shared" si="279"/>
        <v>0</v>
      </c>
      <c r="DA147" s="2042">
        <f t="shared" si="304"/>
        <v>0</v>
      </c>
      <c r="DB147" s="2042">
        <f t="shared" si="304"/>
        <v>0</v>
      </c>
      <c r="DC147" s="2042">
        <f t="shared" si="304"/>
        <v>0</v>
      </c>
      <c r="DD147" s="2042">
        <f t="shared" si="304"/>
        <v>0</v>
      </c>
      <c r="DE147" s="2042">
        <f t="shared" si="304"/>
        <v>0</v>
      </c>
      <c r="DF147" s="2042">
        <f t="shared" si="304"/>
        <v>0</v>
      </c>
      <c r="DG147" s="2042">
        <f t="shared" si="304"/>
        <v>0</v>
      </c>
      <c r="DH147" s="2042">
        <f t="shared" si="304"/>
        <v>0</v>
      </c>
      <c r="DI147" s="2042">
        <f t="shared" si="304"/>
        <v>0</v>
      </c>
      <c r="DJ147" s="2042">
        <f t="shared" si="304"/>
        <v>0</v>
      </c>
      <c r="DK147" s="2042">
        <f t="shared" si="304"/>
        <v>0</v>
      </c>
      <c r="DL147" s="2042"/>
      <c r="DM147" s="2042">
        <f t="shared" si="281"/>
        <v>0</v>
      </c>
      <c r="DN147" s="2042">
        <f t="shared" si="305"/>
        <v>0</v>
      </c>
      <c r="DO147" s="2042">
        <f t="shared" si="305"/>
        <v>0</v>
      </c>
      <c r="DP147" s="2042">
        <f t="shared" si="305"/>
        <v>0</v>
      </c>
      <c r="DQ147" s="2042">
        <f t="shared" si="305"/>
        <v>0</v>
      </c>
      <c r="DR147" s="2042">
        <f t="shared" si="305"/>
        <v>0</v>
      </c>
      <c r="DS147" s="2042">
        <f t="shared" si="305"/>
        <v>0</v>
      </c>
      <c r="DT147" s="2042">
        <f t="shared" si="305"/>
        <v>0</v>
      </c>
      <c r="DU147" s="2042">
        <f t="shared" si="305"/>
        <v>0</v>
      </c>
      <c r="DV147" s="2042">
        <f t="shared" si="305"/>
        <v>0</v>
      </c>
      <c r="DW147" s="2042">
        <f t="shared" si="305"/>
        <v>0</v>
      </c>
      <c r="DX147" s="2042">
        <f t="shared" si="305"/>
        <v>0</v>
      </c>
      <c r="DY147" s="2042"/>
      <c r="DZ147" s="2042"/>
      <c r="EA147" s="2042"/>
      <c r="EB147" s="2042"/>
      <c r="EC147" s="2042"/>
      <c r="ED147" s="2042"/>
      <c r="EE147" s="2042"/>
      <c r="EF147" s="2042"/>
      <c r="EG147" s="2042"/>
      <c r="EH147" s="2042"/>
      <c r="EI147" s="2042"/>
      <c r="EJ147" s="2042"/>
      <c r="EK147" s="2042"/>
      <c r="EL147" s="2042"/>
      <c r="EM147" s="2042"/>
      <c r="EN147" s="2042"/>
      <c r="EO147" s="2042"/>
      <c r="EP147" s="2042"/>
      <c r="EQ147" s="2042"/>
      <c r="ER147" s="2042"/>
      <c r="ES147" s="2042"/>
      <c r="ET147" s="2042"/>
      <c r="EU147" s="2042"/>
      <c r="EV147" s="2042"/>
      <c r="EW147" s="2042"/>
      <c r="EX147" s="2042"/>
      <c r="EY147" s="2042"/>
      <c r="EZ147" s="2045">
        <f t="shared" si="283"/>
        <v>0</v>
      </c>
      <c r="FA147" s="2216">
        <f t="shared" si="250"/>
        <v>0</v>
      </c>
      <c r="FB147" s="2216">
        <f t="shared" si="251"/>
        <v>0</v>
      </c>
      <c r="FC147" s="2216">
        <f t="shared" si="252"/>
        <v>0</v>
      </c>
      <c r="FD147" s="2216">
        <f t="shared" si="253"/>
        <v>0</v>
      </c>
      <c r="FE147" s="2216">
        <f t="shared" si="254"/>
        <v>0</v>
      </c>
      <c r="FF147" s="2216">
        <f t="shared" si="255"/>
        <v>0</v>
      </c>
      <c r="FG147" s="2216">
        <f t="shared" si="256"/>
        <v>0</v>
      </c>
      <c r="FH147" s="2216">
        <f t="shared" si="257"/>
        <v>0</v>
      </c>
      <c r="FI147" s="2216">
        <f t="shared" si="258"/>
        <v>0</v>
      </c>
      <c r="FJ147" s="2216">
        <f t="shared" si="259"/>
        <v>0</v>
      </c>
      <c r="FK147" s="2216">
        <f t="shared" si="260"/>
        <v>0</v>
      </c>
      <c r="FL147" s="2216">
        <f t="shared" si="261"/>
        <v>0</v>
      </c>
      <c r="FM147" s="2042"/>
      <c r="FN147" s="2045">
        <f t="shared" si="284"/>
        <v>0</v>
      </c>
      <c r="FO147" s="2216">
        <f t="shared" si="262"/>
        <v>0</v>
      </c>
      <c r="FP147" s="2216">
        <f t="shared" si="263"/>
        <v>0</v>
      </c>
      <c r="FQ147" s="2216">
        <f t="shared" si="264"/>
        <v>0</v>
      </c>
      <c r="FR147" s="2216">
        <f t="shared" si="265"/>
        <v>0</v>
      </c>
      <c r="FS147" s="2216">
        <f t="shared" si="266"/>
        <v>0</v>
      </c>
      <c r="FT147" s="2216">
        <f t="shared" si="267"/>
        <v>0</v>
      </c>
      <c r="FU147" s="2216">
        <f t="shared" si="268"/>
        <v>0</v>
      </c>
      <c r="FV147" s="2216">
        <f t="shared" si="269"/>
        <v>0</v>
      </c>
      <c r="FW147" s="2216">
        <f t="shared" si="270"/>
        <v>0</v>
      </c>
      <c r="FX147" s="2216">
        <f t="shared" si="271"/>
        <v>0</v>
      </c>
      <c r="FY147" s="2216">
        <f t="shared" si="272"/>
        <v>0</v>
      </c>
      <c r="FZ147" s="2216">
        <f t="shared" si="273"/>
        <v>0</v>
      </c>
      <c r="GA147" s="2042"/>
      <c r="GB147" s="2042">
        <f t="shared" si="285"/>
        <v>0</v>
      </c>
      <c r="GC147" s="2042">
        <f t="shared" si="286"/>
        <v>0</v>
      </c>
      <c r="GD147" s="2042"/>
      <c r="GE147" s="2042"/>
      <c r="GF147" s="2042"/>
      <c r="GG147" s="2042"/>
      <c r="GH147" s="2042">
        <f t="shared" si="287"/>
        <v>0</v>
      </c>
      <c r="GI147" s="2042">
        <f t="shared" si="288"/>
        <v>0</v>
      </c>
      <c r="GJ147" s="2042">
        <f t="shared" si="292"/>
        <v>0</v>
      </c>
      <c r="GK147" s="2042">
        <f t="shared" si="293"/>
        <v>0</v>
      </c>
      <c r="GL147" s="2042">
        <f t="shared" si="274"/>
        <v>0</v>
      </c>
      <c r="GM147" s="2042" cm="1">
        <f t="array" ref="GM147">IF(GL147=0,0,(SUMPRODUCT($J$75:$J$79,$CH$75:$CH$79,($BR$75:$BR$79=CX147)*1)+SUMPRODUCT($R$75:$R$79,$CP$75:$CP$79,($BR$75:$BR$79=CX147)*1))/GL147)</f>
        <v>0</v>
      </c>
      <c r="GN147" s="2042">
        <f t="shared" si="275"/>
        <v>0</v>
      </c>
      <c r="GO147" s="2042"/>
      <c r="GP147" s="2042"/>
      <c r="GQ147" s="2042">
        <f t="shared" si="276"/>
        <v>0</v>
      </c>
      <c r="GR147" s="2042">
        <f t="shared" si="303"/>
        <v>0</v>
      </c>
      <c r="GS147" s="2042">
        <f t="shared" si="277"/>
        <v>0</v>
      </c>
      <c r="GT147" s="2042">
        <f t="shared" si="278"/>
        <v>0</v>
      </c>
      <c r="GU147" s="2045" t="str">
        <f t="shared" si="175"/>
        <v xml:space="preserve"> </v>
      </c>
      <c r="GV147" s="2042"/>
      <c r="GW147" s="2054">
        <f t="shared" si="294"/>
        <v>0</v>
      </c>
      <c r="GX147" s="2042">
        <f t="shared" si="295"/>
        <v>0</v>
      </c>
      <c r="GY147" s="2042" t="str">
        <f t="shared" si="291"/>
        <v>a</v>
      </c>
      <c r="GZ147" s="2055">
        <f t="shared" si="296"/>
        <v>0</v>
      </c>
      <c r="HA147" s="2055">
        <f t="shared" si="297"/>
        <v>0</v>
      </c>
      <c r="HB147" s="2055"/>
      <c r="HC147" s="2046">
        <f t="shared" si="298"/>
        <v>0</v>
      </c>
      <c r="HD147" s="2055">
        <f t="shared" si="299"/>
        <v>0</v>
      </c>
      <c r="HE147" s="2055">
        <f t="shared" si="300"/>
        <v>0</v>
      </c>
      <c r="HF147" s="2055">
        <f t="shared" si="301"/>
        <v>0</v>
      </c>
      <c r="HG147" s="2282" cm="1">
        <f t="array" ref="HG147">IF(AND(HE147=0,GJ147=0),0,IF(HE147=0,1,IF(OR(GJ147*1000/HE147/HF147&gt;INDEX(Pflanzen!$AD$122:$AD$160,CX147)/INDEX(Pflanzen!$M$122:$M$160,CX147)*$HG$1,GJ147*1000/HE147/HF147&lt;INDEX(Pflanzen!$AD$122:$AD$160,CX147)/INDEX(Pflanzen!$M$122:$M$160,CX147)/$HG$1),1,0)))</f>
        <v>0</v>
      </c>
      <c r="HH147" s="2287" cm="1">
        <f t="array" ref="HH147">IF(AND(GK147=0,HE147=0),0,IF(HE147=0,1,IF(OR(GK147*1000/HE147/HF147&gt;INDEX(Pflanzen!$AE$122:$AE$160,CX147)/INDEX(Pflanzen!$M$122:$M$160,CX147)*$HG$2,GK147*1000/HE147/HF147&lt;INDEX(Pflanzen!$AE$122:$AE$160,CX147)/INDEX(Pflanzen!$M$122:$M$160,CX147)/$HG$2),1,0)))</f>
        <v>0</v>
      </c>
      <c r="HI147" s="2042">
        <f t="shared" si="302"/>
        <v>3</v>
      </c>
      <c r="HJ147" s="2042"/>
      <c r="HL147" s="2042"/>
      <c r="HM147" s="2042"/>
      <c r="HN147" s="2042"/>
      <c r="HO147" s="2042"/>
      <c r="HP147" s="2042"/>
      <c r="HQ147" s="2042"/>
      <c r="HR147" s="2042"/>
      <c r="HS147" s="2042"/>
      <c r="HT147" s="2042"/>
      <c r="HU147" s="2042"/>
      <c r="HV147" s="2042"/>
      <c r="HW147" s="2042"/>
      <c r="HX147" s="2042"/>
      <c r="HY147" s="2042"/>
      <c r="HZ147" s="2042"/>
      <c r="IA147" s="2042"/>
      <c r="IB147" s="2042"/>
      <c r="IC147" s="2042"/>
      <c r="ID147" s="2042"/>
      <c r="IE147" s="2042"/>
      <c r="IF147" s="2042"/>
      <c r="IG147" s="2042"/>
      <c r="IH147" s="2042"/>
      <c r="II147" s="2042"/>
      <c r="IJ147" s="2042"/>
    </row>
    <row r="148" spans="25:244" ht="15.75" customHeight="1" x14ac:dyDescent="0.2">
      <c r="Y148" s="510"/>
      <c r="Z148" s="510"/>
      <c r="AA148" s="510"/>
      <c r="AB148" s="510"/>
      <c r="AC148" s="2033"/>
      <c r="AD148" s="2033"/>
      <c r="AE148" s="2033"/>
      <c r="AF148" s="2033"/>
      <c r="AG148" s="2033"/>
      <c r="AH148" s="2033"/>
      <c r="AI148" s="2033"/>
      <c r="AJ148" s="2033"/>
      <c r="AK148" s="2033"/>
      <c r="AL148" s="2033"/>
      <c r="AM148" s="2033"/>
      <c r="AN148" s="2033"/>
      <c r="AO148" s="517"/>
      <c r="AP148" s="517"/>
      <c r="AQ148" s="517"/>
      <c r="AR148" s="2033"/>
      <c r="AS148" s="2033"/>
      <c r="AT148" s="2033"/>
      <c r="AU148" s="2033"/>
      <c r="AV148" s="2033"/>
      <c r="AY148" s="2042"/>
      <c r="AZ148" s="2042"/>
      <c r="BA148" s="2042"/>
      <c r="BB148" s="2042"/>
      <c r="BC148" s="2042"/>
      <c r="BD148" s="2042"/>
      <c r="BP148" s="2043"/>
      <c r="BQ148" s="2042"/>
      <c r="BR148" s="2042"/>
      <c r="BS148" s="2042"/>
      <c r="BT148" s="2042"/>
      <c r="BU148" s="2059"/>
      <c r="BV148" s="2277"/>
      <c r="BW148" s="2277"/>
      <c r="BX148" s="2277"/>
      <c r="BY148" s="2277"/>
      <c r="BZ148" s="2277"/>
      <c r="CA148" s="2277"/>
      <c r="CB148" s="2277"/>
      <c r="CC148" s="2277"/>
      <c r="CD148" s="2277"/>
      <c r="CE148" s="2277"/>
      <c r="CF148" s="2277"/>
      <c r="CG148" s="2277"/>
      <c r="CH148" s="2277"/>
      <c r="CI148" s="2277"/>
      <c r="CJ148" s="2277"/>
      <c r="CK148" s="2277"/>
      <c r="CL148" s="2042"/>
      <c r="CM148" s="2042"/>
      <c r="CN148" s="2042"/>
      <c r="CO148" s="2042"/>
      <c r="CP148" s="2042"/>
      <c r="CQ148" s="2042"/>
      <c r="CR148" s="2042"/>
      <c r="CS148" s="2042"/>
      <c r="CT148" s="2042"/>
      <c r="CU148" s="2042"/>
      <c r="CV148" s="2042"/>
      <c r="CW148" s="2069" t="str">
        <f>Pflanzen!C149</f>
        <v>Rübenkleinteile</v>
      </c>
      <c r="CX148" s="2042">
        <f>IFERROR(MATCH($CW148,Pflanzen!$C$122:$C$160,0),1)</f>
        <v>28</v>
      </c>
      <c r="CY148" s="2069">
        <f>Pflanzen!I149</f>
        <v>2</v>
      </c>
      <c r="CZ148" s="2042">
        <f t="shared" si="279"/>
        <v>0</v>
      </c>
      <c r="DA148" s="2042">
        <f t="shared" si="304"/>
        <v>0</v>
      </c>
      <c r="DB148" s="2042">
        <f t="shared" si="304"/>
        <v>0</v>
      </c>
      <c r="DC148" s="2042">
        <f t="shared" si="304"/>
        <v>0</v>
      </c>
      <c r="DD148" s="2042">
        <f t="shared" si="304"/>
        <v>0</v>
      </c>
      <c r="DE148" s="2042">
        <f t="shared" si="304"/>
        <v>0</v>
      </c>
      <c r="DF148" s="2042">
        <f t="shared" si="304"/>
        <v>0</v>
      </c>
      <c r="DG148" s="2042">
        <f t="shared" si="304"/>
        <v>0</v>
      </c>
      <c r="DH148" s="2042">
        <f t="shared" si="304"/>
        <v>0</v>
      </c>
      <c r="DI148" s="2042">
        <f t="shared" si="304"/>
        <v>0</v>
      </c>
      <c r="DJ148" s="2042">
        <f t="shared" si="304"/>
        <v>0</v>
      </c>
      <c r="DK148" s="2042">
        <f t="shared" si="304"/>
        <v>0</v>
      </c>
      <c r="DL148" s="2042"/>
      <c r="DM148" s="2042">
        <f t="shared" si="281"/>
        <v>0</v>
      </c>
      <c r="DN148" s="2042">
        <f t="shared" si="305"/>
        <v>0</v>
      </c>
      <c r="DO148" s="2042">
        <f t="shared" si="305"/>
        <v>0</v>
      </c>
      <c r="DP148" s="2042">
        <f t="shared" si="305"/>
        <v>0</v>
      </c>
      <c r="DQ148" s="2042">
        <f t="shared" si="305"/>
        <v>0</v>
      </c>
      <c r="DR148" s="2042">
        <f t="shared" si="305"/>
        <v>0</v>
      </c>
      <c r="DS148" s="2042">
        <f t="shared" si="305"/>
        <v>0</v>
      </c>
      <c r="DT148" s="2042">
        <f t="shared" si="305"/>
        <v>0</v>
      </c>
      <c r="DU148" s="2042">
        <f t="shared" si="305"/>
        <v>0</v>
      </c>
      <c r="DV148" s="2042">
        <f t="shared" si="305"/>
        <v>0</v>
      </c>
      <c r="DW148" s="2042">
        <f t="shared" si="305"/>
        <v>0</v>
      </c>
      <c r="DX148" s="2042">
        <f t="shared" si="305"/>
        <v>0</v>
      </c>
      <c r="DY148" s="2042"/>
      <c r="DZ148" s="2042"/>
      <c r="EA148" s="2042"/>
      <c r="EB148" s="2042"/>
      <c r="EC148" s="2042"/>
      <c r="ED148" s="2042"/>
      <c r="EE148" s="2042"/>
      <c r="EF148" s="2042"/>
      <c r="EG148" s="2042"/>
      <c r="EH148" s="2042"/>
      <c r="EI148" s="2042"/>
      <c r="EJ148" s="2042"/>
      <c r="EK148" s="2042"/>
      <c r="EL148" s="2042"/>
      <c r="EM148" s="2042"/>
      <c r="EN148" s="2042"/>
      <c r="EO148" s="2042"/>
      <c r="EP148" s="2042"/>
      <c r="EQ148" s="2042"/>
      <c r="ER148" s="2042"/>
      <c r="ES148" s="2042"/>
      <c r="ET148" s="2042"/>
      <c r="EU148" s="2042"/>
      <c r="EV148" s="2042"/>
      <c r="EW148" s="2042"/>
      <c r="EX148" s="2042"/>
      <c r="EY148" s="2042"/>
      <c r="EZ148" s="2045">
        <f t="shared" si="283"/>
        <v>0</v>
      </c>
      <c r="FA148" s="2216">
        <f t="shared" si="250"/>
        <v>0</v>
      </c>
      <c r="FB148" s="2216">
        <f t="shared" si="251"/>
        <v>0</v>
      </c>
      <c r="FC148" s="2216">
        <f t="shared" si="252"/>
        <v>0</v>
      </c>
      <c r="FD148" s="2216">
        <f t="shared" si="253"/>
        <v>0</v>
      </c>
      <c r="FE148" s="2216">
        <f t="shared" si="254"/>
        <v>0</v>
      </c>
      <c r="FF148" s="2216">
        <f t="shared" si="255"/>
        <v>0</v>
      </c>
      <c r="FG148" s="2216">
        <f t="shared" si="256"/>
        <v>0</v>
      </c>
      <c r="FH148" s="2216">
        <f t="shared" si="257"/>
        <v>0</v>
      </c>
      <c r="FI148" s="2216">
        <f t="shared" si="258"/>
        <v>0</v>
      </c>
      <c r="FJ148" s="2216">
        <f t="shared" si="259"/>
        <v>0</v>
      </c>
      <c r="FK148" s="2216">
        <f t="shared" si="260"/>
        <v>0</v>
      </c>
      <c r="FL148" s="2216">
        <f t="shared" si="261"/>
        <v>0</v>
      </c>
      <c r="FM148" s="2042"/>
      <c r="FN148" s="2045">
        <f t="shared" si="284"/>
        <v>0</v>
      </c>
      <c r="FO148" s="2216">
        <f t="shared" si="262"/>
        <v>0</v>
      </c>
      <c r="FP148" s="2216">
        <f t="shared" si="263"/>
        <v>0</v>
      </c>
      <c r="FQ148" s="2216">
        <f t="shared" si="264"/>
        <v>0</v>
      </c>
      <c r="FR148" s="2216">
        <f t="shared" si="265"/>
        <v>0</v>
      </c>
      <c r="FS148" s="2216">
        <f t="shared" si="266"/>
        <v>0</v>
      </c>
      <c r="FT148" s="2216">
        <f t="shared" si="267"/>
        <v>0</v>
      </c>
      <c r="FU148" s="2216">
        <f t="shared" si="268"/>
        <v>0</v>
      </c>
      <c r="FV148" s="2216">
        <f t="shared" si="269"/>
        <v>0</v>
      </c>
      <c r="FW148" s="2216">
        <f t="shared" si="270"/>
        <v>0</v>
      </c>
      <c r="FX148" s="2216">
        <f t="shared" si="271"/>
        <v>0</v>
      </c>
      <c r="FY148" s="2216">
        <f t="shared" si="272"/>
        <v>0</v>
      </c>
      <c r="FZ148" s="2216">
        <f t="shared" si="273"/>
        <v>0</v>
      </c>
      <c r="GA148" s="2042"/>
      <c r="GB148" s="2042">
        <f t="shared" si="285"/>
        <v>0</v>
      </c>
      <c r="GC148" s="2042">
        <f t="shared" si="286"/>
        <v>0</v>
      </c>
      <c r="GD148" s="2042"/>
      <c r="GE148" s="2042"/>
      <c r="GF148" s="2042"/>
      <c r="GG148" s="2042"/>
      <c r="GH148" s="2042">
        <f t="shared" si="287"/>
        <v>0</v>
      </c>
      <c r="GI148" s="2042">
        <f t="shared" si="288"/>
        <v>0</v>
      </c>
      <c r="GJ148" s="2042">
        <f t="shared" si="292"/>
        <v>0</v>
      </c>
      <c r="GK148" s="2042">
        <f t="shared" si="293"/>
        <v>0</v>
      </c>
      <c r="GL148" s="2042">
        <f t="shared" si="274"/>
        <v>0</v>
      </c>
      <c r="GM148" s="2042" cm="1">
        <f t="array" ref="GM148">IF(GL148=0,0,(SUMPRODUCT($J$75:$J$79,$CH$75:$CH$79,($BR$75:$BR$79=CX148)*1)+SUMPRODUCT($R$75:$R$79,$CP$75:$CP$79,($BR$75:$BR$79=CX148)*1))/GL148)</f>
        <v>0</v>
      </c>
      <c r="GN148" s="2042">
        <f t="shared" si="275"/>
        <v>0</v>
      </c>
      <c r="GO148" s="2042"/>
      <c r="GP148" s="2042"/>
      <c r="GQ148" s="2042">
        <f t="shared" si="276"/>
        <v>0</v>
      </c>
      <c r="GR148" s="2042">
        <f t="shared" si="303"/>
        <v>0</v>
      </c>
      <c r="GS148" s="2042">
        <f t="shared" si="277"/>
        <v>0</v>
      </c>
      <c r="GT148" s="2042">
        <f t="shared" si="278"/>
        <v>0</v>
      </c>
      <c r="GU148" s="2045" t="str">
        <f t="shared" si="175"/>
        <v xml:space="preserve"> </v>
      </c>
      <c r="GV148" s="2042"/>
      <c r="GW148" s="2054">
        <f t="shared" si="294"/>
        <v>0</v>
      </c>
      <c r="GX148" s="2042">
        <f t="shared" si="295"/>
        <v>0</v>
      </c>
      <c r="GY148" s="2042" t="str">
        <f t="shared" si="291"/>
        <v>a</v>
      </c>
      <c r="GZ148" s="2055">
        <f t="shared" si="296"/>
        <v>0</v>
      </c>
      <c r="HA148" s="2055">
        <f t="shared" si="297"/>
        <v>0</v>
      </c>
      <c r="HB148" s="2055"/>
      <c r="HC148" s="2046">
        <f t="shared" si="298"/>
        <v>0</v>
      </c>
      <c r="HD148" s="2055">
        <f t="shared" si="299"/>
        <v>0</v>
      </c>
      <c r="HE148" s="2055">
        <f t="shared" si="300"/>
        <v>0</v>
      </c>
      <c r="HF148" s="2055">
        <f t="shared" si="301"/>
        <v>0</v>
      </c>
      <c r="HG148" s="2282" cm="1">
        <f t="array" ref="HG148">IF(AND(HE148=0,GJ148=0),0,IF(HE148=0,1,IF(OR(GJ148*1000/HE148/HF148&gt;INDEX(Pflanzen!$AD$122:$AD$160,CX148)/INDEX(Pflanzen!$M$122:$M$160,CX148)*$HG$1,GJ148*1000/HE148/HF148&lt;INDEX(Pflanzen!$AD$122:$AD$160,CX148)/INDEX(Pflanzen!$M$122:$M$160,CX148)/$HG$1),1,0)))</f>
        <v>0</v>
      </c>
      <c r="HH148" s="2287" cm="1">
        <f t="array" ref="HH148">IF(AND(GK148=0,HE148=0),0,IF(HE148=0,1,IF(OR(GK148*1000/HE148/HF148&gt;INDEX(Pflanzen!$AE$122:$AE$160,CX148)/INDEX(Pflanzen!$M$122:$M$160,CX148)*$HG$2,GK148*1000/HE148/HF148&lt;INDEX(Pflanzen!$AE$122:$AE$160,CX148)/INDEX(Pflanzen!$M$122:$M$160,CX148)/$HG$2),1,0)))</f>
        <v>0</v>
      </c>
      <c r="HI148" s="2042">
        <f t="shared" si="302"/>
        <v>3</v>
      </c>
      <c r="HJ148" s="2042"/>
      <c r="HL148" s="2042"/>
      <c r="HM148" s="2042"/>
      <c r="HN148" s="2042"/>
      <c r="HO148" s="2042"/>
      <c r="HP148" s="2042"/>
      <c r="HQ148" s="2042"/>
      <c r="HR148" s="2042"/>
      <c r="HS148" s="2042"/>
      <c r="HT148" s="2042"/>
      <c r="HU148" s="2042"/>
      <c r="HV148" s="2042"/>
      <c r="HW148" s="2042"/>
      <c r="HX148" s="2042"/>
      <c r="HY148" s="2042"/>
      <c r="HZ148" s="2042"/>
      <c r="IA148" s="2042"/>
      <c r="IB148" s="2042"/>
      <c r="IC148" s="2042"/>
      <c r="ID148" s="2042"/>
      <c r="IE148" s="2042"/>
      <c r="IF148" s="2042"/>
      <c r="IG148" s="2042"/>
      <c r="IH148" s="2042"/>
      <c r="II148" s="2042"/>
      <c r="IJ148" s="2042"/>
    </row>
    <row r="149" spans="25:244" ht="15.75" customHeight="1" x14ac:dyDescent="0.2">
      <c r="Y149" s="510"/>
      <c r="Z149" s="510"/>
      <c r="AA149" s="510"/>
      <c r="AB149" s="510"/>
      <c r="AC149" s="2033"/>
      <c r="AD149" s="2033"/>
      <c r="AE149" s="2033"/>
      <c r="AF149" s="2033"/>
      <c r="AG149" s="2033"/>
      <c r="AH149" s="2033"/>
      <c r="AI149" s="2033"/>
      <c r="AJ149" s="2033"/>
      <c r="AK149" s="2033"/>
      <c r="AL149" s="2033"/>
      <c r="AM149" s="2033"/>
      <c r="AN149" s="2033"/>
      <c r="AO149" s="517"/>
      <c r="AP149" s="517"/>
      <c r="AQ149" s="517"/>
      <c r="AR149" s="2033"/>
      <c r="AS149" s="2033"/>
      <c r="AT149" s="2033"/>
      <c r="AU149" s="2033"/>
      <c r="AV149" s="2033"/>
      <c r="AY149" s="2042"/>
      <c r="AZ149" s="2042"/>
      <c r="BA149" s="2042"/>
      <c r="BB149" s="2042"/>
      <c r="BC149" s="2042"/>
      <c r="BD149" s="2042"/>
      <c r="BP149" s="2043"/>
      <c r="BQ149" s="2042"/>
      <c r="BR149" s="2042"/>
      <c r="BS149" s="2042"/>
      <c r="BT149" s="2042"/>
      <c r="BU149" s="2059"/>
      <c r="BV149" s="2277"/>
      <c r="BW149" s="2277"/>
      <c r="BX149" s="2277"/>
      <c r="BY149" s="2277"/>
      <c r="BZ149" s="2277"/>
      <c r="CA149" s="2277"/>
      <c r="CB149" s="2277"/>
      <c r="CC149" s="2277"/>
      <c r="CD149" s="2277"/>
      <c r="CE149" s="2277"/>
      <c r="CF149" s="2277"/>
      <c r="CG149" s="2277"/>
      <c r="CH149" s="2277"/>
      <c r="CI149" s="2277"/>
      <c r="CJ149" s="2277"/>
      <c r="CK149" s="2277"/>
      <c r="CL149" s="2042"/>
      <c r="CM149" s="2042"/>
      <c r="CN149" s="2042"/>
      <c r="CO149" s="2042"/>
      <c r="CP149" s="2042"/>
      <c r="CQ149" s="2042"/>
      <c r="CR149" s="2042"/>
      <c r="CS149" s="2042"/>
      <c r="CT149" s="2042"/>
      <c r="CU149" s="2042"/>
      <c r="CV149" s="2042"/>
      <c r="CW149" s="2069" t="str">
        <f>Pflanzen!C150</f>
        <v>Sojaextraktionsschrot, geschält, 48 % RP</v>
      </c>
      <c r="CX149" s="2042">
        <f>IFERROR(MATCH($CW149,Pflanzen!$C$122:$C$160,0),1)</f>
        <v>29</v>
      </c>
      <c r="CY149" s="2069">
        <f>Pflanzen!I150</f>
        <v>2</v>
      </c>
      <c r="CZ149" s="2042">
        <f t="shared" si="279"/>
        <v>0</v>
      </c>
      <c r="DA149" s="2042">
        <f t="shared" si="304"/>
        <v>0</v>
      </c>
      <c r="DB149" s="2042">
        <f t="shared" si="304"/>
        <v>0</v>
      </c>
      <c r="DC149" s="2042">
        <f t="shared" si="304"/>
        <v>0</v>
      </c>
      <c r="DD149" s="2042">
        <f t="shared" si="304"/>
        <v>0</v>
      </c>
      <c r="DE149" s="2042">
        <f t="shared" si="304"/>
        <v>0</v>
      </c>
      <c r="DF149" s="2042">
        <f t="shared" si="304"/>
        <v>0</v>
      </c>
      <c r="DG149" s="2042">
        <f t="shared" si="304"/>
        <v>0</v>
      </c>
      <c r="DH149" s="2042">
        <f t="shared" si="304"/>
        <v>0</v>
      </c>
      <c r="DI149" s="2042">
        <f t="shared" si="304"/>
        <v>0</v>
      </c>
      <c r="DJ149" s="2042">
        <f t="shared" si="304"/>
        <v>0</v>
      </c>
      <c r="DK149" s="2042">
        <f t="shared" si="304"/>
        <v>0</v>
      </c>
      <c r="DL149" s="2042"/>
      <c r="DM149" s="2042">
        <f t="shared" si="281"/>
        <v>0</v>
      </c>
      <c r="DN149" s="2042">
        <f t="shared" si="305"/>
        <v>0</v>
      </c>
      <c r="DO149" s="2042">
        <f t="shared" si="305"/>
        <v>0</v>
      </c>
      <c r="DP149" s="2042">
        <f t="shared" si="305"/>
        <v>0</v>
      </c>
      <c r="DQ149" s="2042">
        <f t="shared" si="305"/>
        <v>0</v>
      </c>
      <c r="DR149" s="2042">
        <f t="shared" si="305"/>
        <v>0</v>
      </c>
      <c r="DS149" s="2042">
        <f t="shared" si="305"/>
        <v>0</v>
      </c>
      <c r="DT149" s="2042">
        <f t="shared" si="305"/>
        <v>0</v>
      </c>
      <c r="DU149" s="2042">
        <f t="shared" si="305"/>
        <v>0</v>
      </c>
      <c r="DV149" s="2042">
        <f t="shared" si="305"/>
        <v>0</v>
      </c>
      <c r="DW149" s="2042">
        <f t="shared" si="305"/>
        <v>0</v>
      </c>
      <c r="DX149" s="2042">
        <f t="shared" si="305"/>
        <v>0</v>
      </c>
      <c r="DY149" s="2042"/>
      <c r="DZ149" s="2042"/>
      <c r="EA149" s="2042"/>
      <c r="EB149" s="2042"/>
      <c r="EC149" s="2042"/>
      <c r="ED149" s="2042"/>
      <c r="EE149" s="2042"/>
      <c r="EF149" s="2042"/>
      <c r="EG149" s="2042"/>
      <c r="EH149" s="2042"/>
      <c r="EI149" s="2042"/>
      <c r="EJ149" s="2042"/>
      <c r="EK149" s="2042"/>
      <c r="EL149" s="2042"/>
      <c r="EM149" s="2042"/>
      <c r="EN149" s="2042"/>
      <c r="EO149" s="2042"/>
      <c r="EP149" s="2042"/>
      <c r="EQ149" s="2042"/>
      <c r="ER149" s="2042"/>
      <c r="ES149" s="2042"/>
      <c r="ET149" s="2042"/>
      <c r="EU149" s="2042"/>
      <c r="EV149" s="2042"/>
      <c r="EW149" s="2042"/>
      <c r="EX149" s="2042"/>
      <c r="EY149" s="2042"/>
      <c r="EZ149" s="2045">
        <f t="shared" si="283"/>
        <v>0</v>
      </c>
      <c r="FA149" s="2216">
        <f t="shared" si="250"/>
        <v>0</v>
      </c>
      <c r="FB149" s="2216">
        <f t="shared" si="251"/>
        <v>0</v>
      </c>
      <c r="FC149" s="2216">
        <f t="shared" si="252"/>
        <v>0</v>
      </c>
      <c r="FD149" s="2216">
        <f t="shared" si="253"/>
        <v>0</v>
      </c>
      <c r="FE149" s="2216">
        <f t="shared" si="254"/>
        <v>0</v>
      </c>
      <c r="FF149" s="2216">
        <f t="shared" si="255"/>
        <v>0</v>
      </c>
      <c r="FG149" s="2216">
        <f t="shared" si="256"/>
        <v>0</v>
      </c>
      <c r="FH149" s="2216">
        <f t="shared" si="257"/>
        <v>0</v>
      </c>
      <c r="FI149" s="2216">
        <f t="shared" si="258"/>
        <v>0</v>
      </c>
      <c r="FJ149" s="2216">
        <f t="shared" si="259"/>
        <v>0</v>
      </c>
      <c r="FK149" s="2216">
        <f t="shared" si="260"/>
        <v>0</v>
      </c>
      <c r="FL149" s="2216">
        <f t="shared" si="261"/>
        <v>0</v>
      </c>
      <c r="FM149" s="2042"/>
      <c r="FN149" s="2045">
        <f t="shared" si="284"/>
        <v>0</v>
      </c>
      <c r="FO149" s="2216">
        <f t="shared" si="262"/>
        <v>0</v>
      </c>
      <c r="FP149" s="2216">
        <f t="shared" si="263"/>
        <v>0</v>
      </c>
      <c r="FQ149" s="2216">
        <f t="shared" si="264"/>
        <v>0</v>
      </c>
      <c r="FR149" s="2216">
        <f t="shared" si="265"/>
        <v>0</v>
      </c>
      <c r="FS149" s="2216">
        <f t="shared" si="266"/>
        <v>0</v>
      </c>
      <c r="FT149" s="2216">
        <f t="shared" si="267"/>
        <v>0</v>
      </c>
      <c r="FU149" s="2216">
        <f t="shared" si="268"/>
        <v>0</v>
      </c>
      <c r="FV149" s="2216">
        <f t="shared" si="269"/>
        <v>0</v>
      </c>
      <c r="FW149" s="2216">
        <f t="shared" si="270"/>
        <v>0</v>
      </c>
      <c r="FX149" s="2216">
        <f t="shared" si="271"/>
        <v>0</v>
      </c>
      <c r="FY149" s="2216">
        <f t="shared" si="272"/>
        <v>0</v>
      </c>
      <c r="FZ149" s="2216">
        <f t="shared" si="273"/>
        <v>0</v>
      </c>
      <c r="GA149" s="2042"/>
      <c r="GB149" s="2042">
        <f t="shared" si="285"/>
        <v>0</v>
      </c>
      <c r="GC149" s="2042">
        <f t="shared" si="286"/>
        <v>0</v>
      </c>
      <c r="GD149" s="2042"/>
      <c r="GE149" s="2042"/>
      <c r="GF149" s="2042"/>
      <c r="GG149" s="2042"/>
      <c r="GH149" s="2042">
        <f t="shared" si="287"/>
        <v>0</v>
      </c>
      <c r="GI149" s="2042">
        <f t="shared" si="288"/>
        <v>0</v>
      </c>
      <c r="GJ149" s="2042">
        <f t="shared" si="292"/>
        <v>0</v>
      </c>
      <c r="GK149" s="2042">
        <f t="shared" si="293"/>
        <v>0</v>
      </c>
      <c r="GL149" s="2042">
        <f t="shared" si="274"/>
        <v>0</v>
      </c>
      <c r="GM149" s="2042" cm="1">
        <f t="array" ref="GM149">IF(GL149=0,0,(SUMPRODUCT($J$75:$J$79,$CH$75:$CH$79,($BR$75:$BR$79=CX149)*1)+SUMPRODUCT($R$75:$R$79,$CP$75:$CP$79,($BR$75:$BR$79=CX149)*1))/GL149)</f>
        <v>0</v>
      </c>
      <c r="GN149" s="2042">
        <f t="shared" si="275"/>
        <v>0</v>
      </c>
      <c r="GO149" s="2042"/>
      <c r="GP149" s="2042"/>
      <c r="GQ149" s="2042">
        <f t="shared" si="276"/>
        <v>0</v>
      </c>
      <c r="GR149" s="2042">
        <f t="shared" si="303"/>
        <v>0</v>
      </c>
      <c r="GS149" s="2042">
        <f t="shared" si="277"/>
        <v>0</v>
      </c>
      <c r="GT149" s="2042">
        <f t="shared" si="278"/>
        <v>0</v>
      </c>
      <c r="GU149" s="2045" t="str">
        <f t="shared" si="175"/>
        <v xml:space="preserve"> </v>
      </c>
      <c r="GV149" s="2042"/>
      <c r="GW149" s="2054">
        <f t="shared" si="294"/>
        <v>0</v>
      </c>
      <c r="GX149" s="2042">
        <f t="shared" si="295"/>
        <v>0</v>
      </c>
      <c r="GY149" s="2042" t="str">
        <f t="shared" si="291"/>
        <v>a</v>
      </c>
      <c r="GZ149" s="2055">
        <f t="shared" si="296"/>
        <v>0</v>
      </c>
      <c r="HA149" s="2055">
        <f t="shared" si="297"/>
        <v>0</v>
      </c>
      <c r="HB149" s="2055"/>
      <c r="HC149" s="2046">
        <f t="shared" si="298"/>
        <v>0</v>
      </c>
      <c r="HD149" s="2055">
        <f t="shared" si="299"/>
        <v>0</v>
      </c>
      <c r="HE149" s="2055">
        <f t="shared" si="300"/>
        <v>0</v>
      </c>
      <c r="HF149" s="2055">
        <f t="shared" si="301"/>
        <v>0</v>
      </c>
      <c r="HG149" s="2282" cm="1">
        <f t="array" ref="HG149">IF(AND(HE149=0,GJ149=0),0,IF(HE149=0,1,IF(OR(GJ149*1000/HE149/HF149&gt;INDEX(Pflanzen!$AD$122:$AD$160,CX149)/INDEX(Pflanzen!$M$122:$M$160,CX149)*$HG$1,GJ149*1000/HE149/HF149&lt;INDEX(Pflanzen!$AD$122:$AD$160,CX149)/INDEX(Pflanzen!$M$122:$M$160,CX149)/$HG$1),1,0)))</f>
        <v>0</v>
      </c>
      <c r="HH149" s="2287" cm="1">
        <f t="array" ref="HH149">IF(AND(GK149=0,HE149=0),0,IF(HE149=0,1,IF(OR(GK149*1000/HE149/HF149&gt;INDEX(Pflanzen!$AE$122:$AE$160,CX149)/INDEX(Pflanzen!$M$122:$M$160,CX149)*$HG$2,GK149*1000/HE149/HF149&lt;INDEX(Pflanzen!$AE$122:$AE$160,CX149)/INDEX(Pflanzen!$M$122:$M$160,CX149)/$HG$2),1,0)))</f>
        <v>0</v>
      </c>
      <c r="HI149" s="2042">
        <f t="shared" si="302"/>
        <v>3</v>
      </c>
      <c r="HJ149" s="2042"/>
      <c r="HL149" s="2042"/>
      <c r="HM149" s="2042"/>
      <c r="HN149" s="2042"/>
      <c r="HO149" s="2042"/>
      <c r="HP149" s="2042"/>
      <c r="HQ149" s="2042"/>
      <c r="HR149" s="2042"/>
      <c r="HS149" s="2042"/>
      <c r="HT149" s="2042"/>
      <c r="HU149" s="2042"/>
      <c r="HV149" s="2042"/>
      <c r="HW149" s="2042"/>
      <c r="HX149" s="2042"/>
      <c r="HY149" s="2042"/>
      <c r="HZ149" s="2042"/>
      <c r="IA149" s="2042"/>
      <c r="IB149" s="2042"/>
      <c r="IC149" s="2042"/>
      <c r="ID149" s="2042"/>
      <c r="IE149" s="2042"/>
      <c r="IF149" s="2042"/>
      <c r="IG149" s="2042"/>
      <c r="IH149" s="2042"/>
      <c r="II149" s="2042"/>
      <c r="IJ149" s="2042"/>
    </row>
    <row r="150" spans="25:244" ht="15.75" customHeight="1" x14ac:dyDescent="0.2">
      <c r="Y150" s="510"/>
      <c r="Z150" s="510"/>
      <c r="AA150" s="510"/>
      <c r="AB150" s="510"/>
      <c r="AC150" s="2033"/>
      <c r="AD150" s="2033"/>
      <c r="AE150" s="2033"/>
      <c r="AF150" s="2033"/>
      <c r="AG150" s="2033"/>
      <c r="AH150" s="2033"/>
      <c r="AI150" s="2033"/>
      <c r="AJ150" s="2033"/>
      <c r="AK150" s="2033"/>
      <c r="AL150" s="2033"/>
      <c r="AM150" s="2033"/>
      <c r="AN150" s="2033"/>
      <c r="AO150" s="517"/>
      <c r="AP150" s="517"/>
      <c r="AQ150" s="517"/>
      <c r="AR150" s="2033"/>
      <c r="AS150" s="2033"/>
      <c r="AT150" s="2033"/>
      <c r="AU150" s="2033"/>
      <c r="AV150" s="2033"/>
      <c r="AY150" s="2042"/>
      <c r="AZ150" s="2042"/>
      <c r="BA150" s="2042"/>
      <c r="BB150" s="2042"/>
      <c r="BC150" s="2042"/>
      <c r="BD150" s="2042"/>
      <c r="BP150" s="2043"/>
      <c r="BQ150" s="2042"/>
      <c r="BR150" s="2042"/>
      <c r="BS150" s="2042"/>
      <c r="BT150" s="2042"/>
      <c r="BU150" s="2059"/>
      <c r="BV150" s="2277"/>
      <c r="BW150" s="2277"/>
      <c r="BX150" s="2277"/>
      <c r="BY150" s="2277"/>
      <c r="BZ150" s="2277"/>
      <c r="CA150" s="2277"/>
      <c r="CB150" s="2277"/>
      <c r="CC150" s="2277"/>
      <c r="CD150" s="2277"/>
      <c r="CE150" s="2277"/>
      <c r="CF150" s="2277"/>
      <c r="CG150" s="2277"/>
      <c r="CH150" s="2277"/>
      <c r="CI150" s="2277"/>
      <c r="CJ150" s="2277"/>
      <c r="CK150" s="2277"/>
      <c r="CL150" s="2042"/>
      <c r="CM150" s="2042"/>
      <c r="CN150" s="2042"/>
      <c r="CO150" s="2042"/>
      <c r="CP150" s="2042"/>
      <c r="CQ150" s="2042"/>
      <c r="CR150" s="2042"/>
      <c r="CS150" s="2042"/>
      <c r="CT150" s="2042"/>
      <c r="CU150" s="2042"/>
      <c r="CV150" s="2042"/>
      <c r="CW150" s="2069" t="str">
        <f>Pflanzen!C151</f>
        <v>Sojaextraktionsschrot, ungeschält, 44 % RP</v>
      </c>
      <c r="CX150" s="2042">
        <f>IFERROR(MATCH($CW150,Pflanzen!$C$122:$C$160,0),1)</f>
        <v>30</v>
      </c>
      <c r="CY150" s="2069">
        <f>Pflanzen!I151</f>
        <v>2</v>
      </c>
      <c r="CZ150" s="2042">
        <f t="shared" si="279"/>
        <v>0</v>
      </c>
      <c r="DA150" s="2042">
        <f t="shared" si="304"/>
        <v>0</v>
      </c>
      <c r="DB150" s="2042">
        <f t="shared" si="304"/>
        <v>0</v>
      </c>
      <c r="DC150" s="2042">
        <f t="shared" si="304"/>
        <v>0</v>
      </c>
      <c r="DD150" s="2042">
        <f t="shared" si="304"/>
        <v>0</v>
      </c>
      <c r="DE150" s="2042">
        <f t="shared" si="304"/>
        <v>0</v>
      </c>
      <c r="DF150" s="2042">
        <f t="shared" si="304"/>
        <v>0</v>
      </c>
      <c r="DG150" s="2042">
        <f t="shared" si="304"/>
        <v>0</v>
      </c>
      <c r="DH150" s="2042">
        <f t="shared" si="304"/>
        <v>0</v>
      </c>
      <c r="DI150" s="2042">
        <f t="shared" si="304"/>
        <v>0</v>
      </c>
      <c r="DJ150" s="2042">
        <f t="shared" si="304"/>
        <v>0</v>
      </c>
      <c r="DK150" s="2042">
        <f t="shared" si="304"/>
        <v>0</v>
      </c>
      <c r="DL150" s="2042"/>
      <c r="DM150" s="2042">
        <f t="shared" si="281"/>
        <v>0</v>
      </c>
      <c r="DN150" s="2042">
        <f t="shared" si="305"/>
        <v>0</v>
      </c>
      <c r="DO150" s="2042">
        <f t="shared" si="305"/>
        <v>0</v>
      </c>
      <c r="DP150" s="2042">
        <f t="shared" si="305"/>
        <v>0</v>
      </c>
      <c r="DQ150" s="2042">
        <f t="shared" si="305"/>
        <v>0</v>
      </c>
      <c r="DR150" s="2042">
        <f t="shared" si="305"/>
        <v>0</v>
      </c>
      <c r="DS150" s="2042">
        <f t="shared" si="305"/>
        <v>0</v>
      </c>
      <c r="DT150" s="2042">
        <f t="shared" si="305"/>
        <v>0</v>
      </c>
      <c r="DU150" s="2042">
        <f t="shared" si="305"/>
        <v>0</v>
      </c>
      <c r="DV150" s="2042">
        <f t="shared" si="305"/>
        <v>0</v>
      </c>
      <c r="DW150" s="2042">
        <f t="shared" si="305"/>
        <v>0</v>
      </c>
      <c r="DX150" s="2042">
        <f t="shared" si="305"/>
        <v>0</v>
      </c>
      <c r="DY150" s="2042"/>
      <c r="DZ150" s="2042"/>
      <c r="EA150" s="2042"/>
      <c r="EB150" s="2042"/>
      <c r="EC150" s="2042"/>
      <c r="ED150" s="2042"/>
      <c r="EE150" s="2042"/>
      <c r="EF150" s="2042"/>
      <c r="EG150" s="2042"/>
      <c r="EH150" s="2042"/>
      <c r="EI150" s="2042"/>
      <c r="EJ150" s="2042"/>
      <c r="EK150" s="2042"/>
      <c r="EL150" s="2042"/>
      <c r="EM150" s="2042"/>
      <c r="EN150" s="2042"/>
      <c r="EO150" s="2042"/>
      <c r="EP150" s="2042"/>
      <c r="EQ150" s="2042"/>
      <c r="ER150" s="2042"/>
      <c r="ES150" s="2042"/>
      <c r="ET150" s="2042"/>
      <c r="EU150" s="2042"/>
      <c r="EV150" s="2042"/>
      <c r="EW150" s="2042"/>
      <c r="EX150" s="2042"/>
      <c r="EY150" s="2042"/>
      <c r="EZ150" s="2045">
        <f t="shared" si="283"/>
        <v>0</v>
      </c>
      <c r="FA150" s="2216">
        <f t="shared" si="250"/>
        <v>0</v>
      </c>
      <c r="FB150" s="2216">
        <f t="shared" si="251"/>
        <v>0</v>
      </c>
      <c r="FC150" s="2216">
        <f t="shared" si="252"/>
        <v>0</v>
      </c>
      <c r="FD150" s="2216">
        <f t="shared" si="253"/>
        <v>0</v>
      </c>
      <c r="FE150" s="2216">
        <f t="shared" si="254"/>
        <v>0</v>
      </c>
      <c r="FF150" s="2216">
        <f t="shared" si="255"/>
        <v>0</v>
      </c>
      <c r="FG150" s="2216">
        <f t="shared" si="256"/>
        <v>0</v>
      </c>
      <c r="FH150" s="2216">
        <f t="shared" si="257"/>
        <v>0</v>
      </c>
      <c r="FI150" s="2216">
        <f t="shared" si="258"/>
        <v>0</v>
      </c>
      <c r="FJ150" s="2216">
        <f t="shared" si="259"/>
        <v>0</v>
      </c>
      <c r="FK150" s="2216">
        <f t="shared" si="260"/>
        <v>0</v>
      </c>
      <c r="FL150" s="2216">
        <f t="shared" si="261"/>
        <v>0</v>
      </c>
      <c r="FM150" s="2042"/>
      <c r="FN150" s="2045">
        <f t="shared" si="284"/>
        <v>0</v>
      </c>
      <c r="FO150" s="2216">
        <f t="shared" si="262"/>
        <v>0</v>
      </c>
      <c r="FP150" s="2216">
        <f t="shared" si="263"/>
        <v>0</v>
      </c>
      <c r="FQ150" s="2216">
        <f t="shared" si="264"/>
        <v>0</v>
      </c>
      <c r="FR150" s="2216">
        <f t="shared" si="265"/>
        <v>0</v>
      </c>
      <c r="FS150" s="2216">
        <f t="shared" si="266"/>
        <v>0</v>
      </c>
      <c r="FT150" s="2216">
        <f t="shared" si="267"/>
        <v>0</v>
      </c>
      <c r="FU150" s="2216">
        <f t="shared" si="268"/>
        <v>0</v>
      </c>
      <c r="FV150" s="2216">
        <f t="shared" si="269"/>
        <v>0</v>
      </c>
      <c r="FW150" s="2216">
        <f t="shared" si="270"/>
        <v>0</v>
      </c>
      <c r="FX150" s="2216">
        <f t="shared" si="271"/>
        <v>0</v>
      </c>
      <c r="FY150" s="2216">
        <f t="shared" si="272"/>
        <v>0</v>
      </c>
      <c r="FZ150" s="2216">
        <f t="shared" si="273"/>
        <v>0</v>
      </c>
      <c r="GA150" s="2042"/>
      <c r="GB150" s="2042">
        <f t="shared" si="285"/>
        <v>0</v>
      </c>
      <c r="GC150" s="2042">
        <f t="shared" si="286"/>
        <v>0</v>
      </c>
      <c r="GD150" s="2042"/>
      <c r="GE150" s="2042"/>
      <c r="GF150" s="2042"/>
      <c r="GG150" s="2042"/>
      <c r="GH150" s="2042">
        <f t="shared" si="287"/>
        <v>0</v>
      </c>
      <c r="GI150" s="2042">
        <f t="shared" si="288"/>
        <v>0</v>
      </c>
      <c r="GJ150" s="2042">
        <f t="shared" si="292"/>
        <v>0</v>
      </c>
      <c r="GK150" s="2042">
        <f t="shared" si="293"/>
        <v>0</v>
      </c>
      <c r="GL150" s="2042">
        <f t="shared" si="274"/>
        <v>0</v>
      </c>
      <c r="GM150" s="2042" cm="1">
        <f t="array" ref="GM150">IF(GL150=0,0,(SUMPRODUCT($J$75:$J$79,$CH$75:$CH$79,($BR$75:$BR$79=CX150)*1)+SUMPRODUCT($R$75:$R$79,$CP$75:$CP$79,($BR$75:$BR$79=CX150)*1))/GL150)</f>
        <v>0</v>
      </c>
      <c r="GN150" s="2042">
        <f t="shared" si="275"/>
        <v>0</v>
      </c>
      <c r="GO150" s="2042"/>
      <c r="GP150" s="2042"/>
      <c r="GQ150" s="2042">
        <f t="shared" si="276"/>
        <v>0</v>
      </c>
      <c r="GR150" s="2042">
        <f t="shared" si="303"/>
        <v>0</v>
      </c>
      <c r="GS150" s="2042">
        <f t="shared" si="277"/>
        <v>0</v>
      </c>
      <c r="GT150" s="2042">
        <f t="shared" si="278"/>
        <v>0</v>
      </c>
      <c r="GU150" s="2045" t="str">
        <f t="shared" si="175"/>
        <v xml:space="preserve"> </v>
      </c>
      <c r="GV150" s="2042"/>
      <c r="GW150" s="2054">
        <f t="shared" si="294"/>
        <v>0</v>
      </c>
      <c r="GX150" s="2042">
        <f t="shared" si="295"/>
        <v>0</v>
      </c>
      <c r="GY150" s="2042" t="str">
        <f t="shared" si="291"/>
        <v>a</v>
      </c>
      <c r="GZ150" s="2055">
        <f t="shared" si="296"/>
        <v>0</v>
      </c>
      <c r="HA150" s="2055">
        <f t="shared" si="297"/>
        <v>0</v>
      </c>
      <c r="HB150" s="2055"/>
      <c r="HC150" s="2046">
        <f t="shared" si="298"/>
        <v>0</v>
      </c>
      <c r="HD150" s="2055">
        <f t="shared" si="299"/>
        <v>0</v>
      </c>
      <c r="HE150" s="2055">
        <f t="shared" si="300"/>
        <v>0</v>
      </c>
      <c r="HF150" s="2055">
        <f t="shared" si="301"/>
        <v>0</v>
      </c>
      <c r="HG150" s="2282" cm="1">
        <f t="array" ref="HG150">IF(AND(HE150=0,GJ150=0),0,IF(HE150=0,1,IF(OR(GJ150*1000/HE150/HF150&gt;INDEX(Pflanzen!$AD$122:$AD$160,CX150)/INDEX(Pflanzen!$M$122:$M$160,CX150)*$HG$1,GJ150*1000/HE150/HF150&lt;INDEX(Pflanzen!$AD$122:$AD$160,CX150)/INDEX(Pflanzen!$M$122:$M$160,CX150)/$HG$1),1,0)))</f>
        <v>0</v>
      </c>
      <c r="HH150" s="2287" cm="1">
        <f t="array" ref="HH150">IF(AND(GK150=0,HE150=0),0,IF(HE150=0,1,IF(OR(GK150*1000/HE150/HF150&gt;INDEX(Pflanzen!$AE$122:$AE$160,CX150)/INDEX(Pflanzen!$M$122:$M$160,CX150)*$HG$2,GK150*1000/HE150/HF150&lt;INDEX(Pflanzen!$AE$122:$AE$160,CX150)/INDEX(Pflanzen!$M$122:$M$160,CX150)/$HG$2),1,0)))</f>
        <v>0</v>
      </c>
      <c r="HI150" s="2042">
        <f t="shared" si="302"/>
        <v>3</v>
      </c>
      <c r="HJ150" s="2042"/>
      <c r="HL150" s="2042"/>
      <c r="HM150" s="2042"/>
      <c r="HN150" s="2042"/>
      <c r="HO150" s="2042"/>
      <c r="HP150" s="2042"/>
      <c r="HQ150" s="2042"/>
      <c r="HR150" s="2042"/>
      <c r="HS150" s="2042"/>
      <c r="HT150" s="2042"/>
      <c r="HU150" s="2042"/>
      <c r="HV150" s="2042"/>
      <c r="HW150" s="2042"/>
      <c r="HX150" s="2042"/>
      <c r="HY150" s="2042"/>
      <c r="HZ150" s="2042"/>
      <c r="IA150" s="2042"/>
      <c r="IB150" s="2042"/>
      <c r="IC150" s="2042"/>
      <c r="ID150" s="2042"/>
      <c r="IE150" s="2042"/>
      <c r="IF150" s="2042"/>
      <c r="IG150" s="2042"/>
      <c r="IH150" s="2042"/>
      <c r="II150" s="2042"/>
      <c r="IJ150" s="2042"/>
    </row>
    <row r="151" spans="25:244" ht="15.75" customHeight="1" x14ac:dyDescent="0.2">
      <c r="Y151" s="510"/>
      <c r="Z151" s="510"/>
      <c r="AA151" s="510"/>
      <c r="AB151" s="510"/>
      <c r="AC151" s="510"/>
      <c r="AD151" s="510"/>
      <c r="AE151" s="510"/>
      <c r="AF151" s="510"/>
      <c r="AG151" s="510"/>
      <c r="AH151" s="510"/>
      <c r="AI151" s="510"/>
      <c r="AJ151" s="510"/>
      <c r="AK151" s="510"/>
      <c r="AL151" s="510"/>
      <c r="AM151" s="510"/>
      <c r="AN151" s="510"/>
      <c r="AR151" s="510"/>
      <c r="AS151" s="510"/>
      <c r="AT151" s="510"/>
      <c r="AU151" s="510"/>
      <c r="AV151" s="510"/>
      <c r="AY151" s="2042"/>
      <c r="AZ151" s="2042"/>
      <c r="BA151" s="2042"/>
      <c r="BB151" s="2042"/>
      <c r="BC151" s="2042"/>
      <c r="BD151" s="2042"/>
      <c r="BP151" s="2043"/>
      <c r="BQ151" s="2042"/>
      <c r="BR151" s="2042"/>
      <c r="BS151" s="2042"/>
      <c r="BT151" s="2042"/>
      <c r="BU151" s="2059"/>
      <c r="BV151" s="2277"/>
      <c r="BW151" s="2277"/>
      <c r="BX151" s="2277"/>
      <c r="BY151" s="2277"/>
      <c r="BZ151" s="2277"/>
      <c r="CA151" s="2277"/>
      <c r="CB151" s="2277"/>
      <c r="CC151" s="2277"/>
      <c r="CD151" s="2277"/>
      <c r="CE151" s="2277"/>
      <c r="CF151" s="2277"/>
      <c r="CG151" s="2277"/>
      <c r="CH151" s="2277"/>
      <c r="CI151" s="2277"/>
      <c r="CJ151" s="2277"/>
      <c r="CK151" s="2277"/>
      <c r="CL151" s="2042"/>
      <c r="CM151" s="2042"/>
      <c r="CN151" s="2042"/>
      <c r="CO151" s="2042"/>
      <c r="CP151" s="2042"/>
      <c r="CQ151" s="2042"/>
      <c r="CR151" s="2042"/>
      <c r="CS151" s="2042"/>
      <c r="CT151" s="2042"/>
      <c r="CU151" s="2042"/>
      <c r="CV151" s="2042"/>
      <c r="CW151" s="2069" t="str">
        <f>Pflanzen!C152</f>
        <v>Sojaschalen</v>
      </c>
      <c r="CX151" s="2042">
        <f>IFERROR(MATCH($CW151,Pflanzen!$C$122:$C$160,0),1)</f>
        <v>31</v>
      </c>
      <c r="CY151" s="2069">
        <f>Pflanzen!I152</f>
        <v>2</v>
      </c>
      <c r="CZ151" s="2042">
        <f t="shared" si="279"/>
        <v>0</v>
      </c>
      <c r="DA151" s="2042">
        <f t="shared" si="304"/>
        <v>0</v>
      </c>
      <c r="DB151" s="2042">
        <f t="shared" si="304"/>
        <v>0</v>
      </c>
      <c r="DC151" s="2042">
        <f t="shared" si="304"/>
        <v>0</v>
      </c>
      <c r="DD151" s="2042">
        <f t="shared" si="304"/>
        <v>0</v>
      </c>
      <c r="DE151" s="2042">
        <f t="shared" si="304"/>
        <v>0</v>
      </c>
      <c r="DF151" s="2042">
        <f t="shared" si="304"/>
        <v>0</v>
      </c>
      <c r="DG151" s="2042">
        <f t="shared" si="304"/>
        <v>0</v>
      </c>
      <c r="DH151" s="2042">
        <f t="shared" si="304"/>
        <v>0</v>
      </c>
      <c r="DI151" s="2042">
        <f t="shared" si="304"/>
        <v>0</v>
      </c>
      <c r="DJ151" s="2042">
        <f t="shared" si="304"/>
        <v>0</v>
      </c>
      <c r="DK151" s="2042">
        <f t="shared" si="304"/>
        <v>0</v>
      </c>
      <c r="DL151" s="2042"/>
      <c r="DM151" s="2042">
        <f t="shared" si="281"/>
        <v>0</v>
      </c>
      <c r="DN151" s="2042">
        <f t="shared" si="305"/>
        <v>0</v>
      </c>
      <c r="DO151" s="2042">
        <f t="shared" si="305"/>
        <v>0</v>
      </c>
      <c r="DP151" s="2042">
        <f t="shared" si="305"/>
        <v>0</v>
      </c>
      <c r="DQ151" s="2042">
        <f t="shared" si="305"/>
        <v>0</v>
      </c>
      <c r="DR151" s="2042">
        <f t="shared" si="305"/>
        <v>0</v>
      </c>
      <c r="DS151" s="2042">
        <f t="shared" si="305"/>
        <v>0</v>
      </c>
      <c r="DT151" s="2042">
        <f t="shared" si="305"/>
        <v>0</v>
      </c>
      <c r="DU151" s="2042">
        <f t="shared" si="305"/>
        <v>0</v>
      </c>
      <c r="DV151" s="2042">
        <f t="shared" si="305"/>
        <v>0</v>
      </c>
      <c r="DW151" s="2042">
        <f t="shared" si="305"/>
        <v>0</v>
      </c>
      <c r="DX151" s="2042">
        <f t="shared" si="305"/>
        <v>0</v>
      </c>
      <c r="DY151" s="2042"/>
      <c r="DZ151" s="2042"/>
      <c r="EA151" s="2042"/>
      <c r="EB151" s="2042"/>
      <c r="EC151" s="2042"/>
      <c r="ED151" s="2042"/>
      <c r="EE151" s="2042"/>
      <c r="EF151" s="2042"/>
      <c r="EG151" s="2042"/>
      <c r="EH151" s="2042"/>
      <c r="EI151" s="2042"/>
      <c r="EJ151" s="2042"/>
      <c r="EK151" s="2042"/>
      <c r="EL151" s="2042"/>
      <c r="EM151" s="2042"/>
      <c r="EN151" s="2042"/>
      <c r="EO151" s="2042"/>
      <c r="EP151" s="2042"/>
      <c r="EQ151" s="2042"/>
      <c r="ER151" s="2042"/>
      <c r="ES151" s="2042"/>
      <c r="ET151" s="2042"/>
      <c r="EU151" s="2042"/>
      <c r="EV151" s="2042"/>
      <c r="EW151" s="2042"/>
      <c r="EX151" s="2042"/>
      <c r="EY151" s="2042"/>
      <c r="EZ151" s="2045">
        <f t="shared" si="283"/>
        <v>0</v>
      </c>
      <c r="FA151" s="2216">
        <f t="shared" si="250"/>
        <v>0</v>
      </c>
      <c r="FB151" s="2216">
        <f t="shared" si="251"/>
        <v>0</v>
      </c>
      <c r="FC151" s="2216">
        <f t="shared" si="252"/>
        <v>0</v>
      </c>
      <c r="FD151" s="2216">
        <f t="shared" si="253"/>
        <v>0</v>
      </c>
      <c r="FE151" s="2216">
        <f t="shared" si="254"/>
        <v>0</v>
      </c>
      <c r="FF151" s="2216">
        <f t="shared" si="255"/>
        <v>0</v>
      </c>
      <c r="FG151" s="2216">
        <f t="shared" si="256"/>
        <v>0</v>
      </c>
      <c r="FH151" s="2216">
        <f t="shared" si="257"/>
        <v>0</v>
      </c>
      <c r="FI151" s="2216">
        <f t="shared" si="258"/>
        <v>0</v>
      </c>
      <c r="FJ151" s="2216">
        <f t="shared" si="259"/>
        <v>0</v>
      </c>
      <c r="FK151" s="2216">
        <f t="shared" si="260"/>
        <v>0</v>
      </c>
      <c r="FL151" s="2216">
        <f t="shared" si="261"/>
        <v>0</v>
      </c>
      <c r="FM151" s="2042"/>
      <c r="FN151" s="2045">
        <f t="shared" si="284"/>
        <v>0</v>
      </c>
      <c r="FO151" s="2216">
        <f t="shared" si="262"/>
        <v>0</v>
      </c>
      <c r="FP151" s="2216">
        <f t="shared" si="263"/>
        <v>0</v>
      </c>
      <c r="FQ151" s="2216">
        <f t="shared" si="264"/>
        <v>0</v>
      </c>
      <c r="FR151" s="2216">
        <f t="shared" si="265"/>
        <v>0</v>
      </c>
      <c r="FS151" s="2216">
        <f t="shared" si="266"/>
        <v>0</v>
      </c>
      <c r="FT151" s="2216">
        <f t="shared" si="267"/>
        <v>0</v>
      </c>
      <c r="FU151" s="2216">
        <f t="shared" si="268"/>
        <v>0</v>
      </c>
      <c r="FV151" s="2216">
        <f t="shared" si="269"/>
        <v>0</v>
      </c>
      <c r="FW151" s="2216">
        <f t="shared" si="270"/>
        <v>0</v>
      </c>
      <c r="FX151" s="2216">
        <f t="shared" si="271"/>
        <v>0</v>
      </c>
      <c r="FY151" s="2216">
        <f t="shared" si="272"/>
        <v>0</v>
      </c>
      <c r="FZ151" s="2216">
        <f t="shared" si="273"/>
        <v>0</v>
      </c>
      <c r="GA151" s="2042"/>
      <c r="GB151" s="2042">
        <f t="shared" si="285"/>
        <v>0</v>
      </c>
      <c r="GC151" s="2042">
        <f t="shared" si="286"/>
        <v>0</v>
      </c>
      <c r="GD151" s="2042"/>
      <c r="GE151" s="2042"/>
      <c r="GF151" s="2042"/>
      <c r="GG151" s="2042"/>
      <c r="GH151" s="2042">
        <f t="shared" si="287"/>
        <v>0</v>
      </c>
      <c r="GI151" s="2042">
        <f t="shared" si="288"/>
        <v>0</v>
      </c>
      <c r="GJ151" s="2042">
        <f t="shared" si="292"/>
        <v>0</v>
      </c>
      <c r="GK151" s="2042">
        <f t="shared" si="293"/>
        <v>0</v>
      </c>
      <c r="GL151" s="2042">
        <f t="shared" si="274"/>
        <v>0</v>
      </c>
      <c r="GM151" s="2042" cm="1">
        <f t="array" ref="GM151">IF(GL151=0,0,(SUMPRODUCT($J$75:$J$79,$CH$75:$CH$79,($BR$75:$BR$79=CX151)*1)+SUMPRODUCT($R$75:$R$79,$CP$75:$CP$79,($BR$75:$BR$79=CX151)*1))/GL151)</f>
        <v>0</v>
      </c>
      <c r="GN151" s="2042">
        <f t="shared" si="275"/>
        <v>0</v>
      </c>
      <c r="GO151" s="2042"/>
      <c r="GP151" s="2042"/>
      <c r="GQ151" s="2042">
        <f t="shared" si="276"/>
        <v>0</v>
      </c>
      <c r="GR151" s="2042">
        <f t="shared" si="303"/>
        <v>0</v>
      </c>
      <c r="GS151" s="2042">
        <f t="shared" ref="GS151:GS171" si="306">IF(AND(GM151=0,GP151=0),0,IF(GM151=0,GR151/(GP151/100),GR151/(GM151/100)))</f>
        <v>0</v>
      </c>
      <c r="GT151" s="2042">
        <f t="shared" si="278"/>
        <v>0</v>
      </c>
      <c r="GU151" s="2045" t="str">
        <f t="shared" si="175"/>
        <v xml:space="preserve"> </v>
      </c>
      <c r="GV151" s="2042"/>
      <c r="GW151" s="2054">
        <f t="shared" si="294"/>
        <v>0</v>
      </c>
      <c r="GX151" s="2042">
        <f t="shared" si="295"/>
        <v>0</v>
      </c>
      <c r="GY151" s="2042" t="str">
        <f t="shared" si="291"/>
        <v>a</v>
      </c>
      <c r="GZ151" s="2055">
        <f t="shared" si="296"/>
        <v>0</v>
      </c>
      <c r="HA151" s="2055">
        <f t="shared" si="297"/>
        <v>0</v>
      </c>
      <c r="HB151" s="2055"/>
      <c r="HC151" s="2046">
        <f t="shared" si="298"/>
        <v>0</v>
      </c>
      <c r="HD151" s="2055">
        <f t="shared" si="299"/>
        <v>0</v>
      </c>
      <c r="HE151" s="2055">
        <f t="shared" si="300"/>
        <v>0</v>
      </c>
      <c r="HF151" s="2055">
        <f t="shared" si="301"/>
        <v>0</v>
      </c>
      <c r="HG151" s="2282" cm="1">
        <f t="array" ref="HG151">IF(AND(HE151=0,GJ151=0),0,IF(HE151=0,1,IF(OR(GJ151*1000/HE151/HF151&gt;INDEX(Pflanzen!$AD$122:$AD$160,CX151)/INDEX(Pflanzen!$M$122:$M$160,CX151)*$HG$1,GJ151*1000/HE151/HF151&lt;INDEX(Pflanzen!$AD$122:$AD$160,CX151)/INDEX(Pflanzen!$M$122:$M$160,CX151)/$HG$1),1,0)))</f>
        <v>0</v>
      </c>
      <c r="HH151" s="2287" cm="1">
        <f t="array" ref="HH151">IF(AND(GK151=0,HE151=0),0,IF(HE151=0,1,IF(OR(GK151*1000/HE151/HF151&gt;INDEX(Pflanzen!$AE$122:$AE$160,CX151)/INDEX(Pflanzen!$M$122:$M$160,CX151)*$HG$2,GK151*1000/HE151/HF151&lt;INDEX(Pflanzen!$AE$122:$AE$160,CX151)/INDEX(Pflanzen!$M$122:$M$160,CX151)/$HG$2),1,0)))</f>
        <v>0</v>
      </c>
      <c r="HI151" s="2042">
        <f t="shared" si="302"/>
        <v>3</v>
      </c>
      <c r="HJ151" s="2042"/>
      <c r="HL151" s="2042"/>
      <c r="HM151" s="2042"/>
      <c r="HN151" s="2042"/>
      <c r="HO151" s="2042"/>
      <c r="HP151" s="2042"/>
      <c r="HQ151" s="2042"/>
      <c r="HR151" s="2042"/>
      <c r="HS151" s="2042"/>
      <c r="HT151" s="2042"/>
      <c r="HU151" s="2042"/>
      <c r="HV151" s="2042"/>
      <c r="HW151" s="2042"/>
      <c r="HX151" s="2042"/>
      <c r="HY151" s="2042"/>
      <c r="HZ151" s="2042"/>
      <c r="IA151" s="2042"/>
      <c r="IB151" s="2042"/>
      <c r="IC151" s="2042"/>
      <c r="ID151" s="2042"/>
      <c r="IE151" s="2042"/>
      <c r="IF151" s="2042"/>
      <c r="IG151" s="2042"/>
      <c r="IH151" s="2042"/>
      <c r="II151" s="2042"/>
      <c r="IJ151" s="2042"/>
    </row>
    <row r="152" spans="25:244" ht="15.75" customHeight="1" x14ac:dyDescent="0.2">
      <c r="Y152" s="510"/>
      <c r="Z152" s="510"/>
      <c r="AA152" s="510"/>
      <c r="AB152" s="510"/>
      <c r="AC152" s="510"/>
      <c r="AD152" s="510"/>
      <c r="AE152" s="510"/>
      <c r="AF152" s="510"/>
      <c r="AG152" s="510"/>
      <c r="AH152" s="510"/>
      <c r="AI152" s="510"/>
      <c r="AJ152" s="510"/>
      <c r="AK152" s="510"/>
      <c r="AL152" s="510"/>
      <c r="AM152" s="510"/>
      <c r="AN152" s="510"/>
      <c r="AR152" s="510"/>
      <c r="AS152" s="510"/>
      <c r="AT152" s="510"/>
      <c r="AU152" s="510"/>
      <c r="AV152" s="510"/>
      <c r="AY152" s="2042"/>
      <c r="AZ152" s="2042"/>
      <c r="BA152" s="2042"/>
      <c r="BB152" s="2042"/>
      <c r="BC152" s="2042"/>
      <c r="BD152" s="2042"/>
      <c r="BP152" s="2043"/>
      <c r="BQ152" s="2042"/>
      <c r="BR152" s="2042"/>
      <c r="BS152" s="2042"/>
      <c r="BT152" s="2042"/>
      <c r="BU152" s="2059"/>
      <c r="BV152" s="2277"/>
      <c r="BW152" s="2277"/>
      <c r="BX152" s="2277"/>
      <c r="BY152" s="2277"/>
      <c r="BZ152" s="2277"/>
      <c r="CA152" s="2277"/>
      <c r="CB152" s="2277"/>
      <c r="CC152" s="2277"/>
      <c r="CD152" s="2277"/>
      <c r="CE152" s="2277"/>
      <c r="CF152" s="2277"/>
      <c r="CG152" s="2277"/>
      <c r="CH152" s="2277"/>
      <c r="CI152" s="2277"/>
      <c r="CJ152" s="2277"/>
      <c r="CK152" s="2277"/>
      <c r="CL152" s="2042"/>
      <c r="CM152" s="2042"/>
      <c r="CN152" s="2042"/>
      <c r="CO152" s="2042"/>
      <c r="CP152" s="2042"/>
      <c r="CQ152" s="2042"/>
      <c r="CR152" s="2042"/>
      <c r="CS152" s="2042"/>
      <c r="CT152" s="2042"/>
      <c r="CU152" s="2042"/>
      <c r="CV152" s="2042"/>
      <c r="CW152" s="2069" t="str">
        <f>Pflanzen!C153</f>
        <v>Sonnenblumenextraktionsschrot, teilgeschält</v>
      </c>
      <c r="CX152" s="2042">
        <f>IFERROR(MATCH($CW152,Pflanzen!$C$122:$C$160,0),1)</f>
        <v>32</v>
      </c>
      <c r="CY152" s="2069">
        <f>Pflanzen!I153</f>
        <v>2</v>
      </c>
      <c r="CZ152" s="2042">
        <f t="shared" si="279"/>
        <v>0</v>
      </c>
      <c r="DA152" s="2042">
        <f t="shared" si="304"/>
        <v>0</v>
      </c>
      <c r="DB152" s="2042">
        <f t="shared" si="304"/>
        <v>0</v>
      </c>
      <c r="DC152" s="2042">
        <f t="shared" si="304"/>
        <v>0</v>
      </c>
      <c r="DD152" s="2042">
        <f t="shared" si="304"/>
        <v>0</v>
      </c>
      <c r="DE152" s="2042">
        <f t="shared" si="304"/>
        <v>0</v>
      </c>
      <c r="DF152" s="2042">
        <f t="shared" si="304"/>
        <v>0</v>
      </c>
      <c r="DG152" s="2042">
        <f t="shared" si="304"/>
        <v>0</v>
      </c>
      <c r="DH152" s="2042">
        <f t="shared" si="304"/>
        <v>0</v>
      </c>
      <c r="DI152" s="2042">
        <f t="shared" si="304"/>
        <v>0</v>
      </c>
      <c r="DJ152" s="2042">
        <f t="shared" si="304"/>
        <v>0</v>
      </c>
      <c r="DK152" s="2042">
        <f t="shared" si="304"/>
        <v>0</v>
      </c>
      <c r="DL152" s="2042"/>
      <c r="DM152" s="2042">
        <f t="shared" si="281"/>
        <v>0</v>
      </c>
      <c r="DN152" s="2042">
        <f t="shared" si="305"/>
        <v>0</v>
      </c>
      <c r="DO152" s="2042">
        <f t="shared" si="305"/>
        <v>0</v>
      </c>
      <c r="DP152" s="2042">
        <f t="shared" si="305"/>
        <v>0</v>
      </c>
      <c r="DQ152" s="2042">
        <f t="shared" si="305"/>
        <v>0</v>
      </c>
      <c r="DR152" s="2042">
        <f t="shared" si="305"/>
        <v>0</v>
      </c>
      <c r="DS152" s="2042">
        <f t="shared" si="305"/>
        <v>0</v>
      </c>
      <c r="DT152" s="2042">
        <f t="shared" si="305"/>
        <v>0</v>
      </c>
      <c r="DU152" s="2042">
        <f t="shared" si="305"/>
        <v>0</v>
      </c>
      <c r="DV152" s="2042">
        <f t="shared" si="305"/>
        <v>0</v>
      </c>
      <c r="DW152" s="2042">
        <f t="shared" si="305"/>
        <v>0</v>
      </c>
      <c r="DX152" s="2042">
        <f t="shared" si="305"/>
        <v>0</v>
      </c>
      <c r="DY152" s="2042"/>
      <c r="DZ152" s="2042"/>
      <c r="EA152" s="2042"/>
      <c r="EB152" s="2042"/>
      <c r="EC152" s="2042"/>
      <c r="ED152" s="2042"/>
      <c r="EE152" s="2042"/>
      <c r="EF152" s="2042"/>
      <c r="EG152" s="2042"/>
      <c r="EH152" s="2042"/>
      <c r="EI152" s="2042"/>
      <c r="EJ152" s="2042"/>
      <c r="EK152" s="2042"/>
      <c r="EL152" s="2042"/>
      <c r="EM152" s="2042"/>
      <c r="EN152" s="2042"/>
      <c r="EO152" s="2042"/>
      <c r="EP152" s="2042"/>
      <c r="EQ152" s="2042"/>
      <c r="ER152" s="2042"/>
      <c r="ES152" s="2042"/>
      <c r="ET152" s="2042"/>
      <c r="EU152" s="2042"/>
      <c r="EV152" s="2042"/>
      <c r="EW152" s="2042"/>
      <c r="EX152" s="2042"/>
      <c r="EY152" s="2042"/>
      <c r="EZ152" s="2045">
        <f t="shared" si="283"/>
        <v>0</v>
      </c>
      <c r="FA152" s="2216">
        <f t="shared" si="250"/>
        <v>0</v>
      </c>
      <c r="FB152" s="2216">
        <f t="shared" si="251"/>
        <v>0</v>
      </c>
      <c r="FC152" s="2216">
        <f t="shared" si="252"/>
        <v>0</v>
      </c>
      <c r="FD152" s="2216">
        <f t="shared" si="253"/>
        <v>0</v>
      </c>
      <c r="FE152" s="2216">
        <f t="shared" si="254"/>
        <v>0</v>
      </c>
      <c r="FF152" s="2216">
        <f t="shared" si="255"/>
        <v>0</v>
      </c>
      <c r="FG152" s="2216">
        <f t="shared" si="256"/>
        <v>0</v>
      </c>
      <c r="FH152" s="2216">
        <f t="shared" si="257"/>
        <v>0</v>
      </c>
      <c r="FI152" s="2216">
        <f t="shared" si="258"/>
        <v>0</v>
      </c>
      <c r="FJ152" s="2216">
        <f t="shared" si="259"/>
        <v>0</v>
      </c>
      <c r="FK152" s="2216">
        <f t="shared" si="260"/>
        <v>0</v>
      </c>
      <c r="FL152" s="2216">
        <f t="shared" si="261"/>
        <v>0</v>
      </c>
      <c r="FM152" s="2042"/>
      <c r="FN152" s="2045">
        <f t="shared" si="284"/>
        <v>0</v>
      </c>
      <c r="FO152" s="2216">
        <f t="shared" si="262"/>
        <v>0</v>
      </c>
      <c r="FP152" s="2216">
        <f t="shared" si="263"/>
        <v>0</v>
      </c>
      <c r="FQ152" s="2216">
        <f t="shared" si="264"/>
        <v>0</v>
      </c>
      <c r="FR152" s="2216">
        <f t="shared" si="265"/>
        <v>0</v>
      </c>
      <c r="FS152" s="2216">
        <f t="shared" si="266"/>
        <v>0</v>
      </c>
      <c r="FT152" s="2216">
        <f t="shared" si="267"/>
        <v>0</v>
      </c>
      <c r="FU152" s="2216">
        <f t="shared" si="268"/>
        <v>0</v>
      </c>
      <c r="FV152" s="2216">
        <f t="shared" si="269"/>
        <v>0</v>
      </c>
      <c r="FW152" s="2216">
        <f t="shared" si="270"/>
        <v>0</v>
      </c>
      <c r="FX152" s="2216">
        <f t="shared" si="271"/>
        <v>0</v>
      </c>
      <c r="FY152" s="2216">
        <f t="shared" si="272"/>
        <v>0</v>
      </c>
      <c r="FZ152" s="2216">
        <f t="shared" si="273"/>
        <v>0</v>
      </c>
      <c r="GA152" s="2042"/>
      <c r="GB152" s="2042">
        <f t="shared" si="285"/>
        <v>0</v>
      </c>
      <c r="GC152" s="2042">
        <f t="shared" si="286"/>
        <v>0</v>
      </c>
      <c r="GD152" s="2042"/>
      <c r="GE152" s="2042"/>
      <c r="GF152" s="2042"/>
      <c r="GG152" s="2042"/>
      <c r="GH152" s="2042">
        <f t="shared" si="287"/>
        <v>0</v>
      </c>
      <c r="GI152" s="2042">
        <f t="shared" si="288"/>
        <v>0</v>
      </c>
      <c r="GJ152" s="2042">
        <f t="shared" si="292"/>
        <v>0</v>
      </c>
      <c r="GK152" s="2042">
        <f t="shared" si="293"/>
        <v>0</v>
      </c>
      <c r="GL152" s="2042">
        <f t="shared" si="274"/>
        <v>0</v>
      </c>
      <c r="GM152" s="2042" cm="1">
        <f t="array" ref="GM152">IF(GL152=0,0,(SUMPRODUCT($J$75:$J$79,$CH$75:$CH$79,($BR$75:$BR$79=CX152)*1)+SUMPRODUCT($R$75:$R$79,$CP$75:$CP$79,($BR$75:$BR$79=CX152)*1))/GL152)</f>
        <v>0</v>
      </c>
      <c r="GN152" s="2042">
        <f t="shared" si="275"/>
        <v>0</v>
      </c>
      <c r="GO152" s="2042"/>
      <c r="GP152" s="2042"/>
      <c r="GQ152" s="2042">
        <f t="shared" si="276"/>
        <v>0</v>
      </c>
      <c r="GR152" s="2042">
        <f t="shared" si="303"/>
        <v>0</v>
      </c>
      <c r="GS152" s="2042">
        <f t="shared" si="306"/>
        <v>0</v>
      </c>
      <c r="GT152" s="2042">
        <f t="shared" si="278"/>
        <v>0</v>
      </c>
      <c r="GU152" s="2045" t="str">
        <f t="shared" si="175"/>
        <v xml:space="preserve"> </v>
      </c>
      <c r="GV152" s="2042"/>
      <c r="GW152" s="2054">
        <f t="shared" si="294"/>
        <v>0</v>
      </c>
      <c r="GX152" s="2042">
        <f t="shared" si="295"/>
        <v>0</v>
      </c>
      <c r="GY152" s="2042" t="str">
        <f t="shared" si="291"/>
        <v>a</v>
      </c>
      <c r="GZ152" s="2055">
        <f t="shared" si="296"/>
        <v>0</v>
      </c>
      <c r="HA152" s="2055">
        <f t="shared" si="297"/>
        <v>0</v>
      </c>
      <c r="HB152" s="2055"/>
      <c r="HC152" s="2046">
        <f t="shared" si="298"/>
        <v>0</v>
      </c>
      <c r="HD152" s="2055">
        <f t="shared" si="299"/>
        <v>0</v>
      </c>
      <c r="HE152" s="2055">
        <f t="shared" si="300"/>
        <v>0</v>
      </c>
      <c r="HF152" s="2055">
        <f t="shared" si="301"/>
        <v>0</v>
      </c>
      <c r="HG152" s="2282" cm="1">
        <f t="array" ref="HG152">IF(AND(HE152=0,GJ152=0),0,IF(HE152=0,1,IF(OR(GJ152*1000/HE152/HF152&gt;INDEX(Pflanzen!$AD$122:$AD$160,CX152)/INDEX(Pflanzen!$M$122:$M$160,CX152)*$HG$1,GJ152*1000/HE152/HF152&lt;INDEX(Pflanzen!$AD$122:$AD$160,CX152)/INDEX(Pflanzen!$M$122:$M$160,CX152)/$HG$1),1,0)))</f>
        <v>0</v>
      </c>
      <c r="HH152" s="2287" cm="1">
        <f t="array" ref="HH152">IF(AND(GK152=0,HE152=0),0,IF(HE152=0,1,IF(OR(GK152*1000/HE152/HF152&gt;INDEX(Pflanzen!$AE$122:$AE$160,CX152)/INDEX(Pflanzen!$M$122:$M$160,CX152)*$HG$2,GK152*1000/HE152/HF152&lt;INDEX(Pflanzen!$AE$122:$AE$160,CX152)/INDEX(Pflanzen!$M$122:$M$160,CX152)/$HG$2),1,0)))</f>
        <v>0</v>
      </c>
      <c r="HI152" s="2042">
        <f t="shared" si="302"/>
        <v>3</v>
      </c>
      <c r="HJ152" s="2042"/>
      <c r="HL152" s="2042"/>
      <c r="HM152" s="2042"/>
      <c r="HN152" s="2042"/>
      <c r="HO152" s="2042"/>
      <c r="HP152" s="2042"/>
      <c r="HQ152" s="2042"/>
      <c r="HR152" s="2042"/>
      <c r="HS152" s="2042"/>
      <c r="HT152" s="2042"/>
      <c r="HU152" s="2042"/>
      <c r="HV152" s="2042"/>
      <c r="HW152" s="2042"/>
      <c r="HX152" s="2042"/>
      <c r="HY152" s="2042"/>
      <c r="HZ152" s="2042"/>
      <c r="IA152" s="2042"/>
      <c r="IB152" s="2042"/>
      <c r="IC152" s="2042"/>
      <c r="ID152" s="2042"/>
      <c r="IE152" s="2042"/>
      <c r="IF152" s="2042"/>
      <c r="IG152" s="2042"/>
      <c r="IH152" s="2042"/>
      <c r="II152" s="2042"/>
      <c r="IJ152" s="2042"/>
    </row>
    <row r="153" spans="25:244" ht="15.75" customHeight="1" x14ac:dyDescent="0.2">
      <c r="Y153" s="510"/>
      <c r="Z153" s="510"/>
      <c r="AA153" s="510"/>
      <c r="AB153" s="510"/>
      <c r="AC153" s="510"/>
      <c r="AD153" s="510"/>
      <c r="AE153" s="510"/>
      <c r="AF153" s="510"/>
      <c r="AG153" s="510"/>
      <c r="AH153" s="510"/>
      <c r="AI153" s="510"/>
      <c r="AJ153" s="510"/>
      <c r="AK153" s="510"/>
      <c r="AL153" s="510"/>
      <c r="AM153" s="510"/>
      <c r="AN153" s="510"/>
      <c r="AR153" s="510"/>
      <c r="AS153" s="510"/>
      <c r="AT153" s="510"/>
      <c r="AU153" s="510"/>
      <c r="AV153" s="510"/>
      <c r="AY153" s="2042"/>
      <c r="AZ153" s="2042"/>
      <c r="BA153" s="2042"/>
      <c r="BB153" s="2042"/>
      <c r="BC153" s="2042"/>
      <c r="BD153" s="2042"/>
      <c r="BP153" s="2043"/>
      <c r="BQ153" s="2042"/>
      <c r="BR153" s="2042"/>
      <c r="BS153" s="2042"/>
      <c r="BT153" s="2042"/>
      <c r="BU153" s="2059"/>
      <c r="BV153" s="2277"/>
      <c r="BW153" s="2277"/>
      <c r="BX153" s="2277"/>
      <c r="BY153" s="2277"/>
      <c r="BZ153" s="2277"/>
      <c r="CA153" s="2277"/>
      <c r="CB153" s="2277"/>
      <c r="CC153" s="2277"/>
      <c r="CD153" s="2277"/>
      <c r="CE153" s="2277"/>
      <c r="CF153" s="2277"/>
      <c r="CG153" s="2277"/>
      <c r="CH153" s="2277"/>
      <c r="CI153" s="2277"/>
      <c r="CJ153" s="2277"/>
      <c r="CK153" s="2277"/>
      <c r="CL153" s="2042"/>
      <c r="CM153" s="2042"/>
      <c r="CN153" s="2042"/>
      <c r="CO153" s="2042"/>
      <c r="CP153" s="2042"/>
      <c r="CQ153" s="2042"/>
      <c r="CR153" s="2042"/>
      <c r="CS153" s="2042"/>
      <c r="CT153" s="2042"/>
      <c r="CU153" s="2042"/>
      <c r="CV153" s="2042"/>
      <c r="CW153" s="2069" t="str">
        <f>Pflanzen!C154</f>
        <v>Sauermolke, frisch</v>
      </c>
      <c r="CX153" s="2042">
        <f>IFERROR(MATCH($CW153,Pflanzen!$C$122:$C$160,0),1)</f>
        <v>33</v>
      </c>
      <c r="CY153" s="2069">
        <f>Pflanzen!I154</f>
        <v>2</v>
      </c>
      <c r="CZ153" s="2042">
        <f t="shared" si="279"/>
        <v>0</v>
      </c>
      <c r="DA153" s="2042">
        <f t="shared" ref="DA153:DK159" si="307">SUMIFS($CQ$75:$CQ$79,$BW$75:$BW$79,1,$BX$75:$BX$79,DA$2,$BR$75:$BR$79,$CX153)+   SUMIFS($CQ$75:$CQ$79,$BW$75:$BW$79,"&gt;1",$BX$75:$BX$79,"&lt;="&amp;DA$2,$BY$75:$BY$79,"&gt;="&amp;DA$2,$BR$75:$BR$79,$CX153)</f>
        <v>0</v>
      </c>
      <c r="DB153" s="2042">
        <f t="shared" si="307"/>
        <v>0</v>
      </c>
      <c r="DC153" s="2042">
        <f t="shared" si="307"/>
        <v>0</v>
      </c>
      <c r="DD153" s="2042">
        <f t="shared" si="307"/>
        <v>0</v>
      </c>
      <c r="DE153" s="2042">
        <f t="shared" si="307"/>
        <v>0</v>
      </c>
      <c r="DF153" s="2042">
        <f t="shared" si="307"/>
        <v>0</v>
      </c>
      <c r="DG153" s="2042">
        <f t="shared" si="307"/>
        <v>0</v>
      </c>
      <c r="DH153" s="2042">
        <f t="shared" si="307"/>
        <v>0</v>
      </c>
      <c r="DI153" s="2042">
        <f t="shared" si="307"/>
        <v>0</v>
      </c>
      <c r="DJ153" s="2042">
        <f t="shared" si="307"/>
        <v>0</v>
      </c>
      <c r="DK153" s="2042">
        <f t="shared" si="307"/>
        <v>0</v>
      </c>
      <c r="DL153" s="2042"/>
      <c r="DM153" s="2042">
        <f t="shared" si="281"/>
        <v>0</v>
      </c>
      <c r="DN153" s="2042">
        <f t="shared" ref="DN153:DX159" si="308">SUMIFS($CS$75:$CS$79,$BW$75:$BW$79,1,$BX$75:$BX$79,DN$2,$BR$75:$BR$79,$CX153)+   SUMIFS($CS$75:$CS$79,$BW$75:$BW$79,"&gt;1",$BX$75:$BX$79,"&lt;="&amp;DN$2,$BY$75:$BY$79,"&gt;="&amp;DN$2,$BR$75:$BR$79,$CX153)</f>
        <v>0</v>
      </c>
      <c r="DO153" s="2042">
        <f t="shared" si="308"/>
        <v>0</v>
      </c>
      <c r="DP153" s="2042">
        <f t="shared" si="308"/>
        <v>0</v>
      </c>
      <c r="DQ153" s="2042">
        <f t="shared" si="308"/>
        <v>0</v>
      </c>
      <c r="DR153" s="2042">
        <f t="shared" si="308"/>
        <v>0</v>
      </c>
      <c r="DS153" s="2042">
        <f t="shared" si="308"/>
        <v>0</v>
      </c>
      <c r="DT153" s="2042">
        <f t="shared" si="308"/>
        <v>0</v>
      </c>
      <c r="DU153" s="2042">
        <f t="shared" si="308"/>
        <v>0</v>
      </c>
      <c r="DV153" s="2042">
        <f t="shared" si="308"/>
        <v>0</v>
      </c>
      <c r="DW153" s="2042">
        <f t="shared" si="308"/>
        <v>0</v>
      </c>
      <c r="DX153" s="2042">
        <f t="shared" si="308"/>
        <v>0</v>
      </c>
      <c r="DY153" s="2042"/>
      <c r="DZ153" s="2042"/>
      <c r="EA153" s="2042"/>
      <c r="EB153" s="2042"/>
      <c r="EC153" s="2042"/>
      <c r="ED153" s="2042"/>
      <c r="EE153" s="2042"/>
      <c r="EF153" s="2042"/>
      <c r="EG153" s="2042"/>
      <c r="EH153" s="2042"/>
      <c r="EI153" s="2042"/>
      <c r="EJ153" s="2042"/>
      <c r="EK153" s="2042"/>
      <c r="EL153" s="2042"/>
      <c r="EM153" s="2042"/>
      <c r="EN153" s="2042"/>
      <c r="EO153" s="2042"/>
      <c r="EP153" s="2042"/>
      <c r="EQ153" s="2042"/>
      <c r="ER153" s="2042"/>
      <c r="ES153" s="2042"/>
      <c r="ET153" s="2042"/>
      <c r="EU153" s="2042"/>
      <c r="EV153" s="2042"/>
      <c r="EW153" s="2042"/>
      <c r="EX153" s="2042"/>
      <c r="EY153" s="2042"/>
      <c r="EZ153" s="2045">
        <f t="shared" si="283"/>
        <v>0</v>
      </c>
      <c r="FA153" s="2216">
        <f t="shared" si="250"/>
        <v>0</v>
      </c>
      <c r="FB153" s="2216">
        <f t="shared" si="251"/>
        <v>0</v>
      </c>
      <c r="FC153" s="2216">
        <f t="shared" si="252"/>
        <v>0</v>
      </c>
      <c r="FD153" s="2216">
        <f t="shared" si="253"/>
        <v>0</v>
      </c>
      <c r="FE153" s="2216">
        <f t="shared" si="254"/>
        <v>0</v>
      </c>
      <c r="FF153" s="2216">
        <f t="shared" si="255"/>
        <v>0</v>
      </c>
      <c r="FG153" s="2216">
        <f t="shared" si="256"/>
        <v>0</v>
      </c>
      <c r="FH153" s="2216">
        <f t="shared" si="257"/>
        <v>0</v>
      </c>
      <c r="FI153" s="2216">
        <f t="shared" si="258"/>
        <v>0</v>
      </c>
      <c r="FJ153" s="2216">
        <f t="shared" si="259"/>
        <v>0</v>
      </c>
      <c r="FK153" s="2216">
        <f t="shared" si="260"/>
        <v>0</v>
      </c>
      <c r="FL153" s="2216">
        <f t="shared" si="261"/>
        <v>0</v>
      </c>
      <c r="FM153" s="2042"/>
      <c r="FN153" s="2045">
        <f t="shared" si="284"/>
        <v>0</v>
      </c>
      <c r="FO153" s="2216">
        <f t="shared" si="262"/>
        <v>0</v>
      </c>
      <c r="FP153" s="2216">
        <f t="shared" si="263"/>
        <v>0</v>
      </c>
      <c r="FQ153" s="2216">
        <f t="shared" si="264"/>
        <v>0</v>
      </c>
      <c r="FR153" s="2216">
        <f t="shared" si="265"/>
        <v>0</v>
      </c>
      <c r="FS153" s="2216">
        <f t="shared" si="266"/>
        <v>0</v>
      </c>
      <c r="FT153" s="2216">
        <f t="shared" si="267"/>
        <v>0</v>
      </c>
      <c r="FU153" s="2216">
        <f t="shared" si="268"/>
        <v>0</v>
      </c>
      <c r="FV153" s="2216">
        <f t="shared" si="269"/>
        <v>0</v>
      </c>
      <c r="FW153" s="2216">
        <f t="shared" si="270"/>
        <v>0</v>
      </c>
      <c r="FX153" s="2216">
        <f t="shared" si="271"/>
        <v>0</v>
      </c>
      <c r="FY153" s="2216">
        <f t="shared" si="272"/>
        <v>0</v>
      </c>
      <c r="FZ153" s="2216">
        <f t="shared" si="273"/>
        <v>0</v>
      </c>
      <c r="GA153" s="2042"/>
      <c r="GB153" s="2042">
        <f t="shared" si="285"/>
        <v>0</v>
      </c>
      <c r="GC153" s="2042">
        <f t="shared" si="286"/>
        <v>0</v>
      </c>
      <c r="GD153" s="2042"/>
      <c r="GE153" s="2042"/>
      <c r="GF153" s="2042"/>
      <c r="GG153" s="2042"/>
      <c r="GH153" s="2042">
        <f t="shared" si="287"/>
        <v>0</v>
      </c>
      <c r="GI153" s="2042">
        <f t="shared" si="288"/>
        <v>0</v>
      </c>
      <c r="GJ153" s="2042">
        <f t="shared" si="292"/>
        <v>0</v>
      </c>
      <c r="GK153" s="2042">
        <f t="shared" si="293"/>
        <v>0</v>
      </c>
      <c r="GL153" s="2042">
        <f t="shared" si="274"/>
        <v>0</v>
      </c>
      <c r="GM153" s="2042" cm="1">
        <f t="array" ref="GM153">IF(GL153=0,0,(SUMPRODUCT($J$75:$J$79,$CH$75:$CH$79,($BR$75:$BR$79=CX153)*1)+SUMPRODUCT($R$75:$R$79,$CP$75:$CP$79,($BR$75:$BR$79=CX153)*1))/GL153)</f>
        <v>0</v>
      </c>
      <c r="GN153" s="2042">
        <f t="shared" si="275"/>
        <v>0</v>
      </c>
      <c r="GO153" s="2042"/>
      <c r="GP153" s="2042"/>
      <c r="GQ153" s="2042">
        <f t="shared" si="276"/>
        <v>0</v>
      </c>
      <c r="GR153" s="2042">
        <f t="shared" si="303"/>
        <v>0</v>
      </c>
      <c r="GS153" s="2042">
        <f t="shared" si="306"/>
        <v>0</v>
      </c>
      <c r="GT153" s="2042">
        <f t="shared" ref="GT153:GT171" si="309">IF(OR(GM153=0,GP153=0),MAX(GM153,GP153),GM153)</f>
        <v>0</v>
      </c>
      <c r="GU153" s="2045" t="str">
        <f t="shared" si="175"/>
        <v xml:space="preserve"> </v>
      </c>
      <c r="GV153" s="2042"/>
      <c r="GW153" s="2054">
        <f t="shared" si="294"/>
        <v>0</v>
      </c>
      <c r="GX153" s="2042">
        <f t="shared" si="295"/>
        <v>0</v>
      </c>
      <c r="GY153" s="2042" t="str">
        <f t="shared" si="291"/>
        <v>a</v>
      </c>
      <c r="GZ153" s="2055">
        <f t="shared" si="296"/>
        <v>0</v>
      </c>
      <c r="HA153" s="2055">
        <f t="shared" si="297"/>
        <v>0</v>
      </c>
      <c r="HB153" s="2055"/>
      <c r="HC153" s="2046">
        <f t="shared" si="298"/>
        <v>0</v>
      </c>
      <c r="HD153" s="2055">
        <f t="shared" si="299"/>
        <v>0</v>
      </c>
      <c r="HE153" s="2055">
        <f t="shared" si="300"/>
        <v>0</v>
      </c>
      <c r="HF153" s="2055">
        <f t="shared" si="301"/>
        <v>0</v>
      </c>
      <c r="HG153" s="2282" cm="1">
        <f t="array" ref="HG153">IF(AND(HE153=0,GJ153=0),0,IF(HE153=0,1,IF(OR(GJ153*1000/HE153/HF153&gt;INDEX(Pflanzen!$AD$122:$AD$160,CX153)/INDEX(Pflanzen!$M$122:$M$160,CX153)*$HG$1,GJ153*1000/HE153/HF153&lt;INDEX(Pflanzen!$AD$122:$AD$160,CX153)/INDEX(Pflanzen!$M$122:$M$160,CX153)/$HG$1),1,0)))</f>
        <v>0</v>
      </c>
      <c r="HH153" s="2287" cm="1">
        <f t="array" ref="HH153">IF(AND(GK153=0,HE153=0),0,IF(HE153=0,1,IF(OR(GK153*1000/HE153/HF153&gt;INDEX(Pflanzen!$AE$122:$AE$160,CX153)/INDEX(Pflanzen!$M$122:$M$160,CX153)*$HG$2,GK153*1000/HE153/HF153&lt;INDEX(Pflanzen!$AE$122:$AE$160,CX153)/INDEX(Pflanzen!$M$122:$M$160,CX153)/$HG$2),1,0)))</f>
        <v>0</v>
      </c>
      <c r="HI153" s="2042">
        <f t="shared" si="302"/>
        <v>3</v>
      </c>
      <c r="HJ153" s="2042"/>
      <c r="HL153" s="2042"/>
      <c r="HM153" s="2042"/>
      <c r="HN153" s="2042"/>
      <c r="HO153" s="2042"/>
      <c r="HP153" s="2042"/>
      <c r="HQ153" s="2042"/>
      <c r="HR153" s="2042"/>
      <c r="HS153" s="2042"/>
      <c r="HT153" s="2042"/>
      <c r="HU153" s="2042"/>
      <c r="HV153" s="2042"/>
      <c r="HW153" s="2042"/>
      <c r="HX153" s="2042"/>
      <c r="HY153" s="2042"/>
      <c r="HZ153" s="2042"/>
      <c r="IA153" s="2042"/>
      <c r="IB153" s="2042"/>
      <c r="IC153" s="2042"/>
      <c r="ID153" s="2042"/>
      <c r="IE153" s="2042"/>
      <c r="IF153" s="2042"/>
      <c r="IG153" s="2042"/>
      <c r="IH153" s="2042"/>
      <c r="II153" s="2042"/>
      <c r="IJ153" s="2042"/>
    </row>
    <row r="154" spans="25:244" ht="15.75" customHeight="1" x14ac:dyDescent="0.2">
      <c r="Y154" s="510"/>
      <c r="Z154" s="510"/>
      <c r="AA154" s="510"/>
      <c r="AB154" s="510"/>
      <c r="AC154" s="510"/>
      <c r="AD154" s="510"/>
      <c r="AE154" s="510"/>
      <c r="AF154" s="510"/>
      <c r="AG154" s="510"/>
      <c r="AH154" s="510"/>
      <c r="AI154" s="510"/>
      <c r="AJ154" s="510"/>
      <c r="AK154" s="510"/>
      <c r="AL154" s="510"/>
      <c r="AM154" s="510"/>
      <c r="AN154" s="510"/>
      <c r="AR154" s="510"/>
      <c r="AS154" s="510"/>
      <c r="AT154" s="510"/>
      <c r="AU154" s="510"/>
      <c r="AV154" s="510"/>
      <c r="AY154" s="2042"/>
      <c r="AZ154" s="2042"/>
      <c r="BA154" s="2042"/>
      <c r="BB154" s="2042"/>
      <c r="BC154" s="2042"/>
      <c r="BD154" s="2042"/>
      <c r="BP154" s="2043"/>
      <c r="BQ154" s="2042"/>
      <c r="BR154" s="2042"/>
      <c r="BS154" s="2042"/>
      <c r="BT154" s="2042"/>
      <c r="BU154" s="2059"/>
      <c r="BV154" s="2277"/>
      <c r="BW154" s="2277"/>
      <c r="BX154" s="2277"/>
      <c r="BY154" s="2277"/>
      <c r="BZ154" s="2277"/>
      <c r="CA154" s="2277"/>
      <c r="CB154" s="2277"/>
      <c r="CC154" s="2277"/>
      <c r="CD154" s="2277"/>
      <c r="CE154" s="2277"/>
      <c r="CF154" s="2277"/>
      <c r="CG154" s="2277"/>
      <c r="CH154" s="2277"/>
      <c r="CI154" s="2277"/>
      <c r="CJ154" s="2277"/>
      <c r="CK154" s="2277"/>
      <c r="CL154" s="2042"/>
      <c r="CM154" s="2042"/>
      <c r="CN154" s="2042"/>
      <c r="CO154" s="2042"/>
      <c r="CP154" s="2042"/>
      <c r="CQ154" s="2042"/>
      <c r="CR154" s="2042"/>
      <c r="CS154" s="2042"/>
      <c r="CT154" s="2042"/>
      <c r="CU154" s="2042"/>
      <c r="CV154" s="2042"/>
      <c r="CW154" s="2069" t="str">
        <f>Pflanzen!C155</f>
        <v>Süßmolke, frisch</v>
      </c>
      <c r="CX154" s="2042">
        <f>IFERROR(MATCH($CW154,Pflanzen!$C$122:$C$160,0),1)</f>
        <v>34</v>
      </c>
      <c r="CY154" s="2069">
        <f>Pflanzen!I155</f>
        <v>2</v>
      </c>
      <c r="CZ154" s="2042">
        <f t="shared" si="279"/>
        <v>0</v>
      </c>
      <c r="DA154" s="2042">
        <f t="shared" si="307"/>
        <v>0</v>
      </c>
      <c r="DB154" s="2042">
        <f t="shared" si="307"/>
        <v>0</v>
      </c>
      <c r="DC154" s="2042">
        <f t="shared" si="307"/>
        <v>0</v>
      </c>
      <c r="DD154" s="2042">
        <f t="shared" si="307"/>
        <v>0</v>
      </c>
      <c r="DE154" s="2042">
        <f t="shared" si="307"/>
        <v>0</v>
      </c>
      <c r="DF154" s="2042">
        <f t="shared" si="307"/>
        <v>0</v>
      </c>
      <c r="DG154" s="2042">
        <f t="shared" si="307"/>
        <v>0</v>
      </c>
      <c r="DH154" s="2042">
        <f t="shared" si="307"/>
        <v>0</v>
      </c>
      <c r="DI154" s="2042">
        <f t="shared" si="307"/>
        <v>0</v>
      </c>
      <c r="DJ154" s="2042">
        <f t="shared" si="307"/>
        <v>0</v>
      </c>
      <c r="DK154" s="2042">
        <f t="shared" si="307"/>
        <v>0</v>
      </c>
      <c r="DL154" s="2042"/>
      <c r="DM154" s="2042">
        <f t="shared" si="281"/>
        <v>0</v>
      </c>
      <c r="DN154" s="2042">
        <f t="shared" si="308"/>
        <v>0</v>
      </c>
      <c r="DO154" s="2042">
        <f t="shared" si="308"/>
        <v>0</v>
      </c>
      <c r="DP154" s="2042">
        <f t="shared" si="308"/>
        <v>0</v>
      </c>
      <c r="DQ154" s="2042">
        <f t="shared" si="308"/>
        <v>0</v>
      </c>
      <c r="DR154" s="2042">
        <f t="shared" si="308"/>
        <v>0</v>
      </c>
      <c r="DS154" s="2042">
        <f t="shared" si="308"/>
        <v>0</v>
      </c>
      <c r="DT154" s="2042">
        <f t="shared" si="308"/>
        <v>0</v>
      </c>
      <c r="DU154" s="2042">
        <f t="shared" si="308"/>
        <v>0</v>
      </c>
      <c r="DV154" s="2042">
        <f t="shared" si="308"/>
        <v>0</v>
      </c>
      <c r="DW154" s="2042">
        <f t="shared" si="308"/>
        <v>0</v>
      </c>
      <c r="DX154" s="2042">
        <f t="shared" si="308"/>
        <v>0</v>
      </c>
      <c r="DY154" s="2042"/>
      <c r="DZ154" s="2042"/>
      <c r="EA154" s="2042"/>
      <c r="EB154" s="2042"/>
      <c r="EC154" s="2042"/>
      <c r="ED154" s="2042"/>
      <c r="EE154" s="2042"/>
      <c r="EF154" s="2042"/>
      <c r="EG154" s="2042"/>
      <c r="EH154" s="2042"/>
      <c r="EI154" s="2042"/>
      <c r="EJ154" s="2042"/>
      <c r="EK154" s="2042"/>
      <c r="EL154" s="2042"/>
      <c r="EM154" s="2042"/>
      <c r="EN154" s="2042"/>
      <c r="EO154" s="2042"/>
      <c r="EP154" s="2042"/>
      <c r="EQ154" s="2042"/>
      <c r="ER154" s="2042"/>
      <c r="ES154" s="2042"/>
      <c r="ET154" s="2042"/>
      <c r="EU154" s="2042"/>
      <c r="EV154" s="2042"/>
      <c r="EW154" s="2042"/>
      <c r="EX154" s="2042"/>
      <c r="EY154" s="2042"/>
      <c r="EZ154" s="2045">
        <f t="shared" si="283"/>
        <v>0</v>
      </c>
      <c r="FA154" s="2216">
        <f t="shared" si="250"/>
        <v>0</v>
      </c>
      <c r="FB154" s="2216">
        <f t="shared" si="251"/>
        <v>0</v>
      </c>
      <c r="FC154" s="2216">
        <f t="shared" si="252"/>
        <v>0</v>
      </c>
      <c r="FD154" s="2216">
        <f t="shared" si="253"/>
        <v>0</v>
      </c>
      <c r="FE154" s="2216">
        <f t="shared" si="254"/>
        <v>0</v>
      </c>
      <c r="FF154" s="2216">
        <f t="shared" si="255"/>
        <v>0</v>
      </c>
      <c r="FG154" s="2216">
        <f t="shared" si="256"/>
        <v>0</v>
      </c>
      <c r="FH154" s="2216">
        <f t="shared" si="257"/>
        <v>0</v>
      </c>
      <c r="FI154" s="2216">
        <f t="shared" si="258"/>
        <v>0</v>
      </c>
      <c r="FJ154" s="2216">
        <f t="shared" si="259"/>
        <v>0</v>
      </c>
      <c r="FK154" s="2216">
        <f t="shared" si="260"/>
        <v>0</v>
      </c>
      <c r="FL154" s="2216">
        <f t="shared" si="261"/>
        <v>0</v>
      </c>
      <c r="FM154" s="2042"/>
      <c r="FN154" s="2045">
        <f t="shared" si="284"/>
        <v>0</v>
      </c>
      <c r="FO154" s="2216">
        <f t="shared" si="262"/>
        <v>0</v>
      </c>
      <c r="FP154" s="2216">
        <f t="shared" si="263"/>
        <v>0</v>
      </c>
      <c r="FQ154" s="2216">
        <f t="shared" si="264"/>
        <v>0</v>
      </c>
      <c r="FR154" s="2216">
        <f t="shared" si="265"/>
        <v>0</v>
      </c>
      <c r="FS154" s="2216">
        <f t="shared" si="266"/>
        <v>0</v>
      </c>
      <c r="FT154" s="2216">
        <f t="shared" si="267"/>
        <v>0</v>
      </c>
      <c r="FU154" s="2216">
        <f t="shared" si="268"/>
        <v>0</v>
      </c>
      <c r="FV154" s="2216">
        <f t="shared" si="269"/>
        <v>0</v>
      </c>
      <c r="FW154" s="2216">
        <f t="shared" si="270"/>
        <v>0</v>
      </c>
      <c r="FX154" s="2216">
        <f t="shared" si="271"/>
        <v>0</v>
      </c>
      <c r="FY154" s="2216">
        <f t="shared" si="272"/>
        <v>0</v>
      </c>
      <c r="FZ154" s="2216">
        <f t="shared" si="273"/>
        <v>0</v>
      </c>
      <c r="GA154" s="2042"/>
      <c r="GB154" s="2042">
        <f t="shared" si="285"/>
        <v>0</v>
      </c>
      <c r="GC154" s="2042">
        <f t="shared" si="286"/>
        <v>0</v>
      </c>
      <c r="GD154" s="2042"/>
      <c r="GE154" s="2042"/>
      <c r="GF154" s="2042"/>
      <c r="GG154" s="2042"/>
      <c r="GH154" s="2042">
        <f t="shared" si="287"/>
        <v>0</v>
      </c>
      <c r="GI154" s="2042">
        <f t="shared" si="288"/>
        <v>0</v>
      </c>
      <c r="GJ154" s="2042">
        <f t="shared" si="292"/>
        <v>0</v>
      </c>
      <c r="GK154" s="2042">
        <f t="shared" si="293"/>
        <v>0</v>
      </c>
      <c r="GL154" s="2042">
        <f t="shared" si="274"/>
        <v>0</v>
      </c>
      <c r="GM154" s="2042" cm="1">
        <f t="array" ref="GM154">IF(GL154=0,0,(SUMPRODUCT($J$75:$J$79,$CH$75:$CH$79,($BR$75:$BR$79=CX154)*1)+SUMPRODUCT($R$75:$R$79,$CP$75:$CP$79,($BR$75:$BR$79=CX154)*1))/GL154)</f>
        <v>0</v>
      </c>
      <c r="GN154" s="2042">
        <f t="shared" si="275"/>
        <v>0</v>
      </c>
      <c r="GO154" s="2042"/>
      <c r="GP154" s="2042"/>
      <c r="GQ154" s="2042">
        <f t="shared" si="276"/>
        <v>0</v>
      </c>
      <c r="GR154" s="2042">
        <f t="shared" si="303"/>
        <v>0</v>
      </c>
      <c r="GS154" s="2042">
        <f t="shared" si="306"/>
        <v>0</v>
      </c>
      <c r="GT154" s="2042">
        <f t="shared" si="309"/>
        <v>0</v>
      </c>
      <c r="GU154" s="2045" t="str">
        <f t="shared" si="175"/>
        <v xml:space="preserve"> </v>
      </c>
      <c r="GV154" s="2042"/>
      <c r="GW154" s="2054">
        <f t="shared" si="294"/>
        <v>0</v>
      </c>
      <c r="GX154" s="2042">
        <f t="shared" si="295"/>
        <v>0</v>
      </c>
      <c r="GY154" s="2042" t="str">
        <f t="shared" si="291"/>
        <v>a</v>
      </c>
      <c r="GZ154" s="2055">
        <f t="shared" si="296"/>
        <v>0</v>
      </c>
      <c r="HA154" s="2055">
        <f t="shared" si="297"/>
        <v>0</v>
      </c>
      <c r="HB154" s="2055"/>
      <c r="HC154" s="2046">
        <f t="shared" si="298"/>
        <v>0</v>
      </c>
      <c r="HD154" s="2055">
        <f t="shared" si="299"/>
        <v>0</v>
      </c>
      <c r="HE154" s="2055">
        <f t="shared" si="300"/>
        <v>0</v>
      </c>
      <c r="HF154" s="2055">
        <f t="shared" si="301"/>
        <v>0</v>
      </c>
      <c r="HG154" s="2282" cm="1">
        <f t="array" ref="HG154">IF(AND(HE154=0,GJ154=0),0,IF(HE154=0,1,IF(OR(GJ154*1000/HE154/HF154&gt;INDEX(Pflanzen!$AD$122:$AD$160,CX154)/INDEX(Pflanzen!$M$122:$M$160,CX154)*$HG$1,GJ154*1000/HE154/HF154&lt;INDEX(Pflanzen!$AD$122:$AD$160,CX154)/INDEX(Pflanzen!$M$122:$M$160,CX154)/$HG$1),1,0)))</f>
        <v>0</v>
      </c>
      <c r="HH154" s="2287" cm="1">
        <f t="array" ref="HH154">IF(AND(GK154=0,HE154=0),0,IF(HE154=0,1,IF(OR(GK154*1000/HE154/HF154&gt;INDEX(Pflanzen!$AE$122:$AE$160,CX154)/INDEX(Pflanzen!$M$122:$M$160,CX154)*$HG$2,GK154*1000/HE154/HF154&lt;INDEX(Pflanzen!$AE$122:$AE$160,CX154)/INDEX(Pflanzen!$M$122:$M$160,CX154)/$HG$2),1,0)))</f>
        <v>0</v>
      </c>
      <c r="HI154" s="2042">
        <f t="shared" si="302"/>
        <v>3</v>
      </c>
      <c r="HJ154" s="2042"/>
      <c r="HL154" s="2042"/>
      <c r="HM154" s="2042"/>
      <c r="HN154" s="2042"/>
      <c r="HO154" s="2042"/>
      <c r="HP154" s="2042"/>
      <c r="HQ154" s="2042"/>
      <c r="HR154" s="2042"/>
      <c r="HS154" s="2042"/>
      <c r="HT154" s="2042"/>
      <c r="HU154" s="2042"/>
      <c r="HV154" s="2042"/>
      <c r="HW154" s="2042"/>
      <c r="HX154" s="2042"/>
      <c r="HY154" s="2042"/>
      <c r="HZ154" s="2042"/>
      <c r="IA154" s="2042"/>
      <c r="IB154" s="2042"/>
      <c r="IC154" s="2042"/>
      <c r="ID154" s="2042"/>
      <c r="IE154" s="2042"/>
      <c r="IF154" s="2042"/>
      <c r="IG154" s="2042"/>
      <c r="IH154" s="2042"/>
      <c r="II154" s="2042"/>
      <c r="IJ154" s="2042"/>
    </row>
    <row r="155" spans="25:244" ht="15.75" customHeight="1" x14ac:dyDescent="0.2">
      <c r="Y155" s="510"/>
      <c r="Z155" s="510"/>
      <c r="AA155" s="510"/>
      <c r="AB155" s="510"/>
      <c r="AC155" s="510"/>
      <c r="AD155" s="510"/>
      <c r="AE155" s="510"/>
      <c r="AF155" s="510"/>
      <c r="AG155" s="510"/>
      <c r="AH155" s="510"/>
      <c r="AI155" s="510"/>
      <c r="AJ155" s="510"/>
      <c r="AK155" s="510"/>
      <c r="AL155" s="510"/>
      <c r="AM155" s="510"/>
      <c r="AN155" s="510"/>
      <c r="AR155" s="510"/>
      <c r="AS155" s="510"/>
      <c r="AT155" s="510"/>
      <c r="AU155" s="510"/>
      <c r="AV155" s="510"/>
      <c r="AY155" s="2042"/>
      <c r="AZ155" s="2042"/>
      <c r="BA155" s="2042"/>
      <c r="BB155" s="2042"/>
      <c r="BC155" s="2042"/>
      <c r="BD155" s="2042"/>
      <c r="BP155" s="2043"/>
      <c r="BQ155" s="2042"/>
      <c r="BR155" s="2042"/>
      <c r="BS155" s="2042"/>
      <c r="BT155" s="2042"/>
      <c r="BU155" s="2059"/>
      <c r="BV155" s="2277"/>
      <c r="BW155" s="2277"/>
      <c r="BX155" s="2277"/>
      <c r="BY155" s="2277"/>
      <c r="BZ155" s="2277"/>
      <c r="CA155" s="2277"/>
      <c r="CB155" s="2277"/>
      <c r="CC155" s="2277"/>
      <c r="CD155" s="2277"/>
      <c r="CE155" s="2277"/>
      <c r="CF155" s="2277"/>
      <c r="CG155" s="2277"/>
      <c r="CH155" s="2277"/>
      <c r="CI155" s="2277"/>
      <c r="CJ155" s="2277"/>
      <c r="CK155" s="2277"/>
      <c r="CL155" s="2042"/>
      <c r="CM155" s="2042"/>
      <c r="CN155" s="2042"/>
      <c r="CO155" s="2042"/>
      <c r="CP155" s="2042"/>
      <c r="CQ155" s="2042"/>
      <c r="CR155" s="2042"/>
      <c r="CS155" s="2042"/>
      <c r="CT155" s="2042"/>
      <c r="CU155" s="2042"/>
      <c r="CV155" s="2042"/>
      <c r="CW155" s="2069" t="str">
        <f>Pflanzen!C156</f>
        <v>Trockenschnitzel</v>
      </c>
      <c r="CX155" s="2042">
        <f>IFERROR(MATCH($CW155,Pflanzen!$C$122:$C$160,0),1)</f>
        <v>35</v>
      </c>
      <c r="CY155" s="2069">
        <f>Pflanzen!I156</f>
        <v>2</v>
      </c>
      <c r="CZ155" s="2042">
        <f t="shared" si="279"/>
        <v>0</v>
      </c>
      <c r="DA155" s="2042">
        <f t="shared" si="307"/>
        <v>0</v>
      </c>
      <c r="DB155" s="2042">
        <f t="shared" si="307"/>
        <v>0</v>
      </c>
      <c r="DC155" s="2042">
        <f t="shared" si="307"/>
        <v>0</v>
      </c>
      <c r="DD155" s="2042">
        <f t="shared" si="307"/>
        <v>0</v>
      </c>
      <c r="DE155" s="2042">
        <f t="shared" si="307"/>
        <v>0</v>
      </c>
      <c r="DF155" s="2042">
        <f t="shared" si="307"/>
        <v>0</v>
      </c>
      <c r="DG155" s="2042">
        <f t="shared" si="307"/>
        <v>0</v>
      </c>
      <c r="DH155" s="2042">
        <f t="shared" si="307"/>
        <v>0</v>
      </c>
      <c r="DI155" s="2042">
        <f t="shared" si="307"/>
        <v>0</v>
      </c>
      <c r="DJ155" s="2042">
        <f t="shared" si="307"/>
        <v>0</v>
      </c>
      <c r="DK155" s="2042">
        <f t="shared" si="307"/>
        <v>0</v>
      </c>
      <c r="DL155" s="2042"/>
      <c r="DM155" s="2042">
        <f t="shared" si="281"/>
        <v>0</v>
      </c>
      <c r="DN155" s="2042">
        <f t="shared" si="308"/>
        <v>0</v>
      </c>
      <c r="DO155" s="2042">
        <f t="shared" si="308"/>
        <v>0</v>
      </c>
      <c r="DP155" s="2042">
        <f t="shared" si="308"/>
        <v>0</v>
      </c>
      <c r="DQ155" s="2042">
        <f t="shared" si="308"/>
        <v>0</v>
      </c>
      <c r="DR155" s="2042">
        <f t="shared" si="308"/>
        <v>0</v>
      </c>
      <c r="DS155" s="2042">
        <f t="shared" si="308"/>
        <v>0</v>
      </c>
      <c r="DT155" s="2042">
        <f t="shared" si="308"/>
        <v>0</v>
      </c>
      <c r="DU155" s="2042">
        <f t="shared" si="308"/>
        <v>0</v>
      </c>
      <c r="DV155" s="2042">
        <f t="shared" si="308"/>
        <v>0</v>
      </c>
      <c r="DW155" s="2042">
        <f t="shared" si="308"/>
        <v>0</v>
      </c>
      <c r="DX155" s="2042">
        <f t="shared" si="308"/>
        <v>0</v>
      </c>
      <c r="DY155" s="2042"/>
      <c r="DZ155" s="2042"/>
      <c r="EA155" s="2042"/>
      <c r="EB155" s="2042"/>
      <c r="EC155" s="2042"/>
      <c r="ED155" s="2042"/>
      <c r="EE155" s="2042"/>
      <c r="EF155" s="2042"/>
      <c r="EG155" s="2042"/>
      <c r="EH155" s="2042"/>
      <c r="EI155" s="2042"/>
      <c r="EJ155" s="2042"/>
      <c r="EK155" s="2042"/>
      <c r="EL155" s="2042"/>
      <c r="EM155" s="2042"/>
      <c r="EN155" s="2042"/>
      <c r="EO155" s="2042"/>
      <c r="EP155" s="2042"/>
      <c r="EQ155" s="2042"/>
      <c r="ER155" s="2042"/>
      <c r="ES155" s="2042"/>
      <c r="ET155" s="2042"/>
      <c r="EU155" s="2042"/>
      <c r="EV155" s="2042"/>
      <c r="EW155" s="2042"/>
      <c r="EX155" s="2042"/>
      <c r="EY155" s="2042"/>
      <c r="EZ155" s="2045">
        <f t="shared" si="283"/>
        <v>0</v>
      </c>
      <c r="FA155" s="2216">
        <f t="shared" si="250"/>
        <v>0</v>
      </c>
      <c r="FB155" s="2216">
        <f t="shared" si="251"/>
        <v>0</v>
      </c>
      <c r="FC155" s="2216">
        <f t="shared" si="252"/>
        <v>0</v>
      </c>
      <c r="FD155" s="2216">
        <f t="shared" si="253"/>
        <v>0</v>
      </c>
      <c r="FE155" s="2216">
        <f t="shared" si="254"/>
        <v>0</v>
      </c>
      <c r="FF155" s="2216">
        <f t="shared" si="255"/>
        <v>0</v>
      </c>
      <c r="FG155" s="2216">
        <f t="shared" si="256"/>
        <v>0</v>
      </c>
      <c r="FH155" s="2216">
        <f t="shared" si="257"/>
        <v>0</v>
      </c>
      <c r="FI155" s="2216">
        <f t="shared" si="258"/>
        <v>0</v>
      </c>
      <c r="FJ155" s="2216">
        <f t="shared" si="259"/>
        <v>0</v>
      </c>
      <c r="FK155" s="2216">
        <f t="shared" si="260"/>
        <v>0</v>
      </c>
      <c r="FL155" s="2216">
        <f t="shared" si="261"/>
        <v>0</v>
      </c>
      <c r="FM155" s="2042"/>
      <c r="FN155" s="2045">
        <f t="shared" si="284"/>
        <v>0</v>
      </c>
      <c r="FO155" s="2216">
        <f t="shared" si="262"/>
        <v>0</v>
      </c>
      <c r="FP155" s="2216">
        <f t="shared" si="263"/>
        <v>0</v>
      </c>
      <c r="FQ155" s="2216">
        <f t="shared" si="264"/>
        <v>0</v>
      </c>
      <c r="FR155" s="2216">
        <f t="shared" si="265"/>
        <v>0</v>
      </c>
      <c r="FS155" s="2216">
        <f t="shared" si="266"/>
        <v>0</v>
      </c>
      <c r="FT155" s="2216">
        <f t="shared" si="267"/>
        <v>0</v>
      </c>
      <c r="FU155" s="2216">
        <f t="shared" si="268"/>
        <v>0</v>
      </c>
      <c r="FV155" s="2216">
        <f t="shared" si="269"/>
        <v>0</v>
      </c>
      <c r="FW155" s="2216">
        <f t="shared" si="270"/>
        <v>0</v>
      </c>
      <c r="FX155" s="2216">
        <f t="shared" si="271"/>
        <v>0</v>
      </c>
      <c r="FY155" s="2216">
        <f t="shared" si="272"/>
        <v>0</v>
      </c>
      <c r="FZ155" s="2216">
        <f t="shared" si="273"/>
        <v>0</v>
      </c>
      <c r="GA155" s="2042"/>
      <c r="GB155" s="2042">
        <f t="shared" si="285"/>
        <v>0</v>
      </c>
      <c r="GC155" s="2042">
        <f t="shared" si="286"/>
        <v>0</v>
      </c>
      <c r="GD155" s="2042"/>
      <c r="GE155" s="2042"/>
      <c r="GF155" s="2042"/>
      <c r="GG155" s="2042"/>
      <c r="GH155" s="2042">
        <f t="shared" si="287"/>
        <v>0</v>
      </c>
      <c r="GI155" s="2042">
        <f t="shared" si="288"/>
        <v>0</v>
      </c>
      <c r="GJ155" s="2042">
        <f t="shared" si="292"/>
        <v>0</v>
      </c>
      <c r="GK155" s="2042">
        <f t="shared" si="293"/>
        <v>0</v>
      </c>
      <c r="GL155" s="2042">
        <f t="shared" si="274"/>
        <v>0</v>
      </c>
      <c r="GM155" s="2042" cm="1">
        <f t="array" ref="GM155">IF(GL155=0,0,(SUMPRODUCT($J$75:$J$79,$CH$75:$CH$79,($BR$75:$BR$79=CX155)*1)+SUMPRODUCT($R$75:$R$79,$CP$75:$CP$79,($BR$75:$BR$79=CX155)*1))/GL155)</f>
        <v>0</v>
      </c>
      <c r="GN155" s="2042">
        <f t="shared" si="275"/>
        <v>0</v>
      </c>
      <c r="GO155" s="2042"/>
      <c r="GP155" s="2042"/>
      <c r="GQ155" s="2042">
        <f t="shared" si="276"/>
        <v>0</v>
      </c>
      <c r="GR155" s="2042">
        <f t="shared" si="303"/>
        <v>0</v>
      </c>
      <c r="GS155" s="2042">
        <f t="shared" si="306"/>
        <v>0</v>
      </c>
      <c r="GT155" s="2042">
        <f t="shared" si="309"/>
        <v>0</v>
      </c>
      <c r="GU155" s="2045" t="str">
        <f t="shared" si="175"/>
        <v xml:space="preserve"> </v>
      </c>
      <c r="GV155" s="2042"/>
      <c r="GW155" s="2054">
        <f t="shared" si="294"/>
        <v>0</v>
      </c>
      <c r="GX155" s="2042">
        <f t="shared" si="295"/>
        <v>0</v>
      </c>
      <c r="GY155" s="2042" t="str">
        <f t="shared" si="291"/>
        <v>a</v>
      </c>
      <c r="GZ155" s="2055">
        <f t="shared" si="296"/>
        <v>0</v>
      </c>
      <c r="HA155" s="2055">
        <f t="shared" si="297"/>
        <v>0</v>
      </c>
      <c r="HB155" s="2055"/>
      <c r="HC155" s="2046">
        <f t="shared" si="298"/>
        <v>0</v>
      </c>
      <c r="HD155" s="2055">
        <f t="shared" si="299"/>
        <v>0</v>
      </c>
      <c r="HE155" s="2055">
        <f t="shared" si="300"/>
        <v>0</v>
      </c>
      <c r="HF155" s="2055">
        <f t="shared" si="301"/>
        <v>0</v>
      </c>
      <c r="HG155" s="2282" cm="1">
        <f t="array" ref="HG155">IF(AND(HE155=0,GJ155=0),0,IF(HE155=0,1,IF(OR(GJ155*1000/HE155/HF155&gt;INDEX(Pflanzen!$AD$122:$AD$160,CX155)/INDEX(Pflanzen!$M$122:$M$160,CX155)*$HG$1,GJ155*1000/HE155/HF155&lt;INDEX(Pflanzen!$AD$122:$AD$160,CX155)/INDEX(Pflanzen!$M$122:$M$160,CX155)/$HG$1),1,0)))</f>
        <v>0</v>
      </c>
      <c r="HH155" s="2287" cm="1">
        <f t="array" ref="HH155">IF(AND(GK155=0,HE155=0),0,IF(HE155=0,1,IF(OR(GK155*1000/HE155/HF155&gt;INDEX(Pflanzen!$AE$122:$AE$160,CX155)/INDEX(Pflanzen!$M$122:$M$160,CX155)*$HG$2,GK155*1000/HE155/HF155&lt;INDEX(Pflanzen!$AE$122:$AE$160,CX155)/INDEX(Pflanzen!$M$122:$M$160,CX155)/$HG$2),1,0)))</f>
        <v>0</v>
      </c>
      <c r="HI155" s="2042">
        <f t="shared" si="302"/>
        <v>3</v>
      </c>
      <c r="HJ155" s="1731"/>
      <c r="HK155" s="2266"/>
      <c r="HL155" s="2042"/>
      <c r="HM155" s="2042"/>
      <c r="HN155" s="2042"/>
      <c r="HO155" s="2042"/>
      <c r="HP155" s="2042"/>
      <c r="HQ155" s="2042"/>
      <c r="HR155" s="2042"/>
      <c r="HS155" s="2042"/>
      <c r="HT155" s="2042"/>
      <c r="HU155" s="2042"/>
      <c r="HV155" s="2042"/>
      <c r="HW155" s="2042"/>
      <c r="HX155" s="2042"/>
      <c r="HY155" s="2042"/>
      <c r="HZ155" s="2042"/>
      <c r="IA155" s="2042"/>
      <c r="IB155" s="2042"/>
      <c r="IC155" s="2042"/>
      <c r="ID155" s="2042"/>
      <c r="IE155" s="2042"/>
      <c r="IF155" s="2042"/>
      <c r="IG155" s="2042"/>
      <c r="IH155" s="2042"/>
      <c r="II155" s="2042"/>
      <c r="IJ155" s="2042"/>
    </row>
    <row r="156" spans="25:244" ht="15.75" customHeight="1" x14ac:dyDescent="0.2">
      <c r="Y156" s="510"/>
      <c r="Z156" s="510"/>
      <c r="AA156" s="510"/>
      <c r="AB156" s="510"/>
      <c r="AC156" s="510"/>
      <c r="AD156" s="510"/>
      <c r="AE156" s="510"/>
      <c r="AF156" s="510"/>
      <c r="AG156" s="510"/>
      <c r="AH156" s="510"/>
      <c r="AI156" s="510"/>
      <c r="AJ156" s="510"/>
      <c r="AK156" s="510"/>
      <c r="AL156" s="510"/>
      <c r="AM156" s="510"/>
      <c r="AN156" s="510"/>
      <c r="AR156" s="510"/>
      <c r="AS156" s="510"/>
      <c r="AT156" s="510"/>
      <c r="AU156" s="510"/>
      <c r="AV156" s="510"/>
      <c r="AY156" s="2042"/>
      <c r="AZ156" s="2042"/>
      <c r="BA156" s="2042"/>
      <c r="BB156" s="2042"/>
      <c r="BC156" s="2042"/>
      <c r="BD156" s="2042"/>
      <c r="BP156" s="2043"/>
      <c r="BQ156" s="2042"/>
      <c r="BR156" s="2042"/>
      <c r="BS156" s="2042"/>
      <c r="BT156" s="2042"/>
      <c r="BU156" s="2059"/>
      <c r="BV156" s="2277"/>
      <c r="BW156" s="2277"/>
      <c r="BX156" s="2277"/>
      <c r="BY156" s="2277"/>
      <c r="BZ156" s="2277"/>
      <c r="CA156" s="2277"/>
      <c r="CB156" s="2277"/>
      <c r="CC156" s="2277"/>
      <c r="CD156" s="2277"/>
      <c r="CE156" s="2277"/>
      <c r="CF156" s="2277"/>
      <c r="CG156" s="2277"/>
      <c r="CH156" s="2277"/>
      <c r="CI156" s="2277"/>
      <c r="CJ156" s="2277"/>
      <c r="CK156" s="2277"/>
      <c r="CL156" s="2042"/>
      <c r="CM156" s="2042"/>
      <c r="CN156" s="2042"/>
      <c r="CO156" s="2042"/>
      <c r="CP156" s="2042"/>
      <c r="CQ156" s="2042"/>
      <c r="CR156" s="2042"/>
      <c r="CS156" s="2042"/>
      <c r="CT156" s="2042"/>
      <c r="CU156" s="2042"/>
      <c r="CV156" s="2042"/>
      <c r="CW156" s="2069" t="str">
        <f>Pflanzen!C157</f>
        <v>Weizengrießkleie</v>
      </c>
      <c r="CX156" s="2042">
        <f>IFERROR(MATCH($CW156,Pflanzen!$C$122:$C$160,0),1)</f>
        <v>36</v>
      </c>
      <c r="CY156" s="2069">
        <f>Pflanzen!I157</f>
        <v>2</v>
      </c>
      <c r="CZ156" s="2042">
        <f t="shared" si="279"/>
        <v>0</v>
      </c>
      <c r="DA156" s="2042">
        <f t="shared" si="307"/>
        <v>0</v>
      </c>
      <c r="DB156" s="2042">
        <f t="shared" si="307"/>
        <v>0</v>
      </c>
      <c r="DC156" s="2042">
        <f t="shared" si="307"/>
        <v>0</v>
      </c>
      <c r="DD156" s="2042">
        <f t="shared" si="307"/>
        <v>0</v>
      </c>
      <c r="DE156" s="2042">
        <f t="shared" si="307"/>
        <v>0</v>
      </c>
      <c r="DF156" s="2042">
        <f t="shared" si="307"/>
        <v>0</v>
      </c>
      <c r="DG156" s="2042">
        <f t="shared" si="307"/>
        <v>0</v>
      </c>
      <c r="DH156" s="2042">
        <f t="shared" si="307"/>
        <v>0</v>
      </c>
      <c r="DI156" s="2042">
        <f t="shared" si="307"/>
        <v>0</v>
      </c>
      <c r="DJ156" s="2042">
        <f t="shared" si="307"/>
        <v>0</v>
      </c>
      <c r="DK156" s="2042">
        <f t="shared" si="307"/>
        <v>0</v>
      </c>
      <c r="DL156" s="2042"/>
      <c r="DM156" s="2042">
        <f t="shared" si="281"/>
        <v>0</v>
      </c>
      <c r="DN156" s="2042">
        <f t="shared" si="308"/>
        <v>0</v>
      </c>
      <c r="DO156" s="2042">
        <f t="shared" si="308"/>
        <v>0</v>
      </c>
      <c r="DP156" s="2042">
        <f t="shared" si="308"/>
        <v>0</v>
      </c>
      <c r="DQ156" s="2042">
        <f t="shared" si="308"/>
        <v>0</v>
      </c>
      <c r="DR156" s="2042">
        <f t="shared" si="308"/>
        <v>0</v>
      </c>
      <c r="DS156" s="2042">
        <f t="shared" si="308"/>
        <v>0</v>
      </c>
      <c r="DT156" s="2042">
        <f t="shared" si="308"/>
        <v>0</v>
      </c>
      <c r="DU156" s="2042">
        <f t="shared" si="308"/>
        <v>0</v>
      </c>
      <c r="DV156" s="2042">
        <f t="shared" si="308"/>
        <v>0</v>
      </c>
      <c r="DW156" s="2042">
        <f t="shared" si="308"/>
        <v>0</v>
      </c>
      <c r="DX156" s="2042">
        <f t="shared" si="308"/>
        <v>0</v>
      </c>
      <c r="DY156" s="2042"/>
      <c r="DZ156" s="2042"/>
      <c r="EA156" s="2042"/>
      <c r="EB156" s="2042"/>
      <c r="EC156" s="2042"/>
      <c r="ED156" s="2042"/>
      <c r="EE156" s="2042"/>
      <c r="EF156" s="2042"/>
      <c r="EG156" s="2042"/>
      <c r="EH156" s="2042"/>
      <c r="EI156" s="2042"/>
      <c r="EJ156" s="2042"/>
      <c r="EK156" s="2042"/>
      <c r="EL156" s="2042"/>
      <c r="EM156" s="2042"/>
      <c r="EN156" s="2042"/>
      <c r="EO156" s="2042"/>
      <c r="EP156" s="2042"/>
      <c r="EQ156" s="2042"/>
      <c r="ER156" s="2042"/>
      <c r="ES156" s="2042"/>
      <c r="ET156" s="2042"/>
      <c r="EU156" s="2042"/>
      <c r="EV156" s="2042"/>
      <c r="EW156" s="2042"/>
      <c r="EX156" s="2042"/>
      <c r="EY156" s="2042"/>
      <c r="EZ156" s="2045">
        <f t="shared" si="283"/>
        <v>0</v>
      </c>
      <c r="FA156" s="2216">
        <f t="shared" si="250"/>
        <v>0</v>
      </c>
      <c r="FB156" s="2216">
        <f t="shared" si="251"/>
        <v>0</v>
      </c>
      <c r="FC156" s="2216">
        <f t="shared" si="252"/>
        <v>0</v>
      </c>
      <c r="FD156" s="2216">
        <f t="shared" si="253"/>
        <v>0</v>
      </c>
      <c r="FE156" s="2216">
        <f t="shared" si="254"/>
        <v>0</v>
      </c>
      <c r="FF156" s="2216">
        <f t="shared" si="255"/>
        <v>0</v>
      </c>
      <c r="FG156" s="2216">
        <f t="shared" si="256"/>
        <v>0</v>
      </c>
      <c r="FH156" s="2216">
        <f t="shared" si="257"/>
        <v>0</v>
      </c>
      <c r="FI156" s="2216">
        <f t="shared" si="258"/>
        <v>0</v>
      </c>
      <c r="FJ156" s="2216">
        <f t="shared" si="259"/>
        <v>0</v>
      </c>
      <c r="FK156" s="2216">
        <f t="shared" si="260"/>
        <v>0</v>
      </c>
      <c r="FL156" s="2216">
        <f t="shared" si="261"/>
        <v>0</v>
      </c>
      <c r="FM156" s="2042"/>
      <c r="FN156" s="2045">
        <f t="shared" si="284"/>
        <v>0</v>
      </c>
      <c r="FO156" s="2216">
        <f t="shared" si="262"/>
        <v>0</v>
      </c>
      <c r="FP156" s="2216">
        <f t="shared" si="263"/>
        <v>0</v>
      </c>
      <c r="FQ156" s="2216">
        <f t="shared" si="264"/>
        <v>0</v>
      </c>
      <c r="FR156" s="2216">
        <f t="shared" si="265"/>
        <v>0</v>
      </c>
      <c r="FS156" s="2216">
        <f t="shared" si="266"/>
        <v>0</v>
      </c>
      <c r="FT156" s="2216">
        <f t="shared" si="267"/>
        <v>0</v>
      </c>
      <c r="FU156" s="2216">
        <f t="shared" si="268"/>
        <v>0</v>
      </c>
      <c r="FV156" s="2216">
        <f t="shared" si="269"/>
        <v>0</v>
      </c>
      <c r="FW156" s="2216">
        <f t="shared" si="270"/>
        <v>0</v>
      </c>
      <c r="FX156" s="2216">
        <f t="shared" si="271"/>
        <v>0</v>
      </c>
      <c r="FY156" s="2216">
        <f t="shared" si="272"/>
        <v>0</v>
      </c>
      <c r="FZ156" s="2216">
        <f t="shared" si="273"/>
        <v>0</v>
      </c>
      <c r="GA156" s="2042"/>
      <c r="GB156" s="2042">
        <f t="shared" si="285"/>
        <v>0</v>
      </c>
      <c r="GC156" s="2042">
        <f t="shared" si="286"/>
        <v>0</v>
      </c>
      <c r="GD156" s="2042"/>
      <c r="GE156" s="2042"/>
      <c r="GF156" s="2042"/>
      <c r="GG156" s="2042"/>
      <c r="GH156" s="2042">
        <f t="shared" si="287"/>
        <v>0</v>
      </c>
      <c r="GI156" s="2042">
        <f t="shared" si="288"/>
        <v>0</v>
      </c>
      <c r="GJ156" s="2042">
        <f t="shared" si="292"/>
        <v>0</v>
      </c>
      <c r="GK156" s="2042">
        <f t="shared" si="293"/>
        <v>0</v>
      </c>
      <c r="GL156" s="2042">
        <f t="shared" si="274"/>
        <v>0</v>
      </c>
      <c r="GM156" s="2042" cm="1">
        <f t="array" ref="GM156">IF(GL156=0,0,(SUMPRODUCT($J$75:$J$79,$CH$75:$CH$79,($BR$75:$BR$79=CX156)*1)+SUMPRODUCT($R$75:$R$79,$CP$75:$CP$79,($BR$75:$BR$79=CX156)*1))/GL156)</f>
        <v>0</v>
      </c>
      <c r="GN156" s="2042">
        <f t="shared" ref="GN156:GN171" si="310">GL156*GM156/100</f>
        <v>0</v>
      </c>
      <c r="GO156" s="2042"/>
      <c r="GP156" s="2042"/>
      <c r="GQ156" s="2042">
        <f t="shared" ref="GQ156:GQ171" si="311">GO156*GP156/100</f>
        <v>0</v>
      </c>
      <c r="GR156" s="2042">
        <f t="shared" si="303"/>
        <v>0</v>
      </c>
      <c r="GS156" s="2042">
        <f t="shared" si="306"/>
        <v>0</v>
      </c>
      <c r="GT156" s="2042">
        <f t="shared" si="309"/>
        <v>0</v>
      </c>
      <c r="GU156" s="2045" t="str">
        <f t="shared" si="175"/>
        <v xml:space="preserve"> </v>
      </c>
      <c r="GV156" s="2042"/>
      <c r="GW156" s="2054">
        <f t="shared" si="294"/>
        <v>0</v>
      </c>
      <c r="GX156" s="2042">
        <f t="shared" si="295"/>
        <v>0</v>
      </c>
      <c r="GY156" s="2042" t="str">
        <f t="shared" si="291"/>
        <v>a</v>
      </c>
      <c r="GZ156" s="2055">
        <f t="shared" si="296"/>
        <v>0</v>
      </c>
      <c r="HA156" s="2055">
        <f t="shared" si="297"/>
        <v>0</v>
      </c>
      <c r="HB156" s="2055"/>
      <c r="HC156" s="2046">
        <f t="shared" si="298"/>
        <v>0</v>
      </c>
      <c r="HD156" s="2055">
        <f t="shared" si="299"/>
        <v>0</v>
      </c>
      <c r="HE156" s="2055">
        <f t="shared" si="300"/>
        <v>0</v>
      </c>
      <c r="HF156" s="2055">
        <f t="shared" si="301"/>
        <v>0</v>
      </c>
      <c r="HG156" s="2282" cm="1">
        <f t="array" ref="HG156">IF(AND(HE156=0,GJ156=0),0,IF(HE156=0,1,IF(OR(GJ156*1000/HE156/HF156&gt;INDEX(Pflanzen!$AD$122:$AD$160,CX156)/INDEX(Pflanzen!$M$122:$M$160,CX156)*$HG$1,GJ156*1000/HE156/HF156&lt;INDEX(Pflanzen!$AD$122:$AD$160,CX156)/INDEX(Pflanzen!$M$122:$M$160,CX156)/$HG$1),1,0)))</f>
        <v>0</v>
      </c>
      <c r="HH156" s="2287" cm="1">
        <f t="array" ref="HH156">IF(AND(GK156=0,HE156=0),0,IF(HE156=0,1,IF(OR(GK156*1000/HE156/HF156&gt;INDEX(Pflanzen!$AE$122:$AE$160,CX156)/INDEX(Pflanzen!$M$122:$M$160,CX156)*$HG$2,GK156*1000/HE156/HF156&lt;INDEX(Pflanzen!$AE$122:$AE$160,CX156)/INDEX(Pflanzen!$M$122:$M$160,CX156)/$HG$2),1,0)))</f>
        <v>0</v>
      </c>
      <c r="HI156" s="2042">
        <f t="shared" si="302"/>
        <v>3</v>
      </c>
      <c r="HJ156" s="2042"/>
      <c r="HL156" s="2042"/>
      <c r="HM156" s="2042"/>
      <c r="HN156" s="2042"/>
      <c r="HO156" s="2042"/>
      <c r="HP156" s="2042"/>
      <c r="HQ156" s="2042"/>
      <c r="HR156" s="2042"/>
      <c r="HS156" s="2042"/>
      <c r="HT156" s="2042"/>
      <c r="HU156" s="2042"/>
      <c r="HV156" s="2042"/>
      <c r="HW156" s="2042"/>
      <c r="HX156" s="2042"/>
      <c r="HY156" s="2042"/>
      <c r="HZ156" s="2042"/>
      <c r="IA156" s="2042"/>
      <c r="IB156" s="2042"/>
      <c r="IC156" s="2042"/>
      <c r="ID156" s="2042"/>
      <c r="IE156" s="2042"/>
      <c r="IF156" s="2042"/>
      <c r="IG156" s="2042"/>
      <c r="IH156" s="2042"/>
      <c r="II156" s="2042"/>
      <c r="IJ156" s="2042"/>
    </row>
    <row r="157" spans="25:244" ht="15.75" customHeight="1" x14ac:dyDescent="0.2">
      <c r="Y157" s="510"/>
      <c r="Z157" s="510"/>
      <c r="AA157" s="510"/>
      <c r="AB157" s="510"/>
      <c r="AC157" s="510"/>
      <c r="AD157" s="510"/>
      <c r="AE157" s="510"/>
      <c r="AF157" s="510"/>
      <c r="AG157" s="510"/>
      <c r="AH157" s="510"/>
      <c r="AI157" s="510"/>
      <c r="AJ157" s="510"/>
      <c r="AK157" s="510"/>
      <c r="AL157" s="510"/>
      <c r="AM157" s="510"/>
      <c r="AN157" s="510"/>
      <c r="AR157" s="510"/>
      <c r="AS157" s="510"/>
      <c r="AT157" s="510"/>
      <c r="AU157" s="510"/>
      <c r="AV157" s="510"/>
      <c r="AY157" s="2042"/>
      <c r="AZ157" s="2042"/>
      <c r="BA157" s="2042"/>
      <c r="BB157" s="2042"/>
      <c r="BC157" s="2042"/>
      <c r="BD157" s="2042"/>
      <c r="BP157" s="2043"/>
      <c r="BQ157" s="2042"/>
      <c r="BR157" s="2042"/>
      <c r="BS157" s="2042"/>
      <c r="BT157" s="2042"/>
      <c r="BU157" s="2059"/>
      <c r="BV157" s="2277"/>
      <c r="BW157" s="2277"/>
      <c r="BX157" s="2277"/>
      <c r="BY157" s="2277"/>
      <c r="BZ157" s="2277"/>
      <c r="CA157" s="2277"/>
      <c r="CB157" s="2277"/>
      <c r="CC157" s="2277"/>
      <c r="CD157" s="2277"/>
      <c r="CE157" s="2277"/>
      <c r="CF157" s="2277"/>
      <c r="CG157" s="2277"/>
      <c r="CH157" s="2277"/>
      <c r="CI157" s="2277"/>
      <c r="CJ157" s="2277"/>
      <c r="CK157" s="2277"/>
      <c r="CL157" s="2042"/>
      <c r="CM157" s="2042"/>
      <c r="CN157" s="2042"/>
      <c r="CO157" s="2042"/>
      <c r="CP157" s="2042"/>
      <c r="CQ157" s="2042"/>
      <c r="CR157" s="2042"/>
      <c r="CS157" s="2042"/>
      <c r="CT157" s="2042"/>
      <c r="CU157" s="2042"/>
      <c r="CV157" s="2042"/>
      <c r="CW157" s="2069" t="str">
        <f>Pflanzen!C158</f>
        <v>Weizenkleie</v>
      </c>
      <c r="CX157" s="2042">
        <f>IFERROR(MATCH($CW157,Pflanzen!$C$122:$C$160,0),1)</f>
        <v>37</v>
      </c>
      <c r="CY157" s="2069">
        <f>Pflanzen!I158</f>
        <v>2</v>
      </c>
      <c r="CZ157" s="2042">
        <f t="shared" si="279"/>
        <v>0</v>
      </c>
      <c r="DA157" s="2042">
        <f t="shared" si="307"/>
        <v>0</v>
      </c>
      <c r="DB157" s="2042">
        <f t="shared" si="307"/>
        <v>0</v>
      </c>
      <c r="DC157" s="2042">
        <f t="shared" si="307"/>
        <v>0</v>
      </c>
      <c r="DD157" s="2042">
        <f t="shared" si="307"/>
        <v>0</v>
      </c>
      <c r="DE157" s="2042">
        <f t="shared" si="307"/>
        <v>0</v>
      </c>
      <c r="DF157" s="2042">
        <f t="shared" si="307"/>
        <v>0</v>
      </c>
      <c r="DG157" s="2042">
        <f t="shared" si="307"/>
        <v>0</v>
      </c>
      <c r="DH157" s="2042">
        <f t="shared" si="307"/>
        <v>0</v>
      </c>
      <c r="DI157" s="2042">
        <f t="shared" si="307"/>
        <v>0</v>
      </c>
      <c r="DJ157" s="2042">
        <f t="shared" si="307"/>
        <v>0</v>
      </c>
      <c r="DK157" s="2042">
        <f t="shared" si="307"/>
        <v>0</v>
      </c>
      <c r="DL157" s="2042"/>
      <c r="DM157" s="2042">
        <f t="shared" si="281"/>
        <v>0</v>
      </c>
      <c r="DN157" s="2042">
        <f t="shared" si="308"/>
        <v>0</v>
      </c>
      <c r="DO157" s="2042">
        <f t="shared" si="308"/>
        <v>0</v>
      </c>
      <c r="DP157" s="2042">
        <f t="shared" si="308"/>
        <v>0</v>
      </c>
      <c r="DQ157" s="2042">
        <f t="shared" si="308"/>
        <v>0</v>
      </c>
      <c r="DR157" s="2042">
        <f t="shared" si="308"/>
        <v>0</v>
      </c>
      <c r="DS157" s="2042">
        <f t="shared" si="308"/>
        <v>0</v>
      </c>
      <c r="DT157" s="2042">
        <f t="shared" si="308"/>
        <v>0</v>
      </c>
      <c r="DU157" s="2042">
        <f t="shared" si="308"/>
        <v>0</v>
      </c>
      <c r="DV157" s="2042">
        <f t="shared" si="308"/>
        <v>0</v>
      </c>
      <c r="DW157" s="2042">
        <f t="shared" si="308"/>
        <v>0</v>
      </c>
      <c r="DX157" s="2042">
        <f t="shared" si="308"/>
        <v>0</v>
      </c>
      <c r="DY157" s="2042"/>
      <c r="DZ157" s="2042"/>
      <c r="EA157" s="2042"/>
      <c r="EB157" s="2042"/>
      <c r="EC157" s="2042"/>
      <c r="ED157" s="2042"/>
      <c r="EE157" s="2042"/>
      <c r="EF157" s="2042"/>
      <c r="EG157" s="2042"/>
      <c r="EH157" s="2042"/>
      <c r="EI157" s="2042"/>
      <c r="EJ157" s="2042"/>
      <c r="EK157" s="2042"/>
      <c r="EL157" s="2042"/>
      <c r="EM157" s="2042"/>
      <c r="EN157" s="2042"/>
      <c r="EO157" s="2042"/>
      <c r="EP157" s="2042"/>
      <c r="EQ157" s="2042"/>
      <c r="ER157" s="2042"/>
      <c r="ES157" s="2042"/>
      <c r="ET157" s="2042"/>
      <c r="EU157" s="2042"/>
      <c r="EV157" s="2042"/>
      <c r="EW157" s="2042"/>
      <c r="EX157" s="2042"/>
      <c r="EY157" s="2042"/>
      <c r="EZ157" s="2045">
        <f t="shared" si="283"/>
        <v>0</v>
      </c>
      <c r="FA157" s="2216">
        <f t="shared" si="250"/>
        <v>0</v>
      </c>
      <c r="FB157" s="2216">
        <f t="shared" si="251"/>
        <v>0</v>
      </c>
      <c r="FC157" s="2216">
        <f t="shared" si="252"/>
        <v>0</v>
      </c>
      <c r="FD157" s="2216">
        <f t="shared" si="253"/>
        <v>0</v>
      </c>
      <c r="FE157" s="2216">
        <f t="shared" si="254"/>
        <v>0</v>
      </c>
      <c r="FF157" s="2216">
        <f t="shared" si="255"/>
        <v>0</v>
      </c>
      <c r="FG157" s="2216">
        <f t="shared" si="256"/>
        <v>0</v>
      </c>
      <c r="FH157" s="2216">
        <f t="shared" si="257"/>
        <v>0</v>
      </c>
      <c r="FI157" s="2216">
        <f t="shared" si="258"/>
        <v>0</v>
      </c>
      <c r="FJ157" s="2216">
        <f t="shared" si="259"/>
        <v>0</v>
      </c>
      <c r="FK157" s="2216">
        <f t="shared" si="260"/>
        <v>0</v>
      </c>
      <c r="FL157" s="2216">
        <f t="shared" si="261"/>
        <v>0</v>
      </c>
      <c r="FM157" s="2042"/>
      <c r="FN157" s="2045">
        <f t="shared" si="284"/>
        <v>0</v>
      </c>
      <c r="FO157" s="2216">
        <f t="shared" si="262"/>
        <v>0</v>
      </c>
      <c r="FP157" s="2216">
        <f t="shared" si="263"/>
        <v>0</v>
      </c>
      <c r="FQ157" s="2216">
        <f t="shared" si="264"/>
        <v>0</v>
      </c>
      <c r="FR157" s="2216">
        <f t="shared" si="265"/>
        <v>0</v>
      </c>
      <c r="FS157" s="2216">
        <f t="shared" si="266"/>
        <v>0</v>
      </c>
      <c r="FT157" s="2216">
        <f t="shared" si="267"/>
        <v>0</v>
      </c>
      <c r="FU157" s="2216">
        <f t="shared" si="268"/>
        <v>0</v>
      </c>
      <c r="FV157" s="2216">
        <f t="shared" si="269"/>
        <v>0</v>
      </c>
      <c r="FW157" s="2216">
        <f t="shared" si="270"/>
        <v>0</v>
      </c>
      <c r="FX157" s="2216">
        <f t="shared" si="271"/>
        <v>0</v>
      </c>
      <c r="FY157" s="2216">
        <f t="shared" si="272"/>
        <v>0</v>
      </c>
      <c r="FZ157" s="2216">
        <f t="shared" si="273"/>
        <v>0</v>
      </c>
      <c r="GA157" s="2042"/>
      <c r="GB157" s="2042">
        <f t="shared" si="285"/>
        <v>0</v>
      </c>
      <c r="GC157" s="2042">
        <f t="shared" si="286"/>
        <v>0</v>
      </c>
      <c r="GD157" s="2042"/>
      <c r="GE157" s="2042"/>
      <c r="GF157" s="2042"/>
      <c r="GG157" s="2042"/>
      <c r="GH157" s="2042">
        <f t="shared" si="287"/>
        <v>0</v>
      </c>
      <c r="GI157" s="2042">
        <f t="shared" si="288"/>
        <v>0</v>
      </c>
      <c r="GJ157" s="2042">
        <f t="shared" si="292"/>
        <v>0</v>
      </c>
      <c r="GK157" s="2042">
        <f t="shared" si="293"/>
        <v>0</v>
      </c>
      <c r="GL157" s="2042">
        <f t="shared" si="274"/>
        <v>0</v>
      </c>
      <c r="GM157" s="2042" cm="1">
        <f t="array" ref="GM157">IF(GL157=0,0,(SUMPRODUCT($J$75:$J$79,$CH$75:$CH$79,($BR$75:$BR$79=CX157)*1)+SUMPRODUCT($R$75:$R$79,$CP$75:$CP$79,($BR$75:$BR$79=CX157)*1))/GL157)</f>
        <v>0</v>
      </c>
      <c r="GN157" s="2042">
        <f t="shared" si="310"/>
        <v>0</v>
      </c>
      <c r="GO157" s="2042"/>
      <c r="GP157" s="2042"/>
      <c r="GQ157" s="2042">
        <f t="shared" si="311"/>
        <v>0</v>
      </c>
      <c r="GR157" s="2042">
        <f t="shared" si="303"/>
        <v>0</v>
      </c>
      <c r="GS157" s="2042">
        <f t="shared" si="306"/>
        <v>0</v>
      </c>
      <c r="GT157" s="2042">
        <f t="shared" si="309"/>
        <v>0</v>
      </c>
      <c r="GU157" s="2045" t="str">
        <f t="shared" si="175"/>
        <v xml:space="preserve"> </v>
      </c>
      <c r="GV157" s="2042"/>
      <c r="GW157" s="2054">
        <f t="shared" si="294"/>
        <v>0</v>
      </c>
      <c r="GX157" s="2042">
        <f t="shared" si="295"/>
        <v>0</v>
      </c>
      <c r="GY157" s="2042" t="str">
        <f t="shared" si="291"/>
        <v>a</v>
      </c>
      <c r="GZ157" s="2055">
        <f t="shared" si="296"/>
        <v>0</v>
      </c>
      <c r="HA157" s="2055">
        <f t="shared" si="297"/>
        <v>0</v>
      </c>
      <c r="HB157" s="2055"/>
      <c r="HC157" s="2046">
        <f t="shared" si="298"/>
        <v>0</v>
      </c>
      <c r="HD157" s="2055">
        <f t="shared" si="299"/>
        <v>0</v>
      </c>
      <c r="HE157" s="2055">
        <f t="shared" si="300"/>
        <v>0</v>
      </c>
      <c r="HF157" s="2055">
        <f t="shared" si="301"/>
        <v>0</v>
      </c>
      <c r="HG157" s="2282" cm="1">
        <f t="array" ref="HG157">IF(AND(HE157=0,GJ157=0),0,IF(HE157=0,1,IF(OR(GJ157*1000/HE157/HF157&gt;INDEX(Pflanzen!$AD$122:$AD$160,CX157)/INDEX(Pflanzen!$M$122:$M$160,CX157)*$HG$1,GJ157*1000/HE157/HF157&lt;INDEX(Pflanzen!$AD$122:$AD$160,CX157)/INDEX(Pflanzen!$M$122:$M$160,CX157)/$HG$1),1,0)))</f>
        <v>0</v>
      </c>
      <c r="HH157" s="2287" cm="1">
        <f t="array" ref="HH157">IF(AND(GK157=0,HE157=0),0,IF(HE157=0,1,IF(OR(GK157*1000/HE157/HF157&gt;INDEX(Pflanzen!$AE$122:$AE$160,CX157)/INDEX(Pflanzen!$M$122:$M$160,CX157)*$HG$2,GK157*1000/HE157/HF157&lt;INDEX(Pflanzen!$AE$122:$AE$160,CX157)/INDEX(Pflanzen!$M$122:$M$160,CX157)/$HG$2),1,0)))</f>
        <v>0</v>
      </c>
      <c r="HI157" s="2042">
        <f t="shared" si="302"/>
        <v>3</v>
      </c>
      <c r="HJ157" s="2042"/>
      <c r="HL157" s="2042"/>
      <c r="HM157" s="2042"/>
      <c r="HN157" s="2042"/>
      <c r="HO157" s="2042"/>
      <c r="HP157" s="2042"/>
      <c r="HQ157" s="2042"/>
      <c r="HR157" s="2042"/>
      <c r="HS157" s="2042"/>
      <c r="HT157" s="2042"/>
      <c r="HU157" s="2042"/>
      <c r="HV157" s="2042"/>
      <c r="HW157" s="2042"/>
      <c r="HX157" s="2042"/>
      <c r="HY157" s="2042"/>
      <c r="HZ157" s="2042"/>
      <c r="IA157" s="2042"/>
      <c r="IB157" s="2042"/>
      <c r="IC157" s="2042"/>
      <c r="ID157" s="2042"/>
      <c r="IE157" s="2042"/>
      <c r="IF157" s="2042"/>
      <c r="IG157" s="2042"/>
      <c r="IH157" s="2042"/>
      <c r="II157" s="2042"/>
      <c r="IJ157" s="2042"/>
    </row>
    <row r="158" spans="25:244" ht="15.75" customHeight="1" x14ac:dyDescent="0.2">
      <c r="Y158" s="510"/>
      <c r="Z158" s="510"/>
      <c r="AA158" s="510"/>
      <c r="AB158" s="510"/>
      <c r="AC158" s="510"/>
      <c r="AD158" s="510"/>
      <c r="AE158" s="510"/>
      <c r="AF158" s="510"/>
      <c r="AG158" s="510"/>
      <c r="AH158" s="510"/>
      <c r="AI158" s="510"/>
      <c r="AJ158" s="510"/>
      <c r="AK158" s="510"/>
      <c r="AL158" s="510"/>
      <c r="AM158" s="510"/>
      <c r="AN158" s="510"/>
      <c r="AR158" s="510"/>
      <c r="AS158" s="510"/>
      <c r="AT158" s="510"/>
      <c r="AU158" s="510"/>
      <c r="AV158" s="510"/>
      <c r="AY158" s="2042"/>
      <c r="AZ158" s="2042"/>
      <c r="BA158" s="2042"/>
      <c r="BB158" s="2042"/>
      <c r="BC158" s="2042"/>
      <c r="BD158" s="2042"/>
      <c r="BP158" s="2043"/>
      <c r="BQ158" s="2042"/>
      <c r="BR158" s="2042"/>
      <c r="BS158" s="2042"/>
      <c r="BT158" s="2042"/>
      <c r="BU158" s="2059"/>
      <c r="BV158" s="2277"/>
      <c r="BW158" s="2277"/>
      <c r="BX158" s="2277"/>
      <c r="BY158" s="2277"/>
      <c r="BZ158" s="2277"/>
      <c r="CA158" s="2277"/>
      <c r="CB158" s="2277"/>
      <c r="CC158" s="2277"/>
      <c r="CD158" s="2277"/>
      <c r="CE158" s="2277"/>
      <c r="CF158" s="2277"/>
      <c r="CG158" s="2277"/>
      <c r="CH158" s="2277"/>
      <c r="CI158" s="2277"/>
      <c r="CJ158" s="2277"/>
      <c r="CK158" s="2277"/>
      <c r="CL158" s="2042"/>
      <c r="CM158" s="2042"/>
      <c r="CN158" s="2042"/>
      <c r="CO158" s="2042"/>
      <c r="CP158" s="2042"/>
      <c r="CQ158" s="2042"/>
      <c r="CR158" s="2042"/>
      <c r="CS158" s="2042"/>
      <c r="CT158" s="2042"/>
      <c r="CU158" s="2042"/>
      <c r="CV158" s="2042"/>
      <c r="CW158" s="2069" t="str">
        <f>Pflanzen!C159</f>
        <v>Weizennachmehl</v>
      </c>
      <c r="CX158" s="2042">
        <f>IFERROR(MATCH($CW158,Pflanzen!$C$122:$C$160,0),1)</f>
        <v>38</v>
      </c>
      <c r="CY158" s="2069">
        <f>Pflanzen!I159</f>
        <v>2</v>
      </c>
      <c r="CZ158" s="2042">
        <f t="shared" si="279"/>
        <v>0</v>
      </c>
      <c r="DA158" s="2042">
        <f t="shared" si="307"/>
        <v>0</v>
      </c>
      <c r="DB158" s="2042">
        <f t="shared" si="307"/>
        <v>0</v>
      </c>
      <c r="DC158" s="2042">
        <f t="shared" si="307"/>
        <v>0</v>
      </c>
      <c r="DD158" s="2042">
        <f t="shared" si="307"/>
        <v>0</v>
      </c>
      <c r="DE158" s="2042">
        <f t="shared" si="307"/>
        <v>0</v>
      </c>
      <c r="DF158" s="2042">
        <f t="shared" si="307"/>
        <v>0</v>
      </c>
      <c r="DG158" s="2042">
        <f t="shared" si="307"/>
        <v>0</v>
      </c>
      <c r="DH158" s="2042">
        <f t="shared" si="307"/>
        <v>0</v>
      </c>
      <c r="DI158" s="2042">
        <f t="shared" si="307"/>
        <v>0</v>
      </c>
      <c r="DJ158" s="2042">
        <f t="shared" si="307"/>
        <v>0</v>
      </c>
      <c r="DK158" s="2042">
        <f t="shared" si="307"/>
        <v>0</v>
      </c>
      <c r="DL158" s="2042"/>
      <c r="DM158" s="2042">
        <f t="shared" si="281"/>
        <v>0</v>
      </c>
      <c r="DN158" s="2042">
        <f t="shared" si="308"/>
        <v>0</v>
      </c>
      <c r="DO158" s="2042">
        <f t="shared" si="308"/>
        <v>0</v>
      </c>
      <c r="DP158" s="2042">
        <f t="shared" si="308"/>
        <v>0</v>
      </c>
      <c r="DQ158" s="2042">
        <f t="shared" si="308"/>
        <v>0</v>
      </c>
      <c r="DR158" s="2042">
        <f t="shared" si="308"/>
        <v>0</v>
      </c>
      <c r="DS158" s="2042">
        <f t="shared" si="308"/>
        <v>0</v>
      </c>
      <c r="DT158" s="2042">
        <f t="shared" si="308"/>
        <v>0</v>
      </c>
      <c r="DU158" s="2042">
        <f t="shared" si="308"/>
        <v>0</v>
      </c>
      <c r="DV158" s="2042">
        <f t="shared" si="308"/>
        <v>0</v>
      </c>
      <c r="DW158" s="2042">
        <f t="shared" si="308"/>
        <v>0</v>
      </c>
      <c r="DX158" s="2042">
        <f t="shared" si="308"/>
        <v>0</v>
      </c>
      <c r="DY158" s="2042"/>
      <c r="DZ158" s="2042"/>
      <c r="EA158" s="2042"/>
      <c r="EB158" s="2042"/>
      <c r="EC158" s="2042"/>
      <c r="ED158" s="2042"/>
      <c r="EE158" s="2042"/>
      <c r="EF158" s="2042"/>
      <c r="EG158" s="2042"/>
      <c r="EH158" s="2042"/>
      <c r="EI158" s="2042"/>
      <c r="EJ158" s="2042"/>
      <c r="EK158" s="2042"/>
      <c r="EL158" s="2042"/>
      <c r="EM158" s="2042"/>
      <c r="EN158" s="2042"/>
      <c r="EO158" s="2042"/>
      <c r="EP158" s="2042"/>
      <c r="EQ158" s="2042"/>
      <c r="ER158" s="2042"/>
      <c r="ES158" s="2042"/>
      <c r="ET158" s="2042"/>
      <c r="EU158" s="2042"/>
      <c r="EV158" s="2042"/>
      <c r="EW158" s="2042"/>
      <c r="EX158" s="2042"/>
      <c r="EY158" s="2042"/>
      <c r="EZ158" s="2045">
        <f t="shared" si="283"/>
        <v>0</v>
      </c>
      <c r="FA158" s="2216">
        <f t="shared" si="250"/>
        <v>0</v>
      </c>
      <c r="FB158" s="2216">
        <f t="shared" si="251"/>
        <v>0</v>
      </c>
      <c r="FC158" s="2216">
        <f t="shared" si="252"/>
        <v>0</v>
      </c>
      <c r="FD158" s="2216">
        <f t="shared" si="253"/>
        <v>0</v>
      </c>
      <c r="FE158" s="2216">
        <f t="shared" si="254"/>
        <v>0</v>
      </c>
      <c r="FF158" s="2216">
        <f t="shared" si="255"/>
        <v>0</v>
      </c>
      <c r="FG158" s="2216">
        <f t="shared" si="256"/>
        <v>0</v>
      </c>
      <c r="FH158" s="2216">
        <f t="shared" si="257"/>
        <v>0</v>
      </c>
      <c r="FI158" s="2216">
        <f t="shared" si="258"/>
        <v>0</v>
      </c>
      <c r="FJ158" s="2216">
        <f t="shared" si="259"/>
        <v>0</v>
      </c>
      <c r="FK158" s="2216">
        <f t="shared" si="260"/>
        <v>0</v>
      </c>
      <c r="FL158" s="2216">
        <f t="shared" si="261"/>
        <v>0</v>
      </c>
      <c r="FM158" s="2042"/>
      <c r="FN158" s="2045">
        <f t="shared" si="284"/>
        <v>0</v>
      </c>
      <c r="FO158" s="2216">
        <f t="shared" si="262"/>
        <v>0</v>
      </c>
      <c r="FP158" s="2216">
        <f t="shared" si="263"/>
        <v>0</v>
      </c>
      <c r="FQ158" s="2216">
        <f t="shared" si="264"/>
        <v>0</v>
      </c>
      <c r="FR158" s="2216">
        <f t="shared" si="265"/>
        <v>0</v>
      </c>
      <c r="FS158" s="2216">
        <f t="shared" si="266"/>
        <v>0</v>
      </c>
      <c r="FT158" s="2216">
        <f t="shared" si="267"/>
        <v>0</v>
      </c>
      <c r="FU158" s="2216">
        <f t="shared" si="268"/>
        <v>0</v>
      </c>
      <c r="FV158" s="2216">
        <f t="shared" si="269"/>
        <v>0</v>
      </c>
      <c r="FW158" s="2216">
        <f t="shared" si="270"/>
        <v>0</v>
      </c>
      <c r="FX158" s="2216">
        <f t="shared" si="271"/>
        <v>0</v>
      </c>
      <c r="FY158" s="2216">
        <f t="shared" si="272"/>
        <v>0</v>
      </c>
      <c r="FZ158" s="2216">
        <f t="shared" si="273"/>
        <v>0</v>
      </c>
      <c r="GA158" s="2042"/>
      <c r="GB158" s="2042">
        <f t="shared" si="285"/>
        <v>0</v>
      </c>
      <c r="GC158" s="2042">
        <f t="shared" si="286"/>
        <v>0</v>
      </c>
      <c r="GD158" s="2042"/>
      <c r="GE158" s="2042"/>
      <c r="GF158" s="2042"/>
      <c r="GG158" s="2042"/>
      <c r="GH158" s="2042">
        <f t="shared" si="287"/>
        <v>0</v>
      </c>
      <c r="GI158" s="2042">
        <f t="shared" si="288"/>
        <v>0</v>
      </c>
      <c r="GJ158" s="2042">
        <f t="shared" si="292"/>
        <v>0</v>
      </c>
      <c r="GK158" s="2042">
        <f t="shared" si="293"/>
        <v>0</v>
      </c>
      <c r="GL158" s="2042">
        <f t="shared" si="274"/>
        <v>0</v>
      </c>
      <c r="GM158" s="2042" cm="1">
        <f t="array" ref="GM158">IF(GL158=0,0,(SUMPRODUCT($J$75:$J$79,$CH$75:$CH$79,($BR$75:$BR$79=CX158)*1)+SUMPRODUCT($R$75:$R$79,$CP$75:$CP$79,($BR$75:$BR$79=CX158)*1))/GL158)</f>
        <v>0</v>
      </c>
      <c r="GN158" s="2042">
        <f t="shared" si="310"/>
        <v>0</v>
      </c>
      <c r="GO158" s="2042"/>
      <c r="GP158" s="2042"/>
      <c r="GQ158" s="2042">
        <f t="shared" si="311"/>
        <v>0</v>
      </c>
      <c r="GR158" s="2042">
        <f t="shared" si="303"/>
        <v>0</v>
      </c>
      <c r="GS158" s="2042">
        <f t="shared" si="306"/>
        <v>0</v>
      </c>
      <c r="GT158" s="2042">
        <f t="shared" si="309"/>
        <v>0</v>
      </c>
      <c r="GU158" s="2045" t="str">
        <f t="shared" si="175"/>
        <v xml:space="preserve"> </v>
      </c>
      <c r="GV158" s="2042"/>
      <c r="GW158" s="2054">
        <f t="shared" si="294"/>
        <v>0</v>
      </c>
      <c r="GX158" s="2042">
        <f t="shared" si="295"/>
        <v>0</v>
      </c>
      <c r="GY158" s="2042" t="str">
        <f t="shared" si="291"/>
        <v>a</v>
      </c>
      <c r="GZ158" s="2055">
        <f t="shared" si="296"/>
        <v>0</v>
      </c>
      <c r="HA158" s="2055">
        <f t="shared" si="297"/>
        <v>0</v>
      </c>
      <c r="HB158" s="2055"/>
      <c r="HC158" s="2046">
        <f t="shared" si="298"/>
        <v>0</v>
      </c>
      <c r="HD158" s="2055">
        <f t="shared" si="299"/>
        <v>0</v>
      </c>
      <c r="HE158" s="2055">
        <f t="shared" si="300"/>
        <v>0</v>
      </c>
      <c r="HF158" s="2055">
        <f t="shared" si="301"/>
        <v>0</v>
      </c>
      <c r="HG158" s="2282" cm="1">
        <f t="array" ref="HG158">IF(AND(HE158=0,GJ158=0),0,IF(HE158=0,1,IF(OR(GJ158*1000/HE158/HF158&gt;INDEX(Pflanzen!$AD$122:$AD$160,CX158)/INDEX(Pflanzen!$M$122:$M$160,CX158)*$HG$1,GJ158*1000/HE158/HF158&lt;INDEX(Pflanzen!$AD$122:$AD$160,CX158)/INDEX(Pflanzen!$M$122:$M$160,CX158)/$HG$1),1,0)))</f>
        <v>0</v>
      </c>
      <c r="HH158" s="2287" cm="1">
        <f t="array" ref="HH158">IF(AND(GK158=0,HE158=0),0,IF(HE158=0,1,IF(OR(GK158*1000/HE158/HF158&gt;INDEX(Pflanzen!$AE$122:$AE$160,CX158)/INDEX(Pflanzen!$M$122:$M$160,CX158)*$HG$2,GK158*1000/HE158/HF158&lt;INDEX(Pflanzen!$AE$122:$AE$160,CX158)/INDEX(Pflanzen!$M$122:$M$160,CX158)/$HG$2),1,0)))</f>
        <v>0</v>
      </c>
      <c r="HI158" s="2042">
        <f t="shared" si="302"/>
        <v>3</v>
      </c>
      <c r="HJ158" s="2042"/>
      <c r="HL158" s="2042"/>
      <c r="HM158" s="2042"/>
      <c r="HN158" s="2042"/>
      <c r="HO158" s="2042"/>
      <c r="HP158" s="2042"/>
      <c r="HQ158" s="2042"/>
      <c r="HR158" s="2042"/>
      <c r="HS158" s="2042"/>
      <c r="HT158" s="2042"/>
      <c r="HU158" s="2042"/>
      <c r="HV158" s="2042"/>
      <c r="HW158" s="2042"/>
      <c r="HX158" s="2042"/>
      <c r="HY158" s="2042"/>
      <c r="HZ158" s="2042"/>
      <c r="IA158" s="2042"/>
      <c r="IB158" s="2042"/>
      <c r="IC158" s="2042"/>
      <c r="ID158" s="2042"/>
      <c r="IE158" s="2042"/>
      <c r="IF158" s="2042"/>
      <c r="IG158" s="2042"/>
      <c r="IH158" s="2042"/>
      <c r="II158" s="2042"/>
      <c r="IJ158" s="2042"/>
    </row>
    <row r="159" spans="25:244" ht="15.75" customHeight="1" x14ac:dyDescent="0.2">
      <c r="Y159" s="510"/>
      <c r="Z159" s="510"/>
      <c r="AA159" s="510"/>
      <c r="AB159" s="510"/>
      <c r="AC159" s="510"/>
      <c r="AD159" s="510"/>
      <c r="AE159" s="510"/>
      <c r="AF159" s="510"/>
      <c r="AG159" s="510"/>
      <c r="AH159" s="510"/>
      <c r="AI159" s="510"/>
      <c r="AJ159" s="510"/>
      <c r="AK159" s="510"/>
      <c r="AL159" s="510"/>
      <c r="AM159" s="510"/>
      <c r="AN159" s="510"/>
      <c r="AR159" s="510"/>
      <c r="AS159" s="510"/>
      <c r="AT159" s="510"/>
      <c r="AU159" s="510"/>
      <c r="AV159" s="510"/>
      <c r="AY159" s="2042"/>
      <c r="AZ159" s="2042"/>
      <c r="BA159" s="2042"/>
      <c r="BB159" s="2042"/>
      <c r="BC159" s="2042"/>
      <c r="BD159" s="2042"/>
      <c r="BP159" s="2043"/>
      <c r="BQ159" s="2042"/>
      <c r="BR159" s="2042"/>
      <c r="BS159" s="2042"/>
      <c r="BT159" s="2042"/>
      <c r="BU159" s="2059"/>
      <c r="BV159" s="2277"/>
      <c r="BW159" s="2277"/>
      <c r="BX159" s="2277"/>
      <c r="BY159" s="2277"/>
      <c r="BZ159" s="2277"/>
      <c r="CA159" s="2277"/>
      <c r="CB159" s="2277"/>
      <c r="CC159" s="2277"/>
      <c r="CD159" s="2277"/>
      <c r="CE159" s="2277"/>
      <c r="CF159" s="2277"/>
      <c r="CG159" s="2277"/>
      <c r="CH159" s="2277"/>
      <c r="CI159" s="2277"/>
      <c r="CJ159" s="2277"/>
      <c r="CK159" s="2277"/>
      <c r="CL159" s="2042"/>
      <c r="CM159" s="2042"/>
      <c r="CN159" s="2042"/>
      <c r="CO159" s="2042"/>
      <c r="CP159" s="2042"/>
      <c r="CQ159" s="2042"/>
      <c r="CR159" s="2042"/>
      <c r="CS159" s="2042"/>
      <c r="CT159" s="2042"/>
      <c r="CU159" s="2042"/>
      <c r="CV159" s="2042"/>
      <c r="CW159" s="2069" t="str">
        <f>Pflanzen!C160</f>
        <v>Zuckerrübenmelasse</v>
      </c>
      <c r="CX159" s="2042">
        <f>IFERROR(MATCH($CW159,Pflanzen!$C$122:$C$160,0),1)</f>
        <v>39</v>
      </c>
      <c r="CY159" s="2069">
        <f>Pflanzen!I160</f>
        <v>2</v>
      </c>
      <c r="CZ159" s="1731">
        <f t="shared" si="279"/>
        <v>0</v>
      </c>
      <c r="DA159" s="1731">
        <f t="shared" si="307"/>
        <v>0</v>
      </c>
      <c r="DB159" s="1731">
        <f t="shared" si="307"/>
        <v>0</v>
      </c>
      <c r="DC159" s="1731">
        <f t="shared" si="307"/>
        <v>0</v>
      </c>
      <c r="DD159" s="1731">
        <f t="shared" si="307"/>
        <v>0</v>
      </c>
      <c r="DE159" s="1731">
        <f t="shared" si="307"/>
        <v>0</v>
      </c>
      <c r="DF159" s="1731">
        <f t="shared" si="307"/>
        <v>0</v>
      </c>
      <c r="DG159" s="1731">
        <f t="shared" si="307"/>
        <v>0</v>
      </c>
      <c r="DH159" s="1731">
        <f t="shared" si="307"/>
        <v>0</v>
      </c>
      <c r="DI159" s="1731">
        <f t="shared" si="307"/>
        <v>0</v>
      </c>
      <c r="DJ159" s="1731">
        <f t="shared" si="307"/>
        <v>0</v>
      </c>
      <c r="DK159" s="1731">
        <f t="shared" si="307"/>
        <v>0</v>
      </c>
      <c r="DL159" s="1731"/>
      <c r="DM159" s="1731">
        <f t="shared" si="281"/>
        <v>0</v>
      </c>
      <c r="DN159" s="1731">
        <f t="shared" si="308"/>
        <v>0</v>
      </c>
      <c r="DO159" s="1731">
        <f t="shared" si="308"/>
        <v>0</v>
      </c>
      <c r="DP159" s="1731">
        <f t="shared" si="308"/>
        <v>0</v>
      </c>
      <c r="DQ159" s="1731">
        <f t="shared" si="308"/>
        <v>0</v>
      </c>
      <c r="DR159" s="1731">
        <f t="shared" si="308"/>
        <v>0</v>
      </c>
      <c r="DS159" s="1731">
        <f t="shared" si="308"/>
        <v>0</v>
      </c>
      <c r="DT159" s="1731">
        <f t="shared" si="308"/>
        <v>0</v>
      </c>
      <c r="DU159" s="1731">
        <f t="shared" si="308"/>
        <v>0</v>
      </c>
      <c r="DV159" s="1731">
        <f t="shared" si="308"/>
        <v>0</v>
      </c>
      <c r="DW159" s="1731">
        <f t="shared" si="308"/>
        <v>0</v>
      </c>
      <c r="DX159" s="1731">
        <f t="shared" si="308"/>
        <v>0</v>
      </c>
      <c r="DY159" s="1731"/>
      <c r="DZ159" s="1731"/>
      <c r="EA159" s="1731"/>
      <c r="EB159" s="1731"/>
      <c r="EC159" s="1731"/>
      <c r="ED159" s="1731"/>
      <c r="EE159" s="1731"/>
      <c r="EF159" s="1731"/>
      <c r="EG159" s="1731"/>
      <c r="EH159" s="1731"/>
      <c r="EI159" s="1731"/>
      <c r="EJ159" s="1731"/>
      <c r="EK159" s="2042"/>
      <c r="EL159" s="1731"/>
      <c r="EM159" s="2253"/>
      <c r="EN159" s="2253"/>
      <c r="EO159" s="2253"/>
      <c r="EP159" s="2253"/>
      <c r="EQ159" s="2253"/>
      <c r="ER159" s="2253"/>
      <c r="ES159" s="2253"/>
      <c r="ET159" s="2253"/>
      <c r="EU159" s="2253"/>
      <c r="EV159" s="2253"/>
      <c r="EW159" s="2253"/>
      <c r="EX159" s="2253"/>
      <c r="EY159" s="2253"/>
      <c r="EZ159" s="2045">
        <f t="shared" si="283"/>
        <v>0</v>
      </c>
      <c r="FA159" s="2216">
        <f t="shared" si="250"/>
        <v>0</v>
      </c>
      <c r="FB159" s="2216">
        <f t="shared" si="251"/>
        <v>0</v>
      </c>
      <c r="FC159" s="2216">
        <f t="shared" si="252"/>
        <v>0</v>
      </c>
      <c r="FD159" s="2216">
        <f t="shared" si="253"/>
        <v>0</v>
      </c>
      <c r="FE159" s="2216">
        <f t="shared" si="254"/>
        <v>0</v>
      </c>
      <c r="FF159" s="2216">
        <f t="shared" si="255"/>
        <v>0</v>
      </c>
      <c r="FG159" s="2216">
        <f t="shared" si="256"/>
        <v>0</v>
      </c>
      <c r="FH159" s="2216">
        <f t="shared" si="257"/>
        <v>0</v>
      </c>
      <c r="FI159" s="2062">
        <f t="shared" si="258"/>
        <v>0</v>
      </c>
      <c r="FJ159" s="2062">
        <f t="shared" si="259"/>
        <v>0</v>
      </c>
      <c r="FK159" s="2062">
        <f t="shared" si="260"/>
        <v>0</v>
      </c>
      <c r="FL159" s="2062">
        <f t="shared" si="261"/>
        <v>0</v>
      </c>
      <c r="FM159" s="1731"/>
      <c r="FN159" s="2045">
        <f t="shared" si="284"/>
        <v>0</v>
      </c>
      <c r="FO159" s="2216">
        <f t="shared" si="262"/>
        <v>0</v>
      </c>
      <c r="FP159" s="2216">
        <f t="shared" si="263"/>
        <v>0</v>
      </c>
      <c r="FQ159" s="2216">
        <f t="shared" si="264"/>
        <v>0</v>
      </c>
      <c r="FR159" s="2216">
        <f t="shared" si="265"/>
        <v>0</v>
      </c>
      <c r="FS159" s="2216">
        <f t="shared" si="266"/>
        <v>0</v>
      </c>
      <c r="FT159" s="2216">
        <f t="shared" si="267"/>
        <v>0</v>
      </c>
      <c r="FU159" s="2216">
        <f t="shared" si="268"/>
        <v>0</v>
      </c>
      <c r="FV159" s="2216">
        <f t="shared" si="269"/>
        <v>0</v>
      </c>
      <c r="FW159" s="2216">
        <f t="shared" si="270"/>
        <v>0</v>
      </c>
      <c r="FX159" s="2216">
        <f t="shared" si="271"/>
        <v>0</v>
      </c>
      <c r="FY159" s="2216">
        <f t="shared" si="272"/>
        <v>0</v>
      </c>
      <c r="FZ159" s="2216">
        <f t="shared" si="273"/>
        <v>0</v>
      </c>
      <c r="GA159" s="1731"/>
      <c r="GB159" s="2062">
        <f xml:space="preserve">  SUMIFS($CI$75:$CI$79,$BR$75:$BR$79,$CX159)+SUMIFS($CR$75:$CR$79,$BR$75:$BR$79,$CX159)</f>
        <v>0</v>
      </c>
      <c r="GC159" s="2062">
        <f t="shared" si="286"/>
        <v>0</v>
      </c>
      <c r="GD159" s="1731"/>
      <c r="GE159" s="1731"/>
      <c r="GF159" s="1731"/>
      <c r="GG159" s="1731"/>
      <c r="GH159" s="2062">
        <f>GB159</f>
        <v>0</v>
      </c>
      <c r="GI159" s="2042">
        <f t="shared" si="288"/>
        <v>0</v>
      </c>
      <c r="GJ159" s="2062">
        <f t="shared" si="292"/>
        <v>0</v>
      </c>
      <c r="GK159" s="2042">
        <f t="shared" si="293"/>
        <v>0</v>
      </c>
      <c r="GL159" s="2042">
        <f t="shared" si="274"/>
        <v>0</v>
      </c>
      <c r="GM159" s="2062" cm="1">
        <f t="array" ref="GM159">IF(GL159=0,0,(SUMPRODUCT($J$75:$J$79,$CH$75:$CH$79,($BR$75:$BR$79=CX159)*1)+SUMPRODUCT($R$75:$R$79,$CP$75:$CP$79,($BR$75:$BR$79=CX159)*1))/GL159)</f>
        <v>0</v>
      </c>
      <c r="GN159" s="2062">
        <f t="shared" si="310"/>
        <v>0</v>
      </c>
      <c r="GO159" s="1731"/>
      <c r="GP159" s="1731"/>
      <c r="GQ159" s="2062">
        <f t="shared" si="311"/>
        <v>0</v>
      </c>
      <c r="GR159" s="2042">
        <f t="shared" si="303"/>
        <v>0</v>
      </c>
      <c r="GS159" s="2062">
        <f t="shared" si="306"/>
        <v>0</v>
      </c>
      <c r="GT159" s="2062">
        <f t="shared" si="309"/>
        <v>0</v>
      </c>
      <c r="GU159" s="1731" t="str">
        <f t="shared" si="175"/>
        <v xml:space="preserve"> </v>
      </c>
      <c r="GV159" s="1731"/>
      <c r="GW159" s="2264">
        <f t="shared" si="294"/>
        <v>0</v>
      </c>
      <c r="GX159" s="2062">
        <f t="shared" si="295"/>
        <v>0</v>
      </c>
      <c r="GY159" s="2042" t="str">
        <f t="shared" si="291"/>
        <v>a</v>
      </c>
      <c r="GZ159" s="2067">
        <f t="shared" si="296"/>
        <v>0</v>
      </c>
      <c r="HA159" s="2067">
        <f t="shared" si="297"/>
        <v>0</v>
      </c>
      <c r="HB159" s="2067"/>
      <c r="HC159" s="2265">
        <f t="shared" si="298"/>
        <v>0</v>
      </c>
      <c r="HD159" s="2067">
        <f t="shared" si="299"/>
        <v>0</v>
      </c>
      <c r="HE159" s="2067">
        <f t="shared" si="300"/>
        <v>0</v>
      </c>
      <c r="HF159" s="2067">
        <f t="shared" si="301"/>
        <v>0</v>
      </c>
      <c r="HG159" s="2282" cm="1">
        <f t="array" ref="HG159">IF(AND(HE159=0,GJ159=0),0,IF(HE159=0,1,IF(OR(GJ159*1000/HE159/HF159&gt;INDEX(Pflanzen!$AD$122:$AD$160,CX159)/INDEX(Pflanzen!$M$122:$M$160,CX159)*$HG$1,GJ159*1000/HE159/HF159&lt;INDEX(Pflanzen!$AD$122:$AD$160,CX159)/INDEX(Pflanzen!$M$122:$M$160,CX159)/$HG$1),1,0)))</f>
        <v>0</v>
      </c>
      <c r="HH159" s="2287" cm="1">
        <f t="array" ref="HH159">IF(AND(GK159=0,HE159=0),0,IF(HE159=0,1,IF(OR(GK159*1000/HE159/HF159&gt;INDEX(Pflanzen!$AE$122:$AE$160,CX159)/INDEX(Pflanzen!$M$122:$M$160,CX159)*$HG$2,GK159*1000/HE159/HF159&lt;INDEX(Pflanzen!$AE$122:$AE$160,CX159)/INDEX(Pflanzen!$M$122:$M$160,CX159)/$HG$2),1,0)))</f>
        <v>0</v>
      </c>
      <c r="HI159" s="2062">
        <f t="shared" si="302"/>
        <v>3</v>
      </c>
      <c r="HJ159" s="2042"/>
      <c r="HL159" s="2042"/>
      <c r="HM159" s="2042"/>
      <c r="HN159" s="2042"/>
      <c r="HO159" s="2042"/>
      <c r="HP159" s="2042"/>
      <c r="HQ159" s="2042"/>
      <c r="HR159" s="2042"/>
      <c r="HS159" s="2042"/>
      <c r="HT159" s="2042"/>
      <c r="HU159" s="2042"/>
      <c r="HV159" s="2042"/>
      <c r="HW159" s="2042"/>
      <c r="HX159" s="2042"/>
      <c r="HY159" s="2042"/>
      <c r="HZ159" s="2042"/>
      <c r="IA159" s="2042"/>
      <c r="IB159" s="2042"/>
      <c r="IC159" s="2042"/>
      <c r="ID159" s="2042"/>
      <c r="IE159" s="2042"/>
      <c r="IF159" s="2042"/>
      <c r="IG159" s="2042"/>
      <c r="IH159" s="2042"/>
      <c r="II159" s="2042"/>
      <c r="IJ159" s="2042"/>
    </row>
    <row r="160" spans="25:244" ht="15.75" customHeight="1" x14ac:dyDescent="0.2">
      <c r="Y160" s="510"/>
      <c r="Z160" s="510"/>
      <c r="AA160" s="510"/>
      <c r="AB160" s="510"/>
      <c r="AC160" s="510"/>
      <c r="AD160" s="510"/>
      <c r="AE160" s="510"/>
      <c r="AF160" s="510"/>
      <c r="AG160" s="510"/>
      <c r="AH160" s="510"/>
      <c r="AI160" s="510"/>
      <c r="AJ160" s="510"/>
      <c r="AK160" s="510"/>
      <c r="AL160" s="510"/>
      <c r="AM160" s="510"/>
      <c r="AN160" s="510"/>
      <c r="AR160" s="510"/>
      <c r="AS160" s="510"/>
      <c r="AT160" s="510"/>
      <c r="AU160" s="510"/>
      <c r="AV160" s="510"/>
      <c r="AY160" s="2042"/>
      <c r="AZ160" s="2042"/>
      <c r="BA160" s="2042"/>
      <c r="BB160" s="2042"/>
      <c r="BC160" s="2042"/>
      <c r="BD160" s="2042"/>
      <c r="BP160" s="2043"/>
      <c r="BQ160" s="2042"/>
      <c r="BR160" s="2042"/>
      <c r="BS160" s="2042"/>
      <c r="BT160" s="2042"/>
      <c r="BU160" s="2059"/>
      <c r="BV160" s="2277"/>
      <c r="BW160" s="2277"/>
      <c r="BX160" s="2277"/>
      <c r="BY160" s="2277"/>
      <c r="BZ160" s="2277"/>
      <c r="CA160" s="2277"/>
      <c r="CB160" s="2277"/>
      <c r="CC160" s="2277"/>
      <c r="CD160" s="2277"/>
      <c r="CE160" s="2277"/>
      <c r="CF160" s="2277"/>
      <c r="CG160" s="2277"/>
      <c r="CH160" s="2277"/>
      <c r="CI160" s="2277"/>
      <c r="CJ160" s="2277"/>
      <c r="CK160" s="2277"/>
      <c r="CL160" s="2042"/>
      <c r="CM160" s="2042"/>
      <c r="CN160" s="2042"/>
      <c r="CO160" s="2042"/>
      <c r="CP160" s="2042"/>
      <c r="CQ160" s="2042"/>
      <c r="CR160" s="2042"/>
      <c r="CS160" s="2042"/>
      <c r="CT160" s="2042"/>
      <c r="CU160" s="2042"/>
      <c r="CV160" s="2042"/>
      <c r="CW160" s="2069">
        <f t="shared" ref="CW160:CW169" si="312">A80</f>
        <v>0</v>
      </c>
      <c r="CX160" s="2042"/>
      <c r="CY160" s="2042">
        <v>2</v>
      </c>
      <c r="CZ160" s="2042">
        <f t="shared" ref="CZ160:DK160" si="313">IF(AND($BX80&lt;=CZ$2,$BY80&gt;=CZ$2),$CQ80,0)</f>
        <v>0</v>
      </c>
      <c r="DA160" s="2042">
        <f t="shared" si="313"/>
        <v>0</v>
      </c>
      <c r="DB160" s="2042">
        <f t="shared" si="313"/>
        <v>0</v>
      </c>
      <c r="DC160" s="2042">
        <f t="shared" si="313"/>
        <v>0</v>
      </c>
      <c r="DD160" s="2042">
        <f t="shared" si="313"/>
        <v>0</v>
      </c>
      <c r="DE160" s="2042">
        <f t="shared" si="313"/>
        <v>0</v>
      </c>
      <c r="DF160" s="2042">
        <f t="shared" si="313"/>
        <v>0</v>
      </c>
      <c r="DG160" s="2042">
        <f t="shared" si="313"/>
        <v>0</v>
      </c>
      <c r="DH160" s="2042">
        <f t="shared" si="313"/>
        <v>0</v>
      </c>
      <c r="DI160" s="2042">
        <f t="shared" si="313"/>
        <v>0</v>
      </c>
      <c r="DJ160" s="2042">
        <f t="shared" si="313"/>
        <v>0</v>
      </c>
      <c r="DK160" s="2042">
        <f t="shared" si="313"/>
        <v>0</v>
      </c>
      <c r="DL160" s="2042"/>
      <c r="DM160" s="2042">
        <f t="shared" ref="DM160:DX160" si="314">IF(AND($BX80&lt;=DM$2,$BY80&gt;=DM$2),$CS80,0)</f>
        <v>0</v>
      </c>
      <c r="DN160" s="2042">
        <f t="shared" si="314"/>
        <v>0</v>
      </c>
      <c r="DO160" s="2042">
        <f t="shared" si="314"/>
        <v>0</v>
      </c>
      <c r="DP160" s="2042">
        <f t="shared" si="314"/>
        <v>0</v>
      </c>
      <c r="DQ160" s="2042">
        <f t="shared" si="314"/>
        <v>0</v>
      </c>
      <c r="DR160" s="2042">
        <f t="shared" si="314"/>
        <v>0</v>
      </c>
      <c r="DS160" s="2042">
        <f t="shared" si="314"/>
        <v>0</v>
      </c>
      <c r="DT160" s="2042">
        <f t="shared" si="314"/>
        <v>0</v>
      </c>
      <c r="DU160" s="2042">
        <f t="shared" si="314"/>
        <v>0</v>
      </c>
      <c r="DV160" s="2042">
        <f t="shared" si="314"/>
        <v>0</v>
      </c>
      <c r="DW160" s="2042">
        <f t="shared" si="314"/>
        <v>0</v>
      </c>
      <c r="DX160" s="2042">
        <f t="shared" si="314"/>
        <v>0</v>
      </c>
      <c r="DY160" s="2042"/>
      <c r="DZ160" s="2042"/>
      <c r="EA160" s="2042"/>
      <c r="EB160" s="2042"/>
      <c r="EC160" s="2042"/>
      <c r="ED160" s="2042"/>
      <c r="EE160" s="2042"/>
      <c r="EF160" s="2042"/>
      <c r="EG160" s="2042"/>
      <c r="EH160" s="2042"/>
      <c r="EI160" s="2042"/>
      <c r="EJ160" s="2042"/>
      <c r="EK160" s="2042"/>
      <c r="EL160" s="2042"/>
      <c r="EM160" s="2042"/>
      <c r="EN160" s="2042"/>
      <c r="EO160" s="2042"/>
      <c r="EP160" s="2042"/>
      <c r="EQ160" s="2042"/>
      <c r="ER160" s="2042"/>
      <c r="ES160" s="2042"/>
      <c r="ET160" s="2042"/>
      <c r="EU160" s="2042"/>
      <c r="EV160" s="2042"/>
      <c r="EW160" s="2042"/>
      <c r="EX160" s="2042"/>
      <c r="EY160" s="2042"/>
      <c r="EZ160" s="2071">
        <f t="shared" ref="EZ160:EZ169" si="315">CI80</f>
        <v>0</v>
      </c>
      <c r="FA160" s="2216">
        <f>EZ160+CZ160-$GB160*$HC160/12</f>
        <v>0</v>
      </c>
      <c r="FB160" s="2216">
        <f t="shared" ref="FB160:FB169" si="316">FA160+DA160-$GB160*$HC160/12</f>
        <v>0</v>
      </c>
      <c r="FC160" s="2216">
        <f t="shared" ref="FC160:FC169" si="317">FB160+DB160-$GB160*$HC160/12</f>
        <v>0</v>
      </c>
      <c r="FD160" s="2216">
        <f t="shared" ref="FD160:FD169" si="318">FC160+DC160-$GB160*$HC160/12</f>
        <v>0</v>
      </c>
      <c r="FE160" s="2216">
        <f t="shared" ref="FE160:FE169" si="319">FD160+DD160-$GB160*$HC160/12</f>
        <v>0</v>
      </c>
      <c r="FF160" s="2216">
        <f t="shared" ref="FF160:FF169" si="320">FE160+DE160-$GB160*$HC160/12</f>
        <v>0</v>
      </c>
      <c r="FG160" s="2216">
        <f t="shared" ref="FG160:FG169" si="321">FF160+DF160-$GB160*$HC160/12</f>
        <v>0</v>
      </c>
      <c r="FH160" s="2216">
        <f t="shared" ref="FH160:FH169" si="322">FG160+DG160-$GB160*$HC160/12</f>
        <v>0</v>
      </c>
      <c r="FI160" s="2216">
        <f t="shared" ref="FI160:FI169" si="323">FH160+DH160-$GB160*$HC160/12</f>
        <v>0</v>
      </c>
      <c r="FJ160" s="2216">
        <f t="shared" ref="FJ160:FJ169" si="324">FI160+DI160-$GB160*$HC160/12</f>
        <v>0</v>
      </c>
      <c r="FK160" s="2216">
        <f t="shared" ref="FK160:FK169" si="325">FJ160+DJ160-$GB160*$HC160/12</f>
        <v>0</v>
      </c>
      <c r="FL160" s="2216">
        <f t="shared" ref="FL160:FL169" si="326">FK160+DK160-$GB160*$HC160/12</f>
        <v>0</v>
      </c>
      <c r="FM160" s="2042"/>
      <c r="FN160" s="2071">
        <f t="shared" ref="FN160:FN169" si="327">CJ80</f>
        <v>0</v>
      </c>
      <c r="FO160" s="2216">
        <f t="shared" si="262"/>
        <v>0</v>
      </c>
      <c r="FP160" s="2216">
        <f t="shared" si="263"/>
        <v>0</v>
      </c>
      <c r="FQ160" s="2216">
        <f t="shared" si="264"/>
        <v>0</v>
      </c>
      <c r="FR160" s="2216">
        <f t="shared" si="265"/>
        <v>0</v>
      </c>
      <c r="FS160" s="2216">
        <f t="shared" si="266"/>
        <v>0</v>
      </c>
      <c r="FT160" s="2216">
        <f t="shared" si="267"/>
        <v>0</v>
      </c>
      <c r="FU160" s="2216">
        <f t="shared" si="268"/>
        <v>0</v>
      </c>
      <c r="FV160" s="2216">
        <f t="shared" si="269"/>
        <v>0</v>
      </c>
      <c r="FW160" s="2216">
        <f t="shared" si="270"/>
        <v>0</v>
      </c>
      <c r="FX160" s="2216">
        <f t="shared" si="271"/>
        <v>0</v>
      </c>
      <c r="FY160" s="2216">
        <f t="shared" si="272"/>
        <v>0</v>
      </c>
      <c r="FZ160" s="2216">
        <f t="shared" si="273"/>
        <v>0</v>
      </c>
      <c r="GA160" s="2042"/>
      <c r="GB160" s="2042">
        <f t="shared" ref="GB160:GB169" si="328">CI80+CR80</f>
        <v>0</v>
      </c>
      <c r="GC160" s="2042">
        <f t="shared" ref="GC160:GC169" si="329">CJ80+CT80</f>
        <v>0</v>
      </c>
      <c r="GD160" s="2042"/>
      <c r="GE160" s="2042"/>
      <c r="GF160" s="2042"/>
      <c r="GG160" s="2042"/>
      <c r="GH160" s="2042">
        <f t="shared" ref="GH160:GH169" si="330">GB160</f>
        <v>0</v>
      </c>
      <c r="GI160" s="2042">
        <f t="shared" si="288"/>
        <v>0</v>
      </c>
      <c r="GJ160" s="2042">
        <f t="shared" si="292"/>
        <v>0</v>
      </c>
      <c r="GK160" s="2042">
        <f t="shared" si="293"/>
        <v>0</v>
      </c>
      <c r="GL160" s="2042">
        <f t="shared" ref="GL160:GL169" si="331">CU80</f>
        <v>0</v>
      </c>
      <c r="GM160" s="2042">
        <f t="shared" ref="GM160:GM169" si="332">IF(GL160=0,0,(J80*I80+R80*Q80)/GL160)</f>
        <v>0</v>
      </c>
      <c r="GN160" s="2042">
        <f t="shared" si="310"/>
        <v>0</v>
      </c>
      <c r="GO160" s="2042"/>
      <c r="GP160" s="2042"/>
      <c r="GQ160" s="2042">
        <f t="shared" si="311"/>
        <v>0</v>
      </c>
      <c r="GR160" s="2042">
        <f t="shared" si="303"/>
        <v>0</v>
      </c>
      <c r="GS160" s="2042">
        <f>IF(AND(GM160=0,GP160=0),0,IF(GM160=0,GR160/(GP160/100),GR160/(GM160/100)))</f>
        <v>0</v>
      </c>
      <c r="GT160" s="2042">
        <f t="shared" si="309"/>
        <v>0</v>
      </c>
      <c r="GU160" s="2045" t="str">
        <f t="shared" si="175"/>
        <v xml:space="preserve"> </v>
      </c>
      <c r="GV160" s="2042"/>
      <c r="GW160" s="2054">
        <f t="shared" si="294"/>
        <v>0</v>
      </c>
      <c r="GX160" s="2042">
        <f t="shared" si="295"/>
        <v>0</v>
      </c>
      <c r="GY160" s="2042" t="str">
        <f t="shared" si="291"/>
        <v>a</v>
      </c>
      <c r="GZ160" s="2055">
        <f t="shared" si="296"/>
        <v>0</v>
      </c>
      <c r="HA160" s="2055">
        <f t="shared" si="297"/>
        <v>0</v>
      </c>
      <c r="HB160" s="2055"/>
      <c r="HC160" s="2046">
        <f>IF(OR(HI160=3,GS160&lt;=0),0,IF(GY160&lt;&gt;"a",IF(GS160=0,0,MIN(1,GY160/GS160)),IF(CY160=$CY$4,IF($GE$4-$HA$4-$GZ$4=0,0,$HB$4/($GE$4-$HA$4-$GZ$4)),IF(CY160=$CY$6,IF($GE$6-$HA$6-$GZ$6=0,0,$HB$6/($GE$6-$HA$6-$GZ$6)),0))))</f>
        <v>0</v>
      </c>
      <c r="HD160" s="2055">
        <f t="shared" si="299"/>
        <v>0</v>
      </c>
      <c r="HE160" s="2055">
        <f t="shared" si="300"/>
        <v>0</v>
      </c>
      <c r="HF160" s="2055">
        <f t="shared" si="301"/>
        <v>0</v>
      </c>
      <c r="HG160" s="2282" cm="1">
        <f t="array" ref="HG160">IF(AND(HE160=0,GJ160=0),0,IF(HE160=0,1,IF(OR(GJ160*1000/HE160/HF160&gt;INDEX(Pflanzen!$AD$122:$AD$160,CX160)/INDEX(Pflanzen!$M$122:$M$160,CX160)*$HG$1,GJ160*1000/HE160/HF160&lt;INDEX(Pflanzen!$AD$122:$AD$160,CX160)/INDEX(Pflanzen!$M$122:$M$160,CX160)/$HG$1),1,0)))</f>
        <v>0</v>
      </c>
      <c r="HH160" s="2287" cm="1">
        <f t="array" ref="HH160">IF(AND(GK160=0,HE160=0),0,IF(HE160=0,1,IF(OR(GK160*1000/HE160/HF160&gt;INDEX(Pflanzen!$AE$122:$AE$160,CX160)/INDEX(Pflanzen!$M$122:$M$160,CX160)*$HG$2,GK160*1000/HE160/HF160&lt;INDEX(Pflanzen!$AE$122:$AE$160,CX160)/INDEX(Pflanzen!$M$122:$M$160,CX160)/$HG$2),1,0)))</f>
        <v>0</v>
      </c>
      <c r="HI160" s="2042">
        <f t="shared" si="302"/>
        <v>3</v>
      </c>
      <c r="HJ160" s="2042"/>
      <c r="HL160" s="2042"/>
      <c r="HM160" s="2042"/>
      <c r="HN160" s="2042"/>
      <c r="HO160" s="2042"/>
      <c r="HP160" s="2042"/>
      <c r="HQ160" s="2042"/>
      <c r="HR160" s="2042"/>
      <c r="HS160" s="2042"/>
      <c r="HT160" s="2042"/>
      <c r="HU160" s="2042"/>
      <c r="HV160" s="2042"/>
      <c r="HW160" s="2042"/>
      <c r="HX160" s="2042"/>
      <c r="HY160" s="2042"/>
      <c r="HZ160" s="2042"/>
      <c r="IA160" s="2042"/>
      <c r="IB160" s="2042"/>
      <c r="IC160" s="2042"/>
      <c r="ID160" s="2042"/>
      <c r="IE160" s="2042"/>
      <c r="IF160" s="2042"/>
      <c r="IG160" s="2042"/>
      <c r="IH160" s="2042"/>
      <c r="II160" s="2042"/>
      <c r="IJ160" s="2042"/>
    </row>
    <row r="161" spans="25:244" ht="15.75" customHeight="1" x14ac:dyDescent="0.2">
      <c r="Y161" s="510"/>
      <c r="Z161" s="510"/>
      <c r="AA161" s="510"/>
      <c r="AB161" s="510"/>
      <c r="AC161" s="510"/>
      <c r="AD161" s="510"/>
      <c r="AE161" s="510"/>
      <c r="AF161" s="510"/>
      <c r="AG161" s="510"/>
      <c r="AH161" s="510"/>
      <c r="AI161" s="510"/>
      <c r="AJ161" s="510"/>
      <c r="AK161" s="510"/>
      <c r="AL161" s="510"/>
      <c r="AM161" s="510"/>
      <c r="AN161" s="510"/>
      <c r="AR161" s="510"/>
      <c r="AS161" s="510"/>
      <c r="AT161" s="510"/>
      <c r="AU161" s="510"/>
      <c r="AV161" s="510"/>
      <c r="AY161" s="2042"/>
      <c r="AZ161" s="2042"/>
      <c r="BA161" s="2042"/>
      <c r="BB161" s="2042"/>
      <c r="BC161" s="2042"/>
      <c r="BD161" s="2042"/>
      <c r="BP161" s="2043"/>
      <c r="BQ161" s="2042"/>
      <c r="BR161" s="2042"/>
      <c r="BS161" s="2042"/>
      <c r="BT161" s="2042"/>
      <c r="BU161" s="2059"/>
      <c r="BV161" s="2277"/>
      <c r="BW161" s="2277"/>
      <c r="BX161" s="2277"/>
      <c r="BY161" s="2277"/>
      <c r="BZ161" s="2277"/>
      <c r="CA161" s="2277"/>
      <c r="CB161" s="2277"/>
      <c r="CC161" s="2277"/>
      <c r="CD161" s="2277"/>
      <c r="CE161" s="2277"/>
      <c r="CF161" s="2277"/>
      <c r="CG161" s="2277"/>
      <c r="CH161" s="2277"/>
      <c r="CI161" s="2277"/>
      <c r="CJ161" s="2277"/>
      <c r="CK161" s="2277"/>
      <c r="CL161" s="2042"/>
      <c r="CM161" s="2042"/>
      <c r="CN161" s="2042"/>
      <c r="CO161" s="2042"/>
      <c r="CP161" s="2042"/>
      <c r="CQ161" s="2042"/>
      <c r="CR161" s="2042"/>
      <c r="CS161" s="2042"/>
      <c r="CT161" s="2042"/>
      <c r="CU161" s="2042"/>
      <c r="CV161" s="2042"/>
      <c r="CW161" s="2069">
        <f t="shared" si="312"/>
        <v>0</v>
      </c>
      <c r="CX161" s="2042"/>
      <c r="CY161" s="2042">
        <v>2</v>
      </c>
      <c r="CZ161" s="2042">
        <f t="shared" ref="CZ161:DK161" si="333">IF(AND($BX81&lt;=CZ$2,$BY81&gt;=CZ$2),$CQ81,0)</f>
        <v>0</v>
      </c>
      <c r="DA161" s="2042">
        <f t="shared" si="333"/>
        <v>0</v>
      </c>
      <c r="DB161" s="2042">
        <f t="shared" si="333"/>
        <v>0</v>
      </c>
      <c r="DC161" s="2042">
        <f t="shared" si="333"/>
        <v>0</v>
      </c>
      <c r="DD161" s="2042">
        <f t="shared" si="333"/>
        <v>0</v>
      </c>
      <c r="DE161" s="2042">
        <f t="shared" si="333"/>
        <v>0</v>
      </c>
      <c r="DF161" s="2042">
        <f t="shared" si="333"/>
        <v>0</v>
      </c>
      <c r="DG161" s="2042">
        <f t="shared" si="333"/>
        <v>0</v>
      </c>
      <c r="DH161" s="2042">
        <f t="shared" si="333"/>
        <v>0</v>
      </c>
      <c r="DI161" s="2042">
        <f t="shared" si="333"/>
        <v>0</v>
      </c>
      <c r="DJ161" s="2042">
        <f t="shared" si="333"/>
        <v>0</v>
      </c>
      <c r="DK161" s="2042">
        <f t="shared" si="333"/>
        <v>0</v>
      </c>
      <c r="DL161" s="2042"/>
      <c r="DM161" s="2042">
        <f t="shared" ref="DM161:DX161" si="334">IF(AND($BX81&lt;=DM$2,$BY81&gt;=DM$2),$CS81,0)</f>
        <v>0</v>
      </c>
      <c r="DN161" s="2042">
        <f t="shared" si="334"/>
        <v>0</v>
      </c>
      <c r="DO161" s="2042">
        <f t="shared" si="334"/>
        <v>0</v>
      </c>
      <c r="DP161" s="2042">
        <f t="shared" si="334"/>
        <v>0</v>
      </c>
      <c r="DQ161" s="2042">
        <f t="shared" si="334"/>
        <v>0</v>
      </c>
      <c r="DR161" s="2042">
        <f t="shared" si="334"/>
        <v>0</v>
      </c>
      <c r="DS161" s="2042">
        <f t="shared" si="334"/>
        <v>0</v>
      </c>
      <c r="DT161" s="2042">
        <f t="shared" si="334"/>
        <v>0</v>
      </c>
      <c r="DU161" s="2042">
        <f t="shared" si="334"/>
        <v>0</v>
      </c>
      <c r="DV161" s="2042">
        <f t="shared" si="334"/>
        <v>0</v>
      </c>
      <c r="DW161" s="2042">
        <f t="shared" si="334"/>
        <v>0</v>
      </c>
      <c r="DX161" s="2042">
        <f t="shared" si="334"/>
        <v>0</v>
      </c>
      <c r="DY161" s="2042"/>
      <c r="DZ161" s="2042"/>
      <c r="EA161" s="2042"/>
      <c r="EB161" s="2042"/>
      <c r="EC161" s="2042"/>
      <c r="ED161" s="2042"/>
      <c r="EE161" s="2042"/>
      <c r="EF161" s="2042"/>
      <c r="EG161" s="2042"/>
      <c r="EH161" s="2042"/>
      <c r="EI161" s="2042"/>
      <c r="EJ161" s="2042"/>
      <c r="EK161" s="2042"/>
      <c r="EL161" s="2042"/>
      <c r="EM161" s="2042"/>
      <c r="EN161" s="2042"/>
      <c r="EO161" s="2042"/>
      <c r="EP161" s="2042"/>
      <c r="EQ161" s="2042"/>
      <c r="ER161" s="2042"/>
      <c r="ES161" s="2042"/>
      <c r="ET161" s="2042"/>
      <c r="EU161" s="2042"/>
      <c r="EV161" s="2042"/>
      <c r="EW161" s="2042"/>
      <c r="EX161" s="2042"/>
      <c r="EY161" s="2042"/>
      <c r="EZ161" s="2071">
        <f t="shared" si="315"/>
        <v>0</v>
      </c>
      <c r="FA161" s="2216">
        <f t="shared" ref="FA161:FA169" si="335">EZ161+CZ161-$GB161*$HC161/12</f>
        <v>0</v>
      </c>
      <c r="FB161" s="2216">
        <f t="shared" si="316"/>
        <v>0</v>
      </c>
      <c r="FC161" s="2216">
        <f t="shared" si="317"/>
        <v>0</v>
      </c>
      <c r="FD161" s="2216">
        <f t="shared" si="318"/>
        <v>0</v>
      </c>
      <c r="FE161" s="2216">
        <f t="shared" si="319"/>
        <v>0</v>
      </c>
      <c r="FF161" s="2216">
        <f t="shared" si="320"/>
        <v>0</v>
      </c>
      <c r="FG161" s="2216">
        <f t="shared" si="321"/>
        <v>0</v>
      </c>
      <c r="FH161" s="2216">
        <f t="shared" si="322"/>
        <v>0</v>
      </c>
      <c r="FI161" s="2216">
        <f t="shared" si="323"/>
        <v>0</v>
      </c>
      <c r="FJ161" s="2216">
        <f t="shared" si="324"/>
        <v>0</v>
      </c>
      <c r="FK161" s="2216">
        <f t="shared" si="325"/>
        <v>0</v>
      </c>
      <c r="FL161" s="2216">
        <f t="shared" si="326"/>
        <v>0</v>
      </c>
      <c r="FM161" s="2042"/>
      <c r="FN161" s="2071">
        <f t="shared" si="327"/>
        <v>0</v>
      </c>
      <c r="FO161" s="2216">
        <f t="shared" si="262"/>
        <v>0</v>
      </c>
      <c r="FP161" s="2216">
        <f t="shared" si="263"/>
        <v>0</v>
      </c>
      <c r="FQ161" s="2216">
        <f t="shared" si="264"/>
        <v>0</v>
      </c>
      <c r="FR161" s="2216">
        <f t="shared" si="265"/>
        <v>0</v>
      </c>
      <c r="FS161" s="2216">
        <f t="shared" si="266"/>
        <v>0</v>
      </c>
      <c r="FT161" s="2216">
        <f t="shared" si="267"/>
        <v>0</v>
      </c>
      <c r="FU161" s="2216">
        <f t="shared" si="268"/>
        <v>0</v>
      </c>
      <c r="FV161" s="2216">
        <f t="shared" si="269"/>
        <v>0</v>
      </c>
      <c r="FW161" s="2216">
        <f t="shared" si="270"/>
        <v>0</v>
      </c>
      <c r="FX161" s="2216">
        <f t="shared" si="271"/>
        <v>0</v>
      </c>
      <c r="FY161" s="2216">
        <f t="shared" si="272"/>
        <v>0</v>
      </c>
      <c r="FZ161" s="2216">
        <f t="shared" si="273"/>
        <v>0</v>
      </c>
      <c r="GA161" s="2042"/>
      <c r="GB161" s="2042">
        <f t="shared" si="328"/>
        <v>0</v>
      </c>
      <c r="GC161" s="2042">
        <f t="shared" si="329"/>
        <v>0</v>
      </c>
      <c r="GD161" s="2042"/>
      <c r="GE161" s="2042"/>
      <c r="GF161" s="2042"/>
      <c r="GG161" s="2042"/>
      <c r="GH161" s="2042">
        <f t="shared" si="330"/>
        <v>0</v>
      </c>
      <c r="GI161" s="2042">
        <f t="shared" si="288"/>
        <v>0</v>
      </c>
      <c r="GJ161" s="2042">
        <f t="shared" si="292"/>
        <v>0</v>
      </c>
      <c r="GK161" s="2042">
        <f t="shared" si="293"/>
        <v>0</v>
      </c>
      <c r="GL161" s="2042">
        <f t="shared" si="331"/>
        <v>0</v>
      </c>
      <c r="GM161" s="2042">
        <f t="shared" si="332"/>
        <v>0</v>
      </c>
      <c r="GN161" s="2042">
        <f t="shared" si="310"/>
        <v>0</v>
      </c>
      <c r="GO161" s="2042"/>
      <c r="GP161" s="2042"/>
      <c r="GQ161" s="2042">
        <f t="shared" si="311"/>
        <v>0</v>
      </c>
      <c r="GR161" s="2042">
        <f t="shared" si="303"/>
        <v>0</v>
      </c>
      <c r="GS161" s="2042">
        <f t="shared" si="306"/>
        <v>0</v>
      </c>
      <c r="GT161" s="2042">
        <f t="shared" si="309"/>
        <v>0</v>
      </c>
      <c r="GU161" s="2045" t="str">
        <f t="shared" si="175"/>
        <v xml:space="preserve"> </v>
      </c>
      <c r="GV161" s="2042"/>
      <c r="GW161" s="2054">
        <f t="shared" si="294"/>
        <v>0</v>
      </c>
      <c r="GX161" s="2042">
        <f t="shared" si="295"/>
        <v>0</v>
      </c>
      <c r="GY161" s="2042" t="str">
        <f t="shared" si="291"/>
        <v>a</v>
      </c>
      <c r="GZ161" s="2055">
        <f t="shared" si="296"/>
        <v>0</v>
      </c>
      <c r="HA161" s="2055">
        <f t="shared" si="297"/>
        <v>0</v>
      </c>
      <c r="HB161" s="2055"/>
      <c r="HC161" s="2046">
        <f t="shared" si="298"/>
        <v>0</v>
      </c>
      <c r="HD161" s="2055">
        <f t="shared" si="299"/>
        <v>0</v>
      </c>
      <c r="HE161" s="2055">
        <f t="shared" si="300"/>
        <v>0</v>
      </c>
      <c r="HF161" s="2055">
        <f t="shared" si="301"/>
        <v>0</v>
      </c>
      <c r="HG161" s="2282" cm="1">
        <f t="array" ref="HG161">IF(AND(HE161=0,GJ161=0),0,IF(HE161=0,1,IF(OR(GJ161*1000/HE161/HF161&gt;INDEX(Pflanzen!$AD$122:$AD$160,CX161)/INDEX(Pflanzen!$M$122:$M$160,CX161)*$HG$1,GJ161*1000/HE161/HF161&lt;INDEX(Pflanzen!$AD$122:$AD$160,CX161)/INDEX(Pflanzen!$M$122:$M$160,CX161)/$HG$1),1,0)))</f>
        <v>0</v>
      </c>
      <c r="HH161" s="2287" cm="1">
        <f t="array" ref="HH161">IF(AND(GK161=0,HE161=0),0,IF(HE161=0,1,IF(OR(GK161*1000/HE161/HF161&gt;INDEX(Pflanzen!$AE$122:$AE$160,CX161)/INDEX(Pflanzen!$M$122:$M$160,CX161)*$HG$2,GK161*1000/HE161/HF161&lt;INDEX(Pflanzen!$AE$122:$AE$160,CX161)/INDEX(Pflanzen!$M$122:$M$160,CX161)/$HG$2),1,0)))</f>
        <v>0</v>
      </c>
      <c r="HI161" s="2042">
        <f t="shared" si="302"/>
        <v>3</v>
      </c>
      <c r="HJ161" s="2042"/>
      <c r="HL161" s="2042"/>
      <c r="HM161" s="2042"/>
      <c r="HN161" s="2042"/>
      <c r="HO161" s="2042"/>
      <c r="HP161" s="2042"/>
      <c r="HQ161" s="2042"/>
      <c r="HR161" s="2042"/>
      <c r="HS161" s="2042"/>
      <c r="HT161" s="2042"/>
      <c r="HU161" s="2042"/>
      <c r="HV161" s="2042"/>
      <c r="HW161" s="2042"/>
      <c r="HX161" s="2042"/>
      <c r="HY161" s="2042"/>
      <c r="HZ161" s="2042"/>
      <c r="IA161" s="2042"/>
      <c r="IB161" s="2042"/>
      <c r="IC161" s="2042"/>
      <c r="ID161" s="2042"/>
      <c r="IE161" s="2042"/>
      <c r="IF161" s="2042"/>
      <c r="IG161" s="2042"/>
      <c r="IH161" s="2042"/>
      <c r="II161" s="2042"/>
      <c r="IJ161" s="2042"/>
    </row>
    <row r="162" spans="25:244" ht="15.75" customHeight="1" x14ac:dyDescent="0.2">
      <c r="Y162" s="510"/>
      <c r="Z162" s="510"/>
      <c r="AA162" s="510"/>
      <c r="AB162" s="510"/>
      <c r="AC162" s="510"/>
      <c r="AD162" s="510"/>
      <c r="AE162" s="510"/>
      <c r="AF162" s="510"/>
      <c r="AG162" s="510"/>
      <c r="AH162" s="510"/>
      <c r="AI162" s="510"/>
      <c r="AJ162" s="510"/>
      <c r="AK162" s="510"/>
      <c r="AL162" s="510"/>
      <c r="AM162" s="510"/>
      <c r="AN162" s="510"/>
      <c r="AR162" s="510"/>
      <c r="AS162" s="510"/>
      <c r="AT162" s="510"/>
      <c r="AU162" s="510"/>
      <c r="AV162" s="510"/>
      <c r="AY162" s="2042"/>
      <c r="AZ162" s="2042"/>
      <c r="BA162" s="2042"/>
      <c r="BB162" s="2042"/>
      <c r="BC162" s="2042"/>
      <c r="BD162" s="2042"/>
      <c r="BP162" s="2043"/>
      <c r="BQ162" s="2042"/>
      <c r="BR162" s="2042"/>
      <c r="BS162" s="2042"/>
      <c r="BT162" s="2042"/>
      <c r="BU162" s="2059"/>
      <c r="BV162" s="2277"/>
      <c r="BW162" s="2277"/>
      <c r="BX162" s="2277"/>
      <c r="BY162" s="2277"/>
      <c r="BZ162" s="2277"/>
      <c r="CA162" s="2277"/>
      <c r="CB162" s="2277"/>
      <c r="CC162" s="2277"/>
      <c r="CD162" s="2277"/>
      <c r="CE162" s="2277"/>
      <c r="CF162" s="2277"/>
      <c r="CG162" s="2277"/>
      <c r="CH162" s="2277"/>
      <c r="CI162" s="2277"/>
      <c r="CJ162" s="2277"/>
      <c r="CK162" s="2277"/>
      <c r="CL162" s="2042"/>
      <c r="CM162" s="2042"/>
      <c r="CN162" s="2042"/>
      <c r="CO162" s="2042"/>
      <c r="CP162" s="2042"/>
      <c r="CQ162" s="2042"/>
      <c r="CR162" s="2042"/>
      <c r="CS162" s="2042"/>
      <c r="CT162" s="2042"/>
      <c r="CU162" s="2042"/>
      <c r="CV162" s="2042"/>
      <c r="CW162" s="2069">
        <f t="shared" si="312"/>
        <v>0</v>
      </c>
      <c r="CX162" s="2042"/>
      <c r="CY162" s="2042">
        <v>2</v>
      </c>
      <c r="CZ162" s="2042">
        <f t="shared" ref="CZ162:DK162" si="336">IF(AND($BX82&lt;=CZ$2,$BY82&gt;=CZ$2),$CQ82,0)</f>
        <v>0</v>
      </c>
      <c r="DA162" s="2042">
        <f t="shared" si="336"/>
        <v>0</v>
      </c>
      <c r="DB162" s="2042">
        <f t="shared" si="336"/>
        <v>0</v>
      </c>
      <c r="DC162" s="2042">
        <f t="shared" si="336"/>
        <v>0</v>
      </c>
      <c r="DD162" s="2042">
        <f t="shared" si="336"/>
        <v>0</v>
      </c>
      <c r="DE162" s="2042">
        <f t="shared" si="336"/>
        <v>0</v>
      </c>
      <c r="DF162" s="2042">
        <f t="shared" si="336"/>
        <v>0</v>
      </c>
      <c r="DG162" s="2042">
        <f t="shared" si="336"/>
        <v>0</v>
      </c>
      <c r="DH162" s="2042">
        <f t="shared" si="336"/>
        <v>0</v>
      </c>
      <c r="DI162" s="2042">
        <f t="shared" si="336"/>
        <v>0</v>
      </c>
      <c r="DJ162" s="2042">
        <f t="shared" si="336"/>
        <v>0</v>
      </c>
      <c r="DK162" s="2042">
        <f t="shared" si="336"/>
        <v>0</v>
      </c>
      <c r="DL162" s="2042"/>
      <c r="DM162" s="2042">
        <f t="shared" ref="DM162:DX162" si="337">IF(AND($BX82&lt;=DM$2,$BY82&gt;=DM$2),$CS82,0)</f>
        <v>0</v>
      </c>
      <c r="DN162" s="2042">
        <f t="shared" si="337"/>
        <v>0</v>
      </c>
      <c r="DO162" s="2042">
        <f t="shared" si="337"/>
        <v>0</v>
      </c>
      <c r="DP162" s="2042">
        <f t="shared" si="337"/>
        <v>0</v>
      </c>
      <c r="DQ162" s="2042">
        <f t="shared" si="337"/>
        <v>0</v>
      </c>
      <c r="DR162" s="2042">
        <f t="shared" si="337"/>
        <v>0</v>
      </c>
      <c r="DS162" s="2042">
        <f t="shared" si="337"/>
        <v>0</v>
      </c>
      <c r="DT162" s="2042">
        <f t="shared" si="337"/>
        <v>0</v>
      </c>
      <c r="DU162" s="2042">
        <f t="shared" si="337"/>
        <v>0</v>
      </c>
      <c r="DV162" s="2042">
        <f t="shared" si="337"/>
        <v>0</v>
      </c>
      <c r="DW162" s="2042">
        <f t="shared" si="337"/>
        <v>0</v>
      </c>
      <c r="DX162" s="2042">
        <f t="shared" si="337"/>
        <v>0</v>
      </c>
      <c r="DY162" s="2042"/>
      <c r="DZ162" s="2042"/>
      <c r="EA162" s="2042"/>
      <c r="EB162" s="2042"/>
      <c r="EC162" s="2042"/>
      <c r="ED162" s="2042"/>
      <c r="EE162" s="2042"/>
      <c r="EF162" s="2042"/>
      <c r="EG162" s="2042"/>
      <c r="EH162" s="2042"/>
      <c r="EI162" s="2042"/>
      <c r="EJ162" s="2042"/>
      <c r="EK162" s="2042"/>
      <c r="EL162" s="2042"/>
      <c r="EM162" s="2042"/>
      <c r="EN162" s="2042"/>
      <c r="EO162" s="2042"/>
      <c r="EP162" s="2042"/>
      <c r="EQ162" s="2042"/>
      <c r="ER162" s="2042"/>
      <c r="ES162" s="2042"/>
      <c r="ET162" s="2042"/>
      <c r="EU162" s="2042"/>
      <c r="EV162" s="2042"/>
      <c r="EW162" s="2042"/>
      <c r="EX162" s="2042"/>
      <c r="EY162" s="2042"/>
      <c r="EZ162" s="2071">
        <f t="shared" si="315"/>
        <v>0</v>
      </c>
      <c r="FA162" s="2216">
        <f t="shared" si="335"/>
        <v>0</v>
      </c>
      <c r="FB162" s="2216">
        <f t="shared" si="316"/>
        <v>0</v>
      </c>
      <c r="FC162" s="2216">
        <f t="shared" si="317"/>
        <v>0</v>
      </c>
      <c r="FD162" s="2216">
        <f t="shared" si="318"/>
        <v>0</v>
      </c>
      <c r="FE162" s="2216">
        <f t="shared" si="319"/>
        <v>0</v>
      </c>
      <c r="FF162" s="2216">
        <f t="shared" si="320"/>
        <v>0</v>
      </c>
      <c r="FG162" s="2216">
        <f t="shared" si="321"/>
        <v>0</v>
      </c>
      <c r="FH162" s="2216">
        <f t="shared" si="322"/>
        <v>0</v>
      </c>
      <c r="FI162" s="2216">
        <f t="shared" si="323"/>
        <v>0</v>
      </c>
      <c r="FJ162" s="2216">
        <f t="shared" si="324"/>
        <v>0</v>
      </c>
      <c r="FK162" s="2216">
        <f t="shared" si="325"/>
        <v>0</v>
      </c>
      <c r="FL162" s="2216">
        <f t="shared" si="326"/>
        <v>0</v>
      </c>
      <c r="FM162" s="2042"/>
      <c r="FN162" s="2071">
        <f t="shared" si="327"/>
        <v>0</v>
      </c>
      <c r="FO162" s="2216">
        <f t="shared" si="262"/>
        <v>0</v>
      </c>
      <c r="FP162" s="2216">
        <f t="shared" si="263"/>
        <v>0</v>
      </c>
      <c r="FQ162" s="2216">
        <f t="shared" si="264"/>
        <v>0</v>
      </c>
      <c r="FR162" s="2216">
        <f t="shared" si="265"/>
        <v>0</v>
      </c>
      <c r="FS162" s="2216">
        <f t="shared" si="266"/>
        <v>0</v>
      </c>
      <c r="FT162" s="2216">
        <f t="shared" si="267"/>
        <v>0</v>
      </c>
      <c r="FU162" s="2216">
        <f t="shared" si="268"/>
        <v>0</v>
      </c>
      <c r="FV162" s="2216">
        <f t="shared" si="269"/>
        <v>0</v>
      </c>
      <c r="FW162" s="2216">
        <f t="shared" si="270"/>
        <v>0</v>
      </c>
      <c r="FX162" s="2216">
        <f t="shared" si="271"/>
        <v>0</v>
      </c>
      <c r="FY162" s="2216">
        <f t="shared" si="272"/>
        <v>0</v>
      </c>
      <c r="FZ162" s="2216">
        <f t="shared" si="273"/>
        <v>0</v>
      </c>
      <c r="GA162" s="2042"/>
      <c r="GB162" s="2042">
        <f t="shared" si="328"/>
        <v>0</v>
      </c>
      <c r="GC162" s="2042">
        <f t="shared" si="329"/>
        <v>0</v>
      </c>
      <c r="GD162" s="2042"/>
      <c r="GE162" s="2042"/>
      <c r="GF162" s="2042"/>
      <c r="GG162" s="2042"/>
      <c r="GH162" s="2042">
        <f t="shared" si="330"/>
        <v>0</v>
      </c>
      <c r="GI162" s="2042">
        <f t="shared" si="288"/>
        <v>0</v>
      </c>
      <c r="GJ162" s="2042">
        <f t="shared" si="292"/>
        <v>0</v>
      </c>
      <c r="GK162" s="2042">
        <f t="shared" si="293"/>
        <v>0</v>
      </c>
      <c r="GL162" s="2042">
        <f t="shared" si="331"/>
        <v>0</v>
      </c>
      <c r="GM162" s="2042">
        <f t="shared" si="332"/>
        <v>0</v>
      </c>
      <c r="GN162" s="2042">
        <f t="shared" si="310"/>
        <v>0</v>
      </c>
      <c r="GO162" s="2042"/>
      <c r="GP162" s="2042"/>
      <c r="GQ162" s="2042">
        <f t="shared" si="311"/>
        <v>0</v>
      </c>
      <c r="GR162" s="2042">
        <f t="shared" si="303"/>
        <v>0</v>
      </c>
      <c r="GS162" s="2042">
        <f t="shared" si="306"/>
        <v>0</v>
      </c>
      <c r="GT162" s="2042">
        <f t="shared" si="309"/>
        <v>0</v>
      </c>
      <c r="GU162" s="2045" t="str">
        <f t="shared" si="175"/>
        <v xml:space="preserve"> </v>
      </c>
      <c r="GV162" s="2042"/>
      <c r="GW162" s="2054">
        <f t="shared" si="294"/>
        <v>0</v>
      </c>
      <c r="GX162" s="2042">
        <f t="shared" si="295"/>
        <v>0</v>
      </c>
      <c r="GY162" s="2042" t="str">
        <f t="shared" si="291"/>
        <v>a</v>
      </c>
      <c r="GZ162" s="2055">
        <f t="shared" si="296"/>
        <v>0</v>
      </c>
      <c r="HA162" s="2055">
        <f t="shared" si="297"/>
        <v>0</v>
      </c>
      <c r="HB162" s="2055"/>
      <c r="HC162" s="2046">
        <f t="shared" si="298"/>
        <v>0</v>
      </c>
      <c r="HD162" s="2055">
        <f t="shared" si="299"/>
        <v>0</v>
      </c>
      <c r="HE162" s="2055">
        <f t="shared" si="300"/>
        <v>0</v>
      </c>
      <c r="HF162" s="2055">
        <f t="shared" si="301"/>
        <v>0</v>
      </c>
      <c r="HG162" s="2282" cm="1">
        <f t="array" ref="HG162">IF(AND(HE162=0,GJ162=0),0,IF(HE162=0,1,IF(OR(GJ162*1000/HE162/HF162&gt;INDEX(Pflanzen!$AD$122:$AD$160,CX162)/INDEX(Pflanzen!$M$122:$M$160,CX162)*$HG$1,GJ162*1000/HE162/HF162&lt;INDEX(Pflanzen!$AD$122:$AD$160,CX162)/INDEX(Pflanzen!$M$122:$M$160,CX162)/$HG$1),1,0)))</f>
        <v>0</v>
      </c>
      <c r="HH162" s="2287" cm="1">
        <f t="array" ref="HH162">IF(AND(GK162=0,HE162=0),0,IF(HE162=0,1,IF(OR(GK162*1000/HE162/HF162&gt;INDEX(Pflanzen!$AE$122:$AE$160,CX162)/INDEX(Pflanzen!$M$122:$M$160,CX162)*$HG$2,GK162*1000/HE162/HF162&lt;INDEX(Pflanzen!$AE$122:$AE$160,CX162)/INDEX(Pflanzen!$M$122:$M$160,CX162)/$HG$2),1,0)))</f>
        <v>0</v>
      </c>
      <c r="HI162" s="2042">
        <f t="shared" si="302"/>
        <v>3</v>
      </c>
      <c r="HJ162" s="2042"/>
      <c r="HL162" s="2042"/>
      <c r="HM162" s="2042"/>
      <c r="HN162" s="2042"/>
      <c r="HO162" s="2042"/>
      <c r="HP162" s="2042"/>
      <c r="HQ162" s="2042"/>
      <c r="HR162" s="2042"/>
      <c r="HS162" s="2042"/>
      <c r="HT162" s="2042"/>
      <c r="HU162" s="2042"/>
      <c r="HV162" s="2042"/>
      <c r="HW162" s="2042"/>
      <c r="HX162" s="2042"/>
      <c r="HY162" s="2042"/>
      <c r="HZ162" s="2042"/>
      <c r="IA162" s="2042"/>
      <c r="IB162" s="2042"/>
      <c r="IC162" s="2042"/>
      <c r="ID162" s="2042"/>
      <c r="IE162" s="2042"/>
      <c r="IF162" s="2042"/>
      <c r="IG162" s="2042"/>
      <c r="IH162" s="2042"/>
      <c r="II162" s="2042"/>
      <c r="IJ162" s="2042"/>
    </row>
    <row r="163" spans="25:244" ht="15.75" customHeight="1" x14ac:dyDescent="0.2">
      <c r="Y163" s="510"/>
      <c r="Z163" s="510"/>
      <c r="AA163" s="510"/>
      <c r="AB163" s="510"/>
      <c r="AC163" s="510"/>
      <c r="AD163" s="510"/>
      <c r="AE163" s="510"/>
      <c r="AF163" s="510"/>
      <c r="AG163" s="510"/>
      <c r="AH163" s="510"/>
      <c r="AI163" s="510"/>
      <c r="AJ163" s="510"/>
      <c r="AK163" s="510"/>
      <c r="AL163" s="510"/>
      <c r="AM163" s="510"/>
      <c r="AN163" s="510"/>
      <c r="AR163" s="510"/>
      <c r="AS163" s="510"/>
      <c r="AT163" s="510"/>
      <c r="AU163" s="510"/>
      <c r="AV163" s="510"/>
      <c r="AY163" s="2042"/>
      <c r="AZ163" s="2042"/>
      <c r="BA163" s="2042"/>
      <c r="BB163" s="2042"/>
      <c r="BC163" s="2042"/>
      <c r="BD163" s="2042"/>
      <c r="BP163" s="2043"/>
      <c r="BQ163" s="2042"/>
      <c r="BR163" s="2042"/>
      <c r="BS163" s="2042"/>
      <c r="BT163" s="2042"/>
      <c r="BU163" s="2059"/>
      <c r="BV163" s="2277"/>
      <c r="BW163" s="2277"/>
      <c r="BX163" s="2277"/>
      <c r="BY163" s="2277"/>
      <c r="BZ163" s="2277"/>
      <c r="CA163" s="2277"/>
      <c r="CB163" s="2277"/>
      <c r="CC163" s="2277"/>
      <c r="CD163" s="2277"/>
      <c r="CE163" s="2277"/>
      <c r="CF163" s="2277"/>
      <c r="CG163" s="2277"/>
      <c r="CH163" s="2277"/>
      <c r="CI163" s="2277"/>
      <c r="CJ163" s="2277"/>
      <c r="CK163" s="2277"/>
      <c r="CL163" s="2042"/>
      <c r="CM163" s="2042"/>
      <c r="CN163" s="2042"/>
      <c r="CO163" s="2042"/>
      <c r="CP163" s="2042"/>
      <c r="CQ163" s="2042"/>
      <c r="CR163" s="2042"/>
      <c r="CS163" s="2042"/>
      <c r="CT163" s="2042"/>
      <c r="CU163" s="2042"/>
      <c r="CV163" s="2042"/>
      <c r="CW163" s="2069">
        <f t="shared" si="312"/>
        <v>0</v>
      </c>
      <c r="CX163" s="2042"/>
      <c r="CY163" s="2042">
        <v>2</v>
      </c>
      <c r="CZ163" s="2042">
        <f t="shared" ref="CZ163:DK163" si="338">IF(AND($BX83&lt;=CZ$2,$BY83&gt;=CZ$2),$CQ83,0)</f>
        <v>0</v>
      </c>
      <c r="DA163" s="2042">
        <f t="shared" si="338"/>
        <v>0</v>
      </c>
      <c r="DB163" s="2042">
        <f t="shared" si="338"/>
        <v>0</v>
      </c>
      <c r="DC163" s="2042">
        <f t="shared" si="338"/>
        <v>0</v>
      </c>
      <c r="DD163" s="2042">
        <f t="shared" si="338"/>
        <v>0</v>
      </c>
      <c r="DE163" s="2042">
        <f t="shared" si="338"/>
        <v>0</v>
      </c>
      <c r="DF163" s="2042">
        <f t="shared" si="338"/>
        <v>0</v>
      </c>
      <c r="DG163" s="2042">
        <f t="shared" si="338"/>
        <v>0</v>
      </c>
      <c r="DH163" s="2042">
        <f t="shared" si="338"/>
        <v>0</v>
      </c>
      <c r="DI163" s="2042">
        <f t="shared" si="338"/>
        <v>0</v>
      </c>
      <c r="DJ163" s="2042">
        <f t="shared" si="338"/>
        <v>0</v>
      </c>
      <c r="DK163" s="2042">
        <f t="shared" si="338"/>
        <v>0</v>
      </c>
      <c r="DL163" s="2042"/>
      <c r="DM163" s="2042">
        <f t="shared" ref="DM163:DX163" si="339">IF(AND($BX83&lt;=DM$2,$BY83&gt;=DM$2),$CS83,0)</f>
        <v>0</v>
      </c>
      <c r="DN163" s="2042">
        <f t="shared" si="339"/>
        <v>0</v>
      </c>
      <c r="DO163" s="2042">
        <f t="shared" si="339"/>
        <v>0</v>
      </c>
      <c r="DP163" s="2042">
        <f t="shared" si="339"/>
        <v>0</v>
      </c>
      <c r="DQ163" s="2042">
        <f t="shared" si="339"/>
        <v>0</v>
      </c>
      <c r="DR163" s="2042">
        <f t="shared" si="339"/>
        <v>0</v>
      </c>
      <c r="DS163" s="2042">
        <f t="shared" si="339"/>
        <v>0</v>
      </c>
      <c r="DT163" s="2042">
        <f t="shared" si="339"/>
        <v>0</v>
      </c>
      <c r="DU163" s="2042">
        <f t="shared" si="339"/>
        <v>0</v>
      </c>
      <c r="DV163" s="2042">
        <f t="shared" si="339"/>
        <v>0</v>
      </c>
      <c r="DW163" s="2042">
        <f t="shared" si="339"/>
        <v>0</v>
      </c>
      <c r="DX163" s="2042">
        <f t="shared" si="339"/>
        <v>0</v>
      </c>
      <c r="DY163" s="2042"/>
      <c r="DZ163" s="2042"/>
      <c r="EA163" s="2042"/>
      <c r="EB163" s="2042"/>
      <c r="EC163" s="2042"/>
      <c r="ED163" s="2042"/>
      <c r="EE163" s="2042"/>
      <c r="EF163" s="2042"/>
      <c r="EG163" s="2042"/>
      <c r="EH163" s="2042"/>
      <c r="EI163" s="2042"/>
      <c r="EJ163" s="2042"/>
      <c r="EK163" s="2042"/>
      <c r="EL163" s="2042"/>
      <c r="EM163" s="2042"/>
      <c r="EN163" s="2042"/>
      <c r="EO163" s="2042"/>
      <c r="EP163" s="2042"/>
      <c r="EQ163" s="2042"/>
      <c r="ER163" s="2042"/>
      <c r="ES163" s="2042"/>
      <c r="ET163" s="2042"/>
      <c r="EU163" s="2042"/>
      <c r="EV163" s="2042"/>
      <c r="EW163" s="2042"/>
      <c r="EX163" s="2042"/>
      <c r="EY163" s="2042"/>
      <c r="EZ163" s="2071">
        <f t="shared" si="315"/>
        <v>0</v>
      </c>
      <c r="FA163" s="2216">
        <f t="shared" si="335"/>
        <v>0</v>
      </c>
      <c r="FB163" s="2216">
        <f t="shared" si="316"/>
        <v>0</v>
      </c>
      <c r="FC163" s="2216">
        <f t="shared" si="317"/>
        <v>0</v>
      </c>
      <c r="FD163" s="2216">
        <f t="shared" si="318"/>
        <v>0</v>
      </c>
      <c r="FE163" s="2216">
        <f t="shared" si="319"/>
        <v>0</v>
      </c>
      <c r="FF163" s="2216">
        <f t="shared" si="320"/>
        <v>0</v>
      </c>
      <c r="FG163" s="2216">
        <f t="shared" si="321"/>
        <v>0</v>
      </c>
      <c r="FH163" s="2216">
        <f t="shared" si="322"/>
        <v>0</v>
      </c>
      <c r="FI163" s="2216">
        <f t="shared" si="323"/>
        <v>0</v>
      </c>
      <c r="FJ163" s="2216">
        <f t="shared" si="324"/>
        <v>0</v>
      </c>
      <c r="FK163" s="2216">
        <f t="shared" si="325"/>
        <v>0</v>
      </c>
      <c r="FL163" s="2216">
        <f t="shared" si="326"/>
        <v>0</v>
      </c>
      <c r="FM163" s="2042"/>
      <c r="FN163" s="2071">
        <f t="shared" si="327"/>
        <v>0</v>
      </c>
      <c r="FO163" s="2216">
        <f t="shared" si="262"/>
        <v>0</v>
      </c>
      <c r="FP163" s="2216">
        <f t="shared" si="263"/>
        <v>0</v>
      </c>
      <c r="FQ163" s="2216">
        <f t="shared" si="264"/>
        <v>0</v>
      </c>
      <c r="FR163" s="2216">
        <f t="shared" si="265"/>
        <v>0</v>
      </c>
      <c r="FS163" s="2216">
        <f t="shared" si="266"/>
        <v>0</v>
      </c>
      <c r="FT163" s="2216">
        <f t="shared" si="267"/>
        <v>0</v>
      </c>
      <c r="FU163" s="2216">
        <f t="shared" si="268"/>
        <v>0</v>
      </c>
      <c r="FV163" s="2216">
        <f t="shared" si="269"/>
        <v>0</v>
      </c>
      <c r="FW163" s="2216">
        <f t="shared" si="270"/>
        <v>0</v>
      </c>
      <c r="FX163" s="2216">
        <f t="shared" si="271"/>
        <v>0</v>
      </c>
      <c r="FY163" s="2216">
        <f t="shared" si="272"/>
        <v>0</v>
      </c>
      <c r="FZ163" s="2216">
        <f t="shared" si="273"/>
        <v>0</v>
      </c>
      <c r="GA163" s="2042"/>
      <c r="GB163" s="2042">
        <f t="shared" si="328"/>
        <v>0</v>
      </c>
      <c r="GC163" s="2042">
        <f t="shared" si="329"/>
        <v>0</v>
      </c>
      <c r="GD163" s="2042"/>
      <c r="GE163" s="2042"/>
      <c r="GF163" s="2042"/>
      <c r="GG163" s="2042"/>
      <c r="GH163" s="2042">
        <f t="shared" si="330"/>
        <v>0</v>
      </c>
      <c r="GI163" s="2042">
        <f t="shared" si="288"/>
        <v>0</v>
      </c>
      <c r="GJ163" s="2042">
        <f t="shared" si="292"/>
        <v>0</v>
      </c>
      <c r="GK163" s="2042">
        <f t="shared" si="293"/>
        <v>0</v>
      </c>
      <c r="GL163" s="2042">
        <f t="shared" si="331"/>
        <v>0</v>
      </c>
      <c r="GM163" s="2042">
        <f t="shared" si="332"/>
        <v>0</v>
      </c>
      <c r="GN163" s="2042">
        <f t="shared" si="310"/>
        <v>0</v>
      </c>
      <c r="GO163" s="2042"/>
      <c r="GP163" s="2042"/>
      <c r="GQ163" s="2042">
        <f t="shared" si="311"/>
        <v>0</v>
      </c>
      <c r="GR163" s="2042">
        <f t="shared" si="303"/>
        <v>0</v>
      </c>
      <c r="GS163" s="2042">
        <f t="shared" si="306"/>
        <v>0</v>
      </c>
      <c r="GT163" s="2042">
        <f t="shared" si="309"/>
        <v>0</v>
      </c>
      <c r="GU163" s="2045" t="str">
        <f t="shared" si="175"/>
        <v xml:space="preserve"> </v>
      </c>
      <c r="GV163" s="2042"/>
      <c r="GW163" s="2054">
        <f t="shared" si="294"/>
        <v>0</v>
      </c>
      <c r="GX163" s="2042">
        <f t="shared" si="295"/>
        <v>0</v>
      </c>
      <c r="GY163" s="2042" t="str">
        <f t="shared" si="291"/>
        <v>a</v>
      </c>
      <c r="GZ163" s="2055">
        <f t="shared" si="296"/>
        <v>0</v>
      </c>
      <c r="HA163" s="2055">
        <f t="shared" si="297"/>
        <v>0</v>
      </c>
      <c r="HB163" s="2055"/>
      <c r="HC163" s="2046">
        <f t="shared" si="298"/>
        <v>0</v>
      </c>
      <c r="HD163" s="2055">
        <f t="shared" si="299"/>
        <v>0</v>
      </c>
      <c r="HE163" s="2055">
        <f t="shared" si="300"/>
        <v>0</v>
      </c>
      <c r="HF163" s="2055">
        <f t="shared" si="301"/>
        <v>0</v>
      </c>
      <c r="HG163" s="2282" cm="1">
        <f t="array" ref="HG163">IF(AND(HE163=0,GJ163=0),0,IF(HE163=0,1,IF(OR(GJ163*1000/HE163/HF163&gt;INDEX(Pflanzen!$AD$122:$AD$160,CX163)/INDEX(Pflanzen!$M$122:$M$160,CX163)*$HG$1,GJ163*1000/HE163/HF163&lt;INDEX(Pflanzen!$AD$122:$AD$160,CX163)/INDEX(Pflanzen!$M$122:$M$160,CX163)/$HG$1),1,0)))</f>
        <v>0</v>
      </c>
      <c r="HH163" s="2287" cm="1">
        <f t="array" ref="HH163">IF(AND(GK163=0,HE163=0),0,IF(HE163=0,1,IF(OR(GK163*1000/HE163/HF163&gt;INDEX(Pflanzen!$AE$122:$AE$160,CX163)/INDEX(Pflanzen!$M$122:$M$160,CX163)*$HG$2,GK163*1000/HE163/HF163&lt;INDEX(Pflanzen!$AE$122:$AE$160,CX163)/INDEX(Pflanzen!$M$122:$M$160,CX163)/$HG$2),1,0)))</f>
        <v>0</v>
      </c>
      <c r="HI163" s="2042">
        <f t="shared" si="302"/>
        <v>3</v>
      </c>
      <c r="HJ163" s="2042"/>
      <c r="HL163" s="2042"/>
      <c r="HM163" s="2042"/>
      <c r="HN163" s="2042"/>
      <c r="HO163" s="2042"/>
      <c r="HP163" s="2042"/>
      <c r="HQ163" s="2042"/>
      <c r="HR163" s="2042"/>
      <c r="HS163" s="2042"/>
      <c r="HT163" s="2042"/>
      <c r="HU163" s="2042"/>
      <c r="HV163" s="2042"/>
      <c r="HW163" s="2042"/>
      <c r="HX163" s="2042"/>
      <c r="HY163" s="2042"/>
      <c r="HZ163" s="2042"/>
      <c r="IA163" s="2042"/>
      <c r="IB163" s="2042"/>
      <c r="IC163" s="2042"/>
      <c r="ID163" s="2042"/>
      <c r="IE163" s="2042"/>
      <c r="IF163" s="2042"/>
      <c r="IG163" s="2042"/>
      <c r="IH163" s="2042"/>
      <c r="II163" s="2042"/>
      <c r="IJ163" s="2042"/>
    </row>
    <row r="164" spans="25:244" ht="15.75" customHeight="1" x14ac:dyDescent="0.2">
      <c r="Y164" s="510"/>
      <c r="Z164" s="510"/>
      <c r="AA164" s="510"/>
      <c r="AB164" s="510"/>
      <c r="AC164" s="510"/>
      <c r="AD164" s="510"/>
      <c r="AE164" s="510"/>
      <c r="AF164" s="510"/>
      <c r="AG164" s="510"/>
      <c r="AH164" s="510"/>
      <c r="AI164" s="510"/>
      <c r="AJ164" s="510"/>
      <c r="AK164" s="510"/>
      <c r="AL164" s="510"/>
      <c r="AM164" s="510"/>
      <c r="AN164" s="510"/>
      <c r="AR164" s="510"/>
      <c r="AS164" s="510"/>
      <c r="AT164" s="510"/>
      <c r="AU164" s="510"/>
      <c r="AV164" s="510"/>
      <c r="AY164" s="2042"/>
      <c r="AZ164" s="2042"/>
      <c r="BA164" s="2042"/>
      <c r="BB164" s="2042"/>
      <c r="BC164" s="2042"/>
      <c r="BD164" s="2042"/>
      <c r="BP164" s="2043"/>
      <c r="BQ164" s="2042"/>
      <c r="BR164" s="2042"/>
      <c r="BS164" s="2042"/>
      <c r="BT164" s="2042"/>
      <c r="BU164" s="2059"/>
      <c r="BV164" s="2277"/>
      <c r="BW164" s="2277"/>
      <c r="BX164" s="2277"/>
      <c r="BY164" s="2277"/>
      <c r="BZ164" s="2277"/>
      <c r="CA164" s="2277"/>
      <c r="CB164" s="2277"/>
      <c r="CC164" s="2277"/>
      <c r="CD164" s="2277"/>
      <c r="CE164" s="2277"/>
      <c r="CF164" s="2277"/>
      <c r="CG164" s="2277"/>
      <c r="CH164" s="2277"/>
      <c r="CI164" s="2277"/>
      <c r="CJ164" s="2277"/>
      <c r="CK164" s="2277"/>
      <c r="CL164" s="2042"/>
      <c r="CM164" s="2042"/>
      <c r="CN164" s="2042"/>
      <c r="CO164" s="2042"/>
      <c r="CP164" s="2042"/>
      <c r="CQ164" s="2042"/>
      <c r="CR164" s="2042"/>
      <c r="CS164" s="2042"/>
      <c r="CT164" s="2042"/>
      <c r="CU164" s="2042"/>
      <c r="CV164" s="2042"/>
      <c r="CW164" s="2069">
        <f t="shared" si="312"/>
        <v>0</v>
      </c>
      <c r="CX164" s="2042"/>
      <c r="CY164" s="2042">
        <v>2</v>
      </c>
      <c r="CZ164" s="2042">
        <f t="shared" ref="CZ164:DK164" si="340">IF(AND($BX84&lt;=CZ$2,$BY84&gt;=CZ$2),$CQ84,0)</f>
        <v>0</v>
      </c>
      <c r="DA164" s="2042">
        <f t="shared" si="340"/>
        <v>0</v>
      </c>
      <c r="DB164" s="2042">
        <f t="shared" si="340"/>
        <v>0</v>
      </c>
      <c r="DC164" s="2042">
        <f t="shared" si="340"/>
        <v>0</v>
      </c>
      <c r="DD164" s="2042">
        <f t="shared" si="340"/>
        <v>0</v>
      </c>
      <c r="DE164" s="2042">
        <f t="shared" si="340"/>
        <v>0</v>
      </c>
      <c r="DF164" s="2042">
        <f t="shared" si="340"/>
        <v>0</v>
      </c>
      <c r="DG164" s="2042">
        <f t="shared" si="340"/>
        <v>0</v>
      </c>
      <c r="DH164" s="2042">
        <f t="shared" si="340"/>
        <v>0</v>
      </c>
      <c r="DI164" s="2042">
        <f t="shared" si="340"/>
        <v>0</v>
      </c>
      <c r="DJ164" s="2042">
        <f t="shared" si="340"/>
        <v>0</v>
      </c>
      <c r="DK164" s="2042">
        <f t="shared" si="340"/>
        <v>0</v>
      </c>
      <c r="DL164" s="2042"/>
      <c r="DM164" s="2042">
        <f t="shared" ref="DM164:DX164" si="341">IF(AND($BX84&lt;=DM$2,$BY84&gt;=DM$2),$CS84,0)</f>
        <v>0</v>
      </c>
      <c r="DN164" s="2042">
        <f t="shared" si="341"/>
        <v>0</v>
      </c>
      <c r="DO164" s="2042">
        <f t="shared" si="341"/>
        <v>0</v>
      </c>
      <c r="DP164" s="2042">
        <f t="shared" si="341"/>
        <v>0</v>
      </c>
      <c r="DQ164" s="2042">
        <f t="shared" si="341"/>
        <v>0</v>
      </c>
      <c r="DR164" s="2042">
        <f t="shared" si="341"/>
        <v>0</v>
      </c>
      <c r="DS164" s="2042">
        <f t="shared" si="341"/>
        <v>0</v>
      </c>
      <c r="DT164" s="2042">
        <f t="shared" si="341"/>
        <v>0</v>
      </c>
      <c r="DU164" s="2042">
        <f t="shared" si="341"/>
        <v>0</v>
      </c>
      <c r="DV164" s="2042">
        <f t="shared" si="341"/>
        <v>0</v>
      </c>
      <c r="DW164" s="2042">
        <f t="shared" si="341"/>
        <v>0</v>
      </c>
      <c r="DX164" s="2042">
        <f t="shared" si="341"/>
        <v>0</v>
      </c>
      <c r="DY164" s="2042"/>
      <c r="DZ164" s="2042"/>
      <c r="EA164" s="2042"/>
      <c r="EB164" s="2042"/>
      <c r="EC164" s="2042"/>
      <c r="ED164" s="2042"/>
      <c r="EE164" s="2042"/>
      <c r="EF164" s="2042"/>
      <c r="EG164" s="2042"/>
      <c r="EH164" s="2042"/>
      <c r="EI164" s="2042"/>
      <c r="EJ164" s="2042"/>
      <c r="EK164" s="2042"/>
      <c r="EL164" s="2042"/>
      <c r="EM164" s="2042"/>
      <c r="EN164" s="2042"/>
      <c r="EO164" s="2042"/>
      <c r="EP164" s="2042"/>
      <c r="EQ164" s="2042"/>
      <c r="ER164" s="2042"/>
      <c r="ES164" s="2042"/>
      <c r="ET164" s="2042"/>
      <c r="EU164" s="2042"/>
      <c r="EV164" s="2042"/>
      <c r="EW164" s="2042"/>
      <c r="EX164" s="2042"/>
      <c r="EY164" s="2042"/>
      <c r="EZ164" s="2071">
        <f t="shared" si="315"/>
        <v>0</v>
      </c>
      <c r="FA164" s="2042">
        <f t="shared" si="335"/>
        <v>0</v>
      </c>
      <c r="FB164" s="2042">
        <f t="shared" si="316"/>
        <v>0</v>
      </c>
      <c r="FC164" s="2042">
        <f t="shared" si="317"/>
        <v>0</v>
      </c>
      <c r="FD164" s="2042">
        <f t="shared" si="318"/>
        <v>0</v>
      </c>
      <c r="FE164" s="2042">
        <f t="shared" si="319"/>
        <v>0</v>
      </c>
      <c r="FF164" s="2042">
        <f t="shared" si="320"/>
        <v>0</v>
      </c>
      <c r="FG164" s="2042">
        <f t="shared" si="321"/>
        <v>0</v>
      </c>
      <c r="FH164" s="2042">
        <f t="shared" si="322"/>
        <v>0</v>
      </c>
      <c r="FI164" s="2042">
        <f t="shared" si="323"/>
        <v>0</v>
      </c>
      <c r="FJ164" s="2042">
        <f t="shared" si="324"/>
        <v>0</v>
      </c>
      <c r="FK164" s="2042">
        <f t="shared" si="325"/>
        <v>0</v>
      </c>
      <c r="FL164" s="2042">
        <f t="shared" si="326"/>
        <v>0</v>
      </c>
      <c r="FM164" s="2042"/>
      <c r="FN164" s="2071">
        <f t="shared" si="327"/>
        <v>0</v>
      </c>
      <c r="FO164" s="2216">
        <f t="shared" si="262"/>
        <v>0</v>
      </c>
      <c r="FP164" s="2216">
        <f t="shared" si="263"/>
        <v>0</v>
      </c>
      <c r="FQ164" s="2216">
        <f t="shared" si="264"/>
        <v>0</v>
      </c>
      <c r="FR164" s="2216">
        <f t="shared" si="265"/>
        <v>0</v>
      </c>
      <c r="FS164" s="2216">
        <f t="shared" si="266"/>
        <v>0</v>
      </c>
      <c r="FT164" s="2216">
        <f t="shared" si="267"/>
        <v>0</v>
      </c>
      <c r="FU164" s="2216">
        <f t="shared" si="268"/>
        <v>0</v>
      </c>
      <c r="FV164" s="2216">
        <f t="shared" si="269"/>
        <v>0</v>
      </c>
      <c r="FW164" s="2216">
        <f t="shared" si="270"/>
        <v>0</v>
      </c>
      <c r="FX164" s="2216">
        <f t="shared" si="271"/>
        <v>0</v>
      </c>
      <c r="FY164" s="2216">
        <f t="shared" si="272"/>
        <v>0</v>
      </c>
      <c r="FZ164" s="2216">
        <f t="shared" si="273"/>
        <v>0</v>
      </c>
      <c r="GA164" s="2042"/>
      <c r="GB164" s="2042">
        <f t="shared" si="328"/>
        <v>0</v>
      </c>
      <c r="GC164" s="2042">
        <f t="shared" si="329"/>
        <v>0</v>
      </c>
      <c r="GD164" s="2042"/>
      <c r="GE164" s="2042"/>
      <c r="GF164" s="2042"/>
      <c r="GG164" s="2042"/>
      <c r="GH164" s="2042">
        <f t="shared" si="330"/>
        <v>0</v>
      </c>
      <c r="GI164" s="2042">
        <f t="shared" si="288"/>
        <v>0</v>
      </c>
      <c r="GJ164" s="2042">
        <f t="shared" si="292"/>
        <v>0</v>
      </c>
      <c r="GK164" s="2042">
        <f t="shared" si="293"/>
        <v>0</v>
      </c>
      <c r="GL164" s="2042">
        <f t="shared" si="331"/>
        <v>0</v>
      </c>
      <c r="GM164" s="2042">
        <f t="shared" si="332"/>
        <v>0</v>
      </c>
      <c r="GN164" s="2042">
        <f t="shared" si="310"/>
        <v>0</v>
      </c>
      <c r="GO164" s="2042"/>
      <c r="GP164" s="2042"/>
      <c r="GQ164" s="2042">
        <f t="shared" si="311"/>
        <v>0</v>
      </c>
      <c r="GR164" s="2042">
        <f t="shared" si="303"/>
        <v>0</v>
      </c>
      <c r="GS164" s="2042">
        <f t="shared" si="306"/>
        <v>0</v>
      </c>
      <c r="GT164" s="2042">
        <f t="shared" si="309"/>
        <v>0</v>
      </c>
      <c r="GU164" s="2045" t="str">
        <f t="shared" si="175"/>
        <v xml:space="preserve"> </v>
      </c>
      <c r="GV164" s="2042"/>
      <c r="GW164" s="2054">
        <f t="shared" si="294"/>
        <v>0</v>
      </c>
      <c r="GX164" s="2042">
        <f t="shared" si="295"/>
        <v>0</v>
      </c>
      <c r="GY164" s="2042" t="str">
        <f t="shared" si="291"/>
        <v>a</v>
      </c>
      <c r="GZ164" s="2055">
        <f t="shared" si="296"/>
        <v>0</v>
      </c>
      <c r="HA164" s="2055">
        <f t="shared" si="297"/>
        <v>0</v>
      </c>
      <c r="HB164" s="2055"/>
      <c r="HC164" s="2046">
        <f t="shared" si="298"/>
        <v>0</v>
      </c>
      <c r="HD164" s="2055">
        <f t="shared" si="299"/>
        <v>0</v>
      </c>
      <c r="HE164" s="2055">
        <f t="shared" si="300"/>
        <v>0</v>
      </c>
      <c r="HF164" s="2055">
        <f t="shared" si="301"/>
        <v>0</v>
      </c>
      <c r="HG164" s="2282" cm="1">
        <f t="array" ref="HG164">IF(AND(HE164=0,GJ164=0),0,IF(HE164=0,1,IF(OR(GJ164*1000/HE164/HF164&gt;INDEX(Pflanzen!$AD$122:$AD$160,CX164)/INDEX(Pflanzen!$M$122:$M$160,CX164)*$HG$1,GJ164*1000/HE164/HF164&lt;INDEX(Pflanzen!$AD$122:$AD$160,CX164)/INDEX(Pflanzen!$M$122:$M$160,CX164)/$HG$1),1,0)))</f>
        <v>0</v>
      </c>
      <c r="HH164" s="2287" cm="1">
        <f t="array" ref="HH164">IF(AND(GK164=0,HE164=0),0,IF(HE164=0,1,IF(OR(GK164*1000/HE164/HF164&gt;INDEX(Pflanzen!$AE$122:$AE$160,CX164)/INDEX(Pflanzen!$M$122:$M$160,CX164)*$HG$2,GK164*1000/HE164/HF164&lt;INDEX(Pflanzen!$AE$122:$AE$160,CX164)/INDEX(Pflanzen!$M$122:$M$160,CX164)/$HG$2),1,0)))</f>
        <v>0</v>
      </c>
      <c r="HI164" s="2042">
        <f t="shared" si="302"/>
        <v>3</v>
      </c>
      <c r="HJ164" s="2042"/>
      <c r="HL164" s="2042"/>
      <c r="HM164" s="2042"/>
      <c r="HN164" s="2042"/>
      <c r="HO164" s="2042"/>
      <c r="HP164" s="2042"/>
      <c r="HQ164" s="2042"/>
      <c r="HR164" s="2042"/>
      <c r="HS164" s="2042"/>
      <c r="HT164" s="2042"/>
      <c r="HU164" s="2042"/>
      <c r="HV164" s="2042"/>
      <c r="HW164" s="2042"/>
      <c r="HX164" s="2042"/>
      <c r="HY164" s="2042"/>
      <c r="HZ164" s="2042"/>
      <c r="IA164" s="2042"/>
      <c r="IB164" s="2042"/>
      <c r="IC164" s="2042"/>
      <c r="ID164" s="2042"/>
      <c r="IE164" s="2042"/>
      <c r="IF164" s="2042"/>
      <c r="IG164" s="2042"/>
      <c r="IH164" s="2042"/>
      <c r="II164" s="2042"/>
      <c r="IJ164" s="2042"/>
    </row>
    <row r="165" spans="25:244" ht="15.75" customHeight="1" x14ac:dyDescent="0.2">
      <c r="Y165" s="510"/>
      <c r="Z165" s="510"/>
      <c r="AA165" s="510"/>
      <c r="AB165" s="510"/>
      <c r="AC165" s="510"/>
      <c r="AD165" s="510"/>
      <c r="AE165" s="510"/>
      <c r="AF165" s="510"/>
      <c r="AG165" s="510"/>
      <c r="AH165" s="510"/>
      <c r="AI165" s="510"/>
      <c r="AJ165" s="510"/>
      <c r="AK165" s="510"/>
      <c r="AL165" s="510"/>
      <c r="AM165" s="510"/>
      <c r="AN165" s="510"/>
      <c r="AR165" s="510"/>
      <c r="AS165" s="510"/>
      <c r="AT165" s="510"/>
      <c r="AU165" s="510"/>
      <c r="AV165" s="510"/>
      <c r="AY165" s="2042"/>
      <c r="AZ165" s="2042"/>
      <c r="BA165" s="2042"/>
      <c r="BB165" s="2042"/>
      <c r="BC165" s="2042"/>
      <c r="BD165" s="2042"/>
      <c r="BP165" s="2043"/>
      <c r="BQ165" s="2042"/>
      <c r="BR165" s="2042"/>
      <c r="BS165" s="2042"/>
      <c r="BT165" s="2042"/>
      <c r="BU165" s="2059"/>
      <c r="BV165" s="2277"/>
      <c r="BW165" s="2277"/>
      <c r="BX165" s="2277"/>
      <c r="BY165" s="2277"/>
      <c r="BZ165" s="2277"/>
      <c r="CA165" s="2277"/>
      <c r="CB165" s="2277"/>
      <c r="CC165" s="2277"/>
      <c r="CD165" s="2277"/>
      <c r="CE165" s="2277"/>
      <c r="CF165" s="2277"/>
      <c r="CG165" s="2277"/>
      <c r="CH165" s="2277"/>
      <c r="CI165" s="2277"/>
      <c r="CJ165" s="2277"/>
      <c r="CK165" s="2277"/>
      <c r="CL165" s="2042"/>
      <c r="CM165" s="2042"/>
      <c r="CN165" s="2042"/>
      <c r="CO165" s="2042"/>
      <c r="CP165" s="2042"/>
      <c r="CQ165" s="2042"/>
      <c r="CR165" s="2042"/>
      <c r="CS165" s="2042"/>
      <c r="CT165" s="2042"/>
      <c r="CU165" s="2042"/>
      <c r="CV165" s="2042"/>
      <c r="CW165" s="2069">
        <f t="shared" si="312"/>
        <v>0</v>
      </c>
      <c r="CX165" s="2042"/>
      <c r="CY165" s="2042">
        <v>2</v>
      </c>
      <c r="CZ165" s="2042">
        <f t="shared" ref="CZ165:DK165" si="342">IF(AND($BX85&lt;=CZ$2,$BY85&gt;=CZ$2),$CQ85,0)</f>
        <v>0</v>
      </c>
      <c r="DA165" s="2042">
        <f t="shared" si="342"/>
        <v>0</v>
      </c>
      <c r="DB165" s="2042">
        <f t="shared" si="342"/>
        <v>0</v>
      </c>
      <c r="DC165" s="2042">
        <f t="shared" si="342"/>
        <v>0</v>
      </c>
      <c r="DD165" s="2042">
        <f t="shared" si="342"/>
        <v>0</v>
      </c>
      <c r="DE165" s="2042">
        <f t="shared" si="342"/>
        <v>0</v>
      </c>
      <c r="DF165" s="2042">
        <f t="shared" si="342"/>
        <v>0</v>
      </c>
      <c r="DG165" s="2042">
        <f t="shared" si="342"/>
        <v>0</v>
      </c>
      <c r="DH165" s="2042">
        <f t="shared" si="342"/>
        <v>0</v>
      </c>
      <c r="DI165" s="2042">
        <f t="shared" si="342"/>
        <v>0</v>
      </c>
      <c r="DJ165" s="2042">
        <f t="shared" si="342"/>
        <v>0</v>
      </c>
      <c r="DK165" s="2042">
        <f t="shared" si="342"/>
        <v>0</v>
      </c>
      <c r="DL165" s="2042"/>
      <c r="DM165" s="2042">
        <f t="shared" ref="DM165:DX165" si="343">IF(AND($BX85&lt;=DM$2,$BY85&gt;=DM$2),$CS85,0)</f>
        <v>0</v>
      </c>
      <c r="DN165" s="2042">
        <f t="shared" si="343"/>
        <v>0</v>
      </c>
      <c r="DO165" s="2042">
        <f t="shared" si="343"/>
        <v>0</v>
      </c>
      <c r="DP165" s="2042">
        <f t="shared" si="343"/>
        <v>0</v>
      </c>
      <c r="DQ165" s="2042">
        <f t="shared" si="343"/>
        <v>0</v>
      </c>
      <c r="DR165" s="2042">
        <f t="shared" si="343"/>
        <v>0</v>
      </c>
      <c r="DS165" s="2042">
        <f t="shared" si="343"/>
        <v>0</v>
      </c>
      <c r="DT165" s="2042">
        <f t="shared" si="343"/>
        <v>0</v>
      </c>
      <c r="DU165" s="2042">
        <f t="shared" si="343"/>
        <v>0</v>
      </c>
      <c r="DV165" s="2042">
        <f t="shared" si="343"/>
        <v>0</v>
      </c>
      <c r="DW165" s="2042">
        <f t="shared" si="343"/>
        <v>0</v>
      </c>
      <c r="DX165" s="2042">
        <f t="shared" si="343"/>
        <v>0</v>
      </c>
      <c r="DY165" s="2042"/>
      <c r="DZ165" s="2042"/>
      <c r="EA165" s="2042"/>
      <c r="EB165" s="2042"/>
      <c r="EC165" s="2042"/>
      <c r="ED165" s="2042"/>
      <c r="EE165" s="2042"/>
      <c r="EF165" s="2042"/>
      <c r="EG165" s="2042"/>
      <c r="EH165" s="2042"/>
      <c r="EI165" s="2042"/>
      <c r="EJ165" s="2042"/>
      <c r="EK165" s="2042"/>
      <c r="EL165" s="2042"/>
      <c r="EM165" s="2042"/>
      <c r="EN165" s="2042"/>
      <c r="EO165" s="2042"/>
      <c r="EP165" s="2042"/>
      <c r="EQ165" s="2042"/>
      <c r="ER165" s="2042"/>
      <c r="ES165" s="2042"/>
      <c r="ET165" s="2042"/>
      <c r="EU165" s="2042"/>
      <c r="EV165" s="2042"/>
      <c r="EW165" s="2042"/>
      <c r="EX165" s="2042"/>
      <c r="EY165" s="2042"/>
      <c r="EZ165" s="2071">
        <f t="shared" si="315"/>
        <v>0</v>
      </c>
      <c r="FA165" s="2042">
        <f t="shared" si="335"/>
        <v>0</v>
      </c>
      <c r="FB165" s="2042">
        <f t="shared" si="316"/>
        <v>0</v>
      </c>
      <c r="FC165" s="2042">
        <f t="shared" si="317"/>
        <v>0</v>
      </c>
      <c r="FD165" s="2042">
        <f t="shared" si="318"/>
        <v>0</v>
      </c>
      <c r="FE165" s="2042">
        <f t="shared" si="319"/>
        <v>0</v>
      </c>
      <c r="FF165" s="2042">
        <f t="shared" si="320"/>
        <v>0</v>
      </c>
      <c r="FG165" s="2042">
        <f t="shared" si="321"/>
        <v>0</v>
      </c>
      <c r="FH165" s="2042">
        <f t="shared" si="322"/>
        <v>0</v>
      </c>
      <c r="FI165" s="2042">
        <f t="shared" si="323"/>
        <v>0</v>
      </c>
      <c r="FJ165" s="2042">
        <f t="shared" si="324"/>
        <v>0</v>
      </c>
      <c r="FK165" s="2042">
        <f t="shared" si="325"/>
        <v>0</v>
      </c>
      <c r="FL165" s="2042">
        <f t="shared" si="326"/>
        <v>0</v>
      </c>
      <c r="FM165" s="2042"/>
      <c r="FN165" s="2071">
        <f t="shared" si="327"/>
        <v>0</v>
      </c>
      <c r="FO165" s="2216">
        <f t="shared" si="262"/>
        <v>0</v>
      </c>
      <c r="FP165" s="2216">
        <f t="shared" si="263"/>
        <v>0</v>
      </c>
      <c r="FQ165" s="2216">
        <f t="shared" si="264"/>
        <v>0</v>
      </c>
      <c r="FR165" s="2216">
        <f t="shared" si="265"/>
        <v>0</v>
      </c>
      <c r="FS165" s="2216">
        <f t="shared" si="266"/>
        <v>0</v>
      </c>
      <c r="FT165" s="2216">
        <f t="shared" si="267"/>
        <v>0</v>
      </c>
      <c r="FU165" s="2216">
        <f t="shared" si="268"/>
        <v>0</v>
      </c>
      <c r="FV165" s="2216">
        <f t="shared" si="269"/>
        <v>0</v>
      </c>
      <c r="FW165" s="2216">
        <f t="shared" si="270"/>
        <v>0</v>
      </c>
      <c r="FX165" s="2216">
        <f t="shared" si="271"/>
        <v>0</v>
      </c>
      <c r="FY165" s="2216">
        <f t="shared" si="272"/>
        <v>0</v>
      </c>
      <c r="FZ165" s="2216">
        <f t="shared" si="273"/>
        <v>0</v>
      </c>
      <c r="GA165" s="2042"/>
      <c r="GB165" s="2042">
        <f t="shared" si="328"/>
        <v>0</v>
      </c>
      <c r="GC165" s="2042">
        <f t="shared" si="329"/>
        <v>0</v>
      </c>
      <c r="GD165" s="2042"/>
      <c r="GE165" s="2042"/>
      <c r="GF165" s="2042"/>
      <c r="GG165" s="2042"/>
      <c r="GH165" s="2042">
        <f t="shared" si="330"/>
        <v>0</v>
      </c>
      <c r="GI165" s="2042">
        <f t="shared" si="288"/>
        <v>0</v>
      </c>
      <c r="GJ165" s="2042">
        <f t="shared" si="292"/>
        <v>0</v>
      </c>
      <c r="GK165" s="2042">
        <f t="shared" si="293"/>
        <v>0</v>
      </c>
      <c r="GL165" s="2042">
        <f t="shared" si="331"/>
        <v>0</v>
      </c>
      <c r="GM165" s="2042">
        <f t="shared" si="332"/>
        <v>0</v>
      </c>
      <c r="GN165" s="2042">
        <f t="shared" si="310"/>
        <v>0</v>
      </c>
      <c r="GO165" s="2042"/>
      <c r="GP165" s="2042"/>
      <c r="GQ165" s="2042">
        <f t="shared" si="311"/>
        <v>0</v>
      </c>
      <c r="GR165" s="2042">
        <f t="shared" si="303"/>
        <v>0</v>
      </c>
      <c r="GS165" s="2042">
        <f t="shared" si="306"/>
        <v>0</v>
      </c>
      <c r="GT165" s="2042">
        <f t="shared" si="309"/>
        <v>0</v>
      </c>
      <c r="GU165" s="2045" t="str">
        <f t="shared" si="175"/>
        <v xml:space="preserve"> </v>
      </c>
      <c r="GV165" s="2042"/>
      <c r="GW165" s="2054">
        <f t="shared" si="294"/>
        <v>0</v>
      </c>
      <c r="GX165" s="2042">
        <f t="shared" si="295"/>
        <v>0</v>
      </c>
      <c r="GY165" s="2042" t="str">
        <f t="shared" si="291"/>
        <v>a</v>
      </c>
      <c r="GZ165" s="2055">
        <f t="shared" si="296"/>
        <v>0</v>
      </c>
      <c r="HA165" s="2055">
        <f t="shared" si="297"/>
        <v>0</v>
      </c>
      <c r="HB165" s="2055"/>
      <c r="HC165" s="2046">
        <f t="shared" si="298"/>
        <v>0</v>
      </c>
      <c r="HD165" s="2055">
        <f t="shared" si="299"/>
        <v>0</v>
      </c>
      <c r="HE165" s="2055">
        <f t="shared" si="300"/>
        <v>0</v>
      </c>
      <c r="HF165" s="2055">
        <f t="shared" si="301"/>
        <v>0</v>
      </c>
      <c r="HG165" s="2282" cm="1">
        <f t="array" ref="HG165">IF(AND(HE165=0,GJ165=0),0,IF(HE165=0,1,IF(OR(GJ165*1000/HE165/HF165&gt;INDEX(Pflanzen!$AD$122:$AD$160,CX165)/INDEX(Pflanzen!$M$122:$M$160,CX165)*$HG$1,GJ165*1000/HE165/HF165&lt;INDEX(Pflanzen!$AD$122:$AD$160,CX165)/INDEX(Pflanzen!$M$122:$M$160,CX165)/$HG$1),1,0)))</f>
        <v>0</v>
      </c>
      <c r="HH165" s="2287" cm="1">
        <f t="array" ref="HH165">IF(AND(GK165=0,HE165=0),0,IF(HE165=0,1,IF(OR(GK165*1000/HE165/HF165&gt;INDEX(Pflanzen!$AE$122:$AE$160,CX165)/INDEX(Pflanzen!$M$122:$M$160,CX165)*$HG$2,GK165*1000/HE165/HF165&lt;INDEX(Pflanzen!$AE$122:$AE$160,CX165)/INDEX(Pflanzen!$M$122:$M$160,CX165)/$HG$2),1,0)))</f>
        <v>0</v>
      </c>
      <c r="HI165" s="2042">
        <f t="shared" si="302"/>
        <v>3</v>
      </c>
      <c r="HJ165" s="2042"/>
      <c r="HL165" s="2042"/>
      <c r="HM165" s="2042"/>
      <c r="HN165" s="2042"/>
      <c r="HO165" s="2042"/>
      <c r="HP165" s="2042"/>
      <c r="HQ165" s="2042"/>
      <c r="HR165" s="2042"/>
      <c r="HS165" s="2042"/>
      <c r="HT165" s="2042"/>
      <c r="HU165" s="2042"/>
      <c r="HV165" s="2042"/>
      <c r="HW165" s="2042"/>
      <c r="HX165" s="2042"/>
      <c r="HY165" s="2042"/>
      <c r="HZ165" s="2042"/>
      <c r="IA165" s="2042"/>
      <c r="IB165" s="2042"/>
      <c r="IC165" s="2042"/>
      <c r="ID165" s="2042"/>
      <c r="IE165" s="2042"/>
      <c r="IF165" s="2042"/>
      <c r="IG165" s="2042"/>
      <c r="IH165" s="2042"/>
      <c r="II165" s="2042"/>
      <c r="IJ165" s="2042"/>
    </row>
    <row r="166" spans="25:244" ht="15.75" customHeight="1" x14ac:dyDescent="0.2">
      <c r="Y166" s="510"/>
      <c r="Z166" s="510"/>
      <c r="AA166" s="510"/>
      <c r="AB166" s="510"/>
      <c r="AC166" s="510"/>
      <c r="AD166" s="510"/>
      <c r="AE166" s="510"/>
      <c r="AF166" s="510"/>
      <c r="AG166" s="510"/>
      <c r="AH166" s="510"/>
      <c r="AI166" s="510"/>
      <c r="AJ166" s="510"/>
      <c r="AK166" s="510"/>
      <c r="AL166" s="510"/>
      <c r="AM166" s="510"/>
      <c r="AN166" s="510"/>
      <c r="AR166" s="510"/>
      <c r="AS166" s="510"/>
      <c r="AT166" s="510"/>
      <c r="AU166" s="510"/>
      <c r="AV166" s="510"/>
      <c r="AY166" s="2042"/>
      <c r="AZ166" s="2042"/>
      <c r="BA166" s="2042"/>
      <c r="BB166" s="2042"/>
      <c r="BC166" s="2042"/>
      <c r="BD166" s="2042"/>
      <c r="BP166" s="2043"/>
      <c r="BQ166" s="2042"/>
      <c r="BR166" s="2042"/>
      <c r="BS166" s="2042"/>
      <c r="BT166" s="2042"/>
      <c r="BU166" s="2059"/>
      <c r="BV166" s="2277"/>
      <c r="BW166" s="2277"/>
      <c r="BX166" s="2277"/>
      <c r="BY166" s="2277"/>
      <c r="BZ166" s="2277"/>
      <c r="CA166" s="2277"/>
      <c r="CB166" s="2277"/>
      <c r="CC166" s="2277"/>
      <c r="CD166" s="2277"/>
      <c r="CE166" s="2277"/>
      <c r="CF166" s="2277"/>
      <c r="CG166" s="2277"/>
      <c r="CH166" s="2277"/>
      <c r="CI166" s="2277"/>
      <c r="CJ166" s="2277"/>
      <c r="CK166" s="2277"/>
      <c r="CL166" s="2042"/>
      <c r="CM166" s="2042"/>
      <c r="CN166" s="2042"/>
      <c r="CO166" s="2042"/>
      <c r="CP166" s="2042"/>
      <c r="CQ166" s="2042"/>
      <c r="CR166" s="2042"/>
      <c r="CS166" s="2042"/>
      <c r="CT166" s="2042"/>
      <c r="CU166" s="2042"/>
      <c r="CV166" s="2042"/>
      <c r="CW166" s="2069">
        <f t="shared" si="312"/>
        <v>0</v>
      </c>
      <c r="CX166" s="2042"/>
      <c r="CY166" s="2042">
        <v>2</v>
      </c>
      <c r="CZ166" s="2042">
        <f t="shared" ref="CZ166:DK166" si="344">IF(AND($BX86&lt;=CZ$2,$BY86&gt;=CZ$2),$CQ86,0)</f>
        <v>0</v>
      </c>
      <c r="DA166" s="2042">
        <f t="shared" si="344"/>
        <v>0</v>
      </c>
      <c r="DB166" s="2042">
        <f t="shared" si="344"/>
        <v>0</v>
      </c>
      <c r="DC166" s="2042">
        <f t="shared" si="344"/>
        <v>0</v>
      </c>
      <c r="DD166" s="2042">
        <f t="shared" si="344"/>
        <v>0</v>
      </c>
      <c r="DE166" s="2042">
        <f t="shared" si="344"/>
        <v>0</v>
      </c>
      <c r="DF166" s="2042">
        <f t="shared" si="344"/>
        <v>0</v>
      </c>
      <c r="DG166" s="2042">
        <f t="shared" si="344"/>
        <v>0</v>
      </c>
      <c r="DH166" s="2042">
        <f t="shared" si="344"/>
        <v>0</v>
      </c>
      <c r="DI166" s="2042">
        <f t="shared" si="344"/>
        <v>0</v>
      </c>
      <c r="DJ166" s="2042">
        <f t="shared" si="344"/>
        <v>0</v>
      </c>
      <c r="DK166" s="2042">
        <f t="shared" si="344"/>
        <v>0</v>
      </c>
      <c r="DL166" s="2042"/>
      <c r="DM166" s="2042">
        <f t="shared" ref="DM166:DX166" si="345">IF(AND($BX86&lt;=DM$2,$BY86&gt;=DM$2),$CS86,0)</f>
        <v>0</v>
      </c>
      <c r="DN166" s="2042">
        <f t="shared" si="345"/>
        <v>0</v>
      </c>
      <c r="DO166" s="2042">
        <f t="shared" si="345"/>
        <v>0</v>
      </c>
      <c r="DP166" s="2042">
        <f t="shared" si="345"/>
        <v>0</v>
      </c>
      <c r="DQ166" s="2042">
        <f t="shared" si="345"/>
        <v>0</v>
      </c>
      <c r="DR166" s="2042">
        <f t="shared" si="345"/>
        <v>0</v>
      </c>
      <c r="DS166" s="2042">
        <f t="shared" si="345"/>
        <v>0</v>
      </c>
      <c r="DT166" s="2042">
        <f t="shared" si="345"/>
        <v>0</v>
      </c>
      <c r="DU166" s="2042">
        <f t="shared" si="345"/>
        <v>0</v>
      </c>
      <c r="DV166" s="2042">
        <f t="shared" si="345"/>
        <v>0</v>
      </c>
      <c r="DW166" s="2042">
        <f t="shared" si="345"/>
        <v>0</v>
      </c>
      <c r="DX166" s="2042">
        <f t="shared" si="345"/>
        <v>0</v>
      </c>
      <c r="DY166" s="2042"/>
      <c r="DZ166" s="2042"/>
      <c r="EA166" s="2042"/>
      <c r="EB166" s="2042"/>
      <c r="EC166" s="2042"/>
      <c r="ED166" s="2042"/>
      <c r="EE166" s="2042"/>
      <c r="EF166" s="2042"/>
      <c r="EG166" s="2042"/>
      <c r="EH166" s="2042"/>
      <c r="EI166" s="2042"/>
      <c r="EJ166" s="2042"/>
      <c r="EK166" s="2042"/>
      <c r="EL166" s="2042"/>
      <c r="EM166" s="2042"/>
      <c r="EN166" s="2042"/>
      <c r="EO166" s="2042"/>
      <c r="EP166" s="2042"/>
      <c r="EQ166" s="2042"/>
      <c r="ER166" s="2042"/>
      <c r="ES166" s="2042"/>
      <c r="ET166" s="2042"/>
      <c r="EU166" s="2042"/>
      <c r="EV166" s="2042"/>
      <c r="EW166" s="2042"/>
      <c r="EX166" s="2042"/>
      <c r="EY166" s="2042"/>
      <c r="EZ166" s="2071">
        <f t="shared" si="315"/>
        <v>0</v>
      </c>
      <c r="FA166" s="2042">
        <f t="shared" si="335"/>
        <v>0</v>
      </c>
      <c r="FB166" s="2042">
        <f t="shared" si="316"/>
        <v>0</v>
      </c>
      <c r="FC166" s="2042">
        <f t="shared" si="317"/>
        <v>0</v>
      </c>
      <c r="FD166" s="2042">
        <f t="shared" si="318"/>
        <v>0</v>
      </c>
      <c r="FE166" s="2042">
        <f t="shared" si="319"/>
        <v>0</v>
      </c>
      <c r="FF166" s="2042">
        <f t="shared" si="320"/>
        <v>0</v>
      </c>
      <c r="FG166" s="2042">
        <f t="shared" si="321"/>
        <v>0</v>
      </c>
      <c r="FH166" s="2042">
        <f t="shared" si="322"/>
        <v>0</v>
      </c>
      <c r="FI166" s="2042">
        <f t="shared" si="323"/>
        <v>0</v>
      </c>
      <c r="FJ166" s="2042">
        <f t="shared" si="324"/>
        <v>0</v>
      </c>
      <c r="FK166" s="2042">
        <f t="shared" si="325"/>
        <v>0</v>
      </c>
      <c r="FL166" s="2042">
        <f t="shared" si="326"/>
        <v>0</v>
      </c>
      <c r="FM166" s="2042"/>
      <c r="FN166" s="2071">
        <f t="shared" si="327"/>
        <v>0</v>
      </c>
      <c r="FO166" s="2216">
        <f t="shared" si="262"/>
        <v>0</v>
      </c>
      <c r="FP166" s="2216">
        <f t="shared" si="263"/>
        <v>0</v>
      </c>
      <c r="FQ166" s="2216">
        <f t="shared" si="264"/>
        <v>0</v>
      </c>
      <c r="FR166" s="2216">
        <f t="shared" si="265"/>
        <v>0</v>
      </c>
      <c r="FS166" s="2216">
        <f t="shared" si="266"/>
        <v>0</v>
      </c>
      <c r="FT166" s="2216">
        <f t="shared" si="267"/>
        <v>0</v>
      </c>
      <c r="FU166" s="2216">
        <f t="shared" si="268"/>
        <v>0</v>
      </c>
      <c r="FV166" s="2216">
        <f t="shared" si="269"/>
        <v>0</v>
      </c>
      <c r="FW166" s="2216">
        <f t="shared" si="270"/>
        <v>0</v>
      </c>
      <c r="FX166" s="2216">
        <f t="shared" si="271"/>
        <v>0</v>
      </c>
      <c r="FY166" s="2216">
        <f t="shared" si="272"/>
        <v>0</v>
      </c>
      <c r="FZ166" s="2216">
        <f t="shared" si="273"/>
        <v>0</v>
      </c>
      <c r="GA166" s="2042"/>
      <c r="GB166" s="2042">
        <f t="shared" si="328"/>
        <v>0</v>
      </c>
      <c r="GC166" s="2042">
        <f t="shared" si="329"/>
        <v>0</v>
      </c>
      <c r="GD166" s="2042"/>
      <c r="GE166" s="2042"/>
      <c r="GF166" s="2042"/>
      <c r="GG166" s="2042"/>
      <c r="GH166" s="2042">
        <f t="shared" si="330"/>
        <v>0</v>
      </c>
      <c r="GI166" s="2042">
        <f t="shared" si="288"/>
        <v>0</v>
      </c>
      <c r="GJ166" s="2042">
        <f t="shared" si="292"/>
        <v>0</v>
      </c>
      <c r="GK166" s="2042">
        <f t="shared" si="293"/>
        <v>0</v>
      </c>
      <c r="GL166" s="2042">
        <f t="shared" si="331"/>
        <v>0</v>
      </c>
      <c r="GM166" s="2042">
        <f t="shared" si="332"/>
        <v>0</v>
      </c>
      <c r="GN166" s="2042">
        <f t="shared" si="310"/>
        <v>0</v>
      </c>
      <c r="GO166" s="2042"/>
      <c r="GP166" s="2042"/>
      <c r="GQ166" s="2042">
        <f t="shared" si="311"/>
        <v>0</v>
      </c>
      <c r="GR166" s="2042">
        <f t="shared" si="303"/>
        <v>0</v>
      </c>
      <c r="GS166" s="2042">
        <f t="shared" si="306"/>
        <v>0</v>
      </c>
      <c r="GT166" s="2042">
        <f t="shared" si="309"/>
        <v>0</v>
      </c>
      <c r="GU166" s="2045" t="str">
        <f t="shared" si="175"/>
        <v xml:space="preserve"> </v>
      </c>
      <c r="GV166" s="2042"/>
      <c r="GW166" s="2054">
        <f t="shared" si="294"/>
        <v>0</v>
      </c>
      <c r="GX166" s="2042">
        <f t="shared" si="295"/>
        <v>0</v>
      </c>
      <c r="GY166" s="2042" t="str">
        <f t="shared" si="291"/>
        <v>a</v>
      </c>
      <c r="GZ166" s="2055">
        <f t="shared" si="296"/>
        <v>0</v>
      </c>
      <c r="HA166" s="2055">
        <f t="shared" si="297"/>
        <v>0</v>
      </c>
      <c r="HB166" s="2055"/>
      <c r="HC166" s="2046">
        <f t="shared" si="298"/>
        <v>0</v>
      </c>
      <c r="HD166" s="2055">
        <f t="shared" si="299"/>
        <v>0</v>
      </c>
      <c r="HE166" s="2055">
        <f t="shared" si="300"/>
        <v>0</v>
      </c>
      <c r="HF166" s="2055">
        <f t="shared" si="301"/>
        <v>0</v>
      </c>
      <c r="HG166" s="2282" cm="1">
        <f t="array" ref="HG166">IF(AND(HE166=0,GJ166=0),0,IF(HE166=0,1,IF(OR(GJ166*1000/HE166/HF166&gt;INDEX(Pflanzen!$AD$122:$AD$160,CX166)/INDEX(Pflanzen!$M$122:$M$160,CX166)*$HG$1,GJ166*1000/HE166/HF166&lt;INDEX(Pflanzen!$AD$122:$AD$160,CX166)/INDEX(Pflanzen!$M$122:$M$160,CX166)/$HG$1),1,0)))</f>
        <v>0</v>
      </c>
      <c r="HH166" s="2287" cm="1">
        <f t="array" ref="HH166">IF(AND(GK166=0,HE166=0),0,IF(HE166=0,1,IF(OR(GK166*1000/HE166/HF166&gt;INDEX(Pflanzen!$AE$122:$AE$160,CX166)/INDEX(Pflanzen!$M$122:$M$160,CX166)*$HG$2,GK166*1000/HE166/HF166&lt;INDEX(Pflanzen!$AE$122:$AE$160,CX166)/INDEX(Pflanzen!$M$122:$M$160,CX166)/$HG$2),1,0)))</f>
        <v>0</v>
      </c>
      <c r="HI166" s="2042">
        <f t="shared" si="302"/>
        <v>3</v>
      </c>
      <c r="HJ166" s="2042"/>
      <c r="HL166" s="2042"/>
      <c r="HM166" s="2042"/>
      <c r="HN166" s="2042"/>
      <c r="HO166" s="2042"/>
      <c r="HP166" s="2042"/>
      <c r="HQ166" s="2042"/>
      <c r="HR166" s="2042"/>
      <c r="HS166" s="2042"/>
      <c r="HT166" s="2042"/>
      <c r="HU166" s="2042"/>
      <c r="HV166" s="2042"/>
      <c r="HW166" s="2042"/>
      <c r="HX166" s="2042"/>
      <c r="HY166" s="2042"/>
      <c r="HZ166" s="2042"/>
      <c r="IA166" s="2042"/>
      <c r="IB166" s="2042"/>
      <c r="IC166" s="2042"/>
      <c r="ID166" s="2042"/>
      <c r="IE166" s="2042"/>
      <c r="IF166" s="2042"/>
      <c r="IG166" s="2042"/>
      <c r="IH166" s="2042"/>
      <c r="II166" s="2042"/>
      <c r="IJ166" s="2042"/>
    </row>
    <row r="167" spans="25:244" ht="15.75" customHeight="1" x14ac:dyDescent="0.2">
      <c r="Y167" s="510"/>
      <c r="Z167" s="510"/>
      <c r="AA167" s="510"/>
      <c r="AB167" s="510"/>
      <c r="AC167" s="510"/>
      <c r="AD167" s="510"/>
      <c r="AE167" s="510"/>
      <c r="AF167" s="510"/>
      <c r="AG167" s="510"/>
      <c r="AH167" s="510"/>
      <c r="AI167" s="510"/>
      <c r="AJ167" s="510"/>
      <c r="AK167" s="510"/>
      <c r="AL167" s="510"/>
      <c r="AM167" s="510"/>
      <c r="AN167" s="510"/>
      <c r="AR167" s="510"/>
      <c r="AS167" s="510"/>
      <c r="AT167" s="510"/>
      <c r="AU167" s="510"/>
      <c r="AV167" s="510"/>
      <c r="AY167" s="2042"/>
      <c r="AZ167" s="2042"/>
      <c r="BA167" s="2042"/>
      <c r="BB167" s="2042"/>
      <c r="BC167" s="2042"/>
      <c r="BD167" s="2042"/>
      <c r="BP167" s="2043"/>
      <c r="BQ167" s="2042"/>
      <c r="BR167" s="2042"/>
      <c r="BS167" s="2042"/>
      <c r="BT167" s="2042"/>
      <c r="BU167" s="2059"/>
      <c r="BV167" s="2277"/>
      <c r="BW167" s="2277"/>
      <c r="BX167" s="2277"/>
      <c r="BY167" s="2277"/>
      <c r="BZ167" s="2277"/>
      <c r="CA167" s="2277"/>
      <c r="CB167" s="2277"/>
      <c r="CC167" s="2277"/>
      <c r="CD167" s="2277"/>
      <c r="CE167" s="2277"/>
      <c r="CF167" s="2277"/>
      <c r="CG167" s="2277"/>
      <c r="CH167" s="2277"/>
      <c r="CI167" s="2277"/>
      <c r="CJ167" s="2277"/>
      <c r="CK167" s="2277"/>
      <c r="CL167" s="2042"/>
      <c r="CM167" s="2042"/>
      <c r="CN167" s="2042"/>
      <c r="CO167" s="2042"/>
      <c r="CP167" s="2042"/>
      <c r="CQ167" s="2042"/>
      <c r="CR167" s="2042"/>
      <c r="CS167" s="2042"/>
      <c r="CT167" s="2042"/>
      <c r="CU167" s="2042"/>
      <c r="CV167" s="2042"/>
      <c r="CW167" s="2069">
        <f t="shared" si="312"/>
        <v>0</v>
      </c>
      <c r="CX167" s="2042"/>
      <c r="CY167" s="2042">
        <v>2</v>
      </c>
      <c r="CZ167" s="2042">
        <f t="shared" ref="CZ167:DK167" si="346">IF(AND($BX87&lt;=CZ$2,$BY87&gt;=CZ$2),$CQ87,0)</f>
        <v>0</v>
      </c>
      <c r="DA167" s="2042">
        <f t="shared" si="346"/>
        <v>0</v>
      </c>
      <c r="DB167" s="2042">
        <f t="shared" si="346"/>
        <v>0</v>
      </c>
      <c r="DC167" s="2042">
        <f t="shared" si="346"/>
        <v>0</v>
      </c>
      <c r="DD167" s="2042">
        <f t="shared" si="346"/>
        <v>0</v>
      </c>
      <c r="DE167" s="2042">
        <f t="shared" si="346"/>
        <v>0</v>
      </c>
      <c r="DF167" s="2042">
        <f t="shared" si="346"/>
        <v>0</v>
      </c>
      <c r="DG167" s="2042">
        <f t="shared" si="346"/>
        <v>0</v>
      </c>
      <c r="DH167" s="2042">
        <f t="shared" si="346"/>
        <v>0</v>
      </c>
      <c r="DI167" s="2042">
        <f t="shared" si="346"/>
        <v>0</v>
      </c>
      <c r="DJ167" s="2042">
        <f t="shared" si="346"/>
        <v>0</v>
      </c>
      <c r="DK167" s="2042">
        <f t="shared" si="346"/>
        <v>0</v>
      </c>
      <c r="DL167" s="2042"/>
      <c r="DM167" s="2042">
        <f t="shared" ref="DM167:DX167" si="347">IF(AND($BX87&lt;=DM$2,$BY87&gt;=DM$2),$CS87,0)</f>
        <v>0</v>
      </c>
      <c r="DN167" s="2042">
        <f t="shared" si="347"/>
        <v>0</v>
      </c>
      <c r="DO167" s="2042">
        <f t="shared" si="347"/>
        <v>0</v>
      </c>
      <c r="DP167" s="2042">
        <f t="shared" si="347"/>
        <v>0</v>
      </c>
      <c r="DQ167" s="2042">
        <f t="shared" si="347"/>
        <v>0</v>
      </c>
      <c r="DR167" s="2042">
        <f t="shared" si="347"/>
        <v>0</v>
      </c>
      <c r="DS167" s="2042">
        <f t="shared" si="347"/>
        <v>0</v>
      </c>
      <c r="DT167" s="2042">
        <f t="shared" si="347"/>
        <v>0</v>
      </c>
      <c r="DU167" s="2042">
        <f t="shared" si="347"/>
        <v>0</v>
      </c>
      <c r="DV167" s="2042">
        <f t="shared" si="347"/>
        <v>0</v>
      </c>
      <c r="DW167" s="2042">
        <f t="shared" si="347"/>
        <v>0</v>
      </c>
      <c r="DX167" s="2042">
        <f t="shared" si="347"/>
        <v>0</v>
      </c>
      <c r="DY167" s="2042"/>
      <c r="DZ167" s="2042"/>
      <c r="EA167" s="2042"/>
      <c r="EB167" s="2042"/>
      <c r="EC167" s="2042"/>
      <c r="ED167" s="2042"/>
      <c r="EE167" s="2042"/>
      <c r="EF167" s="2042"/>
      <c r="EG167" s="2042"/>
      <c r="EH167" s="2042"/>
      <c r="EI167" s="2042"/>
      <c r="EJ167" s="2042"/>
      <c r="EK167" s="2042"/>
      <c r="EL167" s="2042"/>
      <c r="EM167" s="2042"/>
      <c r="EN167" s="2042"/>
      <c r="EO167" s="2042"/>
      <c r="EP167" s="2042"/>
      <c r="EQ167" s="2042"/>
      <c r="ER167" s="2042"/>
      <c r="ES167" s="2042"/>
      <c r="ET167" s="2042"/>
      <c r="EU167" s="2042"/>
      <c r="EV167" s="2042"/>
      <c r="EW167" s="2042"/>
      <c r="EX167" s="2042"/>
      <c r="EY167" s="2042"/>
      <c r="EZ167" s="2071">
        <f t="shared" si="315"/>
        <v>0</v>
      </c>
      <c r="FA167" s="2042">
        <f t="shared" si="335"/>
        <v>0</v>
      </c>
      <c r="FB167" s="2042">
        <f t="shared" si="316"/>
        <v>0</v>
      </c>
      <c r="FC167" s="2042">
        <f t="shared" si="317"/>
        <v>0</v>
      </c>
      <c r="FD167" s="2042">
        <f t="shared" si="318"/>
        <v>0</v>
      </c>
      <c r="FE167" s="2042">
        <f t="shared" si="319"/>
        <v>0</v>
      </c>
      <c r="FF167" s="2042">
        <f t="shared" si="320"/>
        <v>0</v>
      </c>
      <c r="FG167" s="2042">
        <f t="shared" si="321"/>
        <v>0</v>
      </c>
      <c r="FH167" s="2042">
        <f t="shared" si="322"/>
        <v>0</v>
      </c>
      <c r="FI167" s="2042">
        <f t="shared" si="323"/>
        <v>0</v>
      </c>
      <c r="FJ167" s="2042">
        <f t="shared" si="324"/>
        <v>0</v>
      </c>
      <c r="FK167" s="2042">
        <f t="shared" si="325"/>
        <v>0</v>
      </c>
      <c r="FL167" s="2042">
        <f t="shared" si="326"/>
        <v>0</v>
      </c>
      <c r="FM167" s="2042"/>
      <c r="FN167" s="2071">
        <f t="shared" si="327"/>
        <v>0</v>
      </c>
      <c r="FO167" s="2216">
        <f t="shared" si="262"/>
        <v>0</v>
      </c>
      <c r="FP167" s="2216">
        <f t="shared" si="263"/>
        <v>0</v>
      </c>
      <c r="FQ167" s="2216">
        <f t="shared" si="264"/>
        <v>0</v>
      </c>
      <c r="FR167" s="2216">
        <f t="shared" si="265"/>
        <v>0</v>
      </c>
      <c r="FS167" s="2216">
        <f t="shared" si="266"/>
        <v>0</v>
      </c>
      <c r="FT167" s="2216">
        <f t="shared" si="267"/>
        <v>0</v>
      </c>
      <c r="FU167" s="2216">
        <f t="shared" si="268"/>
        <v>0</v>
      </c>
      <c r="FV167" s="2216">
        <f t="shared" si="269"/>
        <v>0</v>
      </c>
      <c r="FW167" s="2216">
        <f t="shared" si="270"/>
        <v>0</v>
      </c>
      <c r="FX167" s="2216">
        <f t="shared" si="271"/>
        <v>0</v>
      </c>
      <c r="FY167" s="2216">
        <f t="shared" si="272"/>
        <v>0</v>
      </c>
      <c r="FZ167" s="2216">
        <f t="shared" si="273"/>
        <v>0</v>
      </c>
      <c r="GA167" s="2042"/>
      <c r="GB167" s="2042">
        <f t="shared" si="328"/>
        <v>0</v>
      </c>
      <c r="GC167" s="2042">
        <f t="shared" si="329"/>
        <v>0</v>
      </c>
      <c r="GD167" s="2042"/>
      <c r="GE167" s="2042"/>
      <c r="GF167" s="2042"/>
      <c r="GG167" s="2042"/>
      <c r="GH167" s="2042">
        <f t="shared" si="330"/>
        <v>0</v>
      </c>
      <c r="GI167" s="2042">
        <f t="shared" si="288"/>
        <v>0</v>
      </c>
      <c r="GJ167" s="2042">
        <f t="shared" si="292"/>
        <v>0</v>
      </c>
      <c r="GK167" s="2042">
        <f t="shared" si="293"/>
        <v>0</v>
      </c>
      <c r="GL167" s="2042">
        <f t="shared" si="331"/>
        <v>0</v>
      </c>
      <c r="GM167" s="2042">
        <f t="shared" si="332"/>
        <v>0</v>
      </c>
      <c r="GN167" s="2042">
        <f t="shared" si="310"/>
        <v>0</v>
      </c>
      <c r="GO167" s="2042"/>
      <c r="GP167" s="2042"/>
      <c r="GQ167" s="2042">
        <f t="shared" si="311"/>
        <v>0</v>
      </c>
      <c r="GR167" s="2042">
        <f t="shared" si="303"/>
        <v>0</v>
      </c>
      <c r="GS167" s="2042">
        <f t="shared" si="306"/>
        <v>0</v>
      </c>
      <c r="GT167" s="2042">
        <f t="shared" si="309"/>
        <v>0</v>
      </c>
      <c r="GU167" s="2045" t="str">
        <f t="shared" si="175"/>
        <v xml:space="preserve"> </v>
      </c>
      <c r="GV167" s="2042"/>
      <c r="GW167" s="2054">
        <f t="shared" si="294"/>
        <v>0</v>
      </c>
      <c r="GX167" s="2042">
        <f t="shared" si="295"/>
        <v>0</v>
      </c>
      <c r="GY167" s="2042" t="str">
        <f t="shared" si="291"/>
        <v>a</v>
      </c>
      <c r="GZ167" s="2055">
        <f t="shared" si="296"/>
        <v>0</v>
      </c>
      <c r="HA167" s="2055">
        <f t="shared" si="297"/>
        <v>0</v>
      </c>
      <c r="HB167" s="2055"/>
      <c r="HC167" s="2046">
        <f t="shared" si="298"/>
        <v>0</v>
      </c>
      <c r="HD167" s="2055">
        <f t="shared" si="299"/>
        <v>0</v>
      </c>
      <c r="HE167" s="2055">
        <f t="shared" si="300"/>
        <v>0</v>
      </c>
      <c r="HF167" s="2055">
        <f t="shared" si="301"/>
        <v>0</v>
      </c>
      <c r="HG167" s="2282" cm="1">
        <f t="array" ref="HG167">IF(AND(HE167=0,GJ167=0),0,IF(HE167=0,1,IF(OR(GJ167*1000/HE167/HF167&gt;INDEX(Pflanzen!$AD$122:$AD$160,CX167)/INDEX(Pflanzen!$M$122:$M$160,CX167)*$HG$1,GJ167*1000/HE167/HF167&lt;INDEX(Pflanzen!$AD$122:$AD$160,CX167)/INDEX(Pflanzen!$M$122:$M$160,CX167)/$HG$1),1,0)))</f>
        <v>0</v>
      </c>
      <c r="HH167" s="2287" cm="1">
        <f t="array" ref="HH167">IF(AND(GK167=0,HE167=0),0,IF(HE167=0,1,IF(OR(GK167*1000/HE167/HF167&gt;INDEX(Pflanzen!$AE$122:$AE$160,CX167)/INDEX(Pflanzen!$M$122:$M$160,CX167)*$HG$2,GK167*1000/HE167/HF167&lt;INDEX(Pflanzen!$AE$122:$AE$160,CX167)/INDEX(Pflanzen!$M$122:$M$160,CX167)/$HG$2),1,0)))</f>
        <v>0</v>
      </c>
      <c r="HI167" s="2042">
        <f t="shared" si="302"/>
        <v>3</v>
      </c>
      <c r="HJ167" s="2042"/>
      <c r="HL167" s="2042"/>
      <c r="HM167" s="2042"/>
      <c r="HN167" s="2042"/>
      <c r="HO167" s="2042"/>
      <c r="HP167" s="2042"/>
      <c r="HQ167" s="2042"/>
      <c r="HR167" s="2042"/>
      <c r="HS167" s="2042"/>
      <c r="HT167" s="2042"/>
      <c r="HU167" s="2042"/>
      <c r="HV167" s="2042"/>
      <c r="HW167" s="2042"/>
      <c r="HX167" s="2042"/>
      <c r="HY167" s="2042"/>
      <c r="HZ167" s="2042"/>
      <c r="IA167" s="2042"/>
      <c r="IB167" s="2042"/>
      <c r="IC167" s="2042"/>
      <c r="ID167" s="2042"/>
      <c r="IE167" s="2042"/>
      <c r="IF167" s="2042"/>
      <c r="IG167" s="2042"/>
      <c r="IH167" s="2042"/>
      <c r="II167" s="2042"/>
      <c r="IJ167" s="2042"/>
    </row>
    <row r="168" spans="25:244" ht="15.75" customHeight="1" x14ac:dyDescent="0.2">
      <c r="Y168" s="510"/>
      <c r="Z168" s="510"/>
      <c r="AA168" s="510"/>
      <c r="AB168" s="510"/>
      <c r="AC168" s="510"/>
      <c r="AD168" s="510"/>
      <c r="AE168" s="510"/>
      <c r="AF168" s="510"/>
      <c r="AG168" s="510"/>
      <c r="AH168" s="510"/>
      <c r="AI168" s="510"/>
      <c r="AJ168" s="510"/>
      <c r="AK168" s="510"/>
      <c r="AL168" s="510"/>
      <c r="AM168" s="510"/>
      <c r="AN168" s="510"/>
      <c r="AR168" s="510"/>
      <c r="AS168" s="510"/>
      <c r="AT168" s="510"/>
      <c r="AU168" s="510"/>
      <c r="AV168" s="510"/>
      <c r="AY168" s="2042"/>
      <c r="AZ168" s="2042"/>
      <c r="BA168" s="2042"/>
      <c r="BB168" s="2042"/>
      <c r="BC168" s="2042"/>
      <c r="BD168" s="2042"/>
      <c r="BP168" s="2043"/>
      <c r="BQ168" s="2042"/>
      <c r="BR168" s="2042"/>
      <c r="BS168" s="2042"/>
      <c r="BT168" s="2042"/>
      <c r="BU168" s="2059"/>
      <c r="BV168" s="2277"/>
      <c r="BW168" s="2277"/>
      <c r="BX168" s="2277"/>
      <c r="BY168" s="2277"/>
      <c r="BZ168" s="2277"/>
      <c r="CA168" s="2277"/>
      <c r="CB168" s="2277"/>
      <c r="CC168" s="2277"/>
      <c r="CD168" s="2277"/>
      <c r="CE168" s="2277"/>
      <c r="CF168" s="2277"/>
      <c r="CG168" s="2277"/>
      <c r="CH168" s="2277"/>
      <c r="CI168" s="2277"/>
      <c r="CJ168" s="2277"/>
      <c r="CK168" s="2277"/>
      <c r="CL168" s="2042"/>
      <c r="CM168" s="2042"/>
      <c r="CN168" s="2042"/>
      <c r="CO168" s="2042"/>
      <c r="CP168" s="2042"/>
      <c r="CQ168" s="2042"/>
      <c r="CR168" s="2042"/>
      <c r="CS168" s="2042"/>
      <c r="CT168" s="2042"/>
      <c r="CU168" s="2042"/>
      <c r="CV168" s="2042"/>
      <c r="CW168" s="2069">
        <f t="shared" si="312"/>
        <v>0</v>
      </c>
      <c r="CX168" s="2042"/>
      <c r="CY168" s="2042">
        <v>2</v>
      </c>
      <c r="CZ168" s="2042">
        <f t="shared" ref="CZ168:DK168" si="348">IF(AND($BX88&lt;=CZ$2,$BY88&gt;=CZ$2),$CQ88,0)</f>
        <v>0</v>
      </c>
      <c r="DA168" s="2042">
        <f t="shared" si="348"/>
        <v>0</v>
      </c>
      <c r="DB168" s="2042">
        <f t="shared" si="348"/>
        <v>0</v>
      </c>
      <c r="DC168" s="2042">
        <f t="shared" si="348"/>
        <v>0</v>
      </c>
      <c r="DD168" s="2042">
        <f t="shared" si="348"/>
        <v>0</v>
      </c>
      <c r="DE168" s="2042">
        <f t="shared" si="348"/>
        <v>0</v>
      </c>
      <c r="DF168" s="2042">
        <f t="shared" si="348"/>
        <v>0</v>
      </c>
      <c r="DG168" s="2042">
        <f t="shared" si="348"/>
        <v>0</v>
      </c>
      <c r="DH168" s="2042">
        <f t="shared" si="348"/>
        <v>0</v>
      </c>
      <c r="DI168" s="2042">
        <f t="shared" si="348"/>
        <v>0</v>
      </c>
      <c r="DJ168" s="2042">
        <f t="shared" si="348"/>
        <v>0</v>
      </c>
      <c r="DK168" s="2042">
        <f t="shared" si="348"/>
        <v>0</v>
      </c>
      <c r="DL168" s="2042"/>
      <c r="DM168" s="2042">
        <f t="shared" ref="DM168:DX168" si="349">IF(AND($BX88&lt;=DM$2,$BY88&gt;=DM$2),$CS88,0)</f>
        <v>0</v>
      </c>
      <c r="DN168" s="2042">
        <f t="shared" si="349"/>
        <v>0</v>
      </c>
      <c r="DO168" s="2042">
        <f t="shared" si="349"/>
        <v>0</v>
      </c>
      <c r="DP168" s="2042">
        <f t="shared" si="349"/>
        <v>0</v>
      </c>
      <c r="DQ168" s="2042">
        <f t="shared" si="349"/>
        <v>0</v>
      </c>
      <c r="DR168" s="2042">
        <f t="shared" si="349"/>
        <v>0</v>
      </c>
      <c r="DS168" s="2042">
        <f t="shared" si="349"/>
        <v>0</v>
      </c>
      <c r="DT168" s="2042">
        <f t="shared" si="349"/>
        <v>0</v>
      </c>
      <c r="DU168" s="2042">
        <f t="shared" si="349"/>
        <v>0</v>
      </c>
      <c r="DV168" s="2042">
        <f t="shared" si="349"/>
        <v>0</v>
      </c>
      <c r="DW168" s="2042">
        <f t="shared" si="349"/>
        <v>0</v>
      </c>
      <c r="DX168" s="2042">
        <f t="shared" si="349"/>
        <v>0</v>
      </c>
      <c r="DY168" s="2042"/>
      <c r="DZ168" s="2042"/>
      <c r="EA168" s="2042"/>
      <c r="EB168" s="2042"/>
      <c r="EC168" s="2042"/>
      <c r="ED168" s="2042"/>
      <c r="EE168" s="2042"/>
      <c r="EF168" s="2042"/>
      <c r="EG168" s="2042"/>
      <c r="EH168" s="2042"/>
      <c r="EI168" s="2042"/>
      <c r="EJ168" s="2042"/>
      <c r="EK168" s="2042"/>
      <c r="EL168" s="2042"/>
      <c r="EM168" s="2042"/>
      <c r="EN168" s="2042"/>
      <c r="EO168" s="2042"/>
      <c r="EP168" s="2042"/>
      <c r="EQ168" s="2042"/>
      <c r="ER168" s="2042"/>
      <c r="ES168" s="2042"/>
      <c r="ET168" s="2042"/>
      <c r="EU168" s="2042"/>
      <c r="EV168" s="2042"/>
      <c r="EW168" s="2042"/>
      <c r="EX168" s="2042"/>
      <c r="EY168" s="2042"/>
      <c r="EZ168" s="2071">
        <f t="shared" si="315"/>
        <v>0</v>
      </c>
      <c r="FA168" s="2042">
        <f t="shared" si="335"/>
        <v>0</v>
      </c>
      <c r="FB168" s="2042">
        <f t="shared" si="316"/>
        <v>0</v>
      </c>
      <c r="FC168" s="2042">
        <f t="shared" si="317"/>
        <v>0</v>
      </c>
      <c r="FD168" s="2042">
        <f t="shared" si="318"/>
        <v>0</v>
      </c>
      <c r="FE168" s="2042">
        <f t="shared" si="319"/>
        <v>0</v>
      </c>
      <c r="FF168" s="2042">
        <f t="shared" si="320"/>
        <v>0</v>
      </c>
      <c r="FG168" s="2042">
        <f t="shared" si="321"/>
        <v>0</v>
      </c>
      <c r="FH168" s="2042">
        <f t="shared" si="322"/>
        <v>0</v>
      </c>
      <c r="FI168" s="2042">
        <f t="shared" si="323"/>
        <v>0</v>
      </c>
      <c r="FJ168" s="2042">
        <f t="shared" si="324"/>
        <v>0</v>
      </c>
      <c r="FK168" s="2042">
        <f t="shared" si="325"/>
        <v>0</v>
      </c>
      <c r="FL168" s="2042">
        <f t="shared" si="326"/>
        <v>0</v>
      </c>
      <c r="FM168" s="2042"/>
      <c r="FN168" s="2071">
        <f t="shared" si="327"/>
        <v>0</v>
      </c>
      <c r="FO168" s="2216">
        <f t="shared" si="262"/>
        <v>0</v>
      </c>
      <c r="FP168" s="2216">
        <f t="shared" si="263"/>
        <v>0</v>
      </c>
      <c r="FQ168" s="2216">
        <f t="shared" si="264"/>
        <v>0</v>
      </c>
      <c r="FR168" s="2216">
        <f t="shared" si="265"/>
        <v>0</v>
      </c>
      <c r="FS168" s="2216">
        <f t="shared" si="266"/>
        <v>0</v>
      </c>
      <c r="FT168" s="2216">
        <f t="shared" si="267"/>
        <v>0</v>
      </c>
      <c r="FU168" s="2216">
        <f t="shared" si="268"/>
        <v>0</v>
      </c>
      <c r="FV168" s="2216">
        <f t="shared" si="269"/>
        <v>0</v>
      </c>
      <c r="FW168" s="2216">
        <f t="shared" si="270"/>
        <v>0</v>
      </c>
      <c r="FX168" s="2216">
        <f t="shared" si="271"/>
        <v>0</v>
      </c>
      <c r="FY168" s="2216">
        <f t="shared" si="272"/>
        <v>0</v>
      </c>
      <c r="FZ168" s="2216">
        <f t="shared" si="273"/>
        <v>0</v>
      </c>
      <c r="GA168" s="2042"/>
      <c r="GB168" s="2042">
        <f t="shared" si="328"/>
        <v>0</v>
      </c>
      <c r="GC168" s="2042">
        <f t="shared" si="329"/>
        <v>0</v>
      </c>
      <c r="GD168" s="2042"/>
      <c r="GE168" s="2042"/>
      <c r="GF168" s="2042"/>
      <c r="GG168" s="2042"/>
      <c r="GH168" s="2042">
        <f t="shared" si="330"/>
        <v>0</v>
      </c>
      <c r="GI168" s="2042">
        <f t="shared" si="288"/>
        <v>0</v>
      </c>
      <c r="GJ168" s="2042">
        <f t="shared" si="292"/>
        <v>0</v>
      </c>
      <c r="GK168" s="2042">
        <f t="shared" si="293"/>
        <v>0</v>
      </c>
      <c r="GL168" s="2042">
        <f t="shared" si="331"/>
        <v>0</v>
      </c>
      <c r="GM168" s="2042">
        <f t="shared" si="332"/>
        <v>0</v>
      </c>
      <c r="GN168" s="2042">
        <f t="shared" si="310"/>
        <v>0</v>
      </c>
      <c r="GO168" s="2042"/>
      <c r="GP168" s="2042"/>
      <c r="GQ168" s="2042">
        <f t="shared" si="311"/>
        <v>0</v>
      </c>
      <c r="GR168" s="2042">
        <f t="shared" si="303"/>
        <v>0</v>
      </c>
      <c r="GS168" s="2042">
        <f t="shared" si="306"/>
        <v>0</v>
      </c>
      <c r="GT168" s="2042">
        <f t="shared" si="309"/>
        <v>0</v>
      </c>
      <c r="GU168" s="2045" t="str">
        <f t="shared" si="175"/>
        <v xml:space="preserve"> </v>
      </c>
      <c r="GV168" s="2042"/>
      <c r="GW168" s="2054">
        <f t="shared" si="294"/>
        <v>0</v>
      </c>
      <c r="GX168" s="2042">
        <f t="shared" si="295"/>
        <v>0</v>
      </c>
      <c r="GY168" s="2042" t="str">
        <f t="shared" si="291"/>
        <v>a</v>
      </c>
      <c r="GZ168" s="2055">
        <f t="shared" si="296"/>
        <v>0</v>
      </c>
      <c r="HA168" s="2055">
        <f t="shared" si="297"/>
        <v>0</v>
      </c>
      <c r="HB168" s="2055"/>
      <c r="HC168" s="2046">
        <f t="shared" si="298"/>
        <v>0</v>
      </c>
      <c r="HD168" s="2055">
        <f t="shared" si="299"/>
        <v>0</v>
      </c>
      <c r="HE168" s="2055">
        <f t="shared" si="300"/>
        <v>0</v>
      </c>
      <c r="HF168" s="2055">
        <f t="shared" si="301"/>
        <v>0</v>
      </c>
      <c r="HG168" s="2282" cm="1">
        <f t="array" ref="HG168">IF(AND(HE168=0,GJ168=0),0,IF(HE168=0,1,IF(OR(GJ168*1000/HE168/HF168&gt;INDEX(Pflanzen!$AD$122:$AD$160,CX168)/INDEX(Pflanzen!$M$122:$M$160,CX168)*$HG$1,GJ168*1000/HE168/HF168&lt;INDEX(Pflanzen!$AD$122:$AD$160,CX168)/INDEX(Pflanzen!$M$122:$M$160,CX168)/$HG$1),1,0)))</f>
        <v>0</v>
      </c>
      <c r="HH168" s="2287" cm="1">
        <f t="array" ref="HH168">IF(AND(GK168=0,HE168=0),0,IF(HE168=0,1,IF(OR(GK168*1000/HE168/HF168&gt;INDEX(Pflanzen!$AE$122:$AE$160,CX168)/INDEX(Pflanzen!$M$122:$M$160,CX168)*$HG$2,GK168*1000/HE168/HF168&lt;INDEX(Pflanzen!$AE$122:$AE$160,CX168)/INDEX(Pflanzen!$M$122:$M$160,CX168)/$HG$2),1,0)))</f>
        <v>0</v>
      </c>
      <c r="HI168" s="2042">
        <f t="shared" si="302"/>
        <v>3</v>
      </c>
      <c r="HJ168" s="2042"/>
      <c r="HL168" s="2042"/>
      <c r="HM168" s="2042"/>
      <c r="HN168" s="2042"/>
      <c r="HO168" s="2042"/>
      <c r="HP168" s="2042"/>
      <c r="HQ168" s="2042"/>
      <c r="HR168" s="2042"/>
      <c r="HS168" s="2042"/>
      <c r="HT168" s="2042"/>
      <c r="HU168" s="2042"/>
      <c r="HV168" s="2042"/>
      <c r="HW168" s="2042"/>
      <c r="HX168" s="2042"/>
      <c r="HY168" s="2042"/>
      <c r="HZ168" s="2042"/>
      <c r="IA168" s="2042"/>
      <c r="IB168" s="2042"/>
      <c r="IC168" s="2042"/>
      <c r="ID168" s="2042"/>
      <c r="IE168" s="2042"/>
      <c r="IF168" s="2042"/>
      <c r="IG168" s="2042"/>
      <c r="IH168" s="2042"/>
      <c r="II168" s="2042"/>
      <c r="IJ168" s="2042"/>
    </row>
    <row r="169" spans="25:244" ht="15.75" customHeight="1" x14ac:dyDescent="0.2">
      <c r="Y169" s="510"/>
      <c r="Z169" s="510"/>
      <c r="AA169" s="510"/>
      <c r="AB169" s="510"/>
      <c r="AC169" s="510"/>
      <c r="AD169" s="510"/>
      <c r="AE169" s="510"/>
      <c r="AF169" s="510"/>
      <c r="AG169" s="510"/>
      <c r="AH169" s="510"/>
      <c r="AI169" s="510"/>
      <c r="AJ169" s="510"/>
      <c r="AK169" s="510"/>
      <c r="AL169" s="510"/>
      <c r="AM169" s="510"/>
      <c r="AN169" s="510"/>
      <c r="AR169" s="510"/>
      <c r="AS169" s="510"/>
      <c r="AT169" s="510"/>
      <c r="AU169" s="510"/>
      <c r="AV169" s="510"/>
      <c r="AY169" s="2042"/>
      <c r="AZ169" s="2042"/>
      <c r="BA169" s="2042"/>
      <c r="BB169" s="2042"/>
      <c r="BC169" s="2042"/>
      <c r="BD169" s="2042"/>
      <c r="BP169" s="2043"/>
      <c r="BQ169" s="2042"/>
      <c r="BR169" s="2042"/>
      <c r="BS169" s="2042"/>
      <c r="BT169" s="2042"/>
      <c r="BU169" s="2059"/>
      <c r="BV169" s="2277"/>
      <c r="BW169" s="2277"/>
      <c r="BX169" s="2277"/>
      <c r="BY169" s="2277"/>
      <c r="BZ169" s="2277"/>
      <c r="CA169" s="2277"/>
      <c r="CB169" s="2277"/>
      <c r="CC169" s="2277"/>
      <c r="CD169" s="2277"/>
      <c r="CE169" s="2277"/>
      <c r="CF169" s="2277"/>
      <c r="CG169" s="2277"/>
      <c r="CH169" s="2277"/>
      <c r="CI169" s="2277"/>
      <c r="CJ169" s="2277"/>
      <c r="CK169" s="2277"/>
      <c r="CL169" s="2042"/>
      <c r="CM169" s="2042"/>
      <c r="CN169" s="2042"/>
      <c r="CO169" s="2042"/>
      <c r="CP169" s="2042"/>
      <c r="CQ169" s="2042"/>
      <c r="CR169" s="2042"/>
      <c r="CS169" s="2042"/>
      <c r="CT169" s="2042"/>
      <c r="CU169" s="2042"/>
      <c r="CV169" s="2042"/>
      <c r="CW169" s="2069">
        <f t="shared" si="312"/>
        <v>0</v>
      </c>
      <c r="CX169" s="2042"/>
      <c r="CY169" s="2042">
        <v>2</v>
      </c>
      <c r="CZ169" s="2042">
        <f t="shared" ref="CZ169:DK169" si="350">IF(AND($BX89&lt;=CZ$2,$BY89&gt;=CZ$2),$CQ89,0)</f>
        <v>0</v>
      </c>
      <c r="DA169" s="2042">
        <f t="shared" si="350"/>
        <v>0</v>
      </c>
      <c r="DB169" s="2042">
        <f t="shared" si="350"/>
        <v>0</v>
      </c>
      <c r="DC169" s="2042">
        <f t="shared" si="350"/>
        <v>0</v>
      </c>
      <c r="DD169" s="2042">
        <f t="shared" si="350"/>
        <v>0</v>
      </c>
      <c r="DE169" s="2042">
        <f t="shared" si="350"/>
        <v>0</v>
      </c>
      <c r="DF169" s="2042">
        <f t="shared" si="350"/>
        <v>0</v>
      </c>
      <c r="DG169" s="2042">
        <f t="shared" si="350"/>
        <v>0</v>
      </c>
      <c r="DH169" s="2042">
        <f t="shared" si="350"/>
        <v>0</v>
      </c>
      <c r="DI169" s="2042">
        <f t="shared" si="350"/>
        <v>0</v>
      </c>
      <c r="DJ169" s="2042">
        <f t="shared" si="350"/>
        <v>0</v>
      </c>
      <c r="DK169" s="2042">
        <f t="shared" si="350"/>
        <v>0</v>
      </c>
      <c r="DL169" s="2042"/>
      <c r="DM169" s="2042">
        <f t="shared" ref="DM169:DX169" si="351">IF(AND($BX89&lt;=DM$2,$BY89&gt;=DM$2),$CS89,0)</f>
        <v>0</v>
      </c>
      <c r="DN169" s="2042">
        <f t="shared" si="351"/>
        <v>0</v>
      </c>
      <c r="DO169" s="2042">
        <f t="shared" si="351"/>
        <v>0</v>
      </c>
      <c r="DP169" s="2042">
        <f t="shared" si="351"/>
        <v>0</v>
      </c>
      <c r="DQ169" s="2042">
        <f t="shared" si="351"/>
        <v>0</v>
      </c>
      <c r="DR169" s="2042">
        <f t="shared" si="351"/>
        <v>0</v>
      </c>
      <c r="DS169" s="2042">
        <f t="shared" si="351"/>
        <v>0</v>
      </c>
      <c r="DT169" s="2042">
        <f t="shared" si="351"/>
        <v>0</v>
      </c>
      <c r="DU169" s="2042">
        <f t="shared" si="351"/>
        <v>0</v>
      </c>
      <c r="DV169" s="2042">
        <f t="shared" si="351"/>
        <v>0</v>
      </c>
      <c r="DW169" s="2042">
        <f t="shared" si="351"/>
        <v>0</v>
      </c>
      <c r="DX169" s="2042">
        <f t="shared" si="351"/>
        <v>0</v>
      </c>
      <c r="DY169" s="2042"/>
      <c r="DZ169" s="2042"/>
      <c r="EA169" s="2042"/>
      <c r="EB169" s="2042"/>
      <c r="EC169" s="2042"/>
      <c r="ED169" s="2042"/>
      <c r="EE169" s="2042"/>
      <c r="EF169" s="2042"/>
      <c r="EG169" s="2042"/>
      <c r="EH169" s="2042"/>
      <c r="EI169" s="2042"/>
      <c r="EJ169" s="2042"/>
      <c r="EK169" s="2042"/>
      <c r="EL169" s="2042"/>
      <c r="EM169" s="2042"/>
      <c r="EN169" s="2042"/>
      <c r="EO169" s="2042"/>
      <c r="EP169" s="2042"/>
      <c r="EQ169" s="2042"/>
      <c r="ER169" s="2042"/>
      <c r="ES169" s="2042"/>
      <c r="ET169" s="2042"/>
      <c r="EU169" s="2042"/>
      <c r="EV169" s="2042"/>
      <c r="EW169" s="2042"/>
      <c r="EX169" s="2042"/>
      <c r="EY169" s="2042"/>
      <c r="EZ169" s="2071">
        <f t="shared" si="315"/>
        <v>0</v>
      </c>
      <c r="FA169" s="2042">
        <f t="shared" si="335"/>
        <v>0</v>
      </c>
      <c r="FB169" s="2042">
        <f t="shared" si="316"/>
        <v>0</v>
      </c>
      <c r="FC169" s="2042">
        <f t="shared" si="317"/>
        <v>0</v>
      </c>
      <c r="FD169" s="2042">
        <f t="shared" si="318"/>
        <v>0</v>
      </c>
      <c r="FE169" s="2042">
        <f t="shared" si="319"/>
        <v>0</v>
      </c>
      <c r="FF169" s="2042">
        <f t="shared" si="320"/>
        <v>0</v>
      </c>
      <c r="FG169" s="2042">
        <f t="shared" si="321"/>
        <v>0</v>
      </c>
      <c r="FH169" s="2042">
        <f t="shared" si="322"/>
        <v>0</v>
      </c>
      <c r="FI169" s="2042">
        <f t="shared" si="323"/>
        <v>0</v>
      </c>
      <c r="FJ169" s="2042">
        <f t="shared" si="324"/>
        <v>0</v>
      </c>
      <c r="FK169" s="2042">
        <f t="shared" si="325"/>
        <v>0</v>
      </c>
      <c r="FL169" s="2042">
        <f t="shared" si="326"/>
        <v>0</v>
      </c>
      <c r="FM169" s="2042"/>
      <c r="FN169" s="2071">
        <f t="shared" si="327"/>
        <v>0</v>
      </c>
      <c r="FO169" s="2216">
        <f t="shared" si="262"/>
        <v>0</v>
      </c>
      <c r="FP169" s="2216">
        <f t="shared" si="263"/>
        <v>0</v>
      </c>
      <c r="FQ169" s="2216">
        <f t="shared" si="264"/>
        <v>0</v>
      </c>
      <c r="FR169" s="2216">
        <f t="shared" si="265"/>
        <v>0</v>
      </c>
      <c r="FS169" s="2216">
        <f t="shared" si="266"/>
        <v>0</v>
      </c>
      <c r="FT169" s="2216">
        <f t="shared" si="267"/>
        <v>0</v>
      </c>
      <c r="FU169" s="2216">
        <f t="shared" si="268"/>
        <v>0</v>
      </c>
      <c r="FV169" s="2216">
        <f t="shared" si="269"/>
        <v>0</v>
      </c>
      <c r="FW169" s="2216">
        <f t="shared" si="270"/>
        <v>0</v>
      </c>
      <c r="FX169" s="2216">
        <f t="shared" si="271"/>
        <v>0</v>
      </c>
      <c r="FY169" s="2216">
        <f t="shared" si="272"/>
        <v>0</v>
      </c>
      <c r="FZ169" s="2216">
        <f t="shared" si="273"/>
        <v>0</v>
      </c>
      <c r="GA169" s="2042"/>
      <c r="GB169" s="2042">
        <f t="shared" si="328"/>
        <v>0</v>
      </c>
      <c r="GC169" s="2042">
        <f t="shared" si="329"/>
        <v>0</v>
      </c>
      <c r="GD169" s="2042"/>
      <c r="GE169" s="2042"/>
      <c r="GF169" s="2042"/>
      <c r="GG169" s="2042"/>
      <c r="GH169" s="2042">
        <f t="shared" si="330"/>
        <v>0</v>
      </c>
      <c r="GI169" s="2042">
        <f t="shared" si="288"/>
        <v>0</v>
      </c>
      <c r="GJ169" s="2042">
        <f t="shared" si="292"/>
        <v>0</v>
      </c>
      <c r="GK169" s="2042">
        <f t="shared" si="293"/>
        <v>0</v>
      </c>
      <c r="GL169" s="2042">
        <f t="shared" si="331"/>
        <v>0</v>
      </c>
      <c r="GM169" s="2042">
        <f t="shared" si="332"/>
        <v>0</v>
      </c>
      <c r="GN169" s="2042">
        <f t="shared" si="310"/>
        <v>0</v>
      </c>
      <c r="GO169" s="2042"/>
      <c r="GP169" s="2042"/>
      <c r="GQ169" s="2042">
        <f t="shared" si="311"/>
        <v>0</v>
      </c>
      <c r="GR169" s="2042">
        <f t="shared" si="303"/>
        <v>0</v>
      </c>
      <c r="GS169" s="2042">
        <f t="shared" si="306"/>
        <v>0</v>
      </c>
      <c r="GT169" s="2042">
        <f t="shared" si="309"/>
        <v>0</v>
      </c>
      <c r="GU169" s="2045" t="str">
        <f t="shared" si="175"/>
        <v xml:space="preserve"> </v>
      </c>
      <c r="GV169" s="2042"/>
      <c r="GW169" s="2054">
        <f t="shared" si="294"/>
        <v>0</v>
      </c>
      <c r="GX169" s="2042">
        <f t="shared" si="295"/>
        <v>0</v>
      </c>
      <c r="GY169" s="2042" t="str">
        <f t="shared" si="291"/>
        <v>a</v>
      </c>
      <c r="GZ169" s="2055">
        <f t="shared" si="296"/>
        <v>0</v>
      </c>
      <c r="HA169" s="2055">
        <f t="shared" si="297"/>
        <v>0</v>
      </c>
      <c r="HB169" s="2055"/>
      <c r="HC169" s="2046">
        <f t="shared" si="298"/>
        <v>0</v>
      </c>
      <c r="HD169" s="2055">
        <f t="shared" si="299"/>
        <v>0</v>
      </c>
      <c r="HE169" s="2055">
        <f t="shared" si="300"/>
        <v>0</v>
      </c>
      <c r="HF169" s="2055">
        <f t="shared" si="301"/>
        <v>0</v>
      </c>
      <c r="HG169" s="2282" cm="1">
        <f t="array" ref="HG169">IF(AND(HE169=0,GJ169=0),0,IF(HE169=0,1,IF(OR(GJ169*1000/HE169/HF169&gt;INDEX(Pflanzen!$AD$122:$AD$160,CX169)/INDEX(Pflanzen!$M$122:$M$160,CX169)*$HG$1,GJ169*1000/HE169/HF169&lt;INDEX(Pflanzen!$AD$122:$AD$160,CX169)/INDEX(Pflanzen!$M$122:$M$160,CX169)/$HG$1),1,0)))</f>
        <v>0</v>
      </c>
      <c r="HH169" s="2287" cm="1">
        <f t="array" ref="HH169">IF(AND(GK169=0,HE169=0),0,IF(HE169=0,1,IF(OR(GK169*1000/HE169/HF169&gt;INDEX(Pflanzen!$AE$122:$AE$160,CX169)/INDEX(Pflanzen!$M$122:$M$160,CX169)*$HG$2,GK169*1000/HE169/HF169&lt;INDEX(Pflanzen!$AE$122:$AE$160,CX169)/INDEX(Pflanzen!$M$122:$M$160,CX169)/$HG$2),1,0)))</f>
        <v>0</v>
      </c>
      <c r="HI169" s="2042">
        <f t="shared" si="302"/>
        <v>3</v>
      </c>
      <c r="HJ169" s="2042"/>
      <c r="HL169" s="2042"/>
      <c r="HM169" s="2042"/>
      <c r="HN169" s="2042"/>
      <c r="HO169" s="2042"/>
      <c r="HP169" s="2042"/>
      <c r="HQ169" s="2042"/>
      <c r="HR169" s="2042"/>
      <c r="HS169" s="2042"/>
      <c r="HT169" s="2042"/>
      <c r="HU169" s="2042"/>
      <c r="HV169" s="2042"/>
      <c r="HW169" s="2042"/>
      <c r="HX169" s="2042"/>
      <c r="HY169" s="2042"/>
      <c r="HZ169" s="2042"/>
      <c r="IA169" s="2042"/>
      <c r="IB169" s="2042"/>
      <c r="IC169" s="2042"/>
      <c r="ID169" s="2042"/>
      <c r="IE169" s="2042"/>
      <c r="IF169" s="2042"/>
      <c r="IG169" s="2042"/>
      <c r="IH169" s="2042"/>
      <c r="II169" s="2042"/>
      <c r="IJ169" s="2042"/>
    </row>
    <row r="170" spans="25:244" ht="15.75" customHeight="1" x14ac:dyDescent="0.2">
      <c r="Y170" s="510"/>
      <c r="Z170" s="510"/>
      <c r="AA170" s="510"/>
      <c r="AB170" s="510"/>
      <c r="AC170" s="510"/>
      <c r="AD170" s="510"/>
      <c r="AE170" s="510"/>
      <c r="AF170" s="510"/>
      <c r="AG170" s="510"/>
      <c r="AH170" s="510"/>
      <c r="AI170" s="510"/>
      <c r="AJ170" s="510"/>
      <c r="AK170" s="510"/>
      <c r="AL170" s="510"/>
      <c r="AM170" s="510"/>
      <c r="AN170" s="510"/>
      <c r="AR170" s="510"/>
      <c r="AS170" s="510"/>
      <c r="AT170" s="510"/>
      <c r="AU170" s="510"/>
      <c r="AV170" s="510"/>
      <c r="AY170" s="2042"/>
      <c r="AZ170" s="2042"/>
      <c r="BA170" s="2042"/>
      <c r="BB170" s="2042"/>
      <c r="BC170" s="2042"/>
      <c r="BD170" s="2042"/>
      <c r="BP170" s="2043"/>
      <c r="BQ170" s="2042"/>
      <c r="BR170" s="2042"/>
      <c r="BS170" s="2042"/>
      <c r="BT170" s="2042"/>
      <c r="BU170" s="2059"/>
      <c r="BV170" s="2277"/>
      <c r="BW170" s="2277"/>
      <c r="BX170" s="2277"/>
      <c r="BY170" s="2277"/>
      <c r="BZ170" s="2277"/>
      <c r="CA170" s="2277"/>
      <c r="CB170" s="2277"/>
      <c r="CC170" s="2277"/>
      <c r="CD170" s="2277"/>
      <c r="CE170" s="2277"/>
      <c r="CF170" s="2277"/>
      <c r="CG170" s="2277"/>
      <c r="CH170" s="2277"/>
      <c r="CI170" s="2277"/>
      <c r="CJ170" s="2277"/>
      <c r="CK170" s="2277"/>
      <c r="CL170" s="2042"/>
      <c r="CM170" s="2042"/>
      <c r="CN170" s="2042"/>
      <c r="CO170" s="2042"/>
      <c r="CP170" s="2042"/>
      <c r="CQ170" s="2042"/>
      <c r="CR170" s="2042"/>
      <c r="CS170" s="2042"/>
      <c r="CT170" s="2042"/>
      <c r="CU170" s="2042"/>
      <c r="CV170" s="2042"/>
      <c r="CW170" s="2042"/>
      <c r="CX170" s="2042"/>
      <c r="CY170" s="2042"/>
      <c r="CZ170" s="2042"/>
      <c r="DA170" s="2042"/>
      <c r="DB170" s="2042"/>
      <c r="DC170" s="2042"/>
      <c r="DD170" s="2042"/>
      <c r="DE170" s="2042"/>
      <c r="DF170" s="2042"/>
      <c r="DG170" s="2042"/>
      <c r="DH170" s="2042"/>
      <c r="DI170" s="2042"/>
      <c r="DJ170" s="2042"/>
      <c r="DK170" s="2042"/>
      <c r="DL170" s="2042"/>
      <c r="DM170" s="2042"/>
      <c r="DN170" s="2042"/>
      <c r="DO170" s="2042"/>
      <c r="DP170" s="2042"/>
      <c r="DQ170" s="2042"/>
      <c r="DR170" s="2042"/>
      <c r="DS170" s="2042"/>
      <c r="DT170" s="2042"/>
      <c r="DU170" s="2042"/>
      <c r="DV170" s="2042"/>
      <c r="DW170" s="2042"/>
      <c r="DX170" s="2042"/>
      <c r="DY170" s="2042"/>
      <c r="DZ170" s="2042"/>
      <c r="EA170" s="2042"/>
      <c r="EB170" s="2042"/>
      <c r="EC170" s="2042"/>
      <c r="ED170" s="2042"/>
      <c r="EE170" s="2042"/>
      <c r="EF170" s="2042"/>
      <c r="EG170" s="2042"/>
      <c r="EH170" s="2042"/>
      <c r="EI170" s="2042"/>
      <c r="EJ170" s="2042"/>
      <c r="EK170" s="2042"/>
      <c r="EL170" s="2042"/>
      <c r="EM170" s="2042"/>
      <c r="EN170" s="2042"/>
      <c r="EO170" s="2042"/>
      <c r="EP170" s="2042"/>
      <c r="EQ170" s="2042"/>
      <c r="ER170" s="2042"/>
      <c r="ES170" s="2042"/>
      <c r="ET170" s="2042"/>
      <c r="EU170" s="2042"/>
      <c r="EV170" s="2042"/>
      <c r="EW170" s="2042"/>
      <c r="EX170" s="2042"/>
      <c r="EY170" s="2042"/>
      <c r="EZ170" s="2042"/>
      <c r="FA170" s="2042"/>
      <c r="FB170" s="2042"/>
      <c r="FC170" s="2042"/>
      <c r="FD170" s="2042"/>
      <c r="FE170" s="2042"/>
      <c r="FF170" s="2042"/>
      <c r="FG170" s="2042"/>
      <c r="FH170" s="2042"/>
      <c r="FI170" s="2042"/>
      <c r="FJ170" s="2042"/>
      <c r="FK170" s="2042"/>
      <c r="FL170" s="2042"/>
      <c r="FM170" s="2042"/>
      <c r="FN170" s="2042"/>
      <c r="FO170" s="2042"/>
      <c r="FP170" s="2042"/>
      <c r="FQ170" s="2042"/>
      <c r="FR170" s="2042"/>
      <c r="FS170" s="2042"/>
      <c r="FT170" s="2042"/>
      <c r="FU170" s="2042"/>
      <c r="FV170" s="2042"/>
      <c r="FW170" s="2042"/>
      <c r="FX170" s="2042"/>
      <c r="FY170" s="2042"/>
      <c r="FZ170" s="2042"/>
      <c r="GA170" s="2042"/>
      <c r="GB170" s="2042"/>
      <c r="GC170" s="2042"/>
      <c r="GD170" s="2042"/>
      <c r="GE170" s="2042"/>
      <c r="GF170" s="2042"/>
      <c r="GG170" s="2042"/>
      <c r="GH170" s="2042"/>
      <c r="GI170" s="2042"/>
      <c r="GJ170" s="2042"/>
      <c r="GK170" s="2042"/>
      <c r="GL170" s="2042"/>
      <c r="GM170" s="2042"/>
      <c r="GN170" s="2042">
        <f t="shared" si="310"/>
        <v>0</v>
      </c>
      <c r="GO170" s="2042"/>
      <c r="GP170" s="2042"/>
      <c r="GQ170" s="2042">
        <f t="shared" si="311"/>
        <v>0</v>
      </c>
      <c r="GR170" s="2042">
        <f t="shared" si="303"/>
        <v>0</v>
      </c>
      <c r="GS170" s="2042">
        <f t="shared" si="306"/>
        <v>0</v>
      </c>
      <c r="GT170" s="2042">
        <f t="shared" si="309"/>
        <v>0</v>
      </c>
      <c r="GU170" s="2045" t="str">
        <f t="shared" si="175"/>
        <v xml:space="preserve"> </v>
      </c>
      <c r="GV170" s="2042"/>
      <c r="GW170" s="2042"/>
      <c r="GX170" s="2042"/>
      <c r="GY170" s="2042"/>
      <c r="GZ170" s="2042"/>
      <c r="HA170" s="2042"/>
      <c r="HB170" s="2042"/>
      <c r="HC170" s="2042"/>
      <c r="HD170" s="2042"/>
      <c r="HE170" s="2042"/>
      <c r="HF170" s="2042"/>
      <c r="HG170" s="2042"/>
      <c r="HH170" s="2042"/>
      <c r="HI170" s="2042">
        <v>3</v>
      </c>
      <c r="HJ170" s="2042"/>
      <c r="HL170" s="2042"/>
      <c r="HM170" s="2042"/>
      <c r="HN170" s="2042"/>
      <c r="HO170" s="2042"/>
      <c r="HP170" s="2042"/>
      <c r="HQ170" s="2042"/>
      <c r="HR170" s="2042"/>
      <c r="HS170" s="2042"/>
      <c r="HT170" s="2042"/>
      <c r="HU170" s="2042"/>
      <c r="HV170" s="2042"/>
      <c r="HW170" s="2042"/>
      <c r="HX170" s="2042"/>
      <c r="HY170" s="2042"/>
      <c r="HZ170" s="2042"/>
      <c r="IA170" s="2042"/>
      <c r="IB170" s="2042"/>
      <c r="IC170" s="2042"/>
      <c r="ID170" s="2042"/>
      <c r="IE170" s="2042"/>
      <c r="IF170" s="2042"/>
      <c r="IG170" s="2042"/>
      <c r="IH170" s="2042"/>
      <c r="II170" s="2042"/>
      <c r="IJ170" s="2042"/>
    </row>
    <row r="171" spans="25:244" ht="15.75" customHeight="1" x14ac:dyDescent="0.2">
      <c r="Y171" s="510"/>
      <c r="Z171" s="510"/>
      <c r="AA171" s="510"/>
      <c r="AB171" s="510"/>
      <c r="AC171" s="510"/>
      <c r="AD171" s="510"/>
      <c r="AE171" s="510"/>
      <c r="AF171" s="510"/>
      <c r="AG171" s="510"/>
      <c r="AH171" s="510"/>
      <c r="AI171" s="510"/>
      <c r="AJ171" s="510"/>
      <c r="AK171" s="510"/>
      <c r="AL171" s="510"/>
      <c r="AM171" s="510"/>
      <c r="AN171" s="510"/>
      <c r="AR171" s="510"/>
      <c r="AS171" s="510"/>
      <c r="AT171" s="510"/>
      <c r="AU171" s="510"/>
      <c r="AV171" s="510"/>
      <c r="AY171" s="2042"/>
      <c r="AZ171" s="2042"/>
      <c r="BA171" s="2042"/>
      <c r="BB171" s="2042"/>
      <c r="BC171" s="2042"/>
      <c r="BD171" s="2042"/>
      <c r="BP171" s="2043"/>
      <c r="BQ171" s="2042"/>
      <c r="BR171" s="2042"/>
      <c r="BS171" s="2042"/>
      <c r="BT171" s="2042"/>
      <c r="BU171" s="2059"/>
      <c r="BV171" s="2277"/>
      <c r="BW171" s="2277"/>
      <c r="BX171" s="2277"/>
      <c r="BY171" s="2277"/>
      <c r="BZ171" s="2277"/>
      <c r="CA171" s="2277"/>
      <c r="CB171" s="2277"/>
      <c r="CC171" s="2277"/>
      <c r="CD171" s="2277"/>
      <c r="CE171" s="2277"/>
      <c r="CF171" s="2277"/>
      <c r="CG171" s="2277"/>
      <c r="CH171" s="2277"/>
      <c r="CI171" s="2277"/>
      <c r="CJ171" s="2277"/>
      <c r="CK171" s="2277"/>
      <c r="CL171" s="2042"/>
      <c r="CM171" s="2042"/>
      <c r="CN171" s="2042"/>
      <c r="CO171" s="2042"/>
      <c r="CP171" s="2042"/>
      <c r="CQ171" s="2042"/>
      <c r="CR171" s="2042"/>
      <c r="CS171" s="2042"/>
      <c r="CT171" s="2042"/>
      <c r="CU171" s="2042"/>
      <c r="CV171" s="2042"/>
      <c r="CW171" s="2047" t="s">
        <v>1248</v>
      </c>
      <c r="CX171" s="2042"/>
      <c r="CY171" s="1263">
        <v>0</v>
      </c>
      <c r="CZ171" s="2042">
        <v>0</v>
      </c>
      <c r="DA171" s="2042">
        <v>0</v>
      </c>
      <c r="DB171" s="2042">
        <v>0</v>
      </c>
      <c r="DC171" s="2042">
        <v>0</v>
      </c>
      <c r="DD171" s="2042">
        <v>0</v>
      </c>
      <c r="DE171" s="2042">
        <v>0</v>
      </c>
      <c r="DF171" s="2042">
        <v>0</v>
      </c>
      <c r="DG171" s="2042">
        <v>0</v>
      </c>
      <c r="DH171" s="2042">
        <v>0</v>
      </c>
      <c r="DI171" s="2042">
        <v>0</v>
      </c>
      <c r="DJ171" s="2042">
        <v>0</v>
      </c>
      <c r="DK171" s="2042">
        <v>0</v>
      </c>
      <c r="DL171" s="2042"/>
      <c r="DM171" s="2042">
        <v>0</v>
      </c>
      <c r="DN171" s="2042">
        <v>0</v>
      </c>
      <c r="DO171" s="2042">
        <v>0</v>
      </c>
      <c r="DP171" s="2042">
        <v>0</v>
      </c>
      <c r="DQ171" s="2042">
        <v>0</v>
      </c>
      <c r="DR171" s="2042">
        <v>0</v>
      </c>
      <c r="DS171" s="2042">
        <v>0</v>
      </c>
      <c r="DT171" s="2042">
        <v>0</v>
      </c>
      <c r="DU171" s="2042">
        <v>0</v>
      </c>
      <c r="DV171" s="2042">
        <v>0</v>
      </c>
      <c r="DW171" s="2042">
        <v>0</v>
      </c>
      <c r="DX171" s="2042">
        <v>0</v>
      </c>
      <c r="DY171" s="2042"/>
      <c r="DZ171" s="2042">
        <f t="shared" ref="DZ171:EK171" si="352">$GH$171/12</f>
        <v>0</v>
      </c>
      <c r="EA171" s="2042">
        <f t="shared" si="352"/>
        <v>0</v>
      </c>
      <c r="EB171" s="2042">
        <f t="shared" si="352"/>
        <v>0</v>
      </c>
      <c r="EC171" s="2042">
        <f t="shared" si="352"/>
        <v>0</v>
      </c>
      <c r="ED171" s="2042">
        <f t="shared" si="352"/>
        <v>0</v>
      </c>
      <c r="EE171" s="2042">
        <f t="shared" si="352"/>
        <v>0</v>
      </c>
      <c r="EF171" s="2042">
        <f t="shared" si="352"/>
        <v>0</v>
      </c>
      <c r="EG171" s="2042">
        <f t="shared" si="352"/>
        <v>0</v>
      </c>
      <c r="EH171" s="2042">
        <f t="shared" si="352"/>
        <v>0</v>
      </c>
      <c r="EI171" s="2042">
        <f t="shared" si="352"/>
        <v>0</v>
      </c>
      <c r="EJ171" s="2042">
        <f t="shared" si="352"/>
        <v>0</v>
      </c>
      <c r="EK171" s="2042">
        <f t="shared" si="352"/>
        <v>0</v>
      </c>
      <c r="EL171" s="2042"/>
      <c r="EM171" s="2059">
        <f>$GI$171/12</f>
        <v>0</v>
      </c>
      <c r="EN171" s="2059">
        <f t="shared" ref="EN171:EX171" si="353">$GI$171/12</f>
        <v>0</v>
      </c>
      <c r="EO171" s="2059">
        <f t="shared" si="353"/>
        <v>0</v>
      </c>
      <c r="EP171" s="2059">
        <f>$GI$171/12</f>
        <v>0</v>
      </c>
      <c r="EQ171" s="2059">
        <f t="shared" si="353"/>
        <v>0</v>
      </c>
      <c r="ER171" s="2059">
        <f t="shared" si="353"/>
        <v>0</v>
      </c>
      <c r="ES171" s="2059">
        <f t="shared" si="353"/>
        <v>0</v>
      </c>
      <c r="ET171" s="2059">
        <f t="shared" si="353"/>
        <v>0</v>
      </c>
      <c r="EU171" s="2059">
        <f t="shared" si="353"/>
        <v>0</v>
      </c>
      <c r="EV171" s="2059">
        <f t="shared" si="353"/>
        <v>0</v>
      </c>
      <c r="EW171" s="2059">
        <f t="shared" si="353"/>
        <v>0</v>
      </c>
      <c r="EX171" s="2059">
        <f t="shared" si="353"/>
        <v>0</v>
      </c>
      <c r="EY171" s="2042"/>
      <c r="EZ171" s="1263">
        <v>0</v>
      </c>
      <c r="FA171" s="1263">
        <v>0</v>
      </c>
      <c r="FB171" s="1263">
        <v>0</v>
      </c>
      <c r="FC171" s="1263">
        <v>0</v>
      </c>
      <c r="FD171" s="1263">
        <v>0</v>
      </c>
      <c r="FE171" s="1263">
        <v>0</v>
      </c>
      <c r="FF171" s="1263">
        <v>0</v>
      </c>
      <c r="FG171" s="1263">
        <v>0</v>
      </c>
      <c r="FH171" s="1263">
        <v>0</v>
      </c>
      <c r="FI171" s="1263">
        <v>0</v>
      </c>
      <c r="FJ171" s="1263">
        <v>0</v>
      </c>
      <c r="FK171" s="1263">
        <v>0</v>
      </c>
      <c r="FL171" s="1263">
        <v>0</v>
      </c>
      <c r="FM171" s="2042"/>
      <c r="FN171" s="2205">
        <v>0</v>
      </c>
      <c r="FO171" s="2205">
        <v>0</v>
      </c>
      <c r="FP171" s="2205">
        <v>0</v>
      </c>
      <c r="FQ171" s="2205">
        <v>0</v>
      </c>
      <c r="FR171" s="2205">
        <v>0</v>
      </c>
      <c r="FS171" s="2205">
        <v>0</v>
      </c>
      <c r="FT171" s="2205">
        <v>0</v>
      </c>
      <c r="FU171" s="2205">
        <v>0</v>
      </c>
      <c r="FV171" s="2205">
        <v>0</v>
      </c>
      <c r="FW171" s="2205">
        <v>0</v>
      </c>
      <c r="FX171" s="2205">
        <v>0</v>
      </c>
      <c r="FY171" s="2205">
        <v>0</v>
      </c>
      <c r="FZ171" s="2205">
        <v>0</v>
      </c>
      <c r="GA171" s="2042"/>
      <c r="GB171" s="1263">
        <v>0</v>
      </c>
      <c r="GC171" s="2205">
        <v>0</v>
      </c>
      <c r="GD171" s="2042"/>
      <c r="GE171" s="2042"/>
      <c r="GF171" s="2042">
        <f>(('Berechnung Nährstoffe und Lager'!AB90+'Berechnung Nährstoffe und Lager'!AF90)/2+('Berechnung Nährstoffe und Lager'!AL90+'Berechnung Nährstoffe und Lager'!AO90)/2+('Berechnung Nährstoffe und Lager'!AS90+'Berechnung Nährstoffe und Lager'!AV90)/2)/1000</f>
        <v>0</v>
      </c>
      <c r="GG171" s="2276">
        <f>(('Berechnung Nährstoffe und Lager'!AD90+'Berechnung Nährstoffe und Lager'!AH90)/2+('Berechnung Nährstoffe und Lager'!AM90+'Berechnung Nährstoffe und Lager'!AP90)/2+('Berechnung Nährstoffe und Lager'!AT90+'Berechnung Nährstoffe und Lager'!AW90)/2)/1000</f>
        <v>0</v>
      </c>
      <c r="GH171" s="2042">
        <f>GB171+GF171</f>
        <v>0</v>
      </c>
      <c r="GI171" s="2276">
        <f>GC171+GG171</f>
        <v>0</v>
      </c>
      <c r="GJ171" s="2042">
        <f>GB171-GB171*HC171</f>
        <v>0</v>
      </c>
      <c r="GK171" s="2042">
        <f>GC171-GC171*HC171</f>
        <v>0</v>
      </c>
      <c r="GL171" s="2042">
        <f>'Berechnung Nährstoffe und Lager'!ED88</f>
        <v>0</v>
      </c>
      <c r="GM171" s="2042" t="e">
        <f>'Berechnung Nährstoffe und Lager'!EG88*100</f>
        <v>#DIV/0!</v>
      </c>
      <c r="GN171" s="2042" t="e">
        <f t="shared" si="310"/>
        <v>#DIV/0!</v>
      </c>
      <c r="GO171" s="2042">
        <f>GL171</f>
        <v>0</v>
      </c>
      <c r="GP171" s="2042" t="e">
        <f>GM171</f>
        <v>#DIV/0!</v>
      </c>
      <c r="GQ171" s="2042" t="e">
        <f t="shared" si="311"/>
        <v>#DIV/0!</v>
      </c>
      <c r="GR171" s="2042" t="e">
        <f t="shared" si="303"/>
        <v>#DIV/0!</v>
      </c>
      <c r="GS171" s="2042" t="e">
        <f t="shared" si="306"/>
        <v>#DIV/0!</v>
      </c>
      <c r="GT171" s="2042" t="e">
        <f t="shared" si="309"/>
        <v>#DIV/0!</v>
      </c>
      <c r="GU171" s="2045" t="str">
        <f t="shared" si="175"/>
        <v xml:space="preserve"> </v>
      </c>
      <c r="GV171" s="2045" t="str">
        <f t="shared" si="175"/>
        <v xml:space="preserve"> </v>
      </c>
      <c r="GW171" s="2054">
        <f>IF(HI171=3,0,IF(CY171=$CY$4,IF($GE$4=0,0,$GV$4/$GE$4),IF(CY171=$CY$6,IF($GE$6=0,0,$GV$6/$GE$6),0)))</f>
        <v>0</v>
      </c>
      <c r="GX171" s="2045">
        <v>0</v>
      </c>
      <c r="GY171" s="2042" t="str">
        <f>IF(HI171=3,"a",VLOOKUP(CW171,$Y$13:$AZ$132,COLUMN($AZ$1)-COLUMN($Y$1)+1,FALSE))</f>
        <v>a</v>
      </c>
      <c r="GZ171" s="2055">
        <f>IF(GY171="a",0,GB171*HC171)</f>
        <v>0</v>
      </c>
      <c r="HA171" s="2055">
        <f>IF(GY171="a",0,GB171*(1-HC171))</f>
        <v>0</v>
      </c>
      <c r="HB171" s="2055"/>
      <c r="HC171" s="2046">
        <f>IF(HI171=3,0,IF(GY171&lt;&gt;"a",IF(GS171=0,0,MIN(1,GY171/GS171)),IF(CY171=$CY$4,IF($GE$4-$HA$4-$GZ$4=0,0,$HB$4/($GE$4-$HA$4-$GZ$4)),IF(CY171=$CY$6,IF($GE$6-$HA$6-$GZ$6=0,0,$HB$6/($GE$6-$HA$6-$GZ$6)),0))))</f>
        <v>0</v>
      </c>
      <c r="HD171" s="2055" t="e">
        <f>GS171*HC171</f>
        <v>#DIV/0!</v>
      </c>
      <c r="HE171" s="2055" t="e">
        <f>GS171-HD171</f>
        <v>#DIV/0!</v>
      </c>
      <c r="HF171" s="2055" t="e">
        <f>GT171</f>
        <v>#DIV/0!</v>
      </c>
      <c r="HG171" s="2055"/>
      <c r="HH171" s="2055"/>
      <c r="HI171" s="2042">
        <f>IF(AND(GB171=0,GF171=0,GH171=0),3,CY171)</f>
        <v>3</v>
      </c>
      <c r="HJ171" s="2042"/>
      <c r="HL171" s="2042"/>
      <c r="HM171" s="2042"/>
      <c r="HN171" s="2042"/>
      <c r="HO171" s="2042"/>
      <c r="HP171" s="2042"/>
      <c r="HQ171" s="2042"/>
      <c r="HR171" s="2042"/>
      <c r="HS171" s="2042"/>
      <c r="HT171" s="2042"/>
      <c r="HU171" s="2042"/>
      <c r="HV171" s="2042"/>
      <c r="HW171" s="2042"/>
      <c r="HX171" s="2042"/>
      <c r="HY171" s="2042"/>
      <c r="HZ171" s="2042"/>
      <c r="IA171" s="2042"/>
      <c r="IB171" s="2042"/>
      <c r="IC171" s="2042"/>
      <c r="ID171" s="2042"/>
      <c r="IE171" s="2042"/>
      <c r="IF171" s="2042"/>
      <c r="IG171" s="2042"/>
      <c r="IH171" s="2042"/>
      <c r="II171" s="2042"/>
      <c r="IJ171" s="2042"/>
    </row>
    <row r="172" spans="25:244" ht="15.75" customHeight="1" x14ac:dyDescent="0.2">
      <c r="Y172" s="510"/>
      <c r="Z172" s="510"/>
      <c r="AA172" s="510"/>
      <c r="AB172" s="510"/>
      <c r="AC172" s="510"/>
      <c r="AD172" s="510"/>
      <c r="AE172" s="510"/>
      <c r="AF172" s="510"/>
      <c r="AG172" s="510"/>
      <c r="AH172" s="510"/>
      <c r="AI172" s="510"/>
      <c r="AJ172" s="510"/>
      <c r="AK172" s="510"/>
      <c r="AL172" s="510"/>
      <c r="AM172" s="510"/>
      <c r="AN172" s="510"/>
      <c r="AR172" s="510"/>
      <c r="AS172" s="510"/>
      <c r="AT172" s="510"/>
      <c r="AU172" s="510"/>
      <c r="AV172" s="510"/>
      <c r="AY172" s="2042"/>
      <c r="AZ172" s="2042"/>
      <c r="BA172" s="2042"/>
      <c r="BB172" s="2042"/>
      <c r="BC172" s="2042"/>
      <c r="BD172" s="2042"/>
      <c r="BP172" s="2043"/>
      <c r="BQ172" s="2042"/>
      <c r="BR172" s="2042"/>
      <c r="BS172" s="2042"/>
      <c r="BT172" s="2042"/>
      <c r="BU172" s="2059"/>
      <c r="BV172" s="2277"/>
      <c r="BW172" s="2277"/>
      <c r="BX172" s="2277"/>
      <c r="BY172" s="2277"/>
      <c r="BZ172" s="2277"/>
      <c r="CA172" s="2277"/>
      <c r="CB172" s="2277"/>
      <c r="CC172" s="2277"/>
      <c r="CD172" s="2277"/>
      <c r="CE172" s="2277"/>
      <c r="CF172" s="2277"/>
      <c r="CG172" s="2277"/>
      <c r="CH172" s="2277"/>
      <c r="CI172" s="2277"/>
      <c r="CJ172" s="2277"/>
      <c r="CK172" s="2277"/>
      <c r="CL172" s="2042"/>
      <c r="CM172" s="2042"/>
      <c r="CN172" s="2042"/>
      <c r="CO172" s="2042"/>
      <c r="CP172" s="2042"/>
      <c r="CQ172" s="2042"/>
      <c r="CR172" s="2042"/>
      <c r="CS172" s="2042"/>
      <c r="CT172" s="2042"/>
      <c r="CU172" s="2042"/>
      <c r="CV172" s="2042"/>
      <c r="CW172" s="2042"/>
      <c r="CX172" s="2042"/>
      <c r="CY172" s="2042"/>
      <c r="CZ172" s="2042"/>
      <c r="DA172" s="2042"/>
      <c r="DB172" s="2042"/>
      <c r="DC172" s="2042"/>
      <c r="DD172" s="2042"/>
      <c r="DE172" s="2042"/>
      <c r="DF172" s="2042"/>
      <c r="DG172" s="2042"/>
      <c r="DH172" s="2042"/>
      <c r="DI172" s="2042"/>
      <c r="DJ172" s="2042"/>
      <c r="DK172" s="2042"/>
      <c r="DL172" s="2042"/>
      <c r="DM172" s="2042"/>
      <c r="DN172" s="2042"/>
      <c r="DO172" s="2042"/>
      <c r="DP172" s="2042"/>
      <c r="DQ172" s="2042"/>
      <c r="DR172" s="2042"/>
      <c r="DS172" s="2042"/>
      <c r="DT172" s="2042"/>
      <c r="DU172" s="2042"/>
      <c r="DV172" s="2042"/>
      <c r="DW172" s="2042"/>
      <c r="DX172" s="2042"/>
      <c r="DY172" s="2042"/>
      <c r="DZ172" s="2042"/>
      <c r="EA172" s="2042"/>
      <c r="EB172" s="2042"/>
      <c r="EC172" s="2042"/>
      <c r="ED172" s="2042"/>
      <c r="EE172" s="2042"/>
      <c r="EF172" s="2042"/>
      <c r="EG172" s="2042"/>
      <c r="EH172" s="2042"/>
      <c r="EI172" s="2042"/>
      <c r="EJ172" s="2042"/>
      <c r="EK172" s="2042"/>
      <c r="EL172" s="2042"/>
      <c r="EM172" s="2042"/>
      <c r="EN172" s="2042"/>
      <c r="EO172" s="2042"/>
      <c r="EP172" s="2042"/>
      <c r="EQ172" s="2042"/>
      <c r="ER172" s="2042"/>
      <c r="ES172" s="2042"/>
      <c r="ET172" s="2042"/>
      <c r="EU172" s="2042"/>
      <c r="EV172" s="2042"/>
      <c r="EW172" s="2042"/>
      <c r="EX172" s="2042"/>
      <c r="EY172" s="2042"/>
      <c r="EZ172" s="2042"/>
      <c r="FA172" s="2042"/>
      <c r="FB172" s="2042"/>
      <c r="FC172" s="2042"/>
      <c r="FD172" s="2042"/>
      <c r="FE172" s="2042"/>
      <c r="FF172" s="2042"/>
      <c r="FG172" s="2042"/>
      <c r="FH172" s="2042"/>
      <c r="FI172" s="2042"/>
      <c r="FJ172" s="2042"/>
      <c r="FK172" s="2042"/>
      <c r="FL172" s="2042"/>
      <c r="FM172" s="2042"/>
      <c r="FN172" s="2042"/>
      <c r="FO172" s="2042"/>
      <c r="FP172" s="2042"/>
      <c r="FQ172" s="2042"/>
      <c r="FR172" s="2042"/>
      <c r="FS172" s="2042"/>
      <c r="FT172" s="2042"/>
      <c r="FU172" s="2042"/>
      <c r="FV172" s="2042"/>
      <c r="FW172" s="2042"/>
      <c r="FX172" s="2042"/>
      <c r="FY172" s="2042"/>
      <c r="FZ172" s="2042"/>
      <c r="GA172" s="2042"/>
      <c r="GB172" s="2042"/>
      <c r="GC172" s="2042"/>
      <c r="GD172" s="2042"/>
      <c r="GE172" s="2042"/>
      <c r="GF172" s="2042"/>
      <c r="GG172" s="2042"/>
      <c r="GH172" s="2042"/>
      <c r="GI172" s="2042"/>
      <c r="GJ172" s="2042"/>
      <c r="GK172" s="2042"/>
      <c r="GL172" s="2042"/>
      <c r="GM172" s="2042"/>
      <c r="GN172" s="2042"/>
      <c r="GO172" s="2042"/>
      <c r="GP172" s="2042"/>
      <c r="GQ172" s="2042"/>
      <c r="GR172" s="2042"/>
      <c r="GS172" s="2042"/>
      <c r="GT172" s="2042"/>
      <c r="GU172" s="2042"/>
      <c r="GV172" s="2042"/>
      <c r="GW172" s="2042"/>
      <c r="GX172" s="2042"/>
      <c r="GY172" s="2042"/>
      <c r="GZ172" s="2042"/>
      <c r="HA172" s="2042"/>
      <c r="HB172" s="2042"/>
      <c r="HC172" s="2042"/>
      <c r="HD172" s="2042"/>
      <c r="HE172" s="2042"/>
      <c r="HF172" s="2042"/>
      <c r="HG172" s="2042"/>
      <c r="HH172" s="2042"/>
      <c r="HI172" s="2042"/>
      <c r="HJ172" s="2042"/>
      <c r="HL172" s="2042"/>
      <c r="HM172" s="2042"/>
      <c r="HN172" s="2042"/>
      <c r="HO172" s="2042"/>
      <c r="HP172" s="2042"/>
      <c r="HQ172" s="2042"/>
      <c r="HR172" s="2042"/>
      <c r="HS172" s="2042"/>
      <c r="HT172" s="2042"/>
      <c r="HU172" s="2042"/>
      <c r="HV172" s="2042"/>
      <c r="HW172" s="2042"/>
      <c r="HX172" s="2042"/>
      <c r="HY172" s="2042"/>
      <c r="HZ172" s="2042"/>
      <c r="IA172" s="2042"/>
      <c r="IB172" s="2042"/>
      <c r="IC172" s="2042"/>
      <c r="ID172" s="2042"/>
      <c r="IE172" s="2042"/>
      <c r="IF172" s="2042"/>
      <c r="IG172" s="2042"/>
      <c r="IH172" s="2042"/>
      <c r="II172" s="2042"/>
      <c r="IJ172" s="2042"/>
    </row>
    <row r="173" spans="25:244" ht="15.75" customHeight="1" x14ac:dyDescent="0.2">
      <c r="Y173" s="510"/>
      <c r="Z173" s="510"/>
      <c r="AA173" s="510"/>
      <c r="AB173" s="510"/>
      <c r="AC173" s="510"/>
      <c r="AD173" s="510"/>
      <c r="AE173" s="510"/>
      <c r="AF173" s="510"/>
      <c r="AG173" s="510"/>
      <c r="AH173" s="510"/>
      <c r="AI173" s="510"/>
      <c r="AJ173" s="510"/>
      <c r="AK173" s="510"/>
      <c r="AL173" s="510"/>
      <c r="AM173" s="510"/>
      <c r="AN173" s="510"/>
      <c r="AR173" s="510"/>
      <c r="AS173" s="510"/>
      <c r="AT173" s="510"/>
      <c r="AU173" s="510"/>
      <c r="AV173" s="510"/>
      <c r="AY173" s="2042"/>
      <c r="AZ173" s="2042"/>
      <c r="BA173" s="2042"/>
      <c r="BB173" s="2042"/>
      <c r="BC173" s="2042"/>
      <c r="BD173" s="2042"/>
      <c r="BP173" s="2043"/>
      <c r="BQ173" s="2042"/>
      <c r="BR173" s="2042"/>
      <c r="BS173" s="2042"/>
      <c r="BT173" s="2042"/>
      <c r="BU173" s="2059"/>
      <c r="BV173" s="2277"/>
      <c r="BW173" s="2277"/>
      <c r="BX173" s="2277"/>
      <c r="BY173" s="2277"/>
      <c r="BZ173" s="2277"/>
      <c r="CA173" s="2277"/>
      <c r="CB173" s="2277"/>
      <c r="CC173" s="2277"/>
      <c r="CD173" s="2277"/>
      <c r="CE173" s="2277"/>
      <c r="CF173" s="2277"/>
      <c r="CG173" s="2277"/>
      <c r="CH173" s="2277"/>
      <c r="CI173" s="2277"/>
      <c r="CJ173" s="2277"/>
      <c r="CK173" s="2277"/>
      <c r="CL173" s="2042"/>
      <c r="CM173" s="2042"/>
      <c r="CN173" s="2042"/>
      <c r="CO173" s="2042"/>
      <c r="CP173" s="2042"/>
      <c r="CQ173" s="2042"/>
      <c r="CR173" s="2042"/>
      <c r="CS173" s="2042"/>
      <c r="CT173" s="2042"/>
      <c r="CU173" s="2042"/>
      <c r="CV173" s="2042"/>
      <c r="CW173" s="2042"/>
      <c r="CX173" s="2042"/>
      <c r="CY173" s="2042"/>
      <c r="CZ173" s="2042"/>
      <c r="DA173" s="2042"/>
      <c r="DB173" s="2042"/>
      <c r="DC173" s="2042"/>
      <c r="DD173" s="2042"/>
      <c r="DE173" s="2042"/>
      <c r="DF173" s="2042"/>
      <c r="DG173" s="2042"/>
      <c r="DH173" s="2042"/>
      <c r="DI173" s="2042"/>
      <c r="DJ173" s="2042"/>
      <c r="DK173" s="2042"/>
      <c r="DL173" s="2042"/>
      <c r="DM173" s="2042"/>
      <c r="DN173" s="2042"/>
      <c r="DO173" s="2042"/>
      <c r="DP173" s="2042"/>
      <c r="DQ173" s="2042"/>
      <c r="DR173" s="2042"/>
      <c r="DS173" s="2042"/>
      <c r="DT173" s="2042"/>
      <c r="DU173" s="2042"/>
      <c r="DV173" s="2042"/>
      <c r="DW173" s="2042"/>
      <c r="DX173" s="2042"/>
      <c r="DY173" s="2042"/>
      <c r="DZ173" s="2042"/>
      <c r="EA173" s="2042"/>
      <c r="EB173" s="2042"/>
      <c r="EC173" s="2042"/>
      <c r="ED173" s="2042"/>
      <c r="EE173" s="2042"/>
      <c r="EF173" s="2042"/>
      <c r="EG173" s="2042"/>
      <c r="EH173" s="2042"/>
      <c r="EI173" s="2042"/>
      <c r="EJ173" s="2042"/>
      <c r="EK173" s="2042"/>
      <c r="EL173" s="2042"/>
      <c r="EM173" s="2042"/>
      <c r="EN173" s="2042"/>
      <c r="EO173" s="2042"/>
      <c r="EP173" s="2042"/>
      <c r="EQ173" s="2042"/>
      <c r="ER173" s="2042"/>
      <c r="ES173" s="2042"/>
      <c r="ET173" s="2042"/>
      <c r="EU173" s="2042"/>
      <c r="EV173" s="2042"/>
      <c r="EW173" s="2042"/>
      <c r="EX173" s="2042"/>
      <c r="EY173" s="2042"/>
      <c r="EZ173" s="2042"/>
      <c r="FA173" s="2042"/>
      <c r="FB173" s="2042"/>
      <c r="FC173" s="2042"/>
      <c r="FD173" s="2042"/>
      <c r="FE173" s="2042"/>
      <c r="FF173" s="2042"/>
      <c r="FG173" s="2042"/>
      <c r="FH173" s="2042"/>
      <c r="FI173" s="2042"/>
      <c r="FJ173" s="2042"/>
      <c r="FK173" s="2042"/>
      <c r="FL173" s="2042"/>
      <c r="FM173" s="2042"/>
      <c r="FN173" s="2042"/>
      <c r="FO173" s="2042"/>
      <c r="FP173" s="2042"/>
      <c r="FQ173" s="2042"/>
      <c r="FR173" s="2042"/>
      <c r="FS173" s="2042"/>
      <c r="FT173" s="2042"/>
      <c r="FU173" s="2042"/>
      <c r="FV173" s="2042"/>
      <c r="FW173" s="2042"/>
      <c r="FX173" s="2042"/>
      <c r="FY173" s="2042"/>
      <c r="FZ173" s="2042"/>
      <c r="GA173" s="2042"/>
      <c r="GB173" s="2042"/>
      <c r="GC173" s="2042"/>
      <c r="GD173" s="2042"/>
      <c r="GE173" s="2042"/>
      <c r="GF173" s="2042"/>
      <c r="GG173" s="2042"/>
      <c r="GH173" s="2042"/>
      <c r="GI173" s="2042"/>
      <c r="GJ173" s="2042"/>
      <c r="GK173" s="2042"/>
      <c r="GL173" s="2042"/>
      <c r="GM173" s="2042"/>
      <c r="GN173" s="2042"/>
      <c r="GO173" s="2042"/>
      <c r="GP173" s="2042"/>
      <c r="GQ173" s="2042"/>
      <c r="GR173" s="2042"/>
      <c r="GS173" s="2042"/>
      <c r="GT173" s="2042"/>
      <c r="GU173" s="2042"/>
      <c r="GV173" s="2042"/>
      <c r="GW173" s="2042"/>
      <c r="GX173" s="2042"/>
      <c r="GY173" s="2042"/>
      <c r="GZ173" s="2042"/>
      <c r="HA173" s="2042"/>
      <c r="HB173" s="2042"/>
      <c r="HC173" s="2042"/>
      <c r="HD173" s="2042"/>
      <c r="HE173" s="2042"/>
      <c r="HF173" s="2042"/>
      <c r="HG173" s="2042"/>
      <c r="HH173" s="2042"/>
      <c r="HI173" s="2042"/>
      <c r="HJ173" s="2042"/>
      <c r="HL173" s="2042"/>
      <c r="HM173" s="2042"/>
      <c r="HN173" s="2042"/>
      <c r="HO173" s="2042"/>
      <c r="HP173" s="2042"/>
      <c r="HQ173" s="2042"/>
      <c r="HR173" s="2042"/>
      <c r="HS173" s="2042"/>
      <c r="HT173" s="2042"/>
      <c r="HU173" s="2042"/>
      <c r="HV173" s="2042"/>
      <c r="HW173" s="2042"/>
      <c r="HX173" s="2042"/>
      <c r="HY173" s="2042"/>
      <c r="HZ173" s="2042"/>
      <c r="IA173" s="2042"/>
      <c r="IB173" s="2042"/>
      <c r="IC173" s="2042"/>
      <c r="ID173" s="2042"/>
      <c r="IE173" s="2042"/>
      <c r="IF173" s="2042"/>
      <c r="IG173" s="2042"/>
      <c r="IH173" s="2042"/>
      <c r="II173" s="2042"/>
      <c r="IJ173" s="2042"/>
    </row>
    <row r="174" spans="25:244" ht="15.75" customHeight="1" x14ac:dyDescent="0.2">
      <c r="AR174" s="510"/>
      <c r="AS174" s="510"/>
      <c r="AT174" s="510"/>
      <c r="AU174" s="510"/>
      <c r="AV174" s="510"/>
      <c r="AY174" s="2042"/>
      <c r="AZ174" s="2042"/>
      <c r="BA174" s="2042"/>
      <c r="BB174" s="2042"/>
      <c r="BC174" s="2042"/>
      <c r="BD174" s="2042"/>
      <c r="BP174" s="2043"/>
      <c r="BQ174" s="2042"/>
      <c r="BR174" s="2042"/>
      <c r="BS174" s="2042"/>
      <c r="BT174" s="2042"/>
      <c r="BU174" s="2059"/>
      <c r="BV174" s="2277"/>
      <c r="BW174" s="2277"/>
      <c r="BX174" s="2277"/>
      <c r="BY174" s="2277"/>
      <c r="BZ174" s="2277"/>
      <c r="CA174" s="2277"/>
      <c r="CB174" s="2277"/>
      <c r="CC174" s="2277"/>
      <c r="CD174" s="2277"/>
      <c r="CE174" s="2277"/>
      <c r="CF174" s="2277"/>
      <c r="CG174" s="2277"/>
      <c r="CH174" s="2277"/>
      <c r="CI174" s="2277"/>
      <c r="CJ174" s="2277"/>
      <c r="CK174" s="2277"/>
      <c r="CL174" s="2042"/>
      <c r="CM174" s="2042"/>
      <c r="CN174" s="2042"/>
      <c r="CO174" s="2042"/>
      <c r="CP174" s="2042"/>
      <c r="CQ174" s="2042"/>
      <c r="CR174" s="2042"/>
      <c r="CS174" s="2042"/>
      <c r="CT174" s="2042"/>
      <c r="CU174" s="2042"/>
      <c r="CV174" s="2042"/>
      <c r="CW174" s="2042"/>
      <c r="CX174" s="2042"/>
      <c r="CY174" s="2042"/>
      <c r="CZ174" s="2042"/>
      <c r="DA174" s="2042"/>
      <c r="DB174" s="2042"/>
      <c r="DC174" s="2042"/>
      <c r="DD174" s="2042"/>
      <c r="DE174" s="2042"/>
      <c r="DF174" s="2042"/>
      <c r="DG174" s="2042"/>
      <c r="DH174" s="2042"/>
      <c r="DI174" s="2042"/>
      <c r="DJ174" s="2042"/>
      <c r="DK174" s="2042"/>
      <c r="DL174" s="2042"/>
      <c r="DM174" s="2042"/>
      <c r="DN174" s="2042"/>
      <c r="DO174" s="2042"/>
      <c r="DP174" s="2042"/>
      <c r="DQ174" s="2042"/>
      <c r="DR174" s="2042"/>
      <c r="DS174" s="2042"/>
      <c r="DT174" s="2042"/>
      <c r="DU174" s="2042"/>
      <c r="DV174" s="2042"/>
      <c r="DW174" s="2042"/>
      <c r="DX174" s="2042"/>
      <c r="DY174" s="2042"/>
      <c r="DZ174" s="2042"/>
      <c r="EA174" s="2042"/>
      <c r="EB174" s="2042"/>
      <c r="EC174" s="2042"/>
      <c r="ED174" s="2042"/>
      <c r="EE174" s="2042"/>
      <c r="EF174" s="2042"/>
      <c r="EG174" s="2042"/>
      <c r="EH174" s="2042"/>
      <c r="EI174" s="2042"/>
      <c r="EJ174" s="2042"/>
      <c r="EK174" s="2042"/>
      <c r="EL174" s="2042"/>
      <c r="EM174" s="2042"/>
      <c r="EN174" s="2042"/>
      <c r="EO174" s="2042"/>
      <c r="EP174" s="2042"/>
      <c r="EQ174" s="2042"/>
      <c r="ER174" s="2042"/>
      <c r="ES174" s="2042"/>
      <c r="ET174" s="2042"/>
      <c r="EU174" s="2042"/>
      <c r="EV174" s="2042"/>
      <c r="EW174" s="2042"/>
      <c r="EX174" s="2042"/>
      <c r="EY174" s="2042"/>
      <c r="EZ174" s="2042"/>
      <c r="FA174" s="2042"/>
      <c r="FB174" s="2042"/>
      <c r="FC174" s="2042"/>
      <c r="FD174" s="2042"/>
      <c r="FE174" s="2042"/>
      <c r="FF174" s="2042"/>
      <c r="FG174" s="2042"/>
      <c r="FH174" s="2042"/>
      <c r="FI174" s="2042"/>
      <c r="FJ174" s="2042"/>
      <c r="FK174" s="2042"/>
      <c r="FL174" s="2042"/>
      <c r="FM174" s="2042"/>
      <c r="FN174" s="2042"/>
      <c r="FO174" s="2042"/>
      <c r="FP174" s="2042"/>
      <c r="FQ174" s="2042"/>
      <c r="FR174" s="2042"/>
      <c r="FS174" s="2042"/>
      <c r="FT174" s="2042"/>
      <c r="FU174" s="2042"/>
      <c r="FV174" s="2042"/>
      <c r="FW174" s="2042"/>
      <c r="FX174" s="2042"/>
      <c r="FY174" s="2042"/>
      <c r="FZ174" s="2042"/>
      <c r="GA174" s="2042"/>
      <c r="GB174" s="2042"/>
      <c r="GC174" s="2042"/>
      <c r="GD174" s="2042"/>
      <c r="GE174" s="2042"/>
      <c r="GF174" s="2042"/>
      <c r="GG174" s="2042"/>
      <c r="GH174" s="2042"/>
      <c r="GI174" s="2042"/>
      <c r="GJ174" s="2042"/>
      <c r="GK174" s="2042"/>
      <c r="GL174" s="2042"/>
      <c r="GM174" s="2042"/>
      <c r="GN174" s="2042"/>
      <c r="GO174" s="2042"/>
      <c r="GP174" s="2042"/>
      <c r="GQ174" s="2042"/>
      <c r="GR174" s="2042"/>
      <c r="GS174" s="2042"/>
      <c r="GT174" s="2042"/>
      <c r="GU174" s="2042"/>
      <c r="GV174" s="2042"/>
      <c r="GW174" s="2042"/>
      <c r="GX174" s="2042"/>
      <c r="GY174" s="2042"/>
      <c r="GZ174" s="2042"/>
      <c r="HA174" s="2042"/>
      <c r="HB174" s="2042"/>
      <c r="HC174" s="2042"/>
      <c r="HD174" s="2042"/>
      <c r="HE174" s="2042"/>
      <c r="HF174" s="2042"/>
      <c r="HG174" s="2042"/>
      <c r="HH174" s="2042"/>
      <c r="HI174" s="2042"/>
      <c r="HJ174" s="2042"/>
      <c r="HL174" s="2042"/>
      <c r="HM174" s="2042"/>
      <c r="HN174" s="2042"/>
      <c r="HO174" s="2042"/>
      <c r="HP174" s="2042"/>
      <c r="HQ174" s="2042"/>
      <c r="HR174" s="2042"/>
      <c r="HS174" s="2042"/>
      <c r="HT174" s="2042"/>
      <c r="HU174" s="2042"/>
      <c r="HV174" s="2042"/>
      <c r="HW174" s="2042"/>
      <c r="HX174" s="2042"/>
      <c r="HY174" s="2042"/>
      <c r="HZ174" s="2042"/>
      <c r="IA174" s="2042"/>
      <c r="IB174" s="2042"/>
      <c r="IC174" s="2042"/>
      <c r="ID174" s="2042"/>
      <c r="IE174" s="2042"/>
      <c r="IF174" s="2042"/>
      <c r="IG174" s="2042"/>
      <c r="IH174" s="2042"/>
      <c r="II174" s="2042"/>
      <c r="IJ174" s="2042"/>
    </row>
    <row r="175" spans="25:244" ht="15.75" customHeight="1" x14ac:dyDescent="0.2">
      <c r="AR175" s="510"/>
      <c r="AS175" s="510"/>
      <c r="AT175" s="510"/>
      <c r="AU175" s="510"/>
      <c r="AV175" s="510"/>
      <c r="AY175" s="2042"/>
      <c r="AZ175" s="2042"/>
      <c r="BA175" s="2042"/>
      <c r="BB175" s="2042"/>
      <c r="BC175" s="2042"/>
      <c r="BD175" s="2042"/>
      <c r="BP175" s="2043"/>
      <c r="BQ175" s="2042"/>
      <c r="BR175" s="2042"/>
      <c r="BS175" s="2042"/>
      <c r="BT175" s="2042"/>
      <c r="BU175" s="2059"/>
      <c r="BV175" s="2277"/>
      <c r="BW175" s="2277"/>
      <c r="BX175" s="2277"/>
      <c r="BY175" s="2277"/>
      <c r="BZ175" s="2277"/>
      <c r="CA175" s="2277"/>
      <c r="CB175" s="2277"/>
      <c r="CC175" s="2277"/>
      <c r="CD175" s="2277"/>
      <c r="CE175" s="2277"/>
      <c r="CF175" s="2277"/>
      <c r="CG175" s="2277"/>
      <c r="CH175" s="2277"/>
      <c r="CI175" s="2277"/>
      <c r="CJ175" s="2277"/>
      <c r="CK175" s="2277"/>
      <c r="CL175" s="2042"/>
      <c r="CM175" s="2042"/>
      <c r="CN175" s="2042"/>
      <c r="CO175" s="2042"/>
      <c r="CP175" s="2042"/>
      <c r="CQ175" s="2042"/>
      <c r="CR175" s="2042"/>
      <c r="CS175" s="2042"/>
      <c r="CT175" s="2042"/>
      <c r="CU175" s="2042"/>
      <c r="CV175" s="2042"/>
      <c r="CW175" s="2042"/>
      <c r="CX175" s="2042"/>
      <c r="CY175" s="2042"/>
      <c r="CZ175" s="2042"/>
      <c r="DA175" s="2042"/>
      <c r="DB175" s="2042"/>
      <c r="DC175" s="2042"/>
      <c r="DD175" s="2042"/>
      <c r="DE175" s="2042"/>
      <c r="DF175" s="2042"/>
      <c r="DG175" s="2042"/>
      <c r="DH175" s="2042"/>
      <c r="DI175" s="2042"/>
      <c r="DJ175" s="2042"/>
      <c r="DK175" s="2042"/>
      <c r="DL175" s="2042"/>
      <c r="DM175" s="2042"/>
      <c r="DN175" s="2042"/>
      <c r="DO175" s="2042"/>
      <c r="DP175" s="2042"/>
      <c r="DQ175" s="2042"/>
      <c r="DR175" s="2042"/>
      <c r="DS175" s="2042"/>
      <c r="DT175" s="2042"/>
      <c r="DU175" s="2042"/>
      <c r="DV175" s="2042"/>
      <c r="DW175" s="2042"/>
      <c r="DX175" s="2042"/>
      <c r="DY175" s="2042"/>
      <c r="DZ175" s="2042"/>
      <c r="EA175" s="2042"/>
      <c r="EB175" s="2042"/>
      <c r="EC175" s="2042"/>
      <c r="ED175" s="2042"/>
      <c r="EE175" s="2042"/>
      <c r="EF175" s="2042"/>
      <c r="EG175" s="2042"/>
      <c r="EH175" s="2042"/>
      <c r="EI175" s="2042"/>
      <c r="EJ175" s="2042"/>
      <c r="EK175" s="2042"/>
      <c r="EL175" s="2042"/>
      <c r="EM175" s="2042"/>
      <c r="EN175" s="2042"/>
      <c r="EO175" s="2042"/>
      <c r="EP175" s="2042"/>
      <c r="EQ175" s="2042"/>
      <c r="ER175" s="2042"/>
      <c r="ES175" s="2042"/>
      <c r="ET175" s="2042"/>
      <c r="EU175" s="2042"/>
      <c r="EV175" s="2042"/>
      <c r="EW175" s="2042"/>
      <c r="EX175" s="2042"/>
      <c r="EY175" s="2042"/>
      <c r="EZ175" s="2042"/>
      <c r="FA175" s="2042"/>
      <c r="FB175" s="2042"/>
      <c r="FC175" s="2042"/>
      <c r="FD175" s="2042"/>
      <c r="FE175" s="2042"/>
      <c r="FF175" s="2042"/>
      <c r="FG175" s="2042"/>
      <c r="FH175" s="2042"/>
      <c r="FI175" s="2042"/>
      <c r="FJ175" s="2042"/>
      <c r="FK175" s="2042"/>
      <c r="FL175" s="2042"/>
      <c r="FM175" s="2042"/>
      <c r="FN175" s="2042"/>
      <c r="FO175" s="2042"/>
      <c r="FP175" s="2042"/>
      <c r="FQ175" s="2042"/>
      <c r="FR175" s="2042"/>
      <c r="FS175" s="2042"/>
      <c r="FT175" s="2042"/>
      <c r="FU175" s="2042"/>
      <c r="FV175" s="2042"/>
      <c r="FW175" s="2042"/>
      <c r="FX175" s="2042"/>
      <c r="FY175" s="2042"/>
      <c r="FZ175" s="2042"/>
      <c r="GA175" s="2042"/>
      <c r="GB175" s="2042"/>
      <c r="GC175" s="2042"/>
      <c r="GD175" s="2042"/>
      <c r="GE175" s="2042"/>
      <c r="GF175" s="2042"/>
      <c r="GG175" s="2042"/>
      <c r="GH175" s="2042"/>
      <c r="GI175" s="2042"/>
      <c r="GJ175" s="2042"/>
      <c r="GK175" s="2042"/>
      <c r="GL175" s="2042"/>
      <c r="GM175" s="2042"/>
      <c r="GN175" s="2042"/>
      <c r="GO175" s="2042"/>
      <c r="GP175" s="2042"/>
      <c r="GQ175" s="2042"/>
      <c r="GR175" s="2042"/>
      <c r="GS175" s="2042"/>
      <c r="GT175" s="2042"/>
      <c r="GU175" s="2042"/>
      <c r="GV175" s="2042"/>
      <c r="GW175" s="2042"/>
      <c r="GX175" s="2042"/>
      <c r="GY175" s="2042"/>
      <c r="GZ175" s="2042"/>
      <c r="HA175" s="2042"/>
      <c r="HB175" s="2042"/>
      <c r="HC175" s="2042"/>
      <c r="HD175" s="2042"/>
      <c r="HE175" s="2042"/>
      <c r="HF175" s="2042"/>
      <c r="HG175" s="2042"/>
      <c r="HH175" s="2042"/>
      <c r="HI175" s="2042"/>
      <c r="HJ175" s="2042"/>
      <c r="HL175" s="2042"/>
      <c r="HM175" s="2042"/>
      <c r="HN175" s="2042"/>
      <c r="HO175" s="2042"/>
      <c r="HP175" s="2042"/>
      <c r="HQ175" s="2042"/>
      <c r="HR175" s="2042"/>
      <c r="HS175" s="2042"/>
      <c r="HT175" s="2042"/>
      <c r="HU175" s="2042"/>
      <c r="HV175" s="2042"/>
      <c r="HW175" s="2042"/>
      <c r="HX175" s="2042"/>
      <c r="HY175" s="2042"/>
      <c r="HZ175" s="2042"/>
      <c r="IA175" s="2042"/>
      <c r="IB175" s="2042"/>
      <c r="IC175" s="2042"/>
      <c r="ID175" s="2042"/>
      <c r="IE175" s="2042"/>
      <c r="IF175" s="2042"/>
      <c r="IG175" s="2042"/>
      <c r="IH175" s="2042"/>
      <c r="II175" s="2042"/>
      <c r="IJ175" s="2042"/>
    </row>
    <row r="176" spans="25:244" ht="15.75" customHeight="1" x14ac:dyDescent="0.2">
      <c r="AR176" s="510"/>
      <c r="AS176" s="510"/>
      <c r="AT176" s="510"/>
      <c r="AU176" s="510"/>
      <c r="AV176" s="510"/>
      <c r="AY176" s="2042"/>
      <c r="AZ176" s="2042"/>
      <c r="BA176" s="2042"/>
      <c r="BB176" s="2042"/>
      <c r="BC176" s="2042"/>
      <c r="BD176" s="2042"/>
      <c r="BP176" s="2043"/>
      <c r="BQ176" s="2042"/>
      <c r="BR176" s="2042"/>
      <c r="BS176" s="2042"/>
      <c r="BT176" s="2042"/>
      <c r="BU176" s="2059"/>
      <c r="BV176" s="2277"/>
      <c r="BW176" s="2277"/>
      <c r="BX176" s="2277"/>
      <c r="BY176" s="2277"/>
      <c r="BZ176" s="2277"/>
      <c r="CA176" s="2277"/>
      <c r="CB176" s="2277"/>
      <c r="CC176" s="2277"/>
      <c r="CD176" s="2277"/>
      <c r="CE176" s="2277"/>
      <c r="CF176" s="2277"/>
      <c r="CG176" s="2277"/>
      <c r="CH176" s="2277"/>
      <c r="CI176" s="2277"/>
      <c r="CJ176" s="2277"/>
      <c r="CK176" s="2277"/>
      <c r="CL176" s="2042"/>
      <c r="CM176" s="2042"/>
      <c r="CN176" s="2042"/>
      <c r="CO176" s="2042"/>
      <c r="CP176" s="2042"/>
      <c r="CQ176" s="2042"/>
      <c r="CR176" s="2042"/>
      <c r="CS176" s="2042"/>
      <c r="CT176" s="2042"/>
      <c r="CU176" s="2042"/>
      <c r="CV176" s="2042"/>
      <c r="CW176" s="2042"/>
      <c r="CX176" s="2042"/>
      <c r="CY176" s="2042"/>
      <c r="CZ176" s="2042"/>
      <c r="DA176" s="2042"/>
      <c r="DB176" s="2042"/>
      <c r="DC176" s="2042"/>
      <c r="DD176" s="2042"/>
      <c r="DE176" s="2042"/>
      <c r="DF176" s="2042"/>
      <c r="DG176" s="2042"/>
      <c r="DH176" s="2042"/>
      <c r="DI176" s="2042"/>
      <c r="DJ176" s="2042"/>
      <c r="DK176" s="2042"/>
      <c r="DL176" s="2042"/>
      <c r="DM176" s="2042"/>
      <c r="DN176" s="2042"/>
      <c r="DO176" s="2042"/>
      <c r="DP176" s="2042"/>
      <c r="DQ176" s="2042"/>
      <c r="DR176" s="2042"/>
      <c r="DS176" s="2042"/>
      <c r="DT176" s="2042"/>
      <c r="DU176" s="2042"/>
      <c r="DV176" s="2042"/>
      <c r="DW176" s="2042"/>
      <c r="DX176" s="2042"/>
      <c r="DY176" s="2042"/>
      <c r="DZ176" s="2042"/>
      <c r="EA176" s="2042"/>
      <c r="EB176" s="2042"/>
      <c r="EC176" s="2042"/>
      <c r="ED176" s="2042"/>
      <c r="EE176" s="2042"/>
      <c r="EF176" s="2042"/>
      <c r="EG176" s="2042"/>
      <c r="EH176" s="2042"/>
      <c r="EI176" s="2042"/>
      <c r="EJ176" s="2042"/>
      <c r="EK176" s="2042"/>
      <c r="EL176" s="2042"/>
      <c r="EM176" s="2042"/>
      <c r="EN176" s="2042"/>
      <c r="EO176" s="2042"/>
      <c r="EP176" s="2042"/>
      <c r="EQ176" s="2042"/>
      <c r="ER176" s="2042"/>
      <c r="ES176" s="2042"/>
      <c r="ET176" s="2042"/>
      <c r="EU176" s="2042"/>
      <c r="EV176" s="2042"/>
      <c r="EW176" s="2042"/>
      <c r="EX176" s="2042"/>
      <c r="EY176" s="2042"/>
      <c r="EZ176" s="2042"/>
      <c r="FA176" s="2042"/>
      <c r="FB176" s="2042"/>
      <c r="FC176" s="2042"/>
      <c r="FD176" s="2042"/>
      <c r="FE176" s="2042"/>
      <c r="FF176" s="2042"/>
      <c r="FG176" s="2042"/>
      <c r="FH176" s="2042"/>
      <c r="FI176" s="2042"/>
      <c r="FJ176" s="2042"/>
      <c r="FK176" s="2042"/>
      <c r="FL176" s="2042"/>
      <c r="FM176" s="2042"/>
      <c r="FN176" s="2042"/>
      <c r="FO176" s="2042"/>
      <c r="FP176" s="2042"/>
      <c r="FQ176" s="2042"/>
      <c r="FR176" s="2042"/>
      <c r="FS176" s="2042"/>
      <c r="FT176" s="2042"/>
      <c r="FU176" s="2042"/>
      <c r="FV176" s="2042"/>
      <c r="FW176" s="2042"/>
      <c r="FX176" s="2042"/>
      <c r="FY176" s="2042"/>
      <c r="FZ176" s="2042"/>
      <c r="GA176" s="2042"/>
      <c r="GB176" s="2042"/>
      <c r="GC176" s="2042"/>
      <c r="GD176" s="2042"/>
      <c r="GE176" s="2042"/>
      <c r="GF176" s="2042"/>
      <c r="GG176" s="2042"/>
      <c r="GH176" s="2042"/>
      <c r="GI176" s="2042"/>
      <c r="GJ176" s="2042"/>
      <c r="GK176" s="2042"/>
      <c r="GL176" s="2042"/>
      <c r="GM176" s="2042"/>
      <c r="GN176" s="2042"/>
      <c r="GO176" s="2042"/>
      <c r="GP176" s="2042"/>
      <c r="GQ176" s="2042"/>
      <c r="GR176" s="2042"/>
      <c r="GS176" s="2042"/>
      <c r="GT176" s="2042"/>
      <c r="GU176" s="2042"/>
      <c r="GV176" s="2042"/>
      <c r="GW176" s="2042"/>
      <c r="GX176" s="2042"/>
      <c r="GY176" s="2042"/>
      <c r="GZ176" s="2042"/>
      <c r="HA176" s="2042"/>
      <c r="HB176" s="2042"/>
      <c r="HC176" s="2042"/>
      <c r="HD176" s="2042"/>
      <c r="HE176" s="2042"/>
      <c r="HF176" s="2042"/>
      <c r="HG176" s="2042"/>
      <c r="HH176" s="2042"/>
      <c r="HI176" s="2042"/>
      <c r="HJ176" s="2042"/>
      <c r="HL176" s="2042"/>
      <c r="HM176" s="2042"/>
      <c r="HN176" s="2042"/>
      <c r="HO176" s="2042"/>
      <c r="HP176" s="2042"/>
      <c r="HQ176" s="2042"/>
      <c r="HR176" s="2042"/>
      <c r="HS176" s="2042"/>
      <c r="HT176" s="2042"/>
      <c r="HU176" s="2042"/>
      <c r="HV176" s="2042"/>
      <c r="HW176" s="2042"/>
      <c r="HX176" s="2042"/>
      <c r="HY176" s="2042"/>
      <c r="HZ176" s="2042"/>
      <c r="IA176" s="2042"/>
      <c r="IB176" s="2042"/>
      <c r="IC176" s="2042"/>
      <c r="ID176" s="2042"/>
      <c r="IE176" s="2042"/>
      <c r="IF176" s="2042"/>
      <c r="IG176" s="2042"/>
      <c r="IH176" s="2042"/>
      <c r="II176" s="2042"/>
      <c r="IJ176" s="2042"/>
    </row>
    <row r="177" spans="44:244" ht="15.75" customHeight="1" x14ac:dyDescent="0.2">
      <c r="AR177" s="510"/>
      <c r="AS177" s="510"/>
      <c r="AT177" s="510"/>
      <c r="AU177" s="510"/>
      <c r="AV177" s="510"/>
      <c r="AY177" s="2042"/>
      <c r="AZ177" s="2042"/>
      <c r="BA177" s="2042"/>
      <c r="BB177" s="2042"/>
      <c r="BC177" s="2042"/>
      <c r="BD177" s="2042"/>
      <c r="BP177" s="2043"/>
      <c r="BQ177" s="2042"/>
      <c r="BR177" s="2042"/>
      <c r="BS177" s="2042"/>
      <c r="BT177" s="2042"/>
      <c r="BU177" s="2059"/>
      <c r="BV177" s="2277"/>
      <c r="BW177" s="2277"/>
      <c r="BX177" s="2277"/>
      <c r="BY177" s="2277"/>
      <c r="BZ177" s="2277"/>
      <c r="CA177" s="2277"/>
      <c r="CB177" s="2277"/>
      <c r="CC177" s="2277"/>
      <c r="CD177" s="2277"/>
      <c r="CE177" s="2277"/>
      <c r="CF177" s="2277"/>
      <c r="CG177" s="2277"/>
      <c r="CH177" s="2277"/>
      <c r="CI177" s="2277"/>
      <c r="CJ177" s="2277"/>
      <c r="CK177" s="2277"/>
      <c r="CL177" s="2042"/>
      <c r="CM177" s="2042"/>
      <c r="CN177" s="2042"/>
      <c r="CO177" s="2042"/>
      <c r="CP177" s="2042"/>
      <c r="CQ177" s="2042"/>
      <c r="CR177" s="2042"/>
      <c r="CS177" s="2042"/>
      <c r="CT177" s="2042"/>
      <c r="CU177" s="2042"/>
      <c r="CV177" s="2042"/>
      <c r="CW177" s="2042"/>
      <c r="CX177" s="2042"/>
      <c r="CY177" s="2042"/>
      <c r="CZ177" s="2042"/>
      <c r="DA177" s="2042"/>
      <c r="DB177" s="2042"/>
      <c r="DC177" s="2042"/>
      <c r="DD177" s="2042"/>
      <c r="DE177" s="2042"/>
      <c r="DF177" s="2042"/>
      <c r="DG177" s="2042"/>
      <c r="DH177" s="2042"/>
      <c r="DI177" s="2042"/>
      <c r="DJ177" s="2042"/>
      <c r="DK177" s="2042"/>
      <c r="DL177" s="2042"/>
      <c r="DM177" s="2042"/>
      <c r="DN177" s="2042"/>
      <c r="DO177" s="2042"/>
      <c r="DP177" s="2042"/>
      <c r="DQ177" s="2042"/>
      <c r="DR177" s="2042"/>
      <c r="DS177" s="2042"/>
      <c r="DT177" s="2042"/>
      <c r="DU177" s="2042"/>
      <c r="DV177" s="2042"/>
      <c r="DW177" s="2042"/>
      <c r="DX177" s="2042"/>
      <c r="DY177" s="2042"/>
      <c r="DZ177" s="2042"/>
      <c r="EA177" s="2042"/>
      <c r="EB177" s="2042"/>
      <c r="EC177" s="2042"/>
      <c r="ED177" s="2042"/>
      <c r="EE177" s="2042"/>
      <c r="EF177" s="2042"/>
      <c r="EG177" s="2042"/>
      <c r="EH177" s="2042"/>
      <c r="EI177" s="2042"/>
      <c r="EJ177" s="2042"/>
      <c r="EK177" s="2042"/>
      <c r="EL177" s="2042"/>
      <c r="EM177" s="2042"/>
      <c r="EN177" s="2042"/>
      <c r="EO177" s="2042"/>
      <c r="EP177" s="2042"/>
      <c r="EQ177" s="2042"/>
      <c r="ER177" s="2042"/>
      <c r="ES177" s="2042"/>
      <c r="ET177" s="2042"/>
      <c r="EU177" s="2042"/>
      <c r="EV177" s="2042"/>
      <c r="EW177" s="2042"/>
      <c r="EX177" s="2042"/>
      <c r="EY177" s="2042"/>
      <c r="EZ177" s="2042"/>
      <c r="FA177" s="2042"/>
      <c r="FB177" s="2042"/>
      <c r="FC177" s="2042"/>
      <c r="FD177" s="2042"/>
      <c r="FE177" s="2042"/>
      <c r="FF177" s="2042"/>
      <c r="FG177" s="2042"/>
      <c r="FH177" s="2042"/>
      <c r="FI177" s="2042"/>
      <c r="FJ177" s="2042"/>
      <c r="FK177" s="2042"/>
      <c r="FL177" s="2042"/>
      <c r="FM177" s="2042"/>
      <c r="FN177" s="2042"/>
      <c r="FO177" s="2042"/>
      <c r="FP177" s="2042"/>
      <c r="FQ177" s="2042"/>
      <c r="FR177" s="2042"/>
      <c r="FS177" s="2042"/>
      <c r="FT177" s="2042"/>
      <c r="FU177" s="2042"/>
      <c r="FV177" s="2042"/>
      <c r="FW177" s="2042"/>
      <c r="FX177" s="2042"/>
      <c r="FY177" s="2042"/>
      <c r="FZ177" s="2042"/>
      <c r="GA177" s="2042"/>
      <c r="GB177" s="2042"/>
      <c r="GC177" s="2042"/>
      <c r="GD177" s="2042"/>
      <c r="GE177" s="2042"/>
      <c r="GF177" s="2042"/>
      <c r="GG177" s="2042"/>
      <c r="GH177" s="2042"/>
      <c r="GI177" s="2042"/>
      <c r="GJ177" s="2042"/>
      <c r="GK177" s="2042"/>
      <c r="GL177" s="2042"/>
      <c r="GM177" s="2042"/>
      <c r="GN177" s="2042"/>
      <c r="GO177" s="2042"/>
      <c r="GP177" s="2042"/>
      <c r="GQ177" s="2042"/>
      <c r="GR177" s="2042"/>
      <c r="GS177" s="2042"/>
      <c r="GT177" s="2042"/>
      <c r="GU177" s="2042"/>
      <c r="GV177" s="2042"/>
      <c r="GW177" s="2042"/>
      <c r="GX177" s="2042"/>
      <c r="GY177" s="2042"/>
      <c r="GZ177" s="2042"/>
      <c r="HA177" s="2042"/>
      <c r="HB177" s="2042"/>
      <c r="HC177" s="2042"/>
      <c r="HD177" s="2042"/>
      <c r="HE177" s="2042"/>
      <c r="HF177" s="2042"/>
      <c r="HG177" s="2042"/>
      <c r="HH177" s="2042"/>
      <c r="HI177" s="2042"/>
      <c r="HJ177" s="2042"/>
      <c r="HL177" s="2042"/>
      <c r="HM177" s="2042"/>
      <c r="HN177" s="2042"/>
      <c r="HO177" s="2042"/>
      <c r="HP177" s="2042"/>
      <c r="HQ177" s="2042"/>
      <c r="HR177" s="2042"/>
      <c r="HS177" s="2042"/>
      <c r="HT177" s="2042"/>
      <c r="HU177" s="2042"/>
      <c r="HV177" s="2042"/>
      <c r="HW177" s="2042"/>
      <c r="HX177" s="2042"/>
      <c r="HY177" s="2042"/>
      <c r="HZ177" s="2042"/>
      <c r="IA177" s="2042"/>
      <c r="IB177" s="2042"/>
      <c r="IC177" s="2042"/>
      <c r="ID177" s="2042"/>
      <c r="IE177" s="2042"/>
      <c r="IF177" s="2042"/>
      <c r="IG177" s="2042"/>
      <c r="IH177" s="2042"/>
      <c r="II177" s="2042"/>
      <c r="IJ177" s="2042"/>
    </row>
    <row r="178" spans="44:244" ht="15.75" customHeight="1" x14ac:dyDescent="0.2">
      <c r="AR178" s="510"/>
      <c r="AS178" s="510"/>
      <c r="AT178" s="510"/>
      <c r="AU178" s="510"/>
      <c r="AV178" s="510"/>
      <c r="AY178" s="2042"/>
      <c r="AZ178" s="2042"/>
      <c r="BA178" s="2042"/>
      <c r="BB178" s="2042"/>
      <c r="BC178" s="2042"/>
      <c r="BD178" s="2042"/>
      <c r="BP178" s="2043"/>
      <c r="BQ178" s="2042"/>
      <c r="BR178" s="2042"/>
      <c r="BS178" s="2042"/>
      <c r="BT178" s="2042"/>
      <c r="BU178" s="2059"/>
      <c r="BV178" s="2277"/>
      <c r="BW178" s="2277"/>
      <c r="BX178" s="2277"/>
      <c r="BY178" s="2277"/>
      <c r="BZ178" s="2277"/>
      <c r="CA178" s="2277"/>
      <c r="CB178" s="2277"/>
      <c r="CC178" s="2277"/>
      <c r="CD178" s="2277"/>
      <c r="CE178" s="2277"/>
      <c r="CF178" s="2277"/>
      <c r="CG178" s="2277"/>
      <c r="CH178" s="2277"/>
      <c r="CI178" s="2277"/>
      <c r="CJ178" s="2277"/>
      <c r="CK178" s="2277"/>
      <c r="CL178" s="2042"/>
      <c r="CM178" s="2042"/>
      <c r="CN178" s="2042"/>
      <c r="CO178" s="2042"/>
      <c r="CP178" s="2042"/>
      <c r="CQ178" s="2042"/>
      <c r="CR178" s="2042"/>
      <c r="CS178" s="2042"/>
      <c r="CT178" s="2042"/>
      <c r="CU178" s="2042"/>
      <c r="CV178" s="2042"/>
      <c r="CW178" s="2042"/>
      <c r="CX178" s="2042"/>
      <c r="CY178" s="2042"/>
      <c r="CZ178" s="2042"/>
      <c r="DA178" s="2042"/>
      <c r="DB178" s="2042"/>
      <c r="DC178" s="2042"/>
      <c r="DD178" s="2042"/>
      <c r="DE178" s="2042"/>
      <c r="DF178" s="2042"/>
      <c r="DG178" s="2042"/>
      <c r="DH178" s="2042"/>
      <c r="DI178" s="2042"/>
      <c r="DJ178" s="2042"/>
      <c r="DK178" s="2042"/>
      <c r="DL178" s="2042"/>
      <c r="DM178" s="2042"/>
      <c r="DN178" s="2042"/>
      <c r="DO178" s="2042"/>
      <c r="DP178" s="2042"/>
      <c r="DQ178" s="2042"/>
      <c r="DR178" s="2042"/>
      <c r="DS178" s="2042"/>
      <c r="DT178" s="2042"/>
      <c r="DU178" s="2042"/>
      <c r="DV178" s="2042"/>
      <c r="DW178" s="2042"/>
      <c r="DX178" s="2042"/>
      <c r="DY178" s="2042"/>
      <c r="DZ178" s="2042"/>
      <c r="EA178" s="2042"/>
      <c r="EB178" s="2042"/>
      <c r="EC178" s="2042"/>
      <c r="ED178" s="2042"/>
      <c r="EE178" s="2042"/>
      <c r="EF178" s="2042"/>
      <c r="EG178" s="2042"/>
      <c r="EH178" s="2042"/>
      <c r="EI178" s="2042"/>
      <c r="EJ178" s="2042"/>
      <c r="EK178" s="2042"/>
      <c r="EL178" s="2042"/>
      <c r="EM178" s="2042"/>
      <c r="EN178" s="2042"/>
      <c r="EO178" s="2042"/>
      <c r="EP178" s="2042"/>
      <c r="EQ178" s="2042"/>
      <c r="ER178" s="2042"/>
      <c r="ES178" s="2042"/>
      <c r="ET178" s="2042"/>
      <c r="EU178" s="2042"/>
      <c r="EV178" s="2042"/>
      <c r="EW178" s="2042"/>
      <c r="EX178" s="2042"/>
      <c r="EY178" s="2042"/>
      <c r="EZ178" s="2042"/>
      <c r="FA178" s="2042"/>
      <c r="FB178" s="2042"/>
      <c r="FC178" s="2042"/>
      <c r="FD178" s="2042"/>
      <c r="FE178" s="2042"/>
      <c r="FF178" s="2042"/>
      <c r="FG178" s="2042"/>
      <c r="FH178" s="2042"/>
      <c r="FI178" s="2042"/>
      <c r="FJ178" s="2042"/>
      <c r="FK178" s="2042"/>
      <c r="FL178" s="2042"/>
      <c r="FM178" s="2042"/>
      <c r="FN178" s="2042"/>
      <c r="FO178" s="2042"/>
      <c r="FP178" s="2042"/>
      <c r="FQ178" s="2042"/>
      <c r="FR178" s="2042"/>
      <c r="FS178" s="2042"/>
      <c r="FT178" s="2042"/>
      <c r="FU178" s="2042"/>
      <c r="FV178" s="2042"/>
      <c r="FW178" s="2042"/>
      <c r="FX178" s="2042"/>
      <c r="FY178" s="2042"/>
      <c r="FZ178" s="2042"/>
      <c r="GA178" s="2042"/>
      <c r="GB178" s="2042"/>
      <c r="GC178" s="2042"/>
      <c r="GD178" s="2042"/>
      <c r="GE178" s="2042"/>
      <c r="GF178" s="2042"/>
      <c r="GG178" s="2042"/>
      <c r="GH178" s="2042"/>
      <c r="GI178" s="2042"/>
      <c r="GJ178" s="2042"/>
      <c r="GK178" s="2042"/>
      <c r="GL178" s="2042"/>
      <c r="GM178" s="2042"/>
      <c r="GN178" s="2042"/>
      <c r="GO178" s="2042"/>
      <c r="GP178" s="2042"/>
      <c r="GQ178" s="2042"/>
      <c r="GR178" s="2042"/>
      <c r="GS178" s="2042"/>
      <c r="GT178" s="2042"/>
      <c r="GU178" s="2042"/>
      <c r="GV178" s="2042"/>
      <c r="GW178" s="2042"/>
      <c r="GX178" s="2042"/>
      <c r="GY178" s="2042"/>
      <c r="GZ178" s="2042"/>
      <c r="HA178" s="2042"/>
      <c r="HB178" s="2042"/>
      <c r="HC178" s="2042"/>
      <c r="HD178" s="2042"/>
      <c r="HE178" s="2042"/>
      <c r="HF178" s="2042"/>
      <c r="HG178" s="2042"/>
      <c r="HH178" s="2042"/>
      <c r="HI178" s="2042"/>
      <c r="HJ178" s="2042"/>
      <c r="HL178" s="2042"/>
      <c r="HM178" s="2042"/>
      <c r="HN178" s="2042"/>
      <c r="IA178" s="2042"/>
      <c r="IB178" s="2042"/>
      <c r="IC178" s="2042"/>
      <c r="ID178" s="2042"/>
      <c r="IE178" s="2042"/>
      <c r="IF178" s="2042"/>
      <c r="IG178" s="2042"/>
      <c r="IH178" s="2042"/>
      <c r="II178" s="2042"/>
      <c r="IJ178" s="2042"/>
    </row>
    <row r="179" spans="44:244" ht="15.75" customHeight="1" x14ac:dyDescent="0.2">
      <c r="AR179" s="510"/>
      <c r="AS179" s="510"/>
      <c r="AT179" s="510"/>
      <c r="AU179" s="510"/>
      <c r="AV179" s="510"/>
      <c r="BU179" s="296"/>
      <c r="BV179" s="2278"/>
      <c r="BW179" s="2278"/>
      <c r="BX179" s="2278"/>
      <c r="BY179" s="2278"/>
      <c r="BZ179" s="2278"/>
      <c r="CA179" s="2278"/>
      <c r="CB179" s="2278"/>
      <c r="CC179" s="2278"/>
      <c r="CD179" s="2278"/>
      <c r="CE179" s="2278"/>
      <c r="CF179" s="2278"/>
      <c r="CG179" s="2278"/>
      <c r="CH179" s="2278"/>
      <c r="CI179" s="2278"/>
      <c r="CJ179" s="2278"/>
      <c r="CK179" s="2278"/>
      <c r="CV179" s="2042"/>
      <c r="CW179" s="2042"/>
      <c r="CX179" s="2042"/>
      <c r="CY179" s="2042"/>
      <c r="CZ179" s="2042"/>
      <c r="DA179" s="2042"/>
      <c r="DB179" s="2042"/>
      <c r="DC179" s="2042"/>
      <c r="DD179" s="2042"/>
      <c r="DE179" s="2042"/>
      <c r="DF179" s="2042"/>
      <c r="DG179" s="2042"/>
      <c r="DH179" s="2042"/>
      <c r="DI179" s="2042"/>
      <c r="DJ179" s="2042"/>
      <c r="DK179" s="2042"/>
      <c r="DL179" s="2042"/>
      <c r="DM179" s="2042"/>
      <c r="DN179" s="2042"/>
      <c r="DO179" s="2042"/>
      <c r="DP179" s="2042"/>
      <c r="DQ179" s="2042"/>
      <c r="DR179" s="2042"/>
      <c r="DS179" s="2042"/>
      <c r="DT179" s="2042"/>
      <c r="DU179" s="2042"/>
      <c r="DV179" s="2042"/>
      <c r="DW179" s="2042"/>
      <c r="DX179" s="2042"/>
      <c r="DY179" s="2042"/>
      <c r="DZ179" s="2042"/>
      <c r="EA179" s="2042"/>
      <c r="EB179" s="2042"/>
      <c r="EC179" s="2042"/>
      <c r="ED179" s="2042"/>
      <c r="EE179" s="2042"/>
      <c r="EF179" s="2042"/>
      <c r="EG179" s="2042"/>
      <c r="EH179" s="2042"/>
      <c r="EI179" s="2042"/>
      <c r="EJ179" s="2042"/>
      <c r="EK179" s="2042"/>
      <c r="EL179" s="2042"/>
      <c r="EM179" s="2042"/>
      <c r="EN179" s="2042"/>
      <c r="EO179" s="2042"/>
      <c r="EP179" s="2042"/>
      <c r="EQ179" s="2042"/>
      <c r="ER179" s="2042"/>
      <c r="ES179" s="2042"/>
      <c r="ET179" s="2042"/>
      <c r="EU179" s="2042"/>
      <c r="EV179" s="2042"/>
      <c r="EW179" s="2042"/>
      <c r="EX179" s="2042"/>
      <c r="EY179" s="2042"/>
      <c r="EZ179" s="2042"/>
      <c r="FA179" s="2042"/>
      <c r="FB179" s="2042"/>
      <c r="FC179" s="2042"/>
      <c r="FD179" s="2042"/>
      <c r="FE179" s="2042"/>
      <c r="FF179" s="2042"/>
      <c r="FG179" s="2042"/>
      <c r="FH179" s="2042"/>
      <c r="FI179" s="2042"/>
      <c r="FJ179" s="2042"/>
      <c r="FK179" s="2042"/>
      <c r="FL179" s="2042"/>
      <c r="FM179" s="2042"/>
      <c r="FN179" s="2042"/>
      <c r="FO179" s="2042"/>
      <c r="FP179" s="2042"/>
      <c r="FQ179" s="2042"/>
      <c r="FR179" s="2042"/>
      <c r="FS179" s="2042"/>
      <c r="FT179" s="2042"/>
      <c r="FU179" s="2042"/>
      <c r="FV179" s="2042"/>
      <c r="FW179" s="2042"/>
      <c r="FX179" s="2042"/>
      <c r="FY179" s="2042"/>
      <c r="FZ179" s="2042"/>
      <c r="GA179" s="2042"/>
      <c r="GB179" s="2042"/>
      <c r="GC179" s="2042"/>
      <c r="GD179" s="2042"/>
      <c r="GE179" s="2042"/>
      <c r="GF179" s="2042"/>
      <c r="GG179" s="2042"/>
      <c r="GH179" s="2042"/>
      <c r="GI179" s="2042"/>
      <c r="GJ179" s="2042"/>
      <c r="GK179" s="2042"/>
      <c r="GL179" s="2042"/>
      <c r="GM179" s="2042"/>
      <c r="GN179" s="2042"/>
      <c r="GO179" s="2042"/>
      <c r="GP179" s="2042"/>
      <c r="GQ179" s="2042"/>
      <c r="GR179" s="2042"/>
      <c r="GS179" s="2042"/>
      <c r="GT179" s="2042"/>
      <c r="GU179" s="2042"/>
      <c r="GV179" s="2042"/>
      <c r="GW179" s="2042"/>
      <c r="GX179" s="2042"/>
      <c r="GY179" s="2042"/>
      <c r="GZ179" s="2042"/>
      <c r="HA179" s="2042"/>
      <c r="HB179" s="2042"/>
      <c r="HC179" s="2042"/>
      <c r="HD179" s="2042"/>
      <c r="HE179" s="2042"/>
      <c r="HF179" s="2042"/>
      <c r="HG179" s="2042"/>
      <c r="HH179" s="2042"/>
      <c r="HI179" s="2042"/>
      <c r="HJ179" s="2042"/>
      <c r="HL179" s="2042"/>
      <c r="HM179" s="2042"/>
      <c r="HN179" s="2042"/>
    </row>
    <row r="180" spans="44:244" ht="15.75" customHeight="1" x14ac:dyDescent="0.2">
      <c r="AR180" s="510"/>
      <c r="AS180" s="510"/>
      <c r="AT180" s="510"/>
      <c r="AU180" s="510"/>
      <c r="AV180" s="510"/>
      <c r="BU180" s="296"/>
      <c r="BV180" s="2278"/>
      <c r="BW180" s="2278"/>
      <c r="BX180" s="2278"/>
      <c r="BY180" s="2278"/>
      <c r="BZ180" s="2278"/>
      <c r="CA180" s="2278"/>
      <c r="CB180" s="2278"/>
      <c r="CC180" s="2278"/>
      <c r="CD180" s="2278"/>
      <c r="CE180" s="2278"/>
      <c r="CF180" s="2278"/>
      <c r="CG180" s="2278"/>
      <c r="CH180" s="2278"/>
      <c r="CI180" s="2278"/>
      <c r="CJ180" s="2278"/>
      <c r="CK180" s="2278"/>
      <c r="CV180" s="2042"/>
      <c r="CW180" s="2042"/>
      <c r="CX180" s="2042"/>
      <c r="CY180" s="2042"/>
      <c r="CZ180" s="2042"/>
      <c r="DA180" s="2042"/>
      <c r="DB180" s="2042"/>
      <c r="DC180" s="2042"/>
      <c r="DD180" s="2042"/>
      <c r="DE180" s="2042"/>
      <c r="DF180" s="2042"/>
      <c r="DG180" s="2042"/>
      <c r="DH180" s="2042"/>
      <c r="DI180" s="2042"/>
      <c r="DJ180" s="2042"/>
      <c r="DK180" s="2042"/>
      <c r="DL180" s="2042"/>
      <c r="DM180" s="2042"/>
      <c r="DN180" s="2042"/>
      <c r="DO180" s="2042"/>
      <c r="DP180" s="2042"/>
      <c r="DQ180" s="2042"/>
      <c r="DR180" s="2042"/>
      <c r="DS180" s="2042"/>
      <c r="DT180" s="2042"/>
      <c r="DU180" s="2042"/>
      <c r="DV180" s="2042"/>
      <c r="DW180" s="2042"/>
      <c r="DX180" s="2042"/>
      <c r="DY180" s="2042"/>
      <c r="DZ180" s="2042"/>
      <c r="EA180" s="2042"/>
      <c r="EB180" s="2042"/>
      <c r="EC180" s="2042"/>
      <c r="ED180" s="2042"/>
      <c r="EE180" s="2042"/>
      <c r="EF180" s="2042"/>
      <c r="EG180" s="2042"/>
      <c r="EH180" s="2042"/>
      <c r="EI180" s="2042"/>
      <c r="EJ180" s="2042"/>
      <c r="EK180" s="2042"/>
      <c r="EL180" s="2042"/>
      <c r="EM180" s="2042"/>
      <c r="EN180" s="2042"/>
      <c r="EO180" s="2042"/>
      <c r="EP180" s="2042"/>
      <c r="EQ180" s="2042"/>
      <c r="ER180" s="2042"/>
      <c r="ES180" s="2042"/>
      <c r="ET180" s="2042"/>
      <c r="EU180" s="2042"/>
      <c r="EV180" s="2042"/>
      <c r="EW180" s="2042"/>
      <c r="EX180" s="2042"/>
      <c r="EY180" s="2042"/>
      <c r="EZ180" s="2042"/>
      <c r="FA180" s="2042"/>
      <c r="FB180" s="2042"/>
      <c r="FC180" s="2042"/>
      <c r="FD180" s="2042"/>
      <c r="FE180" s="2042"/>
      <c r="FF180" s="2042"/>
      <c r="FG180" s="2042"/>
      <c r="FH180" s="2042"/>
      <c r="FI180" s="2042"/>
      <c r="FJ180" s="2042"/>
      <c r="FK180" s="2042"/>
      <c r="FL180" s="2042"/>
      <c r="FM180" s="2042"/>
      <c r="FN180" s="2042"/>
      <c r="FO180" s="2042"/>
      <c r="FP180" s="2042"/>
      <c r="FQ180" s="2042"/>
      <c r="FR180" s="2042"/>
      <c r="FS180" s="2042"/>
      <c r="FT180" s="2042"/>
      <c r="FU180" s="2042"/>
      <c r="FV180" s="2042"/>
      <c r="FW180" s="2042"/>
      <c r="FX180" s="2042"/>
      <c r="FY180" s="2042"/>
      <c r="FZ180" s="2042"/>
      <c r="GA180" s="2042"/>
      <c r="GB180" s="2042"/>
      <c r="GC180" s="2042"/>
      <c r="GD180" s="2042"/>
      <c r="GE180" s="2042"/>
      <c r="GF180" s="2042"/>
      <c r="GG180" s="2042"/>
      <c r="GH180" s="2042"/>
      <c r="GI180" s="2042"/>
      <c r="GJ180" s="2042"/>
      <c r="GK180" s="2042"/>
      <c r="GL180" s="2042"/>
      <c r="GM180" s="2042"/>
      <c r="GN180" s="2042"/>
      <c r="GO180" s="2042"/>
      <c r="GP180" s="2042"/>
      <c r="GQ180" s="2042"/>
      <c r="GR180" s="2042"/>
      <c r="GS180" s="2042"/>
      <c r="GT180" s="2042"/>
      <c r="GU180" s="2042"/>
      <c r="GV180" s="2042"/>
      <c r="GW180" s="2042"/>
      <c r="GX180" s="2042"/>
      <c r="GY180" s="2042"/>
      <c r="GZ180" s="2042"/>
      <c r="HA180" s="2042"/>
      <c r="HB180" s="2042"/>
      <c r="HC180" s="2042"/>
      <c r="HD180" s="2042"/>
      <c r="HE180" s="2042"/>
      <c r="HF180" s="2042"/>
      <c r="HG180" s="2042"/>
      <c r="HH180" s="2042"/>
      <c r="HI180" s="2042"/>
      <c r="HJ180" s="2042"/>
      <c r="HL180" s="2042"/>
      <c r="HM180" s="2042"/>
      <c r="HN180" s="2042"/>
    </row>
    <row r="181" spans="44:244" ht="15.75" customHeight="1" x14ac:dyDescent="0.2">
      <c r="AR181" s="510"/>
      <c r="AS181" s="510"/>
      <c r="AT181" s="510"/>
      <c r="AU181" s="510"/>
      <c r="AV181" s="510"/>
      <c r="BU181" s="296"/>
      <c r="BV181" s="2278"/>
      <c r="BW181" s="2278"/>
      <c r="BX181" s="2278"/>
      <c r="BY181" s="2278"/>
      <c r="BZ181" s="2278"/>
      <c r="CA181" s="2278"/>
      <c r="CB181" s="2278"/>
      <c r="CC181" s="2278"/>
      <c r="CD181" s="2278"/>
      <c r="CE181" s="2278"/>
      <c r="CF181" s="2278"/>
      <c r="CG181" s="2278"/>
      <c r="CH181" s="2278"/>
      <c r="CI181" s="2278"/>
      <c r="CJ181" s="2278"/>
      <c r="CK181" s="2278"/>
      <c r="CV181" s="2042"/>
      <c r="CW181" s="2042"/>
      <c r="CX181" s="2042"/>
      <c r="CY181" s="2042"/>
      <c r="CZ181" s="2042"/>
      <c r="DA181" s="2042"/>
      <c r="DB181" s="2042"/>
      <c r="DC181" s="2042"/>
      <c r="DD181" s="2042"/>
      <c r="DE181" s="2042"/>
      <c r="DF181" s="2042"/>
      <c r="DG181" s="2042"/>
      <c r="DH181" s="2042"/>
      <c r="DI181" s="2042"/>
      <c r="DJ181" s="2042"/>
      <c r="DK181" s="2042"/>
      <c r="DL181" s="2042"/>
      <c r="DM181" s="2042"/>
      <c r="DN181" s="2042"/>
      <c r="DO181" s="2042"/>
      <c r="DP181" s="2042"/>
      <c r="DQ181" s="2042"/>
      <c r="DR181" s="2042"/>
      <c r="DS181" s="2042"/>
      <c r="DT181" s="2042"/>
      <c r="DU181" s="2042"/>
      <c r="DV181" s="2042"/>
      <c r="DW181" s="2042"/>
      <c r="DX181" s="2042"/>
      <c r="DY181" s="2042"/>
      <c r="DZ181" s="2042"/>
      <c r="EA181" s="2042"/>
      <c r="EB181" s="2042"/>
      <c r="EC181" s="2042"/>
      <c r="ED181" s="2042"/>
      <c r="EE181" s="2042"/>
      <c r="EF181" s="2042"/>
      <c r="EG181" s="2042"/>
      <c r="EH181" s="2042"/>
      <c r="EI181" s="2042"/>
      <c r="EJ181" s="2042"/>
      <c r="EK181" s="2042"/>
      <c r="EL181" s="2042"/>
      <c r="EM181" s="2042"/>
      <c r="EN181" s="2042"/>
      <c r="EO181" s="2042"/>
      <c r="EP181" s="2042"/>
      <c r="EQ181" s="2042"/>
      <c r="ER181" s="2042"/>
      <c r="ES181" s="2042"/>
      <c r="ET181" s="2042"/>
      <c r="EU181" s="2042"/>
      <c r="EV181" s="2042"/>
      <c r="EW181" s="2042"/>
      <c r="EX181" s="2042"/>
      <c r="EY181" s="2042"/>
      <c r="EZ181" s="2042"/>
      <c r="FA181" s="2042"/>
      <c r="FB181" s="2042"/>
      <c r="FC181" s="2042"/>
      <c r="FD181" s="2042"/>
      <c r="FE181" s="2042"/>
      <c r="FF181" s="2042"/>
      <c r="FG181" s="2042"/>
      <c r="FH181" s="2042"/>
      <c r="FI181" s="2042"/>
      <c r="FJ181" s="2042"/>
      <c r="FK181" s="2042"/>
      <c r="FL181" s="2042"/>
      <c r="FM181" s="2042"/>
      <c r="FN181" s="2042"/>
      <c r="FO181" s="2042"/>
      <c r="FP181" s="2042"/>
      <c r="FQ181" s="2042"/>
      <c r="FR181" s="2042"/>
      <c r="FS181" s="2042"/>
      <c r="FT181" s="2042"/>
      <c r="FU181" s="2042"/>
      <c r="FV181" s="2042"/>
      <c r="FW181" s="2042"/>
      <c r="FX181" s="2042"/>
      <c r="FY181" s="2042"/>
      <c r="FZ181" s="2042"/>
      <c r="GA181" s="2042"/>
      <c r="GB181" s="2042"/>
      <c r="GC181" s="2042"/>
      <c r="GD181" s="2042"/>
      <c r="GE181" s="2042"/>
      <c r="GF181" s="2042"/>
      <c r="GG181" s="2042"/>
      <c r="GH181" s="2042"/>
      <c r="GI181" s="2042"/>
      <c r="GJ181" s="2042"/>
      <c r="GK181" s="2042"/>
      <c r="GL181" s="2042"/>
      <c r="GM181" s="2042"/>
      <c r="GN181" s="2042"/>
      <c r="GO181" s="2042"/>
      <c r="GP181" s="2042"/>
      <c r="GQ181" s="2042"/>
      <c r="GR181" s="2042"/>
      <c r="GS181" s="2042"/>
      <c r="GT181" s="2042"/>
      <c r="GU181" s="2042"/>
      <c r="GV181" s="2042"/>
      <c r="GW181" s="2042"/>
      <c r="GX181" s="2042"/>
      <c r="GY181" s="2042"/>
      <c r="GZ181" s="2042"/>
      <c r="HA181" s="2042"/>
      <c r="HB181" s="2042"/>
      <c r="HC181" s="2042"/>
      <c r="HD181" s="2042"/>
      <c r="HE181" s="2042"/>
      <c r="HF181" s="2042"/>
      <c r="HG181" s="2042"/>
      <c r="HH181" s="2042"/>
      <c r="HI181" s="2042"/>
      <c r="HJ181" s="2042"/>
      <c r="HL181" s="2042"/>
      <c r="HM181" s="2042"/>
      <c r="HN181" s="2042"/>
    </row>
    <row r="182" spans="44:244" ht="15.75" customHeight="1" x14ac:dyDescent="0.2">
      <c r="AR182" s="510"/>
      <c r="AS182" s="510"/>
      <c r="AT182" s="510"/>
      <c r="AU182" s="510"/>
      <c r="AV182" s="510"/>
      <c r="BU182" s="296"/>
      <c r="BV182" s="2278"/>
      <c r="BW182" s="2278"/>
      <c r="BX182" s="2278"/>
      <c r="BY182" s="2278"/>
      <c r="BZ182" s="2278"/>
      <c r="CA182" s="2278"/>
      <c r="CB182" s="2278"/>
      <c r="CC182" s="2278"/>
      <c r="CD182" s="2278"/>
      <c r="CE182" s="2278"/>
      <c r="CF182" s="2278"/>
      <c r="CG182" s="2278"/>
      <c r="CH182" s="2278"/>
      <c r="CI182" s="2278"/>
      <c r="CJ182" s="2278"/>
      <c r="CK182" s="2278"/>
      <c r="CV182" s="2042"/>
      <c r="CW182" s="2042"/>
      <c r="CX182" s="2042"/>
      <c r="CY182" s="2042"/>
      <c r="CZ182" s="2042"/>
      <c r="DA182" s="2042"/>
      <c r="DB182" s="2042"/>
      <c r="DC182" s="2042"/>
      <c r="DD182" s="2042"/>
      <c r="DE182" s="2042"/>
      <c r="DF182" s="2042"/>
      <c r="DG182" s="2042"/>
      <c r="DH182" s="2042"/>
      <c r="DI182" s="2042"/>
      <c r="DJ182" s="2042"/>
      <c r="DK182" s="2042"/>
      <c r="DL182" s="2042"/>
      <c r="DM182" s="2042"/>
      <c r="DN182" s="2042"/>
      <c r="DO182" s="2042"/>
      <c r="DP182" s="2042"/>
      <c r="DQ182" s="2042"/>
      <c r="DR182" s="2042"/>
      <c r="DS182" s="2042"/>
      <c r="DT182" s="2042"/>
      <c r="DU182" s="2042"/>
      <c r="DV182" s="2042"/>
      <c r="DW182" s="2042"/>
      <c r="DX182" s="2042"/>
      <c r="DY182" s="2042"/>
      <c r="DZ182" s="2042"/>
      <c r="EA182" s="2042"/>
      <c r="EB182" s="2042"/>
      <c r="EC182" s="2042"/>
      <c r="ED182" s="2042"/>
      <c r="EE182" s="2042"/>
      <c r="EF182" s="2042"/>
      <c r="EG182" s="2042"/>
      <c r="EH182" s="2042"/>
      <c r="EI182" s="2042"/>
      <c r="EJ182" s="2042"/>
      <c r="EK182" s="2042"/>
      <c r="EL182" s="2042"/>
      <c r="EM182" s="2042"/>
      <c r="EN182" s="2042"/>
      <c r="EO182" s="2042"/>
      <c r="EP182" s="2042"/>
      <c r="EQ182" s="2042"/>
      <c r="ER182" s="2042"/>
      <c r="ES182" s="2042"/>
      <c r="ET182" s="2042"/>
      <c r="EU182" s="2042"/>
      <c r="EV182" s="2042"/>
      <c r="EW182" s="2042"/>
      <c r="EX182" s="2042"/>
      <c r="EY182" s="2042"/>
      <c r="EZ182" s="2042"/>
      <c r="FA182" s="2042"/>
      <c r="FB182" s="2042"/>
      <c r="FC182" s="2042"/>
      <c r="FD182" s="2042"/>
      <c r="FE182" s="2042"/>
      <c r="FF182" s="2042"/>
      <c r="FG182" s="2042"/>
      <c r="FH182" s="2042"/>
      <c r="FI182" s="2042"/>
      <c r="FJ182" s="2042"/>
      <c r="FK182" s="2042"/>
      <c r="FL182" s="2042"/>
      <c r="FM182" s="2042"/>
      <c r="FN182" s="2042"/>
      <c r="FO182" s="2042"/>
      <c r="FP182" s="2042"/>
      <c r="FQ182" s="2042"/>
      <c r="FR182" s="2042"/>
      <c r="FS182" s="2042"/>
      <c r="FT182" s="2042"/>
      <c r="FU182" s="2042"/>
      <c r="FV182" s="2042"/>
      <c r="FW182" s="2042"/>
      <c r="FX182" s="2042"/>
      <c r="FY182" s="2042"/>
      <c r="FZ182" s="2042"/>
      <c r="GA182" s="2042"/>
      <c r="GB182" s="2042"/>
      <c r="GC182" s="2042"/>
      <c r="GD182" s="2042"/>
      <c r="GE182" s="2042"/>
      <c r="GF182" s="2042"/>
      <c r="GG182" s="2042"/>
      <c r="GH182" s="2042"/>
      <c r="GI182" s="2042"/>
      <c r="GJ182" s="2042"/>
      <c r="GK182" s="2042"/>
      <c r="GL182" s="2042"/>
      <c r="GM182" s="2042"/>
      <c r="GN182" s="2042"/>
      <c r="GO182" s="2042"/>
      <c r="GP182" s="2042"/>
      <c r="GQ182" s="2042"/>
      <c r="GR182" s="2042"/>
      <c r="GS182" s="2042"/>
      <c r="GT182" s="2042"/>
      <c r="GU182" s="2042"/>
      <c r="GV182" s="2042"/>
      <c r="GW182" s="2042"/>
      <c r="GX182" s="2042"/>
      <c r="GY182" s="2042"/>
      <c r="GZ182" s="2042"/>
      <c r="HA182" s="2042"/>
      <c r="HB182" s="2042"/>
      <c r="HC182" s="2042"/>
      <c r="HD182" s="2042"/>
      <c r="HE182" s="2042"/>
      <c r="HF182" s="2042"/>
      <c r="HG182" s="2042"/>
      <c r="HH182" s="2042"/>
      <c r="HI182" s="2042"/>
      <c r="HJ182" s="2042"/>
      <c r="HL182" s="2042"/>
      <c r="HM182" s="2042"/>
      <c r="HN182" s="2042"/>
    </row>
    <row r="183" spans="44:244" ht="15.75" customHeight="1" x14ac:dyDescent="0.2">
      <c r="AR183" s="510"/>
      <c r="AS183" s="510"/>
      <c r="AT183" s="510"/>
      <c r="AU183" s="510"/>
      <c r="AV183" s="510"/>
      <c r="BU183" s="296"/>
      <c r="BV183" s="2278"/>
      <c r="BW183" s="2278"/>
      <c r="BX183" s="2278"/>
      <c r="BY183" s="2278"/>
      <c r="BZ183" s="2278"/>
      <c r="CA183" s="2278"/>
      <c r="CB183" s="2278"/>
      <c r="CC183" s="2278"/>
      <c r="CD183" s="2278"/>
      <c r="CE183" s="2278"/>
      <c r="CF183" s="2278"/>
      <c r="CG183" s="2278"/>
      <c r="CH183" s="2278"/>
      <c r="CI183" s="2278"/>
      <c r="CJ183" s="2278"/>
      <c r="CK183" s="2278"/>
      <c r="CV183" s="2042"/>
      <c r="CW183" s="2042"/>
      <c r="CX183" s="2042"/>
      <c r="CY183" s="2042"/>
      <c r="CZ183" s="2042"/>
      <c r="DA183" s="2042"/>
      <c r="DB183" s="2042"/>
      <c r="DC183" s="2042"/>
      <c r="DD183" s="2042"/>
      <c r="DE183" s="2042"/>
      <c r="DF183" s="2042"/>
      <c r="DG183" s="2042"/>
      <c r="DH183" s="2042"/>
      <c r="DI183" s="2042"/>
      <c r="DJ183" s="2042"/>
      <c r="DK183" s="2042"/>
      <c r="DL183" s="2042"/>
      <c r="DM183" s="2042"/>
      <c r="DN183" s="2042"/>
      <c r="DO183" s="2042"/>
      <c r="DP183" s="2042"/>
      <c r="DQ183" s="2042"/>
      <c r="DR183" s="2042"/>
      <c r="DS183" s="2042"/>
      <c r="DT183" s="2042"/>
      <c r="DU183" s="2042"/>
      <c r="DV183" s="2042"/>
      <c r="DW183" s="2042"/>
      <c r="DX183" s="2042"/>
      <c r="DY183" s="2042"/>
      <c r="DZ183" s="2042"/>
      <c r="EA183" s="2042"/>
      <c r="EB183" s="2042"/>
      <c r="EC183" s="2042"/>
      <c r="ED183" s="2042"/>
      <c r="EE183" s="2042"/>
      <c r="EF183" s="2042"/>
      <c r="EG183" s="2042"/>
      <c r="EH183" s="2042"/>
      <c r="EI183" s="2042"/>
      <c r="EJ183" s="2042"/>
      <c r="EK183" s="2042"/>
      <c r="EL183" s="2042"/>
      <c r="EM183" s="2042"/>
      <c r="EN183" s="2042"/>
      <c r="EO183" s="2042"/>
      <c r="EP183" s="2042"/>
      <c r="EQ183" s="2042"/>
      <c r="ER183" s="2042"/>
      <c r="ES183" s="2042"/>
      <c r="ET183" s="2042"/>
      <c r="EU183" s="2042"/>
      <c r="EV183" s="2042"/>
      <c r="EW183" s="2042"/>
      <c r="EX183" s="2042"/>
      <c r="EY183" s="2042"/>
      <c r="EZ183" s="2042"/>
      <c r="FA183" s="2042"/>
      <c r="FB183" s="2042"/>
      <c r="FC183" s="2042"/>
      <c r="FD183" s="2042"/>
      <c r="FE183" s="2042"/>
      <c r="FF183" s="2042"/>
      <c r="FG183" s="2042"/>
      <c r="FH183" s="2042"/>
      <c r="FI183" s="2042"/>
      <c r="FJ183" s="2042"/>
      <c r="FK183" s="2042"/>
      <c r="FL183" s="2042"/>
      <c r="FM183" s="2042"/>
      <c r="FN183" s="2042"/>
      <c r="FO183" s="2042"/>
      <c r="FP183" s="2042"/>
      <c r="FQ183" s="2042"/>
      <c r="FR183" s="2042"/>
      <c r="FS183" s="2042"/>
      <c r="FT183" s="2042"/>
      <c r="FU183" s="2042"/>
      <c r="FV183" s="2042"/>
      <c r="FW183" s="2042"/>
      <c r="FX183" s="2042"/>
      <c r="FY183" s="2042"/>
      <c r="FZ183" s="2042"/>
      <c r="GA183" s="2042"/>
      <c r="GB183" s="2042"/>
      <c r="GC183" s="2042"/>
      <c r="GD183" s="2042"/>
      <c r="GE183" s="2042"/>
      <c r="GF183" s="2042"/>
      <c r="GG183" s="2042"/>
      <c r="GH183" s="2042"/>
      <c r="GI183" s="2042"/>
      <c r="GJ183" s="2042"/>
      <c r="GK183" s="2042"/>
      <c r="GL183" s="2042"/>
      <c r="GM183" s="2042"/>
      <c r="GN183" s="2042"/>
      <c r="GO183" s="2042"/>
      <c r="GP183" s="2042"/>
      <c r="GQ183" s="2042"/>
      <c r="GR183" s="2042"/>
      <c r="GS183" s="2042"/>
      <c r="GT183" s="2042"/>
      <c r="GU183" s="2042"/>
      <c r="GV183" s="2042"/>
      <c r="GW183" s="2042"/>
      <c r="GX183" s="2042"/>
      <c r="GY183" s="2042"/>
      <c r="GZ183" s="2042"/>
      <c r="HA183" s="2042"/>
      <c r="HB183" s="2042"/>
      <c r="HC183" s="2042"/>
      <c r="HD183" s="2042"/>
      <c r="HE183" s="2042"/>
      <c r="HF183" s="2042"/>
      <c r="HG183" s="2042"/>
      <c r="HH183" s="2042"/>
      <c r="HI183" s="2042"/>
      <c r="HJ183" s="2042"/>
      <c r="HL183" s="2042"/>
      <c r="HM183" s="2042"/>
      <c r="HN183" s="2042"/>
    </row>
    <row r="184" spans="44:244" ht="15.75" customHeight="1" x14ac:dyDescent="0.2">
      <c r="AR184" s="510"/>
      <c r="AS184" s="510"/>
      <c r="AT184" s="510"/>
      <c r="AU184" s="510"/>
      <c r="AV184" s="510"/>
      <c r="BU184" s="296"/>
      <c r="BV184" s="2278"/>
      <c r="BW184" s="2278"/>
      <c r="BX184" s="2278"/>
      <c r="BY184" s="2278"/>
      <c r="BZ184" s="2278"/>
      <c r="CA184" s="2278"/>
      <c r="CB184" s="2278"/>
      <c r="CC184" s="2278"/>
      <c r="CD184" s="2278"/>
      <c r="CE184" s="2278"/>
      <c r="CF184" s="2278"/>
      <c r="CG184" s="2278"/>
      <c r="CH184" s="2278"/>
      <c r="CI184" s="2278"/>
      <c r="CJ184" s="2278"/>
      <c r="CK184" s="2278"/>
      <c r="CV184" s="2042"/>
      <c r="CW184" s="2042"/>
      <c r="CX184" s="2042"/>
      <c r="CY184" s="2042"/>
      <c r="CZ184" s="2042"/>
      <c r="DA184" s="2042"/>
      <c r="DB184" s="2042"/>
      <c r="DC184" s="2042"/>
      <c r="DD184" s="2042"/>
      <c r="DE184" s="2042"/>
      <c r="DF184" s="2042"/>
      <c r="DG184" s="2042"/>
      <c r="DH184" s="2042"/>
      <c r="DI184" s="2042"/>
      <c r="DJ184" s="2042"/>
      <c r="DK184" s="2042"/>
      <c r="DL184" s="2042"/>
      <c r="DM184" s="2042"/>
      <c r="DN184" s="2042"/>
      <c r="DO184" s="2042"/>
      <c r="DP184" s="2042"/>
      <c r="DQ184" s="2042"/>
      <c r="DR184" s="2042"/>
      <c r="DS184" s="2042"/>
      <c r="DT184" s="2042"/>
      <c r="DU184" s="2042"/>
      <c r="DV184" s="2042"/>
      <c r="DW184" s="2042"/>
      <c r="DX184" s="2042"/>
      <c r="DY184" s="2042"/>
      <c r="DZ184" s="2042"/>
      <c r="EA184" s="2042"/>
      <c r="EB184" s="2042"/>
      <c r="EC184" s="2042"/>
      <c r="ED184" s="2042"/>
      <c r="EE184" s="2042"/>
      <c r="EF184" s="2042"/>
      <c r="EG184" s="2042"/>
      <c r="EH184" s="2042"/>
      <c r="EI184" s="2042"/>
      <c r="EJ184" s="2042"/>
      <c r="EK184" s="2042"/>
      <c r="EL184" s="2042"/>
      <c r="EM184" s="2042"/>
      <c r="EN184" s="2042"/>
      <c r="EO184" s="2042"/>
      <c r="EP184" s="2042"/>
      <c r="EQ184" s="2042"/>
      <c r="ER184" s="2042"/>
      <c r="ES184" s="2042"/>
      <c r="ET184" s="2042"/>
      <c r="EU184" s="2042"/>
      <c r="EV184" s="2042"/>
      <c r="EW184" s="2042"/>
      <c r="EX184" s="2042"/>
      <c r="EY184" s="2042"/>
      <c r="EZ184" s="2042"/>
      <c r="FA184" s="2042"/>
      <c r="FB184" s="2042"/>
      <c r="FC184" s="2042"/>
      <c r="FD184" s="2042"/>
      <c r="FE184" s="2042"/>
      <c r="FF184" s="2042"/>
      <c r="FG184" s="2042"/>
      <c r="FH184" s="2042"/>
      <c r="FI184" s="2042"/>
      <c r="FJ184" s="2042"/>
      <c r="FK184" s="2042"/>
      <c r="FL184" s="2042"/>
      <c r="FM184" s="2042"/>
      <c r="FN184" s="2042"/>
      <c r="FO184" s="2042"/>
      <c r="FP184" s="2042"/>
      <c r="FQ184" s="2042"/>
      <c r="FR184" s="2042"/>
      <c r="FS184" s="2042"/>
      <c r="FT184" s="2042"/>
      <c r="FU184" s="2042"/>
      <c r="FV184" s="2042"/>
      <c r="FW184" s="2042"/>
      <c r="FX184" s="2042"/>
      <c r="FY184" s="2042"/>
      <c r="FZ184" s="2042"/>
      <c r="GA184" s="2042"/>
      <c r="GB184" s="2042"/>
      <c r="GC184" s="2042"/>
      <c r="GD184" s="2042"/>
      <c r="GE184" s="2042"/>
      <c r="GF184" s="2042"/>
      <c r="GG184" s="2042"/>
      <c r="GH184" s="2042"/>
      <c r="GI184" s="2042"/>
      <c r="GJ184" s="2042"/>
      <c r="GK184" s="2042"/>
      <c r="GL184" s="2042"/>
      <c r="GM184" s="2042"/>
      <c r="GN184" s="2042"/>
      <c r="GO184" s="2042"/>
      <c r="GP184" s="2042"/>
      <c r="GQ184" s="2042"/>
      <c r="GR184" s="2042"/>
      <c r="GS184" s="2042"/>
      <c r="GT184" s="2042"/>
      <c r="GU184" s="2042"/>
      <c r="GV184" s="2042"/>
      <c r="GW184" s="2042"/>
      <c r="GX184" s="2042"/>
      <c r="GY184" s="2042"/>
      <c r="GZ184" s="2042"/>
      <c r="HA184" s="2042"/>
      <c r="HB184" s="2042"/>
      <c r="HC184" s="2042"/>
      <c r="HD184" s="2042"/>
      <c r="HE184" s="2042"/>
      <c r="HF184" s="2042"/>
      <c r="HG184" s="2042"/>
      <c r="HH184" s="2042"/>
      <c r="HI184" s="2042"/>
      <c r="HJ184" s="2042"/>
      <c r="HL184" s="2042"/>
      <c r="HM184" s="2042"/>
      <c r="HN184" s="2042"/>
    </row>
    <row r="185" spans="44:244" ht="15.75" customHeight="1" x14ac:dyDescent="0.2">
      <c r="AR185" s="510"/>
      <c r="AS185" s="510"/>
      <c r="AT185" s="510"/>
      <c r="AU185" s="510"/>
      <c r="AV185" s="510"/>
      <c r="BU185" s="296"/>
      <c r="BV185" s="2278"/>
      <c r="BW185" s="2278"/>
      <c r="BX185" s="2278"/>
      <c r="BY185" s="2278"/>
      <c r="BZ185" s="2278"/>
      <c r="CA185" s="2278"/>
      <c r="CB185" s="2278"/>
      <c r="CC185" s="2278"/>
      <c r="CD185" s="2278"/>
      <c r="CE185" s="2278"/>
      <c r="CF185" s="2278"/>
      <c r="CG185" s="2278"/>
      <c r="CH185" s="2278"/>
      <c r="CI185" s="2278"/>
      <c r="CJ185" s="2278"/>
      <c r="CK185" s="2278"/>
      <c r="CV185" s="2042"/>
      <c r="CW185" s="2042"/>
      <c r="CX185" s="2042"/>
      <c r="CY185" s="2042"/>
      <c r="CZ185" s="2042"/>
      <c r="DA185" s="2042"/>
      <c r="DB185" s="2042"/>
      <c r="DC185" s="2042"/>
      <c r="DD185" s="2042"/>
      <c r="DE185" s="2042"/>
      <c r="DF185" s="2042"/>
      <c r="DG185" s="2042"/>
      <c r="DH185" s="2042"/>
      <c r="DI185" s="2042"/>
      <c r="DJ185" s="2042"/>
      <c r="DK185" s="2042"/>
      <c r="DL185" s="2042"/>
      <c r="DM185" s="2042"/>
      <c r="DN185" s="2042"/>
      <c r="DO185" s="2042"/>
      <c r="DP185" s="2042"/>
      <c r="DQ185" s="2042"/>
      <c r="DR185" s="2042"/>
      <c r="DS185" s="2042"/>
      <c r="DT185" s="2042"/>
      <c r="DU185" s="2042"/>
      <c r="DV185" s="2042"/>
      <c r="DW185" s="2042"/>
      <c r="DX185" s="2042"/>
      <c r="DY185" s="2042"/>
      <c r="DZ185" s="2042"/>
      <c r="EA185" s="2042"/>
      <c r="EB185" s="2042"/>
      <c r="EC185" s="2042"/>
      <c r="ED185" s="2042"/>
      <c r="EE185" s="2042"/>
      <c r="EF185" s="2042"/>
      <c r="EG185" s="2042"/>
      <c r="EH185" s="2042"/>
      <c r="EI185" s="2042"/>
      <c r="EJ185" s="2042"/>
      <c r="EK185" s="2042"/>
      <c r="EL185" s="2042"/>
      <c r="EM185" s="2042"/>
      <c r="EN185" s="2042"/>
      <c r="EO185" s="2042"/>
      <c r="EP185" s="2042"/>
      <c r="EQ185" s="2042"/>
      <c r="ER185" s="2042"/>
      <c r="ES185" s="2042"/>
      <c r="ET185" s="2042"/>
      <c r="EU185" s="2042"/>
      <c r="EV185" s="2042"/>
      <c r="EW185" s="2042"/>
      <c r="EX185" s="2042"/>
      <c r="EY185" s="2042"/>
      <c r="EZ185" s="2042"/>
      <c r="FA185" s="2042"/>
      <c r="FB185" s="2042"/>
      <c r="FC185" s="2042"/>
      <c r="FD185" s="2042"/>
      <c r="FE185" s="2042"/>
      <c r="FF185" s="2042"/>
      <c r="FG185" s="2042"/>
      <c r="FH185" s="2042"/>
      <c r="FI185" s="2042"/>
      <c r="FJ185" s="2042"/>
      <c r="FK185" s="2042"/>
      <c r="FL185" s="2042"/>
      <c r="FM185" s="2042"/>
      <c r="FN185" s="2042"/>
      <c r="FO185" s="2042"/>
      <c r="FP185" s="2042"/>
      <c r="FQ185" s="2042"/>
      <c r="FR185" s="2042"/>
      <c r="FS185" s="2042"/>
      <c r="FT185" s="2042"/>
      <c r="FU185" s="2042"/>
      <c r="FV185" s="2042"/>
      <c r="FW185" s="2042"/>
      <c r="FX185" s="2042"/>
      <c r="FY185" s="2042"/>
      <c r="FZ185" s="2042"/>
      <c r="GA185" s="2042"/>
      <c r="GB185" s="2042"/>
      <c r="GC185" s="2042"/>
      <c r="GD185" s="2042"/>
      <c r="GE185" s="2042"/>
      <c r="GF185" s="2042"/>
      <c r="GG185" s="2042"/>
      <c r="GH185" s="2042"/>
      <c r="GI185" s="2042"/>
      <c r="GJ185" s="2042"/>
      <c r="GK185" s="2042"/>
      <c r="GL185" s="2042"/>
      <c r="GM185" s="2042"/>
      <c r="GN185" s="2042"/>
      <c r="GO185" s="2042"/>
      <c r="GP185" s="2042"/>
      <c r="GQ185" s="2042"/>
      <c r="GR185" s="2042"/>
      <c r="GS185" s="2042"/>
      <c r="GT185" s="2042"/>
      <c r="GU185" s="2042"/>
      <c r="GV185" s="2042"/>
      <c r="GW185" s="2042"/>
      <c r="GX185" s="2042"/>
      <c r="GY185" s="2042"/>
      <c r="GZ185" s="2042"/>
      <c r="HA185" s="2042"/>
      <c r="HB185" s="2042"/>
      <c r="HC185" s="2042"/>
      <c r="HD185" s="2042"/>
      <c r="HE185" s="2042"/>
      <c r="HF185" s="2042"/>
      <c r="HG185" s="2042"/>
      <c r="HH185" s="2042"/>
      <c r="HI185" s="2042"/>
      <c r="HJ185" s="2042"/>
      <c r="HL185" s="2042"/>
      <c r="HM185" s="2042"/>
      <c r="HN185" s="2042"/>
    </row>
    <row r="186" spans="44:244" ht="15.75" customHeight="1" x14ac:dyDescent="0.2">
      <c r="AR186" s="510"/>
      <c r="AS186" s="510"/>
      <c r="AT186" s="510"/>
      <c r="AU186" s="510"/>
      <c r="AV186" s="510"/>
      <c r="BU186" s="296"/>
      <c r="BV186" s="2278"/>
      <c r="BW186" s="2278"/>
      <c r="BX186" s="2278"/>
      <c r="BY186" s="2278"/>
      <c r="BZ186" s="2278"/>
      <c r="CA186" s="2278"/>
      <c r="CB186" s="2278"/>
      <c r="CC186" s="2278"/>
      <c r="CD186" s="2278"/>
      <c r="CE186" s="2278"/>
      <c r="CF186" s="2278"/>
      <c r="CG186" s="2278"/>
      <c r="CH186" s="2278"/>
      <c r="CI186" s="2278"/>
      <c r="CJ186" s="2278"/>
      <c r="CK186" s="2278"/>
      <c r="CV186" s="2042"/>
      <c r="CW186" s="2042"/>
      <c r="CX186" s="2042"/>
      <c r="CY186" s="2042"/>
      <c r="CZ186" s="2042"/>
      <c r="DA186" s="2042"/>
      <c r="DB186" s="2042"/>
      <c r="DC186" s="2042"/>
      <c r="DD186" s="2042"/>
      <c r="DE186" s="2042"/>
      <c r="DF186" s="2042"/>
      <c r="DG186" s="2042"/>
      <c r="DH186" s="2042"/>
      <c r="DI186" s="2042"/>
      <c r="DJ186" s="2042"/>
      <c r="DK186" s="2042"/>
      <c r="DL186" s="2042"/>
      <c r="DM186" s="2042"/>
      <c r="DN186" s="2042"/>
      <c r="DO186" s="2042"/>
      <c r="DP186" s="2042"/>
      <c r="DQ186" s="2042"/>
      <c r="DR186" s="2042"/>
      <c r="DS186" s="2042"/>
      <c r="DT186" s="2042"/>
      <c r="DU186" s="2042"/>
      <c r="DV186" s="2042"/>
      <c r="DW186" s="2042"/>
      <c r="DX186" s="2042"/>
      <c r="DY186" s="2042"/>
      <c r="DZ186" s="2042"/>
      <c r="EA186" s="2042"/>
      <c r="EB186" s="2042"/>
      <c r="EC186" s="2042"/>
      <c r="ED186" s="2042"/>
      <c r="EE186" s="2042"/>
      <c r="EF186" s="2042"/>
      <c r="EG186" s="2042"/>
      <c r="EH186" s="2042"/>
      <c r="EI186" s="2042"/>
      <c r="EJ186" s="2042"/>
      <c r="EK186" s="2042"/>
      <c r="EL186" s="2042"/>
      <c r="EM186" s="2042"/>
      <c r="EN186" s="2042"/>
      <c r="EO186" s="2042"/>
      <c r="EP186" s="2042"/>
      <c r="EQ186" s="2042"/>
      <c r="ER186" s="2042"/>
      <c r="ES186" s="2042"/>
      <c r="ET186" s="2042"/>
      <c r="EU186" s="2042"/>
      <c r="EV186" s="2042"/>
      <c r="EW186" s="2042"/>
      <c r="EX186" s="2042"/>
      <c r="EY186" s="2042"/>
      <c r="EZ186" s="2042"/>
      <c r="FA186" s="2042"/>
      <c r="FB186" s="2042"/>
      <c r="FC186" s="2042"/>
      <c r="FD186" s="2042"/>
      <c r="FE186" s="2042"/>
      <c r="FF186" s="2042"/>
      <c r="FG186" s="2042"/>
      <c r="FH186" s="2042"/>
      <c r="FI186" s="2042"/>
      <c r="FJ186" s="2042"/>
      <c r="FK186" s="2042"/>
      <c r="FL186" s="2042"/>
      <c r="FM186" s="2042"/>
      <c r="FN186" s="2042"/>
      <c r="FO186" s="2042"/>
      <c r="FP186" s="2042"/>
      <c r="FQ186" s="2042"/>
      <c r="FR186" s="2042"/>
      <c r="FS186" s="2042"/>
      <c r="FT186" s="2042"/>
      <c r="FU186" s="2042"/>
      <c r="FV186" s="2042"/>
      <c r="FW186" s="2042"/>
      <c r="FX186" s="2042"/>
      <c r="FY186" s="2042"/>
      <c r="FZ186" s="2042"/>
      <c r="GA186" s="2042"/>
      <c r="GB186" s="2042"/>
      <c r="GC186" s="2042"/>
      <c r="GD186" s="2042"/>
      <c r="GE186" s="2042"/>
      <c r="GF186" s="2042"/>
      <c r="GG186" s="2042"/>
      <c r="GH186" s="2042"/>
      <c r="GI186" s="2042"/>
      <c r="GJ186" s="2042"/>
      <c r="GK186" s="2042"/>
      <c r="GL186" s="2042"/>
      <c r="GM186" s="2042"/>
      <c r="GN186" s="2042"/>
      <c r="GO186" s="2042"/>
      <c r="GP186" s="2042"/>
      <c r="GQ186" s="2042"/>
      <c r="GR186" s="2042"/>
      <c r="GS186" s="2042"/>
      <c r="GT186" s="2042"/>
      <c r="GU186" s="2042"/>
      <c r="GV186" s="2042"/>
      <c r="GW186" s="2042"/>
      <c r="GX186" s="2042"/>
      <c r="GY186" s="2042"/>
      <c r="GZ186" s="2042"/>
      <c r="HA186" s="2042"/>
      <c r="HB186" s="2042"/>
      <c r="HC186" s="2042"/>
      <c r="HD186" s="2042"/>
      <c r="HE186" s="2042"/>
      <c r="HF186" s="2042"/>
      <c r="HG186" s="2042"/>
      <c r="HH186" s="2042"/>
      <c r="HI186" s="2042"/>
      <c r="HJ186" s="2042"/>
      <c r="HL186" s="2042"/>
      <c r="HM186" s="2042"/>
      <c r="HN186" s="2042"/>
    </row>
    <row r="187" spans="44:244" ht="15.75" customHeight="1" x14ac:dyDescent="0.2">
      <c r="AR187" s="510"/>
      <c r="AS187" s="510"/>
      <c r="AT187" s="510"/>
      <c r="AU187" s="510"/>
      <c r="AV187" s="510"/>
      <c r="BU187" s="296"/>
      <c r="BV187" s="2278"/>
      <c r="BW187" s="2278"/>
      <c r="BX187" s="2278"/>
      <c r="BY187" s="2278"/>
      <c r="BZ187" s="2278"/>
      <c r="CA187" s="2278"/>
      <c r="CB187" s="2278"/>
      <c r="CC187" s="2278"/>
      <c r="CD187" s="2278"/>
      <c r="CE187" s="2278"/>
      <c r="CF187" s="2278"/>
      <c r="CG187" s="2278"/>
      <c r="CH187" s="2278"/>
      <c r="CI187" s="2278"/>
      <c r="CJ187" s="2278"/>
      <c r="CK187" s="2278"/>
      <c r="CV187" s="2042"/>
      <c r="CW187" s="2042"/>
      <c r="CX187" s="2042"/>
      <c r="CY187" s="2042"/>
      <c r="CZ187" s="2042"/>
      <c r="DA187" s="2042"/>
      <c r="DB187" s="2042"/>
      <c r="DC187" s="2042"/>
      <c r="DD187" s="2042"/>
      <c r="DE187" s="2042"/>
      <c r="DF187" s="2042"/>
      <c r="DG187" s="2042"/>
      <c r="DH187" s="2042"/>
      <c r="DI187" s="2042"/>
      <c r="DJ187" s="2042"/>
      <c r="DK187" s="2042"/>
      <c r="DL187" s="2042"/>
      <c r="DM187" s="2042"/>
      <c r="DN187" s="2042"/>
      <c r="DO187" s="2042"/>
      <c r="DP187" s="2042"/>
      <c r="DQ187" s="2042"/>
      <c r="DR187" s="2042"/>
      <c r="DS187" s="2042"/>
      <c r="DT187" s="2042"/>
      <c r="DU187" s="2042"/>
      <c r="DV187" s="2042"/>
      <c r="DW187" s="2042"/>
      <c r="DX187" s="2042"/>
      <c r="DY187" s="2042"/>
      <c r="DZ187" s="2042"/>
      <c r="EA187" s="2042"/>
      <c r="EB187" s="2042"/>
      <c r="EC187" s="2042"/>
      <c r="ED187" s="2042"/>
      <c r="EE187" s="2042"/>
      <c r="EF187" s="2042"/>
      <c r="EG187" s="2042"/>
      <c r="EH187" s="2042"/>
      <c r="EI187" s="2042"/>
      <c r="EJ187" s="2042"/>
      <c r="EK187" s="2042"/>
      <c r="EL187" s="2042"/>
      <c r="EM187" s="2042"/>
      <c r="EN187" s="2042"/>
      <c r="EO187" s="2042"/>
      <c r="EP187" s="2042"/>
      <c r="EQ187" s="2042"/>
      <c r="ER187" s="2042"/>
      <c r="ES187" s="2042"/>
      <c r="ET187" s="2042"/>
      <c r="EU187" s="2042"/>
      <c r="EV187" s="2042"/>
      <c r="EW187" s="2042"/>
      <c r="EX187" s="2042"/>
      <c r="EY187" s="2042"/>
      <c r="EZ187" s="2042"/>
      <c r="FA187" s="2042"/>
      <c r="FB187" s="2042"/>
      <c r="FC187" s="2042"/>
      <c r="FD187" s="2042"/>
      <c r="FE187" s="2042"/>
      <c r="FF187" s="2042"/>
      <c r="FG187" s="2042"/>
      <c r="FH187" s="2042"/>
      <c r="FI187" s="2042"/>
      <c r="FJ187" s="2042"/>
      <c r="FK187" s="2042"/>
      <c r="FL187" s="2042"/>
      <c r="FM187" s="2042"/>
      <c r="FN187" s="2042"/>
      <c r="FO187" s="2042"/>
      <c r="FP187" s="2042"/>
      <c r="FQ187" s="2042"/>
      <c r="FR187" s="2042"/>
      <c r="FS187" s="2042"/>
      <c r="FT187" s="2042"/>
      <c r="FU187" s="2042"/>
      <c r="FV187" s="2042"/>
      <c r="FW187" s="2042"/>
      <c r="FX187" s="2042"/>
      <c r="FY187" s="2042"/>
      <c r="FZ187" s="2042"/>
      <c r="GA187" s="2042"/>
      <c r="GB187" s="2042"/>
      <c r="GC187" s="2042"/>
      <c r="GD187" s="2042"/>
      <c r="GE187" s="2042"/>
      <c r="GF187" s="2042"/>
      <c r="GG187" s="2042"/>
      <c r="GH187" s="2042"/>
      <c r="GI187" s="2042"/>
      <c r="GJ187" s="2042"/>
      <c r="GK187" s="2042"/>
      <c r="GL187" s="2042"/>
      <c r="GM187" s="2042"/>
      <c r="GN187" s="2042"/>
      <c r="GO187" s="2042"/>
      <c r="GP187" s="2042"/>
      <c r="GQ187" s="2042"/>
      <c r="GR187" s="2042"/>
      <c r="GS187" s="2042"/>
      <c r="GT187" s="2042"/>
      <c r="GU187" s="2042"/>
      <c r="GV187" s="2042"/>
      <c r="GW187" s="2042"/>
      <c r="GX187" s="2042"/>
      <c r="GY187" s="2042"/>
      <c r="GZ187" s="2042"/>
      <c r="HA187" s="2042"/>
      <c r="HB187" s="2042"/>
      <c r="HC187" s="2042"/>
      <c r="HD187" s="2042"/>
      <c r="HE187" s="2042"/>
      <c r="HF187" s="2042"/>
      <c r="HG187" s="2042"/>
      <c r="HH187" s="2042"/>
      <c r="HI187" s="2042"/>
      <c r="HJ187" s="2042"/>
      <c r="HL187" s="2042"/>
      <c r="HM187" s="2042"/>
      <c r="HN187" s="2042"/>
    </row>
    <row r="188" spans="44:244" ht="15.75" customHeight="1" x14ac:dyDescent="0.2">
      <c r="AR188" s="510"/>
      <c r="AS188" s="510"/>
      <c r="AT188" s="510"/>
      <c r="AU188" s="510"/>
      <c r="AV188" s="510"/>
      <c r="BU188" s="296"/>
      <c r="BV188" s="2278"/>
      <c r="BW188" s="2278"/>
      <c r="BX188" s="2278"/>
      <c r="BY188" s="2278"/>
      <c r="BZ188" s="2278"/>
      <c r="CA188" s="2278"/>
      <c r="CB188" s="2278"/>
      <c r="CC188" s="2278"/>
      <c r="CD188" s="2278"/>
      <c r="CE188" s="2278"/>
      <c r="CF188" s="2278"/>
      <c r="CG188" s="2278"/>
      <c r="CH188" s="2278"/>
      <c r="CI188" s="2278"/>
      <c r="CJ188" s="2278"/>
      <c r="CK188" s="2278"/>
      <c r="CV188" s="2042"/>
      <c r="CW188" s="2042"/>
      <c r="CX188" s="2042"/>
      <c r="CY188" s="2042"/>
      <c r="CZ188" s="2042"/>
      <c r="DA188" s="2042"/>
      <c r="DB188" s="2042"/>
      <c r="DC188" s="2042"/>
      <c r="DD188" s="2042"/>
      <c r="DE188" s="2042"/>
      <c r="DF188" s="2042"/>
      <c r="DG188" s="2042"/>
      <c r="DH188" s="2042"/>
      <c r="DI188" s="2042"/>
      <c r="DJ188" s="2042"/>
      <c r="DK188" s="2042"/>
      <c r="DL188" s="2042"/>
      <c r="DM188" s="2042"/>
      <c r="DN188" s="2042"/>
      <c r="DO188" s="2042"/>
      <c r="DP188" s="2042"/>
      <c r="DQ188" s="2042"/>
      <c r="DR188" s="2042"/>
      <c r="DS188" s="2042"/>
      <c r="DT188" s="2042"/>
      <c r="DU188" s="2042"/>
      <c r="DV188" s="2042"/>
      <c r="DW188" s="2042"/>
      <c r="DX188" s="2042"/>
      <c r="DY188" s="2042"/>
      <c r="DZ188" s="2042"/>
      <c r="EA188" s="2042"/>
      <c r="EB188" s="2042"/>
      <c r="EC188" s="2042"/>
      <c r="ED188" s="2042"/>
      <c r="EE188" s="2042"/>
      <c r="EF188" s="2042"/>
      <c r="EG188" s="2042"/>
      <c r="EH188" s="2042"/>
      <c r="EI188" s="2042"/>
      <c r="EJ188" s="2042"/>
      <c r="EK188" s="2042"/>
      <c r="EL188" s="2042"/>
      <c r="EM188" s="2042"/>
      <c r="EN188" s="2042"/>
      <c r="EO188" s="2042"/>
      <c r="EP188" s="2042"/>
      <c r="EQ188" s="2042"/>
      <c r="ER188" s="2042"/>
      <c r="ES188" s="2042"/>
      <c r="ET188" s="2042"/>
      <c r="EU188" s="2042"/>
      <c r="EV188" s="2042"/>
      <c r="EW188" s="2042"/>
      <c r="EX188" s="2042"/>
      <c r="EY188" s="2042"/>
      <c r="EZ188" s="2042"/>
      <c r="FA188" s="2042"/>
      <c r="FB188" s="2042"/>
      <c r="FC188" s="2042"/>
      <c r="FD188" s="2042"/>
      <c r="FE188" s="2042"/>
      <c r="FF188" s="2042"/>
      <c r="FG188" s="2042"/>
      <c r="FH188" s="2042"/>
      <c r="FI188" s="2042"/>
      <c r="FJ188" s="2042"/>
      <c r="FK188" s="2042"/>
      <c r="FL188" s="2042"/>
      <c r="FM188" s="2042"/>
      <c r="FN188" s="2042"/>
      <c r="FO188" s="2042"/>
      <c r="FP188" s="2042"/>
      <c r="FQ188" s="2042"/>
      <c r="FR188" s="2042"/>
      <c r="FS188" s="2042"/>
      <c r="FT188" s="2042"/>
      <c r="FU188" s="2042"/>
      <c r="FV188" s="2042"/>
      <c r="FW188" s="2042"/>
      <c r="FX188" s="2042"/>
      <c r="FY188" s="2042"/>
      <c r="FZ188" s="2042"/>
      <c r="GA188" s="2042"/>
      <c r="GB188" s="2042"/>
      <c r="GC188" s="2042"/>
      <c r="GD188" s="2042"/>
      <c r="GE188" s="2042"/>
      <c r="GF188" s="2042"/>
      <c r="GG188" s="2042"/>
      <c r="GH188" s="2042"/>
      <c r="GI188" s="2042"/>
      <c r="GJ188" s="2042"/>
      <c r="GK188" s="2042"/>
      <c r="GL188" s="2042"/>
      <c r="GM188" s="2042"/>
      <c r="GN188" s="2042"/>
      <c r="GO188" s="2042"/>
      <c r="GP188" s="2042"/>
      <c r="GQ188" s="2042"/>
      <c r="GR188" s="2042"/>
      <c r="GS188" s="2042"/>
      <c r="GT188" s="2042"/>
      <c r="GU188" s="2042"/>
      <c r="GV188" s="2042"/>
      <c r="GW188" s="2042"/>
      <c r="GX188" s="2042"/>
      <c r="GY188" s="2042"/>
      <c r="GZ188" s="2042"/>
      <c r="HA188" s="2042"/>
      <c r="HB188" s="2042"/>
      <c r="HC188" s="2042"/>
      <c r="HD188" s="2042"/>
      <c r="HE188" s="2042"/>
      <c r="HF188" s="2042"/>
      <c r="HG188" s="2042"/>
      <c r="HH188" s="2042"/>
      <c r="HI188" s="2042"/>
      <c r="HJ188" s="2042"/>
      <c r="HL188" s="2042"/>
      <c r="HM188" s="2042"/>
      <c r="HN188" s="2042"/>
    </row>
    <row r="189" spans="44:244" ht="15.75" customHeight="1" x14ac:dyDescent="0.2">
      <c r="AR189" s="510"/>
      <c r="AS189" s="510"/>
      <c r="AT189" s="510"/>
      <c r="AU189" s="510"/>
      <c r="AV189" s="510"/>
      <c r="BU189" s="296"/>
      <c r="BV189" s="2278"/>
      <c r="BW189" s="2278"/>
      <c r="BX189" s="2278"/>
      <c r="BY189" s="2278"/>
      <c r="BZ189" s="2278"/>
      <c r="CA189" s="2278"/>
      <c r="CB189" s="2278"/>
      <c r="CC189" s="2278"/>
      <c r="CD189" s="2278"/>
      <c r="CE189" s="2278"/>
      <c r="CF189" s="2278"/>
      <c r="CG189" s="2278"/>
      <c r="CH189" s="2278"/>
      <c r="CI189" s="2278"/>
      <c r="CJ189" s="2278"/>
      <c r="CK189" s="2278"/>
      <c r="CV189" s="2042"/>
      <c r="CW189" s="2042"/>
      <c r="CX189" s="2042"/>
      <c r="CY189" s="2042"/>
      <c r="CZ189" s="2042"/>
      <c r="DA189" s="2042"/>
      <c r="DB189" s="2042"/>
      <c r="DC189" s="2042"/>
      <c r="DD189" s="2042"/>
      <c r="DE189" s="2042"/>
      <c r="DF189" s="2042"/>
      <c r="DG189" s="2042"/>
      <c r="DH189" s="2042"/>
      <c r="DI189" s="2042"/>
      <c r="DJ189" s="2042"/>
      <c r="DK189" s="2042"/>
      <c r="DL189" s="2042"/>
      <c r="DM189" s="2042"/>
      <c r="DN189" s="2042"/>
      <c r="DO189" s="2042"/>
      <c r="DP189" s="2042"/>
      <c r="DQ189" s="2042"/>
      <c r="DR189" s="2042"/>
      <c r="DS189" s="2042"/>
      <c r="DT189" s="2042"/>
      <c r="DU189" s="2042"/>
      <c r="DV189" s="2042"/>
      <c r="DW189" s="2042"/>
      <c r="DX189" s="2042"/>
      <c r="DY189" s="2042"/>
      <c r="DZ189" s="2042"/>
      <c r="EA189" s="2042"/>
      <c r="EB189" s="2042"/>
      <c r="EC189" s="2042"/>
      <c r="ED189" s="2042"/>
      <c r="EE189" s="2042"/>
      <c r="EF189" s="2042"/>
      <c r="EG189" s="2042"/>
      <c r="EH189" s="2042"/>
      <c r="EI189" s="2042"/>
      <c r="EJ189" s="2042"/>
      <c r="EK189" s="2042"/>
      <c r="EL189" s="2042"/>
      <c r="EM189" s="2042"/>
      <c r="EN189" s="2042"/>
      <c r="EO189" s="2042"/>
      <c r="EP189" s="2042"/>
      <c r="EQ189" s="2042"/>
      <c r="ER189" s="2042"/>
      <c r="ES189" s="2042"/>
      <c r="ET189" s="2042"/>
      <c r="EU189" s="2042"/>
      <c r="EV189" s="2042"/>
      <c r="EW189" s="2042"/>
      <c r="EX189" s="2042"/>
      <c r="EY189" s="2042"/>
      <c r="EZ189" s="2042"/>
      <c r="FA189" s="2042"/>
      <c r="FB189" s="2042"/>
      <c r="FC189" s="2042"/>
      <c r="FD189" s="2042"/>
      <c r="FE189" s="2042"/>
      <c r="FF189" s="2042"/>
      <c r="FG189" s="2042"/>
      <c r="FH189" s="2042"/>
      <c r="FI189" s="2042"/>
      <c r="FJ189" s="2042"/>
      <c r="FK189" s="2042"/>
      <c r="FL189" s="2042"/>
      <c r="FM189" s="2042"/>
      <c r="FN189" s="2042"/>
      <c r="FO189" s="2042"/>
      <c r="FP189" s="2042"/>
      <c r="FQ189" s="2042"/>
      <c r="FR189" s="2042"/>
      <c r="FS189" s="2042"/>
      <c r="FT189" s="2042"/>
      <c r="FU189" s="2042"/>
      <c r="FV189" s="2042"/>
      <c r="FW189" s="2042"/>
      <c r="FX189" s="2042"/>
      <c r="FY189" s="2042"/>
      <c r="FZ189" s="2042"/>
      <c r="GA189" s="2042"/>
      <c r="GB189" s="2042"/>
      <c r="GC189" s="2042"/>
      <c r="GD189" s="2042"/>
      <c r="GE189" s="2042"/>
      <c r="GF189" s="2042"/>
      <c r="GG189" s="2042"/>
      <c r="GH189" s="2042"/>
      <c r="GI189" s="2042"/>
      <c r="GJ189" s="2042"/>
      <c r="GK189" s="2042"/>
      <c r="GL189" s="2042"/>
      <c r="GM189" s="2042"/>
      <c r="GN189" s="2042"/>
      <c r="GO189" s="2042"/>
      <c r="GP189" s="2042"/>
      <c r="GQ189" s="2042"/>
      <c r="GR189" s="2042"/>
      <c r="GS189" s="2042"/>
      <c r="GT189" s="2042"/>
      <c r="GU189" s="2042"/>
      <c r="GV189" s="2042"/>
      <c r="GW189" s="2042"/>
      <c r="GX189" s="2042"/>
      <c r="GY189" s="2042"/>
      <c r="GZ189" s="2042"/>
      <c r="HA189" s="2042"/>
      <c r="HB189" s="2042"/>
      <c r="HC189" s="2042"/>
      <c r="HD189" s="2042"/>
      <c r="HE189" s="2042"/>
      <c r="HF189" s="2042"/>
      <c r="HG189" s="2042"/>
      <c r="HH189" s="2042"/>
      <c r="HI189" s="2042"/>
      <c r="HJ189" s="2042"/>
      <c r="HL189" s="2042"/>
      <c r="HM189" s="2042"/>
      <c r="HN189" s="2042"/>
    </row>
    <row r="190" spans="44:244" ht="15.75" customHeight="1" x14ac:dyDescent="0.2">
      <c r="AR190" s="510"/>
      <c r="AS190" s="510"/>
      <c r="AT190" s="510"/>
      <c r="AU190" s="510"/>
      <c r="AV190" s="510"/>
      <c r="BU190" s="296"/>
      <c r="BV190" s="2278"/>
      <c r="BW190" s="2278"/>
      <c r="BX190" s="2278"/>
      <c r="BY190" s="2278"/>
      <c r="BZ190" s="2278"/>
      <c r="CA190" s="2278"/>
      <c r="CB190" s="2278"/>
      <c r="CC190" s="2278"/>
      <c r="CD190" s="2278"/>
      <c r="CE190" s="2278"/>
      <c r="CF190" s="2278"/>
      <c r="CG190" s="2278"/>
      <c r="CH190" s="2278"/>
      <c r="CI190" s="2278"/>
      <c r="CJ190" s="2278"/>
      <c r="CK190" s="2278"/>
      <c r="CV190" s="2042"/>
      <c r="CW190" s="2042"/>
      <c r="CX190" s="2042"/>
      <c r="CY190" s="2042"/>
      <c r="CZ190" s="2042"/>
      <c r="DA190" s="2042"/>
      <c r="DB190" s="2042"/>
      <c r="DC190" s="2042"/>
      <c r="DD190" s="2042"/>
      <c r="DE190" s="2042"/>
      <c r="DF190" s="2042"/>
      <c r="DG190" s="2042"/>
      <c r="DH190" s="2042"/>
      <c r="DI190" s="2042"/>
      <c r="DJ190" s="2042"/>
      <c r="DK190" s="2042"/>
      <c r="DL190" s="2042"/>
      <c r="DM190" s="2042"/>
      <c r="DN190" s="2042"/>
      <c r="DO190" s="2042"/>
      <c r="DP190" s="2042"/>
      <c r="DQ190" s="2042"/>
      <c r="DR190" s="2042"/>
      <c r="DS190" s="2042"/>
      <c r="DT190" s="2042"/>
      <c r="DU190" s="2042"/>
      <c r="DV190" s="2042"/>
      <c r="DW190" s="2042"/>
      <c r="DX190" s="2042"/>
      <c r="DY190" s="2042"/>
      <c r="DZ190" s="2042"/>
      <c r="EA190" s="2042"/>
      <c r="EB190" s="2042"/>
      <c r="EC190" s="2042"/>
      <c r="ED190" s="2042"/>
      <c r="EE190" s="2042"/>
      <c r="EF190" s="2042"/>
      <c r="EG190" s="2042"/>
      <c r="EH190" s="2042"/>
      <c r="EI190" s="2042"/>
      <c r="EJ190" s="2042"/>
      <c r="EK190" s="2042"/>
      <c r="EL190" s="2042"/>
      <c r="EM190" s="2042"/>
      <c r="EN190" s="2042"/>
      <c r="EO190" s="2042"/>
      <c r="EP190" s="2042"/>
      <c r="EQ190" s="2042"/>
      <c r="ER190" s="2042"/>
      <c r="ES190" s="2042"/>
      <c r="ET190" s="2042"/>
      <c r="EU190" s="2042"/>
      <c r="EV190" s="2042"/>
      <c r="EW190" s="2042"/>
      <c r="EX190" s="2042"/>
      <c r="EY190" s="2042"/>
      <c r="EZ190" s="2042"/>
      <c r="FA190" s="2042"/>
      <c r="FB190" s="2042"/>
      <c r="FC190" s="2042"/>
      <c r="FD190" s="2042"/>
      <c r="FE190" s="2042"/>
      <c r="FF190" s="2042"/>
      <c r="FG190" s="2042"/>
      <c r="FH190" s="2042"/>
      <c r="FI190" s="2042"/>
      <c r="FJ190" s="2042"/>
      <c r="FK190" s="2042"/>
      <c r="FL190" s="2042"/>
      <c r="FM190" s="2042"/>
      <c r="FN190" s="2042"/>
      <c r="FO190" s="2042"/>
      <c r="FP190" s="2042"/>
      <c r="FQ190" s="2042"/>
      <c r="FR190" s="2042"/>
      <c r="FS190" s="2042"/>
      <c r="FT190" s="2042"/>
      <c r="FU190" s="2042"/>
      <c r="FV190" s="2042"/>
      <c r="FW190" s="2042"/>
      <c r="FX190" s="2042"/>
      <c r="FY190" s="2042"/>
      <c r="FZ190" s="2042"/>
      <c r="GA190" s="2042"/>
      <c r="GB190" s="2042"/>
      <c r="GC190" s="2042"/>
      <c r="GD190" s="2042"/>
      <c r="GE190" s="2042"/>
      <c r="GF190" s="2042"/>
      <c r="GG190" s="2042"/>
      <c r="GH190" s="2042"/>
      <c r="GI190" s="2042"/>
      <c r="GJ190" s="2042"/>
      <c r="GK190" s="2042"/>
      <c r="GL190" s="2042"/>
      <c r="GM190" s="2042"/>
      <c r="GN190" s="2042"/>
      <c r="GO190" s="2042"/>
      <c r="GP190" s="2042"/>
      <c r="GQ190" s="2042"/>
      <c r="GR190" s="2042"/>
      <c r="GS190" s="2042"/>
      <c r="GT190" s="2042"/>
      <c r="GU190" s="2042"/>
      <c r="GV190" s="2042"/>
      <c r="GW190" s="2042"/>
      <c r="GX190" s="2042"/>
      <c r="GY190" s="2042"/>
      <c r="GZ190" s="2042"/>
      <c r="HA190" s="2042"/>
      <c r="HB190" s="2042"/>
      <c r="HC190" s="2042"/>
      <c r="HD190" s="2042"/>
      <c r="HE190" s="2042"/>
      <c r="HF190" s="2042"/>
      <c r="HG190" s="2042"/>
      <c r="HH190" s="2042"/>
      <c r="HI190" s="2042"/>
      <c r="HJ190" s="2042"/>
      <c r="HL190" s="2042"/>
      <c r="HM190" s="2042"/>
      <c r="HN190" s="2042"/>
    </row>
    <row r="191" spans="44:244" ht="15.75" customHeight="1" x14ac:dyDescent="0.2">
      <c r="AR191" s="510"/>
      <c r="AS191" s="510"/>
      <c r="AT191" s="510"/>
      <c r="AU191" s="510"/>
      <c r="AV191" s="510"/>
      <c r="BU191" s="296"/>
      <c r="BV191" s="2278"/>
      <c r="BW191" s="2278"/>
      <c r="BX191" s="2278"/>
      <c r="BY191" s="2278"/>
      <c r="BZ191" s="2278"/>
      <c r="CA191" s="2278"/>
      <c r="CB191" s="2278"/>
      <c r="CC191" s="2278"/>
      <c r="CD191" s="2278"/>
      <c r="CE191" s="2278"/>
      <c r="CF191" s="2278"/>
      <c r="CG191" s="2278"/>
      <c r="CH191" s="2278"/>
      <c r="CI191" s="2278"/>
      <c r="CJ191" s="2278"/>
      <c r="CK191" s="2278"/>
      <c r="CV191" s="2042"/>
      <c r="CW191" s="2042"/>
      <c r="CX191" s="2042"/>
      <c r="CY191" s="2042"/>
      <c r="CZ191" s="2042"/>
      <c r="DA191" s="2042"/>
      <c r="DB191" s="2042"/>
      <c r="DC191" s="2042"/>
      <c r="DD191" s="2042"/>
      <c r="DE191" s="2042"/>
      <c r="DF191" s="2042"/>
      <c r="DG191" s="2042"/>
      <c r="DH191" s="2042"/>
      <c r="DI191" s="2042"/>
      <c r="DJ191" s="2042"/>
      <c r="DK191" s="2042"/>
      <c r="DL191" s="2042"/>
      <c r="DM191" s="2042"/>
      <c r="DN191" s="2042"/>
      <c r="DO191" s="2042"/>
      <c r="DP191" s="2042"/>
      <c r="DQ191" s="2042"/>
      <c r="DR191" s="2042"/>
      <c r="DS191" s="2042"/>
      <c r="DT191" s="2042"/>
      <c r="DU191" s="2042"/>
      <c r="DV191" s="2042"/>
      <c r="DW191" s="2042"/>
      <c r="DX191" s="2042"/>
      <c r="DY191" s="2042"/>
      <c r="DZ191" s="2042"/>
      <c r="EA191" s="2042"/>
      <c r="EB191" s="2042"/>
      <c r="EC191" s="2042"/>
      <c r="ED191" s="2042"/>
      <c r="EE191" s="2042"/>
      <c r="EF191" s="2042"/>
      <c r="EG191" s="2042"/>
      <c r="EH191" s="2042"/>
      <c r="EI191" s="2042"/>
      <c r="EJ191" s="2042"/>
      <c r="EK191" s="2042"/>
      <c r="EL191" s="2042"/>
      <c r="EM191" s="2042"/>
      <c r="EN191" s="2042"/>
      <c r="EO191" s="2042"/>
      <c r="EP191" s="2042"/>
      <c r="EQ191" s="2042"/>
      <c r="ER191" s="2042"/>
      <c r="ES191" s="2042"/>
      <c r="ET191" s="2042"/>
      <c r="EU191" s="2042"/>
      <c r="EV191" s="2042"/>
      <c r="EW191" s="2042"/>
      <c r="EX191" s="2042"/>
      <c r="EY191" s="2042"/>
      <c r="EZ191" s="2042"/>
      <c r="FA191" s="2042"/>
      <c r="FB191" s="2042"/>
      <c r="FC191" s="2042"/>
      <c r="FD191" s="2042"/>
      <c r="FE191" s="2042"/>
      <c r="FF191" s="2042"/>
      <c r="FG191" s="2042"/>
      <c r="FH191" s="2042"/>
      <c r="FI191" s="2042"/>
      <c r="FJ191" s="2042"/>
      <c r="FK191" s="2042"/>
      <c r="FL191" s="2042"/>
      <c r="FM191" s="2042"/>
      <c r="FN191" s="2042"/>
      <c r="FO191" s="2042"/>
      <c r="FP191" s="2042"/>
      <c r="FQ191" s="2042"/>
      <c r="FR191" s="2042"/>
      <c r="FS191" s="2042"/>
      <c r="FT191" s="2042"/>
      <c r="FU191" s="2042"/>
      <c r="FV191" s="2042"/>
      <c r="FW191" s="2042"/>
      <c r="FX191" s="2042"/>
      <c r="FY191" s="2042"/>
      <c r="FZ191" s="2042"/>
      <c r="GA191" s="2042"/>
      <c r="GB191" s="2042"/>
      <c r="GC191" s="2042"/>
      <c r="GD191" s="2042"/>
      <c r="GE191" s="2042"/>
      <c r="GF191" s="2042"/>
      <c r="GG191" s="2042"/>
      <c r="GH191" s="2042"/>
      <c r="GI191" s="2042"/>
      <c r="GJ191" s="2042"/>
      <c r="GK191" s="2042"/>
      <c r="GL191" s="2042"/>
      <c r="GM191" s="2042"/>
      <c r="GN191" s="2042"/>
      <c r="GO191" s="2042"/>
      <c r="GP191" s="2042"/>
      <c r="GQ191" s="2042"/>
      <c r="GR191" s="2042"/>
      <c r="GS191" s="2042"/>
      <c r="GT191" s="2042"/>
      <c r="GU191" s="2042"/>
      <c r="GV191" s="2042"/>
      <c r="GW191" s="2042"/>
      <c r="GX191" s="2042"/>
      <c r="GY191" s="2042"/>
      <c r="GZ191" s="2042"/>
      <c r="HA191" s="2042"/>
      <c r="HB191" s="2042"/>
      <c r="HC191" s="2042"/>
      <c r="HD191" s="2042"/>
      <c r="HE191" s="2042"/>
      <c r="HF191" s="2042"/>
      <c r="HG191" s="2042"/>
      <c r="HH191" s="2042"/>
      <c r="HI191" s="2042"/>
      <c r="HJ191" s="2042"/>
      <c r="HL191" s="2042"/>
      <c r="HM191" s="2042"/>
      <c r="HN191" s="2042"/>
    </row>
    <row r="192" spans="44:244" ht="15.75" customHeight="1" x14ac:dyDescent="0.2">
      <c r="AR192" s="510"/>
      <c r="AS192" s="510"/>
      <c r="AT192" s="510"/>
      <c r="AU192" s="510"/>
      <c r="AV192" s="510"/>
      <c r="BU192" s="296"/>
      <c r="BV192" s="2278"/>
      <c r="BW192" s="2278"/>
      <c r="BX192" s="2278"/>
      <c r="BY192" s="2278"/>
      <c r="BZ192" s="2278"/>
      <c r="CA192" s="2278"/>
      <c r="CB192" s="2278"/>
      <c r="CC192" s="2278"/>
      <c r="CD192" s="2278"/>
      <c r="CE192" s="2278"/>
      <c r="CF192" s="2278"/>
      <c r="CG192" s="2278"/>
      <c r="CH192" s="2278"/>
      <c r="CI192" s="2278"/>
      <c r="CJ192" s="2278"/>
      <c r="CK192" s="2278"/>
      <c r="CW192" s="2042"/>
      <c r="CX192" s="2042"/>
      <c r="CY192" s="2042"/>
      <c r="CZ192" s="2042"/>
      <c r="DA192" s="2042"/>
      <c r="DB192" s="2042"/>
      <c r="DC192" s="2042"/>
      <c r="DD192" s="2042"/>
      <c r="DE192" s="2042"/>
      <c r="DF192" s="2042"/>
      <c r="DG192" s="2042"/>
      <c r="DH192" s="2042"/>
      <c r="DI192" s="2042"/>
      <c r="DJ192" s="2042"/>
      <c r="DK192" s="2042"/>
      <c r="DL192" s="2042"/>
      <c r="DM192" s="2042"/>
      <c r="DN192" s="2042"/>
      <c r="DO192" s="2042"/>
      <c r="DP192" s="2042"/>
      <c r="DQ192" s="2042"/>
      <c r="DR192" s="2042"/>
      <c r="DS192" s="2042"/>
      <c r="DT192" s="2042"/>
      <c r="DU192" s="2042"/>
      <c r="DV192" s="2042"/>
      <c r="DW192" s="2042"/>
      <c r="DX192" s="2042"/>
      <c r="DY192" s="2042"/>
      <c r="DZ192" s="2042"/>
      <c r="EA192" s="2042"/>
      <c r="EB192" s="2042"/>
      <c r="EC192" s="2042"/>
      <c r="ED192" s="2042"/>
      <c r="EE192" s="2042"/>
      <c r="EF192" s="2042"/>
      <c r="EG192" s="2042"/>
      <c r="EH192" s="2042"/>
      <c r="EI192" s="2042"/>
      <c r="EJ192" s="2042"/>
      <c r="EK192" s="2042"/>
      <c r="EL192" s="2042"/>
      <c r="EM192" s="2042"/>
      <c r="EN192" s="2042"/>
      <c r="EO192" s="2042"/>
      <c r="EP192" s="2042"/>
      <c r="EQ192" s="2042"/>
      <c r="ER192" s="2042"/>
      <c r="ES192" s="2042"/>
      <c r="ET192" s="2042"/>
      <c r="EU192" s="2042"/>
      <c r="EV192" s="2042"/>
      <c r="EW192" s="2042"/>
      <c r="EX192" s="2042"/>
      <c r="EY192" s="2042"/>
      <c r="EZ192" s="2042"/>
      <c r="FA192" s="2042"/>
      <c r="FB192" s="2042"/>
      <c r="FC192" s="2042"/>
      <c r="FD192" s="2042"/>
      <c r="FE192" s="2042"/>
      <c r="FF192" s="2042"/>
      <c r="FG192" s="2042"/>
      <c r="FH192" s="2042"/>
      <c r="FI192" s="2042"/>
      <c r="FJ192" s="2042"/>
      <c r="FK192" s="2042"/>
      <c r="FL192" s="2042"/>
      <c r="FM192" s="2042"/>
      <c r="FN192" s="2042"/>
      <c r="FO192" s="2042"/>
      <c r="FP192" s="2042"/>
      <c r="FQ192" s="2042"/>
      <c r="FR192" s="2042"/>
      <c r="FS192" s="2042"/>
      <c r="FT192" s="2042"/>
      <c r="FU192" s="2042"/>
      <c r="FV192" s="2042"/>
      <c r="FW192" s="2042"/>
      <c r="FX192" s="2042"/>
      <c r="FY192" s="2042"/>
      <c r="FZ192" s="2042"/>
      <c r="GA192" s="2042"/>
      <c r="GB192" s="2042"/>
      <c r="GC192" s="2042"/>
      <c r="GD192" s="2042"/>
      <c r="GE192" s="2042"/>
      <c r="GF192" s="2042"/>
      <c r="GG192" s="2042"/>
      <c r="GH192" s="2042"/>
      <c r="GI192" s="2042"/>
      <c r="GJ192" s="2042"/>
      <c r="GK192" s="2042"/>
      <c r="GL192" s="2042"/>
      <c r="GM192" s="2042"/>
      <c r="GN192" s="2042"/>
      <c r="GO192" s="2042"/>
      <c r="GP192" s="2042"/>
      <c r="GQ192" s="2042"/>
      <c r="GR192" s="2042"/>
      <c r="GS192" s="2042"/>
      <c r="GT192" s="2042"/>
      <c r="GU192" s="2042"/>
      <c r="GV192" s="2042"/>
      <c r="GW192" s="2042"/>
      <c r="GX192" s="2042"/>
      <c r="GY192" s="2042"/>
      <c r="GZ192" s="2042"/>
      <c r="HA192" s="2042"/>
      <c r="HB192" s="2042"/>
      <c r="HC192" s="2042"/>
      <c r="HD192" s="2042"/>
      <c r="HE192" s="2042"/>
      <c r="HF192" s="2042"/>
      <c r="HG192" s="2042"/>
      <c r="HH192" s="2042"/>
      <c r="HI192" s="2042"/>
    </row>
    <row r="193" spans="44:217" ht="15.75" customHeight="1" x14ac:dyDescent="0.2">
      <c r="AR193" s="510"/>
      <c r="AS193" s="510"/>
      <c r="AT193" s="510"/>
      <c r="AU193" s="510"/>
      <c r="AV193" s="510"/>
      <c r="BU193" s="296"/>
      <c r="BV193" s="2278"/>
      <c r="BW193" s="2278"/>
      <c r="BX193" s="2278"/>
      <c r="BY193" s="2278"/>
      <c r="BZ193" s="2278"/>
      <c r="CA193" s="2278"/>
      <c r="CB193" s="2278"/>
      <c r="CC193" s="2278"/>
      <c r="CD193" s="2278"/>
      <c r="CE193" s="2278"/>
      <c r="CF193" s="2278"/>
      <c r="CG193" s="2278"/>
      <c r="CH193" s="2278"/>
      <c r="CI193" s="2278"/>
      <c r="CJ193" s="2278"/>
      <c r="CK193" s="2278"/>
      <c r="CW193" s="2042"/>
      <c r="CX193" s="2042"/>
      <c r="CY193" s="2042"/>
      <c r="CZ193" s="2042"/>
      <c r="DA193" s="2042"/>
      <c r="DB193" s="2042"/>
      <c r="DC193" s="2042"/>
      <c r="DD193" s="2042"/>
      <c r="DE193" s="2042"/>
      <c r="DF193" s="2042"/>
      <c r="DG193" s="2042"/>
      <c r="DH193" s="2042"/>
      <c r="DI193" s="2042"/>
      <c r="DJ193" s="2042"/>
      <c r="DK193" s="2042"/>
      <c r="DL193" s="2042"/>
      <c r="DM193" s="2042"/>
      <c r="DN193" s="2042"/>
      <c r="DO193" s="2042"/>
      <c r="DP193" s="2042"/>
      <c r="DQ193" s="2042"/>
      <c r="DR193" s="2042"/>
      <c r="DS193" s="2042"/>
      <c r="DT193" s="2042"/>
      <c r="DU193" s="2042"/>
      <c r="DV193" s="2042"/>
      <c r="DW193" s="2042"/>
      <c r="DX193" s="2042"/>
      <c r="DY193" s="2042"/>
      <c r="DZ193" s="2042"/>
      <c r="EA193" s="2042"/>
      <c r="EB193" s="2042"/>
      <c r="EC193" s="2042"/>
      <c r="ED193" s="2042"/>
      <c r="EE193" s="2042"/>
      <c r="EF193" s="2042"/>
      <c r="EG193" s="2042"/>
      <c r="EH193" s="2042"/>
      <c r="EI193" s="2042"/>
      <c r="EJ193" s="2042"/>
      <c r="EK193" s="2042"/>
      <c r="EL193" s="2042"/>
      <c r="EM193" s="2042"/>
      <c r="EN193" s="2042"/>
      <c r="EO193" s="2042"/>
      <c r="EP193" s="2042"/>
      <c r="EQ193" s="2042"/>
      <c r="ER193" s="2042"/>
      <c r="ES193" s="2042"/>
      <c r="ET193" s="2042"/>
      <c r="EU193" s="2042"/>
      <c r="EV193" s="2042"/>
      <c r="EW193" s="2042"/>
      <c r="EX193" s="2042"/>
      <c r="EY193" s="2042"/>
      <c r="EZ193" s="2042"/>
      <c r="FA193" s="2042"/>
      <c r="FB193" s="2042"/>
      <c r="FC193" s="2042"/>
      <c r="FD193" s="2042"/>
      <c r="FE193" s="2042"/>
      <c r="FF193" s="2042"/>
      <c r="FG193" s="2042"/>
      <c r="FH193" s="2042"/>
      <c r="FI193" s="2042"/>
      <c r="FJ193" s="2042"/>
      <c r="FK193" s="2042"/>
      <c r="FL193" s="2042"/>
      <c r="FM193" s="2042"/>
      <c r="FN193" s="2042"/>
      <c r="FO193" s="2042"/>
      <c r="FP193" s="2042"/>
      <c r="FQ193" s="2042"/>
      <c r="FR193" s="2042"/>
      <c r="FS193" s="2042"/>
      <c r="FT193" s="2042"/>
      <c r="FU193" s="2042"/>
      <c r="FV193" s="2042"/>
      <c r="FW193" s="2042"/>
      <c r="FX193" s="2042"/>
      <c r="FY193" s="2042"/>
      <c r="FZ193" s="2042"/>
      <c r="GA193" s="2042"/>
      <c r="GB193" s="2042"/>
      <c r="GC193" s="2042"/>
      <c r="GD193" s="2042"/>
      <c r="GE193" s="2042"/>
      <c r="GF193" s="2042"/>
      <c r="GG193" s="2042"/>
      <c r="GH193" s="2042"/>
      <c r="GI193" s="2042"/>
      <c r="GJ193" s="2042"/>
      <c r="GK193" s="2042"/>
      <c r="GL193" s="2042"/>
      <c r="GM193" s="2042"/>
      <c r="GN193" s="2042"/>
      <c r="GO193" s="2042"/>
      <c r="GP193" s="2042"/>
      <c r="GQ193" s="2042"/>
      <c r="GR193" s="2042"/>
      <c r="GS193" s="2042"/>
      <c r="GT193" s="2042"/>
      <c r="GU193" s="2042"/>
      <c r="GV193" s="2042"/>
      <c r="GW193" s="2042"/>
      <c r="GX193" s="2042"/>
      <c r="GY193" s="2042"/>
      <c r="GZ193" s="2042"/>
      <c r="HA193" s="2042"/>
      <c r="HB193" s="2042"/>
      <c r="HC193" s="2042"/>
      <c r="HD193" s="2042"/>
      <c r="HE193" s="2042"/>
      <c r="HF193" s="2042"/>
      <c r="HG193" s="2042"/>
      <c r="HH193" s="2042"/>
      <c r="HI193" s="2042"/>
    </row>
    <row r="194" spans="44:217" ht="15.75" customHeight="1" x14ac:dyDescent="0.2">
      <c r="AR194" s="510"/>
      <c r="AS194" s="510"/>
      <c r="AT194" s="510"/>
      <c r="AU194" s="510"/>
      <c r="AV194" s="510"/>
      <c r="BU194" s="296"/>
      <c r="BV194" s="2278"/>
      <c r="BW194" s="2278"/>
      <c r="BX194" s="2278"/>
      <c r="BY194" s="2278"/>
      <c r="BZ194" s="2278"/>
      <c r="CA194" s="2278"/>
      <c r="CB194" s="2278"/>
      <c r="CC194" s="2278"/>
      <c r="CD194" s="2278"/>
      <c r="CE194" s="2278"/>
      <c r="CF194" s="2278"/>
      <c r="CG194" s="2278"/>
      <c r="CH194" s="2278"/>
      <c r="CI194" s="2278"/>
      <c r="CJ194" s="2278"/>
      <c r="CK194" s="2278"/>
      <c r="CW194" s="2042"/>
      <c r="CX194" s="2042"/>
      <c r="CY194" s="2042"/>
      <c r="CZ194" s="2042"/>
      <c r="DA194" s="2042"/>
      <c r="DB194" s="2042"/>
      <c r="DC194" s="2042"/>
      <c r="DD194" s="2042"/>
      <c r="DE194" s="2042"/>
      <c r="DF194" s="2042"/>
      <c r="DG194" s="2042"/>
      <c r="DH194" s="2042"/>
      <c r="DI194" s="2042"/>
      <c r="DJ194" s="2042"/>
      <c r="DK194" s="2042"/>
      <c r="DL194" s="2042"/>
      <c r="DM194" s="2042"/>
      <c r="DN194" s="2042"/>
      <c r="DO194" s="2042"/>
      <c r="DP194" s="2042"/>
      <c r="DQ194" s="2042"/>
      <c r="DR194" s="2042"/>
      <c r="DS194" s="2042"/>
      <c r="DT194" s="2042"/>
      <c r="DU194" s="2042"/>
      <c r="DV194" s="2042"/>
      <c r="DW194" s="2042"/>
      <c r="DX194" s="2042"/>
      <c r="DY194" s="2042"/>
      <c r="DZ194" s="2042"/>
      <c r="EA194" s="2042"/>
      <c r="EB194" s="2042"/>
      <c r="EC194" s="2042"/>
      <c r="ED194" s="2042"/>
      <c r="EE194" s="2042"/>
      <c r="EF194" s="2042"/>
      <c r="EG194" s="2042"/>
      <c r="EH194" s="2042"/>
      <c r="EI194" s="2042"/>
      <c r="EJ194" s="2042"/>
      <c r="EK194" s="2042"/>
      <c r="EL194" s="2042"/>
      <c r="EM194" s="2042"/>
      <c r="EN194" s="2042"/>
      <c r="EO194" s="2042"/>
      <c r="EP194" s="2042"/>
      <c r="EQ194" s="2042"/>
      <c r="ER194" s="2042"/>
      <c r="ES194" s="2042"/>
      <c r="ET194" s="2042"/>
      <c r="EU194" s="2042"/>
      <c r="EV194" s="2042"/>
      <c r="EW194" s="2042"/>
      <c r="EX194" s="2042"/>
      <c r="EY194" s="2042"/>
      <c r="EZ194" s="2042"/>
      <c r="FA194" s="2042"/>
      <c r="FB194" s="2042"/>
      <c r="FC194" s="2042"/>
      <c r="FD194" s="2042"/>
      <c r="FE194" s="2042"/>
      <c r="FF194" s="2042"/>
      <c r="FG194" s="2042"/>
      <c r="FH194" s="2042"/>
      <c r="FI194" s="2042"/>
      <c r="FJ194" s="2042"/>
      <c r="FK194" s="2042"/>
      <c r="FL194" s="2042"/>
      <c r="FM194" s="2042"/>
      <c r="FN194" s="2042"/>
      <c r="FO194" s="2042"/>
      <c r="FP194" s="2042"/>
      <c r="FQ194" s="2042"/>
      <c r="FR194" s="2042"/>
      <c r="FS194" s="2042"/>
      <c r="FT194" s="2042"/>
      <c r="FU194" s="2042"/>
      <c r="FV194" s="2042"/>
      <c r="FW194" s="2042"/>
      <c r="FX194" s="2042"/>
      <c r="FY194" s="2042"/>
      <c r="FZ194" s="2042"/>
      <c r="GA194" s="2042"/>
      <c r="GB194" s="2042"/>
      <c r="GC194" s="2042"/>
      <c r="GD194" s="2042"/>
      <c r="GE194" s="2042"/>
      <c r="GF194" s="2042"/>
      <c r="GG194" s="2042"/>
      <c r="GH194" s="2042"/>
      <c r="GI194" s="2042"/>
      <c r="GJ194" s="2042"/>
      <c r="GK194" s="2042"/>
      <c r="GL194" s="2042"/>
      <c r="GM194" s="2042"/>
      <c r="GN194" s="2042"/>
      <c r="GO194" s="2042"/>
      <c r="GP194" s="2042"/>
      <c r="GQ194" s="2042"/>
      <c r="GR194" s="2042"/>
      <c r="GS194" s="2042"/>
      <c r="GT194" s="2042"/>
      <c r="GU194" s="2042"/>
      <c r="GV194" s="2042"/>
      <c r="GW194" s="2042"/>
      <c r="GX194" s="2042"/>
      <c r="GY194" s="2042"/>
      <c r="GZ194" s="2042"/>
      <c r="HA194" s="2042"/>
      <c r="HB194" s="2042"/>
      <c r="HC194" s="2042"/>
      <c r="HD194" s="2042"/>
      <c r="HE194" s="2042"/>
      <c r="HF194" s="2042"/>
      <c r="HG194" s="2042"/>
      <c r="HH194" s="2042"/>
      <c r="HI194" s="2042"/>
    </row>
    <row r="195" spans="44:217" ht="15.75" customHeight="1" x14ac:dyDescent="0.2">
      <c r="AR195" s="510"/>
      <c r="AS195" s="510"/>
      <c r="AT195" s="510"/>
      <c r="AU195" s="510"/>
      <c r="AV195" s="510"/>
      <c r="BU195" s="296"/>
      <c r="BV195" s="2278"/>
      <c r="BW195" s="2278"/>
      <c r="BX195" s="2278"/>
      <c r="BY195" s="2278"/>
      <c r="BZ195" s="2278"/>
      <c r="CA195" s="2278"/>
      <c r="CB195" s="2278"/>
      <c r="CC195" s="2278"/>
      <c r="CD195" s="2278"/>
      <c r="CE195" s="2278"/>
      <c r="CF195" s="2278"/>
      <c r="CG195" s="2278"/>
      <c r="CH195" s="2278"/>
      <c r="CI195" s="2278"/>
      <c r="CJ195" s="2278"/>
      <c r="CK195" s="2278"/>
      <c r="CW195" s="2042"/>
      <c r="CX195" s="2042"/>
      <c r="CY195" s="2042"/>
      <c r="CZ195" s="2042"/>
      <c r="DA195" s="2042"/>
      <c r="DB195" s="2042"/>
      <c r="DC195" s="2042"/>
      <c r="DD195" s="2042"/>
      <c r="DE195" s="2042"/>
      <c r="DF195" s="2042"/>
      <c r="DG195" s="2042"/>
      <c r="DH195" s="2042"/>
      <c r="DI195" s="2042"/>
      <c r="DJ195" s="2042"/>
      <c r="DK195" s="2042"/>
      <c r="DL195" s="2042"/>
      <c r="DM195" s="2042"/>
      <c r="DN195" s="2042"/>
      <c r="DO195" s="2042"/>
      <c r="DP195" s="2042"/>
      <c r="DQ195" s="2042"/>
      <c r="DR195" s="2042"/>
      <c r="DS195" s="2042"/>
      <c r="DT195" s="2042"/>
      <c r="DU195" s="2042"/>
      <c r="DV195" s="2042"/>
      <c r="DW195" s="2042"/>
      <c r="DX195" s="2042"/>
      <c r="DY195" s="2042"/>
      <c r="DZ195" s="2042"/>
      <c r="EA195" s="2042"/>
      <c r="EB195" s="2042"/>
      <c r="EC195" s="2042"/>
      <c r="ED195" s="2042"/>
      <c r="EE195" s="2042"/>
      <c r="EF195" s="2042"/>
      <c r="EG195" s="2042"/>
      <c r="EH195" s="2042"/>
      <c r="EI195" s="2042"/>
      <c r="EJ195" s="2042"/>
      <c r="EK195" s="2042"/>
      <c r="EL195" s="2042"/>
      <c r="EM195" s="2042"/>
      <c r="EN195" s="2042"/>
      <c r="EO195" s="2042"/>
      <c r="EP195" s="2042"/>
      <c r="EQ195" s="2042"/>
      <c r="ER195" s="2042"/>
      <c r="ES195" s="2042"/>
      <c r="ET195" s="2042"/>
      <c r="EU195" s="2042"/>
      <c r="EV195" s="2042"/>
      <c r="EW195" s="2042"/>
      <c r="EX195" s="2042"/>
      <c r="EY195" s="2042"/>
      <c r="EZ195" s="2042"/>
      <c r="FA195" s="2042"/>
      <c r="FB195" s="2042"/>
      <c r="FC195" s="2042"/>
      <c r="FD195" s="2042"/>
      <c r="FE195" s="2042"/>
      <c r="FF195" s="2042"/>
      <c r="FG195" s="2042"/>
      <c r="FH195" s="2042"/>
      <c r="FI195" s="2042"/>
      <c r="FJ195" s="2042"/>
      <c r="FK195" s="2042"/>
      <c r="FL195" s="2042"/>
      <c r="FM195" s="2042"/>
      <c r="FN195" s="2042"/>
      <c r="FO195" s="2042"/>
      <c r="FP195" s="2042"/>
      <c r="FQ195" s="2042"/>
      <c r="FR195" s="2042"/>
      <c r="FS195" s="2042"/>
      <c r="FT195" s="2042"/>
      <c r="FU195" s="2042"/>
      <c r="FV195" s="2042"/>
      <c r="FW195" s="2042"/>
      <c r="FX195" s="2042"/>
      <c r="FY195" s="2042"/>
      <c r="FZ195" s="2042"/>
      <c r="GA195" s="2042"/>
      <c r="GB195" s="2042"/>
      <c r="GC195" s="2042"/>
      <c r="GD195" s="2042"/>
      <c r="GE195" s="2042"/>
      <c r="GF195" s="2042"/>
      <c r="GG195" s="2042"/>
      <c r="GH195" s="2042"/>
      <c r="GI195" s="2042"/>
      <c r="GJ195" s="2042"/>
      <c r="GK195" s="2042"/>
      <c r="GL195" s="2042"/>
      <c r="GM195" s="2042"/>
      <c r="GN195" s="2042"/>
      <c r="GO195" s="2042"/>
      <c r="GP195" s="2042"/>
      <c r="GQ195" s="2042"/>
      <c r="GR195" s="2042"/>
      <c r="GS195" s="2042"/>
      <c r="GT195" s="2042"/>
      <c r="GU195" s="2042"/>
      <c r="GV195" s="2042"/>
      <c r="GW195" s="2042"/>
      <c r="GX195" s="2042"/>
      <c r="GY195" s="2042"/>
      <c r="GZ195" s="2042"/>
      <c r="HA195" s="2042"/>
      <c r="HB195" s="2042"/>
      <c r="HC195" s="2042"/>
      <c r="HD195" s="2042"/>
      <c r="HE195" s="2042"/>
      <c r="HF195" s="2042"/>
      <c r="HG195" s="2042"/>
      <c r="HH195" s="2042"/>
      <c r="HI195" s="2042"/>
    </row>
    <row r="196" spans="44:217" ht="15.75" customHeight="1" x14ac:dyDescent="0.2">
      <c r="AR196" s="510"/>
      <c r="AS196" s="510"/>
      <c r="AT196" s="510"/>
      <c r="AU196" s="510"/>
      <c r="AV196" s="510"/>
      <c r="BU196" s="296"/>
      <c r="BV196" s="2278"/>
      <c r="BW196" s="2278"/>
      <c r="BX196" s="2278"/>
      <c r="BY196" s="2278"/>
      <c r="BZ196" s="2278"/>
      <c r="CA196" s="2278"/>
      <c r="CB196" s="2278"/>
      <c r="CC196" s="2278"/>
      <c r="CD196" s="2278"/>
      <c r="CE196" s="2278"/>
      <c r="CF196" s="2278"/>
      <c r="CG196" s="2278"/>
      <c r="CH196" s="2278"/>
      <c r="CI196" s="2278"/>
      <c r="CJ196" s="2278"/>
      <c r="CK196" s="2278"/>
    </row>
    <row r="197" spans="44:217" ht="15.75" customHeight="1" x14ac:dyDescent="0.2">
      <c r="AR197" s="510"/>
      <c r="AS197" s="510"/>
      <c r="AT197" s="510"/>
      <c r="AU197" s="510"/>
      <c r="AV197" s="510"/>
      <c r="BU197" s="296"/>
      <c r="BV197" s="2278"/>
      <c r="BW197" s="2278"/>
      <c r="BX197" s="2278"/>
      <c r="BY197" s="2278"/>
      <c r="BZ197" s="2278"/>
      <c r="CA197" s="2278"/>
      <c r="CB197" s="2278"/>
      <c r="CC197" s="2278"/>
      <c r="CD197" s="2278"/>
      <c r="CE197" s="2278"/>
      <c r="CF197" s="2278"/>
      <c r="CG197" s="2278"/>
      <c r="CH197" s="2278"/>
      <c r="CI197" s="2278"/>
      <c r="CJ197" s="2278"/>
      <c r="CK197" s="2278"/>
    </row>
    <row r="198" spans="44:217" ht="15.75" customHeight="1" x14ac:dyDescent="0.2">
      <c r="AR198" s="510"/>
      <c r="AS198" s="510"/>
      <c r="AT198" s="510"/>
      <c r="AU198" s="510"/>
      <c r="AV198" s="510"/>
      <c r="BU198" s="296"/>
      <c r="BV198" s="2278"/>
      <c r="BW198" s="2278"/>
      <c r="BX198" s="2278"/>
      <c r="BY198" s="2278"/>
      <c r="BZ198" s="2278"/>
      <c r="CA198" s="2278"/>
      <c r="CB198" s="2278"/>
      <c r="CC198" s="2278"/>
      <c r="CD198" s="2278"/>
      <c r="CE198" s="2278"/>
      <c r="CF198" s="2278"/>
      <c r="CG198" s="2278"/>
      <c r="CH198" s="2278"/>
      <c r="CI198" s="2278"/>
      <c r="CJ198" s="2278"/>
      <c r="CK198" s="2278"/>
    </row>
    <row r="199" spans="44:217" ht="15.75" customHeight="1" x14ac:dyDescent="0.2">
      <c r="AR199" s="510"/>
      <c r="AS199" s="510"/>
      <c r="AT199" s="510"/>
      <c r="AU199" s="510"/>
      <c r="AV199" s="510"/>
      <c r="BU199" s="296"/>
      <c r="BV199" s="2278"/>
      <c r="BW199" s="2278"/>
      <c r="BX199" s="2278"/>
      <c r="BY199" s="2278"/>
      <c r="BZ199" s="2278"/>
      <c r="CA199" s="2278"/>
      <c r="CB199" s="2278"/>
      <c r="CC199" s="2278"/>
      <c r="CD199" s="2278"/>
      <c r="CE199" s="2278"/>
      <c r="CF199" s="2278"/>
      <c r="CG199" s="2278"/>
      <c r="CH199" s="2278"/>
      <c r="CI199" s="2278"/>
      <c r="CJ199" s="2278"/>
      <c r="CK199" s="2278"/>
    </row>
    <row r="200" spans="44:217" ht="15.75" customHeight="1" x14ac:dyDescent="0.2">
      <c r="AR200" s="510"/>
      <c r="AS200" s="510"/>
      <c r="AT200" s="510"/>
      <c r="AU200" s="510"/>
      <c r="AV200" s="510"/>
      <c r="BU200" s="296"/>
      <c r="BV200" s="2278"/>
      <c r="BW200" s="2278"/>
      <c r="BX200" s="2278"/>
      <c r="BY200" s="2278"/>
      <c r="BZ200" s="2278"/>
      <c r="CA200" s="2278"/>
      <c r="CB200" s="2278"/>
      <c r="CC200" s="2278"/>
      <c r="CD200" s="2278"/>
      <c r="CE200" s="2278"/>
      <c r="CF200" s="2278"/>
      <c r="CG200" s="2278"/>
      <c r="CH200" s="2278"/>
      <c r="CI200" s="2278"/>
      <c r="CJ200" s="2278"/>
      <c r="CK200" s="2278"/>
    </row>
    <row r="201" spans="44:217" ht="15.75" customHeight="1" x14ac:dyDescent="0.2">
      <c r="BU201" s="296"/>
      <c r="BV201" s="2278"/>
      <c r="BW201" s="2278"/>
      <c r="BX201" s="2278"/>
      <c r="BY201" s="2278"/>
      <c r="BZ201" s="2278"/>
      <c r="CA201" s="2278"/>
      <c r="CB201" s="2278"/>
      <c r="CC201" s="2278"/>
      <c r="CD201" s="2278"/>
      <c r="CE201" s="2278"/>
      <c r="CF201" s="2278"/>
      <c r="CG201" s="2278"/>
      <c r="CH201" s="2278"/>
      <c r="CI201" s="2278"/>
      <c r="CJ201" s="2278"/>
      <c r="CK201" s="2278"/>
    </row>
    <row r="202" spans="44:217" ht="15.75" customHeight="1" x14ac:dyDescent="0.2">
      <c r="BU202" s="296"/>
      <c r="BV202" s="2278"/>
      <c r="BW202" s="2278"/>
      <c r="BX202" s="2278"/>
      <c r="BY202" s="2278"/>
      <c r="BZ202" s="2278"/>
      <c r="CA202" s="2278"/>
      <c r="CB202" s="2278"/>
      <c r="CC202" s="2278"/>
      <c r="CD202" s="2278"/>
      <c r="CE202" s="2278"/>
      <c r="CF202" s="2278"/>
      <c r="CG202" s="2278"/>
      <c r="CH202" s="2278"/>
      <c r="CI202" s="2278"/>
      <c r="CJ202" s="2278"/>
      <c r="CK202" s="2278"/>
    </row>
    <row r="203" spans="44:217" ht="15.75" customHeight="1" x14ac:dyDescent="0.2">
      <c r="BU203" s="296"/>
      <c r="BV203" s="2278"/>
      <c r="BW203" s="2278"/>
      <c r="BX203" s="2278"/>
      <c r="BY203" s="2278"/>
      <c r="BZ203" s="2278"/>
      <c r="CA203" s="2278"/>
      <c r="CB203" s="2278"/>
      <c r="CC203" s="2278"/>
      <c r="CD203" s="2278"/>
      <c r="CE203" s="2278"/>
      <c r="CF203" s="2278"/>
      <c r="CG203" s="2278"/>
      <c r="CH203" s="2278"/>
      <c r="CI203" s="2278"/>
      <c r="CJ203" s="2278"/>
      <c r="CK203" s="2278"/>
    </row>
    <row r="204" spans="44:217" ht="15.75" customHeight="1" x14ac:dyDescent="0.2">
      <c r="BU204" s="296"/>
      <c r="BV204" s="2278"/>
      <c r="BW204" s="2278"/>
      <c r="BX204" s="2278"/>
      <c r="BY204" s="2278"/>
      <c r="BZ204" s="2278"/>
      <c r="CA204" s="2278"/>
      <c r="CB204" s="2278"/>
      <c r="CC204" s="2278"/>
      <c r="CD204" s="2278"/>
      <c r="CE204" s="2278"/>
      <c r="CF204" s="2278"/>
      <c r="CG204" s="2278"/>
      <c r="CH204" s="2278"/>
      <c r="CI204" s="2278"/>
      <c r="CJ204" s="2278"/>
      <c r="CK204" s="2278"/>
    </row>
    <row r="205" spans="44:217" ht="15.75" customHeight="1" x14ac:dyDescent="0.2">
      <c r="BU205" s="296"/>
      <c r="BV205" s="2278"/>
      <c r="BW205" s="2278"/>
      <c r="BX205" s="2278"/>
      <c r="BY205" s="2278"/>
      <c r="BZ205" s="2278"/>
      <c r="CA205" s="2278"/>
      <c r="CB205" s="2278"/>
      <c r="CC205" s="2278"/>
      <c r="CD205" s="2278"/>
      <c r="CE205" s="2278"/>
      <c r="CF205" s="2278"/>
      <c r="CG205" s="2278"/>
      <c r="CH205" s="2278"/>
      <c r="CI205" s="2278"/>
      <c r="CJ205" s="2278"/>
      <c r="CK205" s="2278"/>
    </row>
    <row r="206" spans="44:217" ht="15.75" customHeight="1" x14ac:dyDescent="0.2">
      <c r="BU206" s="296"/>
      <c r="BV206" s="2278"/>
      <c r="BW206" s="2278"/>
      <c r="BX206" s="2278"/>
      <c r="BY206" s="2278"/>
      <c r="BZ206" s="2278"/>
      <c r="CA206" s="2278"/>
      <c r="CB206" s="2278"/>
      <c r="CC206" s="2278"/>
      <c r="CD206" s="2278"/>
      <c r="CE206" s="2278"/>
      <c r="CF206" s="2278"/>
      <c r="CG206" s="2278"/>
      <c r="CH206" s="2278"/>
      <c r="CI206" s="2278"/>
      <c r="CJ206" s="2278"/>
      <c r="CK206" s="2278"/>
    </row>
    <row r="207" spans="44:217" ht="15.75" customHeight="1" x14ac:dyDescent="0.2">
      <c r="BU207" s="296"/>
      <c r="BV207" s="2278"/>
      <c r="BW207" s="2278"/>
      <c r="BX207" s="2278"/>
      <c r="BY207" s="2278"/>
      <c r="BZ207" s="2278"/>
      <c r="CA207" s="2278"/>
      <c r="CB207" s="2278"/>
      <c r="CC207" s="2278"/>
      <c r="CD207" s="2278"/>
      <c r="CE207" s="2278"/>
      <c r="CF207" s="2278"/>
      <c r="CG207" s="2278"/>
      <c r="CH207" s="2278"/>
      <c r="CI207" s="2278"/>
      <c r="CJ207" s="2278"/>
      <c r="CK207" s="2278"/>
    </row>
    <row r="208" spans="44:217" ht="15.75" customHeight="1" x14ac:dyDescent="0.2">
      <c r="BU208" s="296"/>
      <c r="BV208" s="2278"/>
      <c r="BW208" s="2278"/>
      <c r="BX208" s="2278"/>
      <c r="BY208" s="2278"/>
      <c r="BZ208" s="2278"/>
      <c r="CA208" s="2278"/>
      <c r="CB208" s="2278"/>
      <c r="CC208" s="2278"/>
      <c r="CD208" s="2278"/>
      <c r="CE208" s="2278"/>
      <c r="CF208" s="2278"/>
      <c r="CG208" s="2278"/>
      <c r="CH208" s="2278"/>
      <c r="CI208" s="2278"/>
      <c r="CJ208" s="2278"/>
      <c r="CK208" s="2278"/>
    </row>
    <row r="209" spans="73:89" ht="15.75" customHeight="1" x14ac:dyDescent="0.2">
      <c r="BU209" s="296"/>
      <c r="BV209" s="2278"/>
      <c r="BW209" s="2278"/>
      <c r="BX209" s="2278"/>
      <c r="BY209" s="2278"/>
      <c r="BZ209" s="2278"/>
      <c r="CA209" s="2278"/>
      <c r="CB209" s="2278"/>
      <c r="CC209" s="2278"/>
      <c r="CD209" s="2278"/>
      <c r="CE209" s="2278"/>
      <c r="CF209" s="2278"/>
      <c r="CG209" s="2278"/>
      <c r="CH209" s="2278"/>
      <c r="CI209" s="2278"/>
      <c r="CJ209" s="2278"/>
      <c r="CK209" s="2278"/>
    </row>
    <row r="210" spans="73:89" ht="15.75" customHeight="1" x14ac:dyDescent="0.2">
      <c r="BU210" s="296"/>
      <c r="BV210" s="2278"/>
      <c r="BW210" s="2278"/>
      <c r="BX210" s="2278"/>
      <c r="BY210" s="2278"/>
      <c r="BZ210" s="2278"/>
      <c r="CA210" s="2278"/>
      <c r="CB210" s="2278"/>
      <c r="CC210" s="2278"/>
      <c r="CD210" s="2278"/>
      <c r="CE210" s="2278"/>
      <c r="CF210" s="2278"/>
      <c r="CG210" s="2278"/>
      <c r="CH210" s="2278"/>
      <c r="CI210" s="2278"/>
      <c r="CJ210" s="2278"/>
      <c r="CK210" s="2278"/>
    </row>
    <row r="211" spans="73:89" ht="15.75" customHeight="1" x14ac:dyDescent="0.2">
      <c r="BU211" s="296"/>
      <c r="BV211" s="2278"/>
      <c r="BW211" s="2278"/>
      <c r="BX211" s="2278"/>
      <c r="BY211" s="2278"/>
      <c r="BZ211" s="2278"/>
      <c r="CA211" s="2278"/>
      <c r="CB211" s="2278"/>
      <c r="CC211" s="2278"/>
      <c r="CD211" s="2278"/>
      <c r="CE211" s="2278"/>
      <c r="CF211" s="2278"/>
      <c r="CG211" s="2278"/>
      <c r="CH211" s="2278"/>
      <c r="CI211" s="2278"/>
      <c r="CJ211" s="2278"/>
      <c r="CK211" s="2278"/>
    </row>
    <row r="212" spans="73:89" ht="15.75" customHeight="1" x14ac:dyDescent="0.2">
      <c r="BU212" s="296"/>
      <c r="BV212" s="2278"/>
      <c r="BW212" s="2278"/>
      <c r="BX212" s="2278"/>
      <c r="BY212" s="2278"/>
      <c r="BZ212" s="2278"/>
      <c r="CA212" s="2278"/>
      <c r="CB212" s="2278"/>
      <c r="CC212" s="2278"/>
      <c r="CD212" s="2278"/>
      <c r="CE212" s="2278"/>
      <c r="CF212" s="2278"/>
      <c r="CG212" s="2278"/>
      <c r="CH212" s="2278"/>
      <c r="CI212" s="2278"/>
      <c r="CJ212" s="2278"/>
      <c r="CK212" s="2278"/>
    </row>
    <row r="213" spans="73:89" ht="15.75" customHeight="1" x14ac:dyDescent="0.2">
      <c r="BU213" s="296"/>
      <c r="BV213" s="2278"/>
      <c r="BW213" s="2278"/>
      <c r="BX213" s="2278"/>
      <c r="BY213" s="2278"/>
      <c r="BZ213" s="2278"/>
      <c r="CA213" s="2278"/>
      <c r="CB213" s="2278"/>
      <c r="CC213" s="2278"/>
      <c r="CD213" s="2278"/>
      <c r="CE213" s="2278"/>
      <c r="CF213" s="2278"/>
      <c r="CG213" s="2278"/>
      <c r="CH213" s="2278"/>
      <c r="CI213" s="2278"/>
      <c r="CJ213" s="2278"/>
      <c r="CK213" s="2278"/>
    </row>
    <row r="214" spans="73:89" ht="15.75" customHeight="1" x14ac:dyDescent="0.2">
      <c r="BU214" s="296"/>
      <c r="BV214" s="2278"/>
      <c r="BW214" s="2278"/>
      <c r="BX214" s="2278"/>
      <c r="BY214" s="2278"/>
      <c r="BZ214" s="2278"/>
      <c r="CA214" s="2278"/>
      <c r="CB214" s="2278"/>
      <c r="CC214" s="2278"/>
      <c r="CD214" s="2278"/>
      <c r="CE214" s="2278"/>
      <c r="CF214" s="2278"/>
      <c r="CG214" s="2278"/>
      <c r="CH214" s="2278"/>
      <c r="CI214" s="2278"/>
      <c r="CJ214" s="2278"/>
      <c r="CK214" s="2278"/>
    </row>
    <row r="215" spans="73:89" ht="15.75" customHeight="1" x14ac:dyDescent="0.2">
      <c r="BU215" s="296"/>
      <c r="BV215" s="2278"/>
      <c r="BW215" s="2278"/>
      <c r="BX215" s="2278"/>
      <c r="BY215" s="2278"/>
      <c r="BZ215" s="2278"/>
      <c r="CA215" s="2278"/>
      <c r="CB215" s="2278"/>
      <c r="CC215" s="2278"/>
      <c r="CD215" s="2278"/>
      <c r="CE215" s="2278"/>
      <c r="CF215" s="2278"/>
      <c r="CG215" s="2278"/>
      <c r="CH215" s="2278"/>
      <c r="CI215" s="2278"/>
      <c r="CJ215" s="2278"/>
      <c r="CK215" s="2278"/>
    </row>
    <row r="216" spans="73:89" ht="15.75" customHeight="1" x14ac:dyDescent="0.2">
      <c r="BU216" s="296"/>
      <c r="BV216" s="2278"/>
      <c r="BW216" s="2278"/>
      <c r="BX216" s="2278"/>
      <c r="BY216" s="2278"/>
      <c r="BZ216" s="2278"/>
      <c r="CA216" s="2278"/>
      <c r="CB216" s="2278"/>
      <c r="CC216" s="2278"/>
      <c r="CD216" s="2278"/>
      <c r="CE216" s="2278"/>
      <c r="CF216" s="2278"/>
      <c r="CG216" s="2278"/>
      <c r="CH216" s="2278"/>
      <c r="CI216" s="2278"/>
      <c r="CJ216" s="2278"/>
      <c r="CK216" s="2278"/>
    </row>
    <row r="217" spans="73:89" ht="15.75" customHeight="1" x14ac:dyDescent="0.2">
      <c r="BU217" s="296"/>
      <c r="BV217" s="2278"/>
      <c r="BW217" s="2278"/>
      <c r="BX217" s="2278"/>
      <c r="BY217" s="2278"/>
      <c r="BZ217" s="2278"/>
      <c r="CA217" s="2278"/>
      <c r="CB217" s="2278"/>
      <c r="CC217" s="2278"/>
      <c r="CD217" s="2278"/>
      <c r="CE217" s="2278"/>
      <c r="CF217" s="2278"/>
      <c r="CG217" s="2278"/>
      <c r="CH217" s="2278"/>
      <c r="CI217" s="2278"/>
      <c r="CJ217" s="2278"/>
      <c r="CK217" s="2278"/>
    </row>
    <row r="218" spans="73:89" ht="15.75" customHeight="1" x14ac:dyDescent="0.2">
      <c r="BU218" s="296"/>
      <c r="BV218" s="2278"/>
      <c r="BW218" s="2278"/>
      <c r="BX218" s="2278"/>
      <c r="BY218" s="2278"/>
      <c r="BZ218" s="2278"/>
      <c r="CA218" s="2278"/>
      <c r="CB218" s="2278"/>
      <c r="CC218" s="2278"/>
      <c r="CD218" s="2278"/>
      <c r="CE218" s="2278"/>
      <c r="CF218" s="2278"/>
      <c r="CG218" s="2278"/>
      <c r="CH218" s="2278"/>
      <c r="CI218" s="2278"/>
      <c r="CJ218" s="2278"/>
      <c r="CK218" s="2278"/>
    </row>
    <row r="219" spans="73:89" ht="15.75" customHeight="1" x14ac:dyDescent="0.2">
      <c r="BU219" s="296"/>
      <c r="BV219" s="2278"/>
      <c r="BW219" s="2278"/>
      <c r="BX219" s="2278"/>
      <c r="BY219" s="2278"/>
      <c r="BZ219" s="2278"/>
      <c r="CA219" s="2278"/>
      <c r="CB219" s="2278"/>
      <c r="CC219" s="2278"/>
      <c r="CD219" s="2278"/>
      <c r="CE219" s="2278"/>
      <c r="CF219" s="2278"/>
      <c r="CG219" s="2278"/>
      <c r="CH219" s="2278"/>
      <c r="CI219" s="2278"/>
      <c r="CJ219" s="2278"/>
      <c r="CK219" s="2278"/>
    </row>
    <row r="220" spans="73:89" ht="15.75" customHeight="1" x14ac:dyDescent="0.2">
      <c r="BU220" s="296"/>
      <c r="BV220" s="2278"/>
      <c r="BW220" s="2278"/>
      <c r="BX220" s="2278"/>
      <c r="BY220" s="2278"/>
      <c r="BZ220" s="2278"/>
      <c r="CA220" s="2278"/>
      <c r="CB220" s="2278"/>
      <c r="CC220" s="2278"/>
      <c r="CD220" s="2278"/>
      <c r="CE220" s="2278"/>
      <c r="CF220" s="2278"/>
      <c r="CG220" s="2278"/>
      <c r="CH220" s="2278"/>
      <c r="CI220" s="2278"/>
      <c r="CJ220" s="2278"/>
      <c r="CK220" s="2278"/>
    </row>
    <row r="221" spans="73:89" ht="15.75" customHeight="1" x14ac:dyDescent="0.2">
      <c r="BU221" s="296"/>
      <c r="BV221" s="2278"/>
      <c r="BW221" s="2278"/>
      <c r="BX221" s="2278"/>
      <c r="BY221" s="2278"/>
      <c r="BZ221" s="2278"/>
      <c r="CA221" s="2278"/>
      <c r="CB221" s="2278"/>
      <c r="CC221" s="2278"/>
      <c r="CD221" s="2278"/>
      <c r="CE221" s="2278"/>
      <c r="CF221" s="2278"/>
      <c r="CG221" s="2278"/>
      <c r="CH221" s="2278"/>
      <c r="CI221" s="2278"/>
      <c r="CJ221" s="2278"/>
      <c r="CK221" s="2278"/>
    </row>
    <row r="222" spans="73:89" x14ac:dyDescent="0.2">
      <c r="BW222" s="1118"/>
      <c r="BX222" s="1118"/>
      <c r="BY222" s="1118"/>
      <c r="BZ222" s="1118"/>
      <c r="CA222" s="1118"/>
      <c r="CB222" s="1118"/>
      <c r="CC222" s="1118"/>
      <c r="CD222" s="1118"/>
      <c r="CE222" s="1118"/>
      <c r="CF222" s="1118"/>
      <c r="CG222" s="1118"/>
      <c r="CH222" s="1118"/>
      <c r="CI222" s="1118"/>
      <c r="CJ222" s="1118"/>
      <c r="CK222" s="1118"/>
    </row>
  </sheetData>
  <mergeCells count="160">
    <mergeCell ref="P103:Q103"/>
    <mergeCell ref="P104:Q104"/>
    <mergeCell ref="A85:E85"/>
    <mergeCell ref="A72:E74"/>
    <mergeCell ref="A80:E80"/>
    <mergeCell ref="A88:E88"/>
    <mergeCell ref="F95:K97"/>
    <mergeCell ref="F103:G103"/>
    <mergeCell ref="N98:O98"/>
    <mergeCell ref="N99:O99"/>
    <mergeCell ref="H103:K103"/>
    <mergeCell ref="N103:O103"/>
    <mergeCell ref="I104:K104"/>
    <mergeCell ref="A81:E81"/>
    <mergeCell ref="A82:E82"/>
    <mergeCell ref="A83:E83"/>
    <mergeCell ref="A84:E84"/>
    <mergeCell ref="C75:E75"/>
    <mergeCell ref="A86:E86"/>
    <mergeCell ref="A87:E87"/>
    <mergeCell ref="N104:O104"/>
    <mergeCell ref="C78:E78"/>
    <mergeCell ref="C79:E79"/>
    <mergeCell ref="L96:M96"/>
    <mergeCell ref="N100:O100"/>
    <mergeCell ref="N101:O101"/>
    <mergeCell ref="N102:O102"/>
    <mergeCell ref="L95:M95"/>
    <mergeCell ref="A99:A101"/>
    <mergeCell ref="P102:Q102"/>
    <mergeCell ref="H100:K100"/>
    <mergeCell ref="H101:K101"/>
    <mergeCell ref="H102:K102"/>
    <mergeCell ref="F100:G100"/>
    <mergeCell ref="F101:G101"/>
    <mergeCell ref="F102:G102"/>
    <mergeCell ref="P100:Q100"/>
    <mergeCell ref="P101:Q101"/>
    <mergeCell ref="H98:K98"/>
    <mergeCell ref="H99:K99"/>
    <mergeCell ref="N41:O42"/>
    <mergeCell ref="N72:O73"/>
    <mergeCell ref="K10:P10"/>
    <mergeCell ref="P11:P13"/>
    <mergeCell ref="S11:T12"/>
    <mergeCell ref="S41:T42"/>
    <mergeCell ref="GJ2:GK2"/>
    <mergeCell ref="GH2:GI2"/>
    <mergeCell ref="AC5:AF5"/>
    <mergeCell ref="AC6:AF10"/>
    <mergeCell ref="AJ11:AJ12"/>
    <mergeCell ref="AG5:AJ5"/>
    <mergeCell ref="AG6:AJ10"/>
    <mergeCell ref="AN11:AN12"/>
    <mergeCell ref="AK6:AN10"/>
    <mergeCell ref="AK5:AN5"/>
    <mergeCell ref="AO6:AO10"/>
    <mergeCell ref="CK12:CO12"/>
    <mergeCell ref="CH12:CJ12"/>
    <mergeCell ref="GB2:GC2"/>
    <mergeCell ref="BE2:BO2"/>
    <mergeCell ref="Y2:AU2"/>
    <mergeCell ref="AO5:AR5"/>
    <mergeCell ref="R72:R74"/>
    <mergeCell ref="AI11:AI12"/>
    <mergeCell ref="AH11:AH12"/>
    <mergeCell ref="AK11:AK12"/>
    <mergeCell ref="AR6:AR10"/>
    <mergeCell ref="AF11:AF12"/>
    <mergeCell ref="AS5:AV5"/>
    <mergeCell ref="F98:G98"/>
    <mergeCell ref="F99:G99"/>
    <mergeCell ref="K40:P40"/>
    <mergeCell ref="P41:P43"/>
    <mergeCell ref="P72:P74"/>
    <mergeCell ref="K71:P71"/>
    <mergeCell ref="N95:Q96"/>
    <mergeCell ref="P97:Q97"/>
    <mergeCell ref="P98:Q98"/>
    <mergeCell ref="P99:Q99"/>
    <mergeCell ref="G42:H42"/>
    <mergeCell ref="G43:H43"/>
    <mergeCell ref="F41:F43"/>
    <mergeCell ref="I41:I43"/>
    <mergeCell ref="J41:J43"/>
    <mergeCell ref="Q40:T40"/>
    <mergeCell ref="N97:O97"/>
    <mergeCell ref="N11:O12"/>
    <mergeCell ref="AM11:AM12"/>
    <mergeCell ref="Q71:T71"/>
    <mergeCell ref="A71:E71"/>
    <mergeCell ref="Q11:Q13"/>
    <mergeCell ref="A10:E10"/>
    <mergeCell ref="F72:F74"/>
    <mergeCell ref="I72:I74"/>
    <mergeCell ref="Q72:Q74"/>
    <mergeCell ref="S72:T73"/>
    <mergeCell ref="A41:E43"/>
    <mergeCell ref="J72:J74"/>
    <mergeCell ref="K72:K74"/>
    <mergeCell ref="J11:J13"/>
    <mergeCell ref="L72:L74"/>
    <mergeCell ref="M72:M74"/>
    <mergeCell ref="K11:K13"/>
    <mergeCell ref="L11:L13"/>
    <mergeCell ref="M11:M13"/>
    <mergeCell ref="F71:H71"/>
    <mergeCell ref="I71:J71"/>
    <mergeCell ref="A40:E40"/>
    <mergeCell ref="F40:H40"/>
    <mergeCell ref="I40:J40"/>
    <mergeCell ref="Y5:AB12"/>
    <mergeCell ref="N5:O5"/>
    <mergeCell ref="BR10:BW10"/>
    <mergeCell ref="A11:E13"/>
    <mergeCell ref="F11:F13"/>
    <mergeCell ref="G12:H12"/>
    <mergeCell ref="G13:H13"/>
    <mergeCell ref="I11:I13"/>
    <mergeCell ref="A1:S1"/>
    <mergeCell ref="K5:M5"/>
    <mergeCell ref="I10:J10"/>
    <mergeCell ref="F10:H10"/>
    <mergeCell ref="Q10:T10"/>
    <mergeCell ref="G3:H3"/>
    <mergeCell ref="K3:M3"/>
    <mergeCell ref="AQ6:AQ10"/>
    <mergeCell ref="A2:T2"/>
    <mergeCell ref="AO11:AR11"/>
    <mergeCell ref="AL11:AL12"/>
    <mergeCell ref="AC11:AC12"/>
    <mergeCell ref="AD11:AD12"/>
    <mergeCell ref="AS6:AV10"/>
    <mergeCell ref="AE11:AE12"/>
    <mergeCell ref="AV11:AV12"/>
    <mergeCell ref="AG11:AG12"/>
    <mergeCell ref="CA10:CF10"/>
    <mergeCell ref="AP6:AP10"/>
    <mergeCell ref="HQ2:HT2"/>
    <mergeCell ref="A95:E97"/>
    <mergeCell ref="CP12:CR12"/>
    <mergeCell ref="G73:H73"/>
    <mergeCell ref="G74:H74"/>
    <mergeCell ref="BT71:CE71"/>
    <mergeCell ref="R11:R13"/>
    <mergeCell ref="AU11:AU12"/>
    <mergeCell ref="AT11:AT12"/>
    <mergeCell ref="AS11:AS12"/>
    <mergeCell ref="K41:K43"/>
    <mergeCell ref="L41:L43"/>
    <mergeCell ref="M41:M43"/>
    <mergeCell ref="Q41:Q43"/>
    <mergeCell ref="R41:R43"/>
    <mergeCell ref="CP73:CT73"/>
    <mergeCell ref="C76:E76"/>
    <mergeCell ref="C77:E77"/>
    <mergeCell ref="A89:E89"/>
    <mergeCell ref="CI10:CQ10"/>
    <mergeCell ref="N3:O3"/>
    <mergeCell ref="N4:O4"/>
  </mergeCells>
  <phoneticPr fontId="5" type="noConversion"/>
  <conditionalFormatting sqref="F14:H22 F38:G38 F33:G36">
    <cfRule type="cellIs" dxfId="37" priority="149" stopIfTrue="1" operator="between">
      <formula>0</formula>
      <formula>0</formula>
    </cfRule>
  </conditionalFormatting>
  <conditionalFormatting sqref="F23:H30">
    <cfRule type="cellIs" dxfId="36" priority="147" stopIfTrue="1" operator="between">
      <formula>0</formula>
      <formula>0</formula>
    </cfRule>
  </conditionalFormatting>
  <conditionalFormatting sqref="H36">
    <cfRule type="cellIs" dxfId="35" priority="101" stopIfTrue="1" operator="between">
      <formula>0</formula>
      <formula>0</formula>
    </cfRule>
    <cfRule type="cellIs" priority="102" stopIfTrue="1" operator="between">
      <formula>0</formula>
      <formula>0</formula>
    </cfRule>
  </conditionalFormatting>
  <conditionalFormatting sqref="H32:H35">
    <cfRule type="cellIs" dxfId="34" priority="99" stopIfTrue="1" operator="between">
      <formula>0</formula>
      <formula>0</formula>
    </cfRule>
    <cfRule type="cellIs" priority="100" stopIfTrue="1" operator="between">
      <formula>0</formula>
      <formula>0</formula>
    </cfRule>
  </conditionalFormatting>
  <conditionalFormatting sqref="H38">
    <cfRule type="cellIs" dxfId="33" priority="89" stopIfTrue="1" operator="between">
      <formula>0</formula>
      <formula>0</formula>
    </cfRule>
    <cfRule type="cellIs" priority="90" stopIfTrue="1" operator="between">
      <formula>0</formula>
      <formula>0</formula>
    </cfRule>
  </conditionalFormatting>
  <conditionalFormatting sqref="F32:G32">
    <cfRule type="cellIs" dxfId="32" priority="26" stopIfTrue="1" operator="between">
      <formula>0</formula>
      <formula>0</formula>
    </cfRule>
  </conditionalFormatting>
  <conditionalFormatting sqref="AQ13:AQ36 AQ40:AQ132">
    <cfRule type="expression" dxfId="31" priority="181">
      <formula>AND($AY13&gt;5,$AY13&lt;&gt;"",$BB13&gt;0)</formula>
    </cfRule>
  </conditionalFormatting>
  <conditionalFormatting sqref="K14:M30 L63:M68">
    <cfRule type="expression" dxfId="30" priority="23">
      <formula>$BZ14=3</formula>
    </cfRule>
  </conditionalFormatting>
  <conditionalFormatting sqref="F31:H31">
    <cfRule type="cellIs" dxfId="29" priority="22" stopIfTrue="1" operator="between">
      <formula>0</formula>
      <formula>0</formula>
    </cfRule>
  </conditionalFormatting>
  <conditionalFormatting sqref="K31:M36">
    <cfRule type="expression" dxfId="28" priority="20">
      <formula>$BZ31=3</formula>
    </cfRule>
  </conditionalFormatting>
  <conditionalFormatting sqref="L44:M44">
    <cfRule type="expression" dxfId="27" priority="18">
      <formula>$BZ44=3</formula>
    </cfRule>
  </conditionalFormatting>
  <conditionalFormatting sqref="L45:M61">
    <cfRule type="expression" dxfId="26" priority="16">
      <formula>$BZ45=3</formula>
    </cfRule>
  </conditionalFormatting>
  <conditionalFormatting sqref="L62:M62">
    <cfRule type="expression" dxfId="25" priority="14">
      <formula>$BZ62=3</formula>
    </cfRule>
  </conditionalFormatting>
  <conditionalFormatting sqref="F76:G76">
    <cfRule type="cellIs" dxfId="24" priority="13" stopIfTrue="1" operator="between">
      <formula>0</formula>
      <formula>0</formula>
    </cfRule>
  </conditionalFormatting>
  <conditionalFormatting sqref="F75:G75">
    <cfRule type="cellIs" dxfId="23" priority="12" stopIfTrue="1" operator="between">
      <formula>0</formula>
      <formula>0</formula>
    </cfRule>
  </conditionalFormatting>
  <conditionalFormatting sqref="F77:G79">
    <cfRule type="cellIs" dxfId="22" priority="11" stopIfTrue="1" operator="between">
      <formula>0</formula>
      <formula>0</formula>
    </cfRule>
  </conditionalFormatting>
  <conditionalFormatting sqref="AL13:AL132">
    <cfRule type="containsText" dxfId="21" priority="10" operator="containsText" text="Fehler">
      <formula>NOT(ISERROR(SEARCH("Fehler",AL13)))</formula>
    </cfRule>
  </conditionalFormatting>
  <conditionalFormatting sqref="H77:H79">
    <cfRule type="cellIs" dxfId="20" priority="9" stopIfTrue="1" operator="between">
      <formula>0</formula>
      <formula>0</formula>
    </cfRule>
  </conditionalFormatting>
  <conditionalFormatting sqref="AS13:AS132">
    <cfRule type="expression" dxfId="19" priority="185">
      <formula>OR($AQ13&gt;$AK13,$BC13&gt;0)</formula>
    </cfRule>
  </conditionalFormatting>
  <conditionalFormatting sqref="Y13:AN132 AQ13:AV132">
    <cfRule type="expression" dxfId="18" priority="187">
      <formula>OR($Y13=$CW$4,$Y13=$CW$5,$Y13=$CW$6,$Y13=$CW$7,$Y13=$CW$8)</formula>
    </cfRule>
  </conditionalFormatting>
  <conditionalFormatting sqref="H75:H76">
    <cfRule type="cellIs" dxfId="17" priority="8" stopIfTrue="1" operator="between">
      <formula>0</formula>
      <formula>0</formula>
    </cfRule>
  </conditionalFormatting>
  <conditionalFormatting sqref="I80">
    <cfRule type="cellIs" dxfId="16" priority="7" stopIfTrue="1" operator="between">
      <formula>0</formula>
      <formula>0</formula>
    </cfRule>
  </conditionalFormatting>
  <conditionalFormatting sqref="I81:I88">
    <cfRule type="cellIs" dxfId="15" priority="6" stopIfTrue="1" operator="between">
      <formula>0</formula>
      <formula>0</formula>
    </cfRule>
  </conditionalFormatting>
  <conditionalFormatting sqref="I89">
    <cfRule type="cellIs" dxfId="14" priority="5" stopIfTrue="1" operator="between">
      <formula>0</formula>
      <formula>0</formula>
    </cfRule>
  </conditionalFormatting>
  <conditionalFormatting sqref="Q80">
    <cfRule type="cellIs" dxfId="13" priority="4" stopIfTrue="1" operator="between">
      <formula>0</formula>
      <formula>0</formula>
    </cfRule>
  </conditionalFormatting>
  <conditionalFormatting sqref="Q81:Q88">
    <cfRule type="cellIs" dxfId="12" priority="3" stopIfTrue="1" operator="between">
      <formula>0</formula>
      <formula>0</formula>
    </cfRule>
  </conditionalFormatting>
  <conditionalFormatting sqref="Q89">
    <cfRule type="cellIs" dxfId="11" priority="2" stopIfTrue="1" operator="between">
      <formula>0</formula>
      <formula>0</formula>
    </cfRule>
  </conditionalFormatting>
  <conditionalFormatting sqref="AO13:AP132">
    <cfRule type="expression" dxfId="10" priority="1">
      <formula>OR($Y13=$CW$4,$Y13=$CW$5,$Y13=$CW$6,$Y13=$CW$7,$Y13=$CW$8)</formula>
    </cfRule>
  </conditionalFormatting>
  <dataValidations count="8">
    <dataValidation type="decimal" operator="greaterThanOrEqual" allowBlank="1" showInputMessage="1" showErrorMessage="1" sqref="F98:G103" xr:uid="{98499D58-B5BD-4021-BD35-1131553413DA}">
      <formula1>0</formula1>
    </dataValidation>
    <dataValidation type="whole" allowBlank="1" showInputMessage="1" showErrorMessage="1" errorTitle="Ungültige Eingabe" error="Geben Sie den Monat als Zahl zwischen 1 (Januar) und 12 (Dezember) an." sqref="S75:T89 S44:T68 N44:P68 S14:T36 N14:P36" xr:uid="{87480C6C-99BD-4CC3-BAC2-2144F5228C5E}">
      <formula1>1</formula1>
      <formula2>12</formula2>
    </dataValidation>
    <dataValidation type="decimal" operator="greaterThanOrEqual" allowBlank="1" showInputMessage="1" showErrorMessage="1" errorTitle="Ungültige Eingabe" error="Eingabe einer positiven Zahl notwendig." sqref="AQ13:AQ132" xr:uid="{21078B86-092B-47AD-AF05-F2A0969AD3E2}">
      <formula1>0</formula1>
    </dataValidation>
    <dataValidation type="whole" allowBlank="1" showInputMessage="1" showErrorMessage="1" errorTitle="Ungültige Eingabe" error="Wählen Sie einen Wert zwischen 0 und 100" sqref="Q14:Q36" xr:uid="{DC0D472C-2DFF-4AE5-9E23-00DA5F67CB91}">
      <formula1>0</formula1>
      <formula2>100</formula2>
    </dataValidation>
    <dataValidation type="whole" allowBlank="1" showInputMessage="1" showErrorMessage="1" errorTitle="Ungültige Eingabe" error="Wählen Sie einen Wert zwischen 0 und 100." sqref="K14:K36 I14:I36 Q75:Q79 I75:I79" xr:uid="{09520D55-5A83-44C8-AD6A-654D394263E5}">
      <formula1>0</formula1>
      <formula2>100</formula2>
    </dataValidation>
    <dataValidation type="decimal" operator="greaterThanOrEqual" allowBlank="1" showInputMessage="1" showErrorMessage="1" errorTitle="Ungültige Eingab" error="Wählen Sie einen positiven Wert." sqref="J14:J36 L14:M36 J44:J68 L44:M68 J75:J89" xr:uid="{B77AD3DD-43B6-4F2D-976F-A3560F8378B2}">
      <formula1>0</formula1>
    </dataValidation>
    <dataValidation type="decimal" allowBlank="1" showInputMessage="1" showErrorMessage="1" errorTitle="Ungültige Eingabe" error="Wählen Sie eine Zahl aus." sqref="R14:R36 R44:R68 R75:R89" xr:uid="{7FAB3423-7AF6-4C59-B508-2120B94D759F}">
      <formula1>-100000</formula1>
      <formula2>100000</formula2>
    </dataValidation>
    <dataValidation type="decimal" allowBlank="1" showInputMessage="1" showErrorMessage="1" errorTitle="Ungültige Eingabe" error="Wählen Sie einen Wert zwischen 0 und 100." sqref="F80:F89 F44:F68" xr:uid="{02CCC886-B7F4-4BF2-99E6-FCA03221C3DE}">
      <formula1>0</formula1>
      <formula2>100</formula2>
    </dataValidation>
  </dataValidations>
  <pageMargins left="0.70866141732283472" right="0.70866141732283472" top="0.78740157480314965" bottom="0.78740157480314965" header="0.31496062992125984" footer="0.31496062992125984"/>
  <pageSetup paperSize="9" orientation="landscape" horizontalDpi="300" r:id="rId1"/>
  <headerFooter>
    <oddFooter>&amp;C© Bayerische Landesanstalt für Landwirtschaft (Of, Sr, Sp; Ka); Stand: 04.11.21;        Seite:&amp;P von &amp;N;        &amp;D        &amp;T Uhr</oddFooter>
  </headerFooter>
  <rowBreaks count="2" manualBreakCount="2">
    <brk id="37" max="22" man="1"/>
    <brk id="69"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9" r:id="rId4" name="Drop Down 19">
              <controlPr defaultSize="0" autoLine="0" autoPict="0">
                <anchor moveWithCells="1">
                  <from>
                    <xdr:col>0</xdr:col>
                    <xdr:colOff>0</xdr:colOff>
                    <xdr:row>12</xdr:row>
                    <xdr:rowOff>161925</xdr:rowOff>
                  </from>
                  <to>
                    <xdr:col>5</xdr:col>
                    <xdr:colOff>0</xdr:colOff>
                    <xdr:row>14</xdr:row>
                    <xdr:rowOff>9525</xdr:rowOff>
                  </to>
                </anchor>
              </controlPr>
            </control>
          </mc:Choice>
        </mc:AlternateContent>
        <mc:AlternateContent xmlns:mc="http://schemas.openxmlformats.org/markup-compatibility/2006">
          <mc:Choice Requires="x14">
            <control shapeId="245780" r:id="rId5" name="Drop Down 20">
              <controlPr defaultSize="0" autoLine="0" autoPict="0">
                <anchor moveWithCells="1">
                  <from>
                    <xdr:col>0</xdr:col>
                    <xdr:colOff>0</xdr:colOff>
                    <xdr:row>13</xdr:row>
                    <xdr:rowOff>190500</xdr:rowOff>
                  </from>
                  <to>
                    <xdr:col>5</xdr:col>
                    <xdr:colOff>0</xdr:colOff>
                    <xdr:row>15</xdr:row>
                    <xdr:rowOff>9525</xdr:rowOff>
                  </to>
                </anchor>
              </controlPr>
            </control>
          </mc:Choice>
        </mc:AlternateContent>
        <mc:AlternateContent xmlns:mc="http://schemas.openxmlformats.org/markup-compatibility/2006">
          <mc:Choice Requires="x14">
            <control shapeId="245781" r:id="rId6" name="Drop Down 21">
              <controlPr defaultSize="0" autoLine="0" autoPict="0">
                <anchor moveWithCells="1">
                  <from>
                    <xdr:col>0</xdr:col>
                    <xdr:colOff>0</xdr:colOff>
                    <xdr:row>14</xdr:row>
                    <xdr:rowOff>190500</xdr:rowOff>
                  </from>
                  <to>
                    <xdr:col>5</xdr:col>
                    <xdr:colOff>0</xdr:colOff>
                    <xdr:row>16</xdr:row>
                    <xdr:rowOff>9525</xdr:rowOff>
                  </to>
                </anchor>
              </controlPr>
            </control>
          </mc:Choice>
        </mc:AlternateContent>
        <mc:AlternateContent xmlns:mc="http://schemas.openxmlformats.org/markup-compatibility/2006">
          <mc:Choice Requires="x14">
            <control shapeId="245782" r:id="rId7" name="Drop Down 22">
              <controlPr defaultSize="0" autoLine="0" autoPict="0">
                <anchor moveWithCells="1">
                  <from>
                    <xdr:col>0</xdr:col>
                    <xdr:colOff>0</xdr:colOff>
                    <xdr:row>15</xdr:row>
                    <xdr:rowOff>190500</xdr:rowOff>
                  </from>
                  <to>
                    <xdr:col>5</xdr:col>
                    <xdr:colOff>0</xdr:colOff>
                    <xdr:row>17</xdr:row>
                    <xdr:rowOff>9525</xdr:rowOff>
                  </to>
                </anchor>
              </controlPr>
            </control>
          </mc:Choice>
        </mc:AlternateContent>
        <mc:AlternateContent xmlns:mc="http://schemas.openxmlformats.org/markup-compatibility/2006">
          <mc:Choice Requires="x14">
            <control shapeId="245783" r:id="rId8" name="Drop Down 23">
              <controlPr defaultSize="0" autoLine="0" autoPict="0">
                <anchor moveWithCells="1">
                  <from>
                    <xdr:col>0</xdr:col>
                    <xdr:colOff>0</xdr:colOff>
                    <xdr:row>16</xdr:row>
                    <xdr:rowOff>190500</xdr:rowOff>
                  </from>
                  <to>
                    <xdr:col>5</xdr:col>
                    <xdr:colOff>0</xdr:colOff>
                    <xdr:row>18</xdr:row>
                    <xdr:rowOff>9525</xdr:rowOff>
                  </to>
                </anchor>
              </controlPr>
            </control>
          </mc:Choice>
        </mc:AlternateContent>
        <mc:AlternateContent xmlns:mc="http://schemas.openxmlformats.org/markup-compatibility/2006">
          <mc:Choice Requires="x14">
            <control shapeId="245784" r:id="rId9" name="Drop Down 24">
              <controlPr defaultSize="0" autoLine="0" autoPict="0">
                <anchor moveWithCells="1">
                  <from>
                    <xdr:col>0</xdr:col>
                    <xdr:colOff>0</xdr:colOff>
                    <xdr:row>17</xdr:row>
                    <xdr:rowOff>190500</xdr:rowOff>
                  </from>
                  <to>
                    <xdr:col>5</xdr:col>
                    <xdr:colOff>0</xdr:colOff>
                    <xdr:row>19</xdr:row>
                    <xdr:rowOff>9525</xdr:rowOff>
                  </to>
                </anchor>
              </controlPr>
            </control>
          </mc:Choice>
        </mc:AlternateContent>
        <mc:AlternateContent xmlns:mc="http://schemas.openxmlformats.org/markup-compatibility/2006">
          <mc:Choice Requires="x14">
            <control shapeId="245785" r:id="rId10" name="Drop Down 25">
              <controlPr defaultSize="0" autoLine="0" autoPict="0">
                <anchor moveWithCells="1">
                  <from>
                    <xdr:col>0</xdr:col>
                    <xdr:colOff>0</xdr:colOff>
                    <xdr:row>18</xdr:row>
                    <xdr:rowOff>190500</xdr:rowOff>
                  </from>
                  <to>
                    <xdr:col>5</xdr:col>
                    <xdr:colOff>0</xdr:colOff>
                    <xdr:row>20</xdr:row>
                    <xdr:rowOff>9525</xdr:rowOff>
                  </to>
                </anchor>
              </controlPr>
            </control>
          </mc:Choice>
        </mc:AlternateContent>
        <mc:AlternateContent xmlns:mc="http://schemas.openxmlformats.org/markup-compatibility/2006">
          <mc:Choice Requires="x14">
            <control shapeId="245786" r:id="rId11" name="Drop Down 26">
              <controlPr defaultSize="0" autoLine="0" autoPict="0">
                <anchor moveWithCells="1">
                  <from>
                    <xdr:col>0</xdr:col>
                    <xdr:colOff>0</xdr:colOff>
                    <xdr:row>19</xdr:row>
                    <xdr:rowOff>190500</xdr:rowOff>
                  </from>
                  <to>
                    <xdr:col>5</xdr:col>
                    <xdr:colOff>0</xdr:colOff>
                    <xdr:row>21</xdr:row>
                    <xdr:rowOff>9525</xdr:rowOff>
                  </to>
                </anchor>
              </controlPr>
            </control>
          </mc:Choice>
        </mc:AlternateContent>
        <mc:AlternateContent xmlns:mc="http://schemas.openxmlformats.org/markup-compatibility/2006">
          <mc:Choice Requires="x14">
            <control shapeId="245787" r:id="rId12" name="Drop Down 27">
              <controlPr defaultSize="0" autoLine="0" autoPict="0">
                <anchor moveWithCells="1">
                  <from>
                    <xdr:col>0</xdr:col>
                    <xdr:colOff>0</xdr:colOff>
                    <xdr:row>20</xdr:row>
                    <xdr:rowOff>190500</xdr:rowOff>
                  </from>
                  <to>
                    <xdr:col>5</xdr:col>
                    <xdr:colOff>0</xdr:colOff>
                    <xdr:row>22</xdr:row>
                    <xdr:rowOff>9525</xdr:rowOff>
                  </to>
                </anchor>
              </controlPr>
            </control>
          </mc:Choice>
        </mc:AlternateContent>
        <mc:AlternateContent xmlns:mc="http://schemas.openxmlformats.org/markup-compatibility/2006">
          <mc:Choice Requires="x14">
            <control shapeId="245789" r:id="rId13" name="Drop Down 29">
              <controlPr defaultSize="0" autoLine="0" autoPict="0">
                <anchor moveWithCells="1">
                  <from>
                    <xdr:col>0</xdr:col>
                    <xdr:colOff>0</xdr:colOff>
                    <xdr:row>21</xdr:row>
                    <xdr:rowOff>190500</xdr:rowOff>
                  </from>
                  <to>
                    <xdr:col>5</xdr:col>
                    <xdr:colOff>0</xdr:colOff>
                    <xdr:row>23</xdr:row>
                    <xdr:rowOff>9525</xdr:rowOff>
                  </to>
                </anchor>
              </controlPr>
            </control>
          </mc:Choice>
        </mc:AlternateContent>
        <mc:AlternateContent xmlns:mc="http://schemas.openxmlformats.org/markup-compatibility/2006">
          <mc:Choice Requires="x14">
            <control shapeId="245790" r:id="rId14" name="Drop Down 30">
              <controlPr defaultSize="0" autoLine="0" autoPict="0">
                <anchor moveWithCells="1">
                  <from>
                    <xdr:col>0</xdr:col>
                    <xdr:colOff>0</xdr:colOff>
                    <xdr:row>22</xdr:row>
                    <xdr:rowOff>190500</xdr:rowOff>
                  </from>
                  <to>
                    <xdr:col>5</xdr:col>
                    <xdr:colOff>0</xdr:colOff>
                    <xdr:row>24</xdr:row>
                    <xdr:rowOff>9525</xdr:rowOff>
                  </to>
                </anchor>
              </controlPr>
            </control>
          </mc:Choice>
        </mc:AlternateContent>
        <mc:AlternateContent xmlns:mc="http://schemas.openxmlformats.org/markup-compatibility/2006">
          <mc:Choice Requires="x14">
            <control shapeId="245791" r:id="rId15" name="Drop Down 31">
              <controlPr defaultSize="0" autoLine="0" autoPict="0">
                <anchor moveWithCells="1">
                  <from>
                    <xdr:col>0</xdr:col>
                    <xdr:colOff>0</xdr:colOff>
                    <xdr:row>23</xdr:row>
                    <xdr:rowOff>190500</xdr:rowOff>
                  </from>
                  <to>
                    <xdr:col>5</xdr:col>
                    <xdr:colOff>0</xdr:colOff>
                    <xdr:row>25</xdr:row>
                    <xdr:rowOff>9525</xdr:rowOff>
                  </to>
                </anchor>
              </controlPr>
            </control>
          </mc:Choice>
        </mc:AlternateContent>
        <mc:AlternateContent xmlns:mc="http://schemas.openxmlformats.org/markup-compatibility/2006">
          <mc:Choice Requires="x14">
            <control shapeId="245792" r:id="rId16" name="Drop Down 32">
              <controlPr defaultSize="0" autoLine="0" autoPict="0">
                <anchor moveWithCells="1">
                  <from>
                    <xdr:col>0</xdr:col>
                    <xdr:colOff>0</xdr:colOff>
                    <xdr:row>24</xdr:row>
                    <xdr:rowOff>190500</xdr:rowOff>
                  </from>
                  <to>
                    <xdr:col>5</xdr:col>
                    <xdr:colOff>0</xdr:colOff>
                    <xdr:row>26</xdr:row>
                    <xdr:rowOff>9525</xdr:rowOff>
                  </to>
                </anchor>
              </controlPr>
            </control>
          </mc:Choice>
        </mc:AlternateContent>
        <mc:AlternateContent xmlns:mc="http://schemas.openxmlformats.org/markup-compatibility/2006">
          <mc:Choice Requires="x14">
            <control shapeId="245793" r:id="rId17" name="Drop Down 33">
              <controlPr defaultSize="0" autoLine="0" autoPict="0">
                <anchor moveWithCells="1">
                  <from>
                    <xdr:col>0</xdr:col>
                    <xdr:colOff>0</xdr:colOff>
                    <xdr:row>25</xdr:row>
                    <xdr:rowOff>190500</xdr:rowOff>
                  </from>
                  <to>
                    <xdr:col>5</xdr:col>
                    <xdr:colOff>0</xdr:colOff>
                    <xdr:row>27</xdr:row>
                    <xdr:rowOff>9525</xdr:rowOff>
                  </to>
                </anchor>
              </controlPr>
            </control>
          </mc:Choice>
        </mc:AlternateContent>
        <mc:AlternateContent xmlns:mc="http://schemas.openxmlformats.org/markup-compatibility/2006">
          <mc:Choice Requires="x14">
            <control shapeId="245794" r:id="rId18" name="Drop Down 34">
              <controlPr defaultSize="0" autoLine="0" autoPict="0">
                <anchor moveWithCells="1">
                  <from>
                    <xdr:col>0</xdr:col>
                    <xdr:colOff>0</xdr:colOff>
                    <xdr:row>26</xdr:row>
                    <xdr:rowOff>190500</xdr:rowOff>
                  </from>
                  <to>
                    <xdr:col>5</xdr:col>
                    <xdr:colOff>0</xdr:colOff>
                    <xdr:row>28</xdr:row>
                    <xdr:rowOff>9525</xdr:rowOff>
                  </to>
                </anchor>
              </controlPr>
            </control>
          </mc:Choice>
        </mc:AlternateContent>
        <mc:AlternateContent xmlns:mc="http://schemas.openxmlformats.org/markup-compatibility/2006">
          <mc:Choice Requires="x14">
            <control shapeId="245795" r:id="rId19" name="Drop Down 35">
              <controlPr defaultSize="0" autoLine="0" autoPict="0">
                <anchor moveWithCells="1">
                  <from>
                    <xdr:col>0</xdr:col>
                    <xdr:colOff>0</xdr:colOff>
                    <xdr:row>27</xdr:row>
                    <xdr:rowOff>190500</xdr:rowOff>
                  </from>
                  <to>
                    <xdr:col>5</xdr:col>
                    <xdr:colOff>0</xdr:colOff>
                    <xdr:row>29</xdr:row>
                    <xdr:rowOff>9525</xdr:rowOff>
                  </to>
                </anchor>
              </controlPr>
            </control>
          </mc:Choice>
        </mc:AlternateContent>
        <mc:AlternateContent xmlns:mc="http://schemas.openxmlformats.org/markup-compatibility/2006">
          <mc:Choice Requires="x14">
            <control shapeId="245796" r:id="rId20" name="Drop Down 36">
              <controlPr defaultSize="0" autoLine="0" autoPict="0">
                <anchor moveWithCells="1">
                  <from>
                    <xdr:col>0</xdr:col>
                    <xdr:colOff>0</xdr:colOff>
                    <xdr:row>28</xdr:row>
                    <xdr:rowOff>190500</xdr:rowOff>
                  </from>
                  <to>
                    <xdr:col>5</xdr:col>
                    <xdr:colOff>0</xdr:colOff>
                    <xdr:row>30</xdr:row>
                    <xdr:rowOff>9525</xdr:rowOff>
                  </to>
                </anchor>
              </controlPr>
            </control>
          </mc:Choice>
        </mc:AlternateContent>
        <mc:AlternateContent xmlns:mc="http://schemas.openxmlformats.org/markup-compatibility/2006">
          <mc:Choice Requires="x14">
            <control shapeId="245986" r:id="rId21" name="Drop Down 226">
              <controlPr defaultSize="0" autoLine="0" autoPict="0">
                <anchor moveWithCells="1">
                  <from>
                    <xdr:col>0</xdr:col>
                    <xdr:colOff>0</xdr:colOff>
                    <xdr:row>43</xdr:row>
                    <xdr:rowOff>0</xdr:rowOff>
                  </from>
                  <to>
                    <xdr:col>5</xdr:col>
                    <xdr:colOff>0</xdr:colOff>
                    <xdr:row>44</xdr:row>
                    <xdr:rowOff>9525</xdr:rowOff>
                  </to>
                </anchor>
              </controlPr>
            </control>
          </mc:Choice>
        </mc:AlternateContent>
        <mc:AlternateContent xmlns:mc="http://schemas.openxmlformats.org/markup-compatibility/2006">
          <mc:Choice Requires="x14">
            <control shapeId="245987" r:id="rId22" name="Drop Down 227">
              <controlPr defaultSize="0" autoLine="0" autoPict="0">
                <anchor moveWithCells="1">
                  <from>
                    <xdr:col>0</xdr:col>
                    <xdr:colOff>0</xdr:colOff>
                    <xdr:row>43</xdr:row>
                    <xdr:rowOff>190500</xdr:rowOff>
                  </from>
                  <to>
                    <xdr:col>5</xdr:col>
                    <xdr:colOff>0</xdr:colOff>
                    <xdr:row>45</xdr:row>
                    <xdr:rowOff>9525</xdr:rowOff>
                  </to>
                </anchor>
              </controlPr>
            </control>
          </mc:Choice>
        </mc:AlternateContent>
        <mc:AlternateContent xmlns:mc="http://schemas.openxmlformats.org/markup-compatibility/2006">
          <mc:Choice Requires="x14">
            <control shapeId="245988" r:id="rId23" name="Drop Down 228">
              <controlPr defaultSize="0" autoLine="0" autoPict="0">
                <anchor moveWithCells="1">
                  <from>
                    <xdr:col>0</xdr:col>
                    <xdr:colOff>0</xdr:colOff>
                    <xdr:row>44</xdr:row>
                    <xdr:rowOff>190500</xdr:rowOff>
                  </from>
                  <to>
                    <xdr:col>5</xdr:col>
                    <xdr:colOff>0</xdr:colOff>
                    <xdr:row>46</xdr:row>
                    <xdr:rowOff>9525</xdr:rowOff>
                  </to>
                </anchor>
              </controlPr>
            </control>
          </mc:Choice>
        </mc:AlternateContent>
        <mc:AlternateContent xmlns:mc="http://schemas.openxmlformats.org/markup-compatibility/2006">
          <mc:Choice Requires="x14">
            <control shapeId="245989" r:id="rId24" name="Drop Down 229">
              <controlPr defaultSize="0" autoLine="0" autoPict="0">
                <anchor moveWithCells="1">
                  <from>
                    <xdr:col>0</xdr:col>
                    <xdr:colOff>0</xdr:colOff>
                    <xdr:row>45</xdr:row>
                    <xdr:rowOff>190500</xdr:rowOff>
                  </from>
                  <to>
                    <xdr:col>5</xdr:col>
                    <xdr:colOff>0</xdr:colOff>
                    <xdr:row>47</xdr:row>
                    <xdr:rowOff>9525</xdr:rowOff>
                  </to>
                </anchor>
              </controlPr>
            </control>
          </mc:Choice>
        </mc:AlternateContent>
        <mc:AlternateContent xmlns:mc="http://schemas.openxmlformats.org/markup-compatibility/2006">
          <mc:Choice Requires="x14">
            <control shapeId="245990" r:id="rId25" name="Drop Down 230">
              <controlPr defaultSize="0" autoLine="0" autoPict="0">
                <anchor moveWithCells="1">
                  <from>
                    <xdr:col>0</xdr:col>
                    <xdr:colOff>0</xdr:colOff>
                    <xdr:row>46</xdr:row>
                    <xdr:rowOff>190500</xdr:rowOff>
                  </from>
                  <to>
                    <xdr:col>5</xdr:col>
                    <xdr:colOff>0</xdr:colOff>
                    <xdr:row>48</xdr:row>
                    <xdr:rowOff>9525</xdr:rowOff>
                  </to>
                </anchor>
              </controlPr>
            </control>
          </mc:Choice>
        </mc:AlternateContent>
        <mc:AlternateContent xmlns:mc="http://schemas.openxmlformats.org/markup-compatibility/2006">
          <mc:Choice Requires="x14">
            <control shapeId="245991" r:id="rId26" name="Drop Down 231">
              <controlPr defaultSize="0" autoLine="0" autoPict="0">
                <anchor moveWithCells="1">
                  <from>
                    <xdr:col>0</xdr:col>
                    <xdr:colOff>0</xdr:colOff>
                    <xdr:row>47</xdr:row>
                    <xdr:rowOff>190500</xdr:rowOff>
                  </from>
                  <to>
                    <xdr:col>5</xdr:col>
                    <xdr:colOff>0</xdr:colOff>
                    <xdr:row>49</xdr:row>
                    <xdr:rowOff>9525</xdr:rowOff>
                  </to>
                </anchor>
              </controlPr>
            </control>
          </mc:Choice>
        </mc:AlternateContent>
        <mc:AlternateContent xmlns:mc="http://schemas.openxmlformats.org/markup-compatibility/2006">
          <mc:Choice Requires="x14">
            <control shapeId="245992" r:id="rId27" name="Drop Down 232">
              <controlPr defaultSize="0" autoLine="0" autoPict="0">
                <anchor moveWithCells="1">
                  <from>
                    <xdr:col>0</xdr:col>
                    <xdr:colOff>0</xdr:colOff>
                    <xdr:row>48</xdr:row>
                    <xdr:rowOff>190500</xdr:rowOff>
                  </from>
                  <to>
                    <xdr:col>5</xdr:col>
                    <xdr:colOff>0</xdr:colOff>
                    <xdr:row>50</xdr:row>
                    <xdr:rowOff>9525</xdr:rowOff>
                  </to>
                </anchor>
              </controlPr>
            </control>
          </mc:Choice>
        </mc:AlternateContent>
        <mc:AlternateContent xmlns:mc="http://schemas.openxmlformats.org/markup-compatibility/2006">
          <mc:Choice Requires="x14">
            <control shapeId="245993" r:id="rId28" name="Drop Down 233">
              <controlPr defaultSize="0" autoLine="0" autoPict="0">
                <anchor moveWithCells="1">
                  <from>
                    <xdr:col>0</xdr:col>
                    <xdr:colOff>0</xdr:colOff>
                    <xdr:row>49</xdr:row>
                    <xdr:rowOff>190500</xdr:rowOff>
                  </from>
                  <to>
                    <xdr:col>5</xdr:col>
                    <xdr:colOff>0</xdr:colOff>
                    <xdr:row>51</xdr:row>
                    <xdr:rowOff>9525</xdr:rowOff>
                  </to>
                </anchor>
              </controlPr>
            </control>
          </mc:Choice>
        </mc:AlternateContent>
        <mc:AlternateContent xmlns:mc="http://schemas.openxmlformats.org/markup-compatibility/2006">
          <mc:Choice Requires="x14">
            <control shapeId="245994" r:id="rId29" name="Drop Down 234">
              <controlPr defaultSize="0" autoLine="0" autoPict="0">
                <anchor moveWithCells="1">
                  <from>
                    <xdr:col>0</xdr:col>
                    <xdr:colOff>0</xdr:colOff>
                    <xdr:row>50</xdr:row>
                    <xdr:rowOff>190500</xdr:rowOff>
                  </from>
                  <to>
                    <xdr:col>5</xdr:col>
                    <xdr:colOff>0</xdr:colOff>
                    <xdr:row>52</xdr:row>
                    <xdr:rowOff>9525</xdr:rowOff>
                  </to>
                </anchor>
              </controlPr>
            </control>
          </mc:Choice>
        </mc:AlternateContent>
        <mc:AlternateContent xmlns:mc="http://schemas.openxmlformats.org/markup-compatibility/2006">
          <mc:Choice Requires="x14">
            <control shapeId="245995" r:id="rId30" name="Drop Down 235">
              <controlPr defaultSize="0" autoLine="0" autoPict="0">
                <anchor moveWithCells="1">
                  <from>
                    <xdr:col>0</xdr:col>
                    <xdr:colOff>0</xdr:colOff>
                    <xdr:row>59</xdr:row>
                    <xdr:rowOff>190500</xdr:rowOff>
                  </from>
                  <to>
                    <xdr:col>5</xdr:col>
                    <xdr:colOff>0</xdr:colOff>
                    <xdr:row>61</xdr:row>
                    <xdr:rowOff>9525</xdr:rowOff>
                  </to>
                </anchor>
              </controlPr>
            </control>
          </mc:Choice>
        </mc:AlternateContent>
        <mc:AlternateContent xmlns:mc="http://schemas.openxmlformats.org/markup-compatibility/2006">
          <mc:Choice Requires="x14">
            <control shapeId="245996" r:id="rId31" name="Drop Down 236">
              <controlPr defaultSize="0" autoLine="0" autoPict="0">
                <anchor moveWithCells="1">
                  <from>
                    <xdr:col>0</xdr:col>
                    <xdr:colOff>0</xdr:colOff>
                    <xdr:row>51</xdr:row>
                    <xdr:rowOff>190500</xdr:rowOff>
                  </from>
                  <to>
                    <xdr:col>5</xdr:col>
                    <xdr:colOff>0</xdr:colOff>
                    <xdr:row>53</xdr:row>
                    <xdr:rowOff>9525</xdr:rowOff>
                  </to>
                </anchor>
              </controlPr>
            </control>
          </mc:Choice>
        </mc:AlternateContent>
        <mc:AlternateContent xmlns:mc="http://schemas.openxmlformats.org/markup-compatibility/2006">
          <mc:Choice Requires="x14">
            <control shapeId="245997" r:id="rId32" name="Drop Down 237">
              <controlPr defaultSize="0" autoLine="0" autoPict="0">
                <anchor moveWithCells="1">
                  <from>
                    <xdr:col>0</xdr:col>
                    <xdr:colOff>0</xdr:colOff>
                    <xdr:row>52</xdr:row>
                    <xdr:rowOff>190500</xdr:rowOff>
                  </from>
                  <to>
                    <xdr:col>5</xdr:col>
                    <xdr:colOff>0</xdr:colOff>
                    <xdr:row>54</xdr:row>
                    <xdr:rowOff>9525</xdr:rowOff>
                  </to>
                </anchor>
              </controlPr>
            </control>
          </mc:Choice>
        </mc:AlternateContent>
        <mc:AlternateContent xmlns:mc="http://schemas.openxmlformats.org/markup-compatibility/2006">
          <mc:Choice Requires="x14">
            <control shapeId="245998" r:id="rId33" name="Drop Down 238">
              <controlPr defaultSize="0" autoLine="0" autoPict="0">
                <anchor moveWithCells="1">
                  <from>
                    <xdr:col>0</xdr:col>
                    <xdr:colOff>0</xdr:colOff>
                    <xdr:row>53</xdr:row>
                    <xdr:rowOff>190500</xdr:rowOff>
                  </from>
                  <to>
                    <xdr:col>5</xdr:col>
                    <xdr:colOff>0</xdr:colOff>
                    <xdr:row>55</xdr:row>
                    <xdr:rowOff>9525</xdr:rowOff>
                  </to>
                </anchor>
              </controlPr>
            </control>
          </mc:Choice>
        </mc:AlternateContent>
        <mc:AlternateContent xmlns:mc="http://schemas.openxmlformats.org/markup-compatibility/2006">
          <mc:Choice Requires="x14">
            <control shapeId="245999" r:id="rId34" name="Drop Down 239">
              <controlPr defaultSize="0" autoLine="0" autoPict="0">
                <anchor moveWithCells="1">
                  <from>
                    <xdr:col>0</xdr:col>
                    <xdr:colOff>0</xdr:colOff>
                    <xdr:row>54</xdr:row>
                    <xdr:rowOff>190500</xdr:rowOff>
                  </from>
                  <to>
                    <xdr:col>5</xdr:col>
                    <xdr:colOff>0</xdr:colOff>
                    <xdr:row>56</xdr:row>
                    <xdr:rowOff>9525</xdr:rowOff>
                  </to>
                </anchor>
              </controlPr>
            </control>
          </mc:Choice>
        </mc:AlternateContent>
        <mc:AlternateContent xmlns:mc="http://schemas.openxmlformats.org/markup-compatibility/2006">
          <mc:Choice Requires="x14">
            <control shapeId="246000" r:id="rId35" name="Drop Down 240">
              <controlPr defaultSize="0" autoLine="0" autoPict="0">
                <anchor moveWithCells="1">
                  <from>
                    <xdr:col>0</xdr:col>
                    <xdr:colOff>0</xdr:colOff>
                    <xdr:row>55</xdr:row>
                    <xdr:rowOff>190500</xdr:rowOff>
                  </from>
                  <to>
                    <xdr:col>5</xdr:col>
                    <xdr:colOff>0</xdr:colOff>
                    <xdr:row>57</xdr:row>
                    <xdr:rowOff>9525</xdr:rowOff>
                  </to>
                </anchor>
              </controlPr>
            </control>
          </mc:Choice>
        </mc:AlternateContent>
        <mc:AlternateContent xmlns:mc="http://schemas.openxmlformats.org/markup-compatibility/2006">
          <mc:Choice Requires="x14">
            <control shapeId="246001" r:id="rId36" name="Drop Down 241">
              <controlPr defaultSize="0" autoLine="0" autoPict="0">
                <anchor moveWithCells="1">
                  <from>
                    <xdr:col>0</xdr:col>
                    <xdr:colOff>0</xdr:colOff>
                    <xdr:row>56</xdr:row>
                    <xdr:rowOff>190500</xdr:rowOff>
                  </from>
                  <to>
                    <xdr:col>5</xdr:col>
                    <xdr:colOff>0</xdr:colOff>
                    <xdr:row>58</xdr:row>
                    <xdr:rowOff>9525</xdr:rowOff>
                  </to>
                </anchor>
              </controlPr>
            </control>
          </mc:Choice>
        </mc:AlternateContent>
        <mc:AlternateContent xmlns:mc="http://schemas.openxmlformats.org/markup-compatibility/2006">
          <mc:Choice Requires="x14">
            <control shapeId="246002" r:id="rId37" name="Drop Down 242">
              <controlPr defaultSize="0" autoLine="0" autoPict="0">
                <anchor moveWithCells="1">
                  <from>
                    <xdr:col>0</xdr:col>
                    <xdr:colOff>0</xdr:colOff>
                    <xdr:row>57</xdr:row>
                    <xdr:rowOff>190500</xdr:rowOff>
                  </from>
                  <to>
                    <xdr:col>5</xdr:col>
                    <xdr:colOff>0</xdr:colOff>
                    <xdr:row>59</xdr:row>
                    <xdr:rowOff>9525</xdr:rowOff>
                  </to>
                </anchor>
              </controlPr>
            </control>
          </mc:Choice>
        </mc:AlternateContent>
        <mc:AlternateContent xmlns:mc="http://schemas.openxmlformats.org/markup-compatibility/2006">
          <mc:Choice Requires="x14">
            <control shapeId="246003" r:id="rId38" name="Drop Down 243">
              <controlPr defaultSize="0" autoLine="0" autoPict="0">
                <anchor moveWithCells="1">
                  <from>
                    <xdr:col>0</xdr:col>
                    <xdr:colOff>0</xdr:colOff>
                    <xdr:row>58</xdr:row>
                    <xdr:rowOff>190500</xdr:rowOff>
                  </from>
                  <to>
                    <xdr:col>5</xdr:col>
                    <xdr:colOff>0</xdr:colOff>
                    <xdr:row>60</xdr:row>
                    <xdr:rowOff>9525</xdr:rowOff>
                  </to>
                </anchor>
              </controlPr>
            </control>
          </mc:Choice>
        </mc:AlternateContent>
        <mc:AlternateContent xmlns:mc="http://schemas.openxmlformats.org/markup-compatibility/2006">
          <mc:Choice Requires="x14">
            <control shapeId="246257" r:id="rId39" name="Drop Down 497">
              <controlPr defaultSize="0" autoLine="0" autoPict="0">
                <anchor moveWithCells="1">
                  <from>
                    <xdr:col>0</xdr:col>
                    <xdr:colOff>0</xdr:colOff>
                    <xdr:row>31</xdr:row>
                    <xdr:rowOff>0</xdr:rowOff>
                  </from>
                  <to>
                    <xdr:col>5</xdr:col>
                    <xdr:colOff>0</xdr:colOff>
                    <xdr:row>32</xdr:row>
                    <xdr:rowOff>9525</xdr:rowOff>
                  </to>
                </anchor>
              </controlPr>
            </control>
          </mc:Choice>
        </mc:AlternateContent>
        <mc:AlternateContent xmlns:mc="http://schemas.openxmlformats.org/markup-compatibility/2006">
          <mc:Choice Requires="x14">
            <control shapeId="246258" r:id="rId40" name="Drop Down 498">
              <controlPr defaultSize="0" autoLine="0" autoPict="0">
                <anchor moveWithCells="1">
                  <from>
                    <xdr:col>0</xdr:col>
                    <xdr:colOff>0</xdr:colOff>
                    <xdr:row>32</xdr:row>
                    <xdr:rowOff>0</xdr:rowOff>
                  </from>
                  <to>
                    <xdr:col>5</xdr:col>
                    <xdr:colOff>0</xdr:colOff>
                    <xdr:row>33</xdr:row>
                    <xdr:rowOff>9525</xdr:rowOff>
                  </to>
                </anchor>
              </controlPr>
            </control>
          </mc:Choice>
        </mc:AlternateContent>
        <mc:AlternateContent xmlns:mc="http://schemas.openxmlformats.org/markup-compatibility/2006">
          <mc:Choice Requires="x14">
            <control shapeId="246259" r:id="rId41" name="Drop Down 499">
              <controlPr defaultSize="0" autoLine="0" autoPict="0">
                <anchor moveWithCells="1">
                  <from>
                    <xdr:col>0</xdr:col>
                    <xdr:colOff>0</xdr:colOff>
                    <xdr:row>33</xdr:row>
                    <xdr:rowOff>0</xdr:rowOff>
                  </from>
                  <to>
                    <xdr:col>5</xdr:col>
                    <xdr:colOff>0</xdr:colOff>
                    <xdr:row>34</xdr:row>
                    <xdr:rowOff>9525</xdr:rowOff>
                  </to>
                </anchor>
              </controlPr>
            </control>
          </mc:Choice>
        </mc:AlternateContent>
        <mc:AlternateContent xmlns:mc="http://schemas.openxmlformats.org/markup-compatibility/2006">
          <mc:Choice Requires="x14">
            <control shapeId="246260" r:id="rId42" name="Drop Down 500">
              <controlPr defaultSize="0" autoLine="0" autoPict="0">
                <anchor moveWithCells="1">
                  <from>
                    <xdr:col>0</xdr:col>
                    <xdr:colOff>0</xdr:colOff>
                    <xdr:row>34</xdr:row>
                    <xdr:rowOff>0</xdr:rowOff>
                  </from>
                  <to>
                    <xdr:col>5</xdr:col>
                    <xdr:colOff>0</xdr:colOff>
                    <xdr:row>35</xdr:row>
                    <xdr:rowOff>9525</xdr:rowOff>
                  </to>
                </anchor>
              </controlPr>
            </control>
          </mc:Choice>
        </mc:AlternateContent>
        <mc:AlternateContent xmlns:mc="http://schemas.openxmlformats.org/markup-compatibility/2006">
          <mc:Choice Requires="x14">
            <control shapeId="246272" r:id="rId43" name="Drop Down 512">
              <controlPr defaultSize="0" autoLine="0" autoPict="0">
                <anchor moveWithCells="1">
                  <from>
                    <xdr:col>0</xdr:col>
                    <xdr:colOff>0</xdr:colOff>
                    <xdr:row>34</xdr:row>
                    <xdr:rowOff>190500</xdr:rowOff>
                  </from>
                  <to>
                    <xdr:col>5</xdr:col>
                    <xdr:colOff>0</xdr:colOff>
                    <xdr:row>36</xdr:row>
                    <xdr:rowOff>9525</xdr:rowOff>
                  </to>
                </anchor>
              </controlPr>
            </control>
          </mc:Choice>
        </mc:AlternateContent>
        <mc:AlternateContent xmlns:mc="http://schemas.openxmlformats.org/markup-compatibility/2006">
          <mc:Choice Requires="x14">
            <control shapeId="246293" r:id="rId44" name="Drop Down 533">
              <controlPr defaultSize="0" autoLine="0" autoPict="0">
                <anchor moveWithCells="1">
                  <from>
                    <xdr:col>0</xdr:col>
                    <xdr:colOff>0</xdr:colOff>
                    <xdr:row>62</xdr:row>
                    <xdr:rowOff>0</xdr:rowOff>
                  </from>
                  <to>
                    <xdr:col>5</xdr:col>
                    <xdr:colOff>0</xdr:colOff>
                    <xdr:row>63</xdr:row>
                    <xdr:rowOff>9525</xdr:rowOff>
                  </to>
                </anchor>
              </controlPr>
            </control>
          </mc:Choice>
        </mc:AlternateContent>
        <mc:AlternateContent xmlns:mc="http://schemas.openxmlformats.org/markup-compatibility/2006">
          <mc:Choice Requires="x14">
            <control shapeId="246294" r:id="rId45" name="Drop Down 534">
              <controlPr defaultSize="0" autoLine="0" autoPict="0">
                <anchor moveWithCells="1">
                  <from>
                    <xdr:col>0</xdr:col>
                    <xdr:colOff>0</xdr:colOff>
                    <xdr:row>63</xdr:row>
                    <xdr:rowOff>0</xdr:rowOff>
                  </from>
                  <to>
                    <xdr:col>5</xdr:col>
                    <xdr:colOff>0</xdr:colOff>
                    <xdr:row>64</xdr:row>
                    <xdr:rowOff>9525</xdr:rowOff>
                  </to>
                </anchor>
              </controlPr>
            </control>
          </mc:Choice>
        </mc:AlternateContent>
        <mc:AlternateContent xmlns:mc="http://schemas.openxmlformats.org/markup-compatibility/2006">
          <mc:Choice Requires="x14">
            <control shapeId="246295" r:id="rId46" name="Drop Down 535">
              <controlPr defaultSize="0" autoLine="0" autoPict="0">
                <anchor moveWithCells="1">
                  <from>
                    <xdr:col>0</xdr:col>
                    <xdr:colOff>0</xdr:colOff>
                    <xdr:row>64</xdr:row>
                    <xdr:rowOff>0</xdr:rowOff>
                  </from>
                  <to>
                    <xdr:col>5</xdr:col>
                    <xdr:colOff>0</xdr:colOff>
                    <xdr:row>65</xdr:row>
                    <xdr:rowOff>9525</xdr:rowOff>
                  </to>
                </anchor>
              </controlPr>
            </control>
          </mc:Choice>
        </mc:AlternateContent>
        <mc:AlternateContent xmlns:mc="http://schemas.openxmlformats.org/markup-compatibility/2006">
          <mc:Choice Requires="x14">
            <control shapeId="246296" r:id="rId47" name="Drop Down 536">
              <controlPr defaultSize="0" autoLine="0" autoPict="0">
                <anchor moveWithCells="1">
                  <from>
                    <xdr:col>0</xdr:col>
                    <xdr:colOff>0</xdr:colOff>
                    <xdr:row>65</xdr:row>
                    <xdr:rowOff>0</xdr:rowOff>
                  </from>
                  <to>
                    <xdr:col>5</xdr:col>
                    <xdr:colOff>0</xdr:colOff>
                    <xdr:row>66</xdr:row>
                    <xdr:rowOff>9525</xdr:rowOff>
                  </to>
                </anchor>
              </controlPr>
            </control>
          </mc:Choice>
        </mc:AlternateContent>
        <mc:AlternateContent xmlns:mc="http://schemas.openxmlformats.org/markup-compatibility/2006">
          <mc:Choice Requires="x14">
            <control shapeId="246307" r:id="rId48" name="Drop Down 547">
              <controlPr defaultSize="0" autoLine="0" autoPict="0">
                <anchor moveWithCells="1">
                  <from>
                    <xdr:col>0</xdr:col>
                    <xdr:colOff>0</xdr:colOff>
                    <xdr:row>66</xdr:row>
                    <xdr:rowOff>190500</xdr:rowOff>
                  </from>
                  <to>
                    <xdr:col>5</xdr:col>
                    <xdr:colOff>0</xdr:colOff>
                    <xdr:row>68</xdr:row>
                    <xdr:rowOff>9525</xdr:rowOff>
                  </to>
                </anchor>
              </controlPr>
            </control>
          </mc:Choice>
        </mc:AlternateContent>
        <mc:AlternateContent xmlns:mc="http://schemas.openxmlformats.org/markup-compatibility/2006">
          <mc:Choice Requires="x14">
            <control shapeId="246308" r:id="rId49" name="Drop Down 548">
              <controlPr defaultSize="0" autoLine="0" autoPict="0">
                <anchor moveWithCells="1">
                  <from>
                    <xdr:col>0</xdr:col>
                    <xdr:colOff>0</xdr:colOff>
                    <xdr:row>65</xdr:row>
                    <xdr:rowOff>200025</xdr:rowOff>
                  </from>
                  <to>
                    <xdr:col>5</xdr:col>
                    <xdr:colOff>0</xdr:colOff>
                    <xdr:row>67</xdr:row>
                    <xdr:rowOff>9525</xdr:rowOff>
                  </to>
                </anchor>
              </controlPr>
            </control>
          </mc:Choice>
        </mc:AlternateContent>
        <mc:AlternateContent xmlns:mc="http://schemas.openxmlformats.org/markup-compatibility/2006">
          <mc:Choice Requires="x14">
            <control shapeId="246374" r:id="rId50" name="Drop Down 614">
              <controlPr defaultSize="0" autoLine="0" autoPict="0">
                <anchor moveWithCells="1">
                  <from>
                    <xdr:col>1</xdr:col>
                    <xdr:colOff>171450</xdr:colOff>
                    <xdr:row>97</xdr:row>
                    <xdr:rowOff>0</xdr:rowOff>
                  </from>
                  <to>
                    <xdr:col>5</xdr:col>
                    <xdr:colOff>0</xdr:colOff>
                    <xdr:row>98</xdr:row>
                    <xdr:rowOff>9525</xdr:rowOff>
                  </to>
                </anchor>
              </controlPr>
            </control>
          </mc:Choice>
        </mc:AlternateContent>
        <mc:AlternateContent xmlns:mc="http://schemas.openxmlformats.org/markup-compatibility/2006">
          <mc:Choice Requires="x14">
            <control shapeId="246375" r:id="rId51" name="Drop Down 615">
              <controlPr defaultSize="0" autoLine="0" autoPict="0">
                <anchor moveWithCells="1">
                  <from>
                    <xdr:col>1</xdr:col>
                    <xdr:colOff>171450</xdr:colOff>
                    <xdr:row>101</xdr:row>
                    <xdr:rowOff>0</xdr:rowOff>
                  </from>
                  <to>
                    <xdr:col>5</xdr:col>
                    <xdr:colOff>0</xdr:colOff>
                    <xdr:row>102</xdr:row>
                    <xdr:rowOff>9525</xdr:rowOff>
                  </to>
                </anchor>
              </controlPr>
            </control>
          </mc:Choice>
        </mc:AlternateContent>
        <mc:AlternateContent xmlns:mc="http://schemas.openxmlformats.org/markup-compatibility/2006">
          <mc:Choice Requires="x14">
            <control shapeId="246376" r:id="rId52" name="Drop Down 616">
              <controlPr defaultSize="0" autoLine="0" autoPict="0">
                <anchor moveWithCells="1">
                  <from>
                    <xdr:col>1</xdr:col>
                    <xdr:colOff>171450</xdr:colOff>
                    <xdr:row>101</xdr:row>
                    <xdr:rowOff>190500</xdr:rowOff>
                  </from>
                  <to>
                    <xdr:col>5</xdr:col>
                    <xdr:colOff>0</xdr:colOff>
                    <xdr:row>103</xdr:row>
                    <xdr:rowOff>9525</xdr:rowOff>
                  </to>
                </anchor>
              </controlPr>
            </control>
          </mc:Choice>
        </mc:AlternateContent>
        <mc:AlternateContent xmlns:mc="http://schemas.openxmlformats.org/markup-compatibility/2006">
          <mc:Choice Requires="x14">
            <control shapeId="246377" r:id="rId53" name="Drop Down 617">
              <controlPr defaultSize="0" autoLine="0" autoPict="0">
                <anchor moveWithCells="1">
                  <from>
                    <xdr:col>1</xdr:col>
                    <xdr:colOff>171450</xdr:colOff>
                    <xdr:row>98</xdr:row>
                    <xdr:rowOff>0</xdr:rowOff>
                  </from>
                  <to>
                    <xdr:col>5</xdr:col>
                    <xdr:colOff>0</xdr:colOff>
                    <xdr:row>99</xdr:row>
                    <xdr:rowOff>9525</xdr:rowOff>
                  </to>
                </anchor>
              </controlPr>
            </control>
          </mc:Choice>
        </mc:AlternateContent>
        <mc:AlternateContent xmlns:mc="http://schemas.openxmlformats.org/markup-compatibility/2006">
          <mc:Choice Requires="x14">
            <control shapeId="246378" r:id="rId54" name="Drop Down 618">
              <controlPr defaultSize="0" autoLine="0" autoPict="0">
                <anchor moveWithCells="1">
                  <from>
                    <xdr:col>1</xdr:col>
                    <xdr:colOff>171450</xdr:colOff>
                    <xdr:row>100</xdr:row>
                    <xdr:rowOff>0</xdr:rowOff>
                  </from>
                  <to>
                    <xdr:col>5</xdr:col>
                    <xdr:colOff>0</xdr:colOff>
                    <xdr:row>101</xdr:row>
                    <xdr:rowOff>9525</xdr:rowOff>
                  </to>
                </anchor>
              </controlPr>
            </control>
          </mc:Choice>
        </mc:AlternateContent>
        <mc:AlternateContent xmlns:mc="http://schemas.openxmlformats.org/markup-compatibility/2006">
          <mc:Choice Requires="x14">
            <control shapeId="246379" r:id="rId55" name="Drop Down 619">
              <controlPr defaultSize="0" autoLine="0" autoPict="0">
                <anchor moveWithCells="1">
                  <from>
                    <xdr:col>1</xdr:col>
                    <xdr:colOff>171450</xdr:colOff>
                    <xdr:row>99</xdr:row>
                    <xdr:rowOff>0</xdr:rowOff>
                  </from>
                  <to>
                    <xdr:col>5</xdr:col>
                    <xdr:colOff>0</xdr:colOff>
                    <xdr:row>100</xdr:row>
                    <xdr:rowOff>9525</xdr:rowOff>
                  </to>
                </anchor>
              </controlPr>
            </control>
          </mc:Choice>
        </mc:AlternateContent>
        <mc:AlternateContent xmlns:mc="http://schemas.openxmlformats.org/markup-compatibility/2006">
          <mc:Choice Requires="x14">
            <control shapeId="246455" r:id="rId56" name="Drop Down 695">
              <controlPr defaultSize="0" autoLine="0" autoPict="0">
                <anchor moveWithCells="1">
                  <from>
                    <xdr:col>0</xdr:col>
                    <xdr:colOff>0</xdr:colOff>
                    <xdr:row>30</xdr:row>
                    <xdr:rowOff>0</xdr:rowOff>
                  </from>
                  <to>
                    <xdr:col>5</xdr:col>
                    <xdr:colOff>0</xdr:colOff>
                    <xdr:row>31</xdr:row>
                    <xdr:rowOff>9525</xdr:rowOff>
                  </to>
                </anchor>
              </controlPr>
            </control>
          </mc:Choice>
        </mc:AlternateContent>
        <mc:AlternateContent xmlns:mc="http://schemas.openxmlformats.org/markup-compatibility/2006">
          <mc:Choice Requires="x14">
            <control shapeId="246480" r:id="rId57" name="Drop Down 720">
              <controlPr defaultSize="0" autoLine="0" autoPict="0">
                <anchor moveWithCells="1">
                  <from>
                    <xdr:col>0</xdr:col>
                    <xdr:colOff>0</xdr:colOff>
                    <xdr:row>61</xdr:row>
                    <xdr:rowOff>0</xdr:rowOff>
                  </from>
                  <to>
                    <xdr:col>5</xdr:col>
                    <xdr:colOff>0</xdr:colOff>
                    <xdr:row>62</xdr:row>
                    <xdr:rowOff>9525</xdr:rowOff>
                  </to>
                </anchor>
              </controlPr>
            </control>
          </mc:Choice>
        </mc:AlternateContent>
        <mc:AlternateContent xmlns:mc="http://schemas.openxmlformats.org/markup-compatibility/2006">
          <mc:Choice Requires="x14">
            <control shapeId="246488" r:id="rId58" name="Drop Down 728">
              <controlPr defaultSize="0" autoLine="0" autoPict="0">
                <anchor moveWithCells="1">
                  <from>
                    <xdr:col>0</xdr:col>
                    <xdr:colOff>0</xdr:colOff>
                    <xdr:row>74</xdr:row>
                    <xdr:rowOff>0</xdr:rowOff>
                  </from>
                  <to>
                    <xdr:col>5</xdr:col>
                    <xdr:colOff>0</xdr:colOff>
                    <xdr:row>75</xdr:row>
                    <xdr:rowOff>9525</xdr:rowOff>
                  </to>
                </anchor>
              </controlPr>
            </control>
          </mc:Choice>
        </mc:AlternateContent>
        <mc:AlternateContent xmlns:mc="http://schemas.openxmlformats.org/markup-compatibility/2006">
          <mc:Choice Requires="x14">
            <control shapeId="246490" r:id="rId59" name="Drop Down 730">
              <controlPr defaultSize="0" autoLine="0" autoPict="0">
                <anchor moveWithCells="1">
                  <from>
                    <xdr:col>0</xdr:col>
                    <xdr:colOff>0</xdr:colOff>
                    <xdr:row>75</xdr:row>
                    <xdr:rowOff>0</xdr:rowOff>
                  </from>
                  <to>
                    <xdr:col>5</xdr:col>
                    <xdr:colOff>0</xdr:colOff>
                    <xdr:row>76</xdr:row>
                    <xdr:rowOff>9525</xdr:rowOff>
                  </to>
                </anchor>
              </controlPr>
            </control>
          </mc:Choice>
        </mc:AlternateContent>
        <mc:AlternateContent xmlns:mc="http://schemas.openxmlformats.org/markup-compatibility/2006">
          <mc:Choice Requires="x14">
            <control shapeId="246491" r:id="rId60" name="Drop Down 731">
              <controlPr defaultSize="0" autoLine="0" autoPict="0">
                <anchor moveWithCells="1">
                  <from>
                    <xdr:col>0</xdr:col>
                    <xdr:colOff>0</xdr:colOff>
                    <xdr:row>76</xdr:row>
                    <xdr:rowOff>0</xdr:rowOff>
                  </from>
                  <to>
                    <xdr:col>5</xdr:col>
                    <xdr:colOff>0</xdr:colOff>
                    <xdr:row>77</xdr:row>
                    <xdr:rowOff>9525</xdr:rowOff>
                  </to>
                </anchor>
              </controlPr>
            </control>
          </mc:Choice>
        </mc:AlternateContent>
        <mc:AlternateContent xmlns:mc="http://schemas.openxmlformats.org/markup-compatibility/2006">
          <mc:Choice Requires="x14">
            <control shapeId="246492" r:id="rId61" name="Drop Down 732">
              <controlPr defaultSize="0" autoLine="0" autoPict="0">
                <anchor moveWithCells="1">
                  <from>
                    <xdr:col>0</xdr:col>
                    <xdr:colOff>0</xdr:colOff>
                    <xdr:row>77</xdr:row>
                    <xdr:rowOff>0</xdr:rowOff>
                  </from>
                  <to>
                    <xdr:col>5</xdr:col>
                    <xdr:colOff>0</xdr:colOff>
                    <xdr:row>78</xdr:row>
                    <xdr:rowOff>9525</xdr:rowOff>
                  </to>
                </anchor>
              </controlPr>
            </control>
          </mc:Choice>
        </mc:AlternateContent>
        <mc:AlternateContent xmlns:mc="http://schemas.openxmlformats.org/markup-compatibility/2006">
          <mc:Choice Requires="x14">
            <control shapeId="246493" r:id="rId62" name="Drop Down 733">
              <controlPr defaultSize="0" autoLine="0" autoPict="0">
                <anchor moveWithCells="1">
                  <from>
                    <xdr:col>0</xdr:col>
                    <xdr:colOff>0</xdr:colOff>
                    <xdr:row>78</xdr:row>
                    <xdr:rowOff>0</xdr:rowOff>
                  </from>
                  <to>
                    <xdr:col>5</xdr:col>
                    <xdr:colOff>0</xdr:colOff>
                    <xdr:row>79</xdr:row>
                    <xdr:rowOff>9525</xdr:rowOff>
                  </to>
                </anchor>
              </controlPr>
            </control>
          </mc:Choice>
        </mc:AlternateContent>
        <mc:AlternateContent xmlns:mc="http://schemas.openxmlformats.org/markup-compatibility/2006">
          <mc:Choice Requires="x14">
            <control shapeId="246519" r:id="rId63" name="Drop Down 759">
              <controlPr defaultSize="0" autoLine="0" autoPict="0">
                <anchor moveWithCells="1">
                  <from>
                    <xdr:col>8</xdr:col>
                    <xdr:colOff>47625</xdr:colOff>
                    <xdr:row>98</xdr:row>
                    <xdr:rowOff>0</xdr:rowOff>
                  </from>
                  <to>
                    <xdr:col>10</xdr:col>
                    <xdr:colOff>228600</xdr:colOff>
                    <xdr:row>99</xdr:row>
                    <xdr:rowOff>0</xdr:rowOff>
                  </to>
                </anchor>
              </controlPr>
            </control>
          </mc:Choice>
        </mc:AlternateContent>
        <mc:AlternateContent xmlns:mc="http://schemas.openxmlformats.org/markup-compatibility/2006">
          <mc:Choice Requires="x14">
            <control shapeId="246520" r:id="rId64" name="Drop Down 760">
              <controlPr defaultSize="0" autoLine="0" autoPict="0">
                <anchor moveWithCells="1">
                  <from>
                    <xdr:col>8</xdr:col>
                    <xdr:colOff>47625</xdr:colOff>
                    <xdr:row>99</xdr:row>
                    <xdr:rowOff>190500</xdr:rowOff>
                  </from>
                  <to>
                    <xdr:col>10</xdr:col>
                    <xdr:colOff>228600</xdr:colOff>
                    <xdr:row>101</xdr:row>
                    <xdr:rowOff>0</xdr:rowOff>
                  </to>
                </anchor>
              </controlPr>
            </control>
          </mc:Choice>
        </mc:AlternateContent>
        <mc:AlternateContent xmlns:mc="http://schemas.openxmlformats.org/markup-compatibility/2006">
          <mc:Choice Requires="x14">
            <control shapeId="246521" r:id="rId65" name="Drop Down 761">
              <controlPr defaultSize="0" autoLine="0" autoPict="0">
                <anchor moveWithCells="1">
                  <from>
                    <xdr:col>8</xdr:col>
                    <xdr:colOff>47625</xdr:colOff>
                    <xdr:row>98</xdr:row>
                    <xdr:rowOff>190500</xdr:rowOff>
                  </from>
                  <to>
                    <xdr:col>10</xdr:col>
                    <xdr:colOff>228600</xdr:colOff>
                    <xdr:row>100</xdr:row>
                    <xdr:rowOff>0</xdr:rowOff>
                  </to>
                </anchor>
              </controlPr>
            </control>
          </mc:Choice>
        </mc:AlternateContent>
        <mc:AlternateContent xmlns:mc="http://schemas.openxmlformats.org/markup-compatibility/2006">
          <mc:Choice Requires="x14">
            <control shapeId="246652" r:id="rId66" name="Check Box 892">
              <controlPr defaultSize="0" autoFill="0" autoLine="0" autoPict="0">
                <anchor moveWithCells="1">
                  <from>
                    <xdr:col>15</xdr:col>
                    <xdr:colOff>38100</xdr:colOff>
                    <xdr:row>13</xdr:row>
                    <xdr:rowOff>19050</xdr:rowOff>
                  </from>
                  <to>
                    <xdr:col>15</xdr:col>
                    <xdr:colOff>266700</xdr:colOff>
                    <xdr:row>13</xdr:row>
                    <xdr:rowOff>180975</xdr:rowOff>
                  </to>
                </anchor>
              </controlPr>
            </control>
          </mc:Choice>
        </mc:AlternateContent>
        <mc:AlternateContent xmlns:mc="http://schemas.openxmlformats.org/markup-compatibility/2006">
          <mc:Choice Requires="x14">
            <control shapeId="246653" r:id="rId67" name="Check Box 893">
              <controlPr defaultSize="0" autoFill="0" autoLine="0" autoPict="0">
                <anchor moveWithCells="1">
                  <from>
                    <xdr:col>15</xdr:col>
                    <xdr:colOff>38100</xdr:colOff>
                    <xdr:row>14</xdr:row>
                    <xdr:rowOff>19050</xdr:rowOff>
                  </from>
                  <to>
                    <xdr:col>15</xdr:col>
                    <xdr:colOff>266700</xdr:colOff>
                    <xdr:row>14</xdr:row>
                    <xdr:rowOff>180975</xdr:rowOff>
                  </to>
                </anchor>
              </controlPr>
            </control>
          </mc:Choice>
        </mc:AlternateContent>
        <mc:AlternateContent xmlns:mc="http://schemas.openxmlformats.org/markup-compatibility/2006">
          <mc:Choice Requires="x14">
            <control shapeId="246654" r:id="rId68" name="Check Box 894">
              <controlPr defaultSize="0" autoFill="0" autoLine="0" autoPict="0">
                <anchor moveWithCells="1">
                  <from>
                    <xdr:col>15</xdr:col>
                    <xdr:colOff>38100</xdr:colOff>
                    <xdr:row>15</xdr:row>
                    <xdr:rowOff>28575</xdr:rowOff>
                  </from>
                  <to>
                    <xdr:col>15</xdr:col>
                    <xdr:colOff>266700</xdr:colOff>
                    <xdr:row>16</xdr:row>
                    <xdr:rowOff>0</xdr:rowOff>
                  </to>
                </anchor>
              </controlPr>
            </control>
          </mc:Choice>
        </mc:AlternateContent>
        <mc:AlternateContent xmlns:mc="http://schemas.openxmlformats.org/markup-compatibility/2006">
          <mc:Choice Requires="x14">
            <control shapeId="246656" r:id="rId69" name="Check Box 896">
              <controlPr defaultSize="0" autoFill="0" autoLine="0" autoPict="0">
                <anchor moveWithCells="1">
                  <from>
                    <xdr:col>15</xdr:col>
                    <xdr:colOff>38100</xdr:colOff>
                    <xdr:row>17</xdr:row>
                    <xdr:rowOff>19050</xdr:rowOff>
                  </from>
                  <to>
                    <xdr:col>15</xdr:col>
                    <xdr:colOff>266700</xdr:colOff>
                    <xdr:row>17</xdr:row>
                    <xdr:rowOff>180975</xdr:rowOff>
                  </to>
                </anchor>
              </controlPr>
            </control>
          </mc:Choice>
        </mc:AlternateContent>
        <mc:AlternateContent xmlns:mc="http://schemas.openxmlformats.org/markup-compatibility/2006">
          <mc:Choice Requires="x14">
            <control shapeId="246657" r:id="rId70" name="Check Box 897">
              <controlPr defaultSize="0" autoFill="0" autoLine="0" autoPict="0">
                <anchor moveWithCells="1">
                  <from>
                    <xdr:col>15</xdr:col>
                    <xdr:colOff>38100</xdr:colOff>
                    <xdr:row>18</xdr:row>
                    <xdr:rowOff>19050</xdr:rowOff>
                  </from>
                  <to>
                    <xdr:col>15</xdr:col>
                    <xdr:colOff>266700</xdr:colOff>
                    <xdr:row>18</xdr:row>
                    <xdr:rowOff>180975</xdr:rowOff>
                  </to>
                </anchor>
              </controlPr>
            </control>
          </mc:Choice>
        </mc:AlternateContent>
        <mc:AlternateContent xmlns:mc="http://schemas.openxmlformats.org/markup-compatibility/2006">
          <mc:Choice Requires="x14">
            <control shapeId="246658" r:id="rId71" name="Check Box 898">
              <controlPr defaultSize="0" autoFill="0" autoLine="0" autoPict="0">
                <anchor moveWithCells="1">
                  <from>
                    <xdr:col>15</xdr:col>
                    <xdr:colOff>38100</xdr:colOff>
                    <xdr:row>19</xdr:row>
                    <xdr:rowOff>19050</xdr:rowOff>
                  </from>
                  <to>
                    <xdr:col>15</xdr:col>
                    <xdr:colOff>266700</xdr:colOff>
                    <xdr:row>19</xdr:row>
                    <xdr:rowOff>180975</xdr:rowOff>
                  </to>
                </anchor>
              </controlPr>
            </control>
          </mc:Choice>
        </mc:AlternateContent>
        <mc:AlternateContent xmlns:mc="http://schemas.openxmlformats.org/markup-compatibility/2006">
          <mc:Choice Requires="x14">
            <control shapeId="246659" r:id="rId72" name="Check Box 899">
              <controlPr defaultSize="0" autoFill="0" autoLine="0" autoPict="0">
                <anchor moveWithCells="1">
                  <from>
                    <xdr:col>15</xdr:col>
                    <xdr:colOff>38100</xdr:colOff>
                    <xdr:row>20</xdr:row>
                    <xdr:rowOff>19050</xdr:rowOff>
                  </from>
                  <to>
                    <xdr:col>15</xdr:col>
                    <xdr:colOff>266700</xdr:colOff>
                    <xdr:row>20</xdr:row>
                    <xdr:rowOff>180975</xdr:rowOff>
                  </to>
                </anchor>
              </controlPr>
            </control>
          </mc:Choice>
        </mc:AlternateContent>
        <mc:AlternateContent xmlns:mc="http://schemas.openxmlformats.org/markup-compatibility/2006">
          <mc:Choice Requires="x14">
            <control shapeId="246660" r:id="rId73" name="Check Box 900">
              <controlPr defaultSize="0" autoFill="0" autoLine="0" autoPict="0">
                <anchor moveWithCells="1">
                  <from>
                    <xdr:col>15</xdr:col>
                    <xdr:colOff>38100</xdr:colOff>
                    <xdr:row>21</xdr:row>
                    <xdr:rowOff>19050</xdr:rowOff>
                  </from>
                  <to>
                    <xdr:col>15</xdr:col>
                    <xdr:colOff>266700</xdr:colOff>
                    <xdr:row>21</xdr:row>
                    <xdr:rowOff>180975</xdr:rowOff>
                  </to>
                </anchor>
              </controlPr>
            </control>
          </mc:Choice>
        </mc:AlternateContent>
        <mc:AlternateContent xmlns:mc="http://schemas.openxmlformats.org/markup-compatibility/2006">
          <mc:Choice Requires="x14">
            <control shapeId="246661" r:id="rId74" name="Check Box 901">
              <controlPr defaultSize="0" autoFill="0" autoLine="0" autoPict="0">
                <anchor moveWithCells="1">
                  <from>
                    <xdr:col>15</xdr:col>
                    <xdr:colOff>38100</xdr:colOff>
                    <xdr:row>22</xdr:row>
                    <xdr:rowOff>19050</xdr:rowOff>
                  </from>
                  <to>
                    <xdr:col>15</xdr:col>
                    <xdr:colOff>266700</xdr:colOff>
                    <xdr:row>22</xdr:row>
                    <xdr:rowOff>180975</xdr:rowOff>
                  </to>
                </anchor>
              </controlPr>
            </control>
          </mc:Choice>
        </mc:AlternateContent>
        <mc:AlternateContent xmlns:mc="http://schemas.openxmlformats.org/markup-compatibility/2006">
          <mc:Choice Requires="x14">
            <control shapeId="246662" r:id="rId75" name="Check Box 902">
              <controlPr defaultSize="0" autoFill="0" autoLine="0" autoPict="0">
                <anchor moveWithCells="1">
                  <from>
                    <xdr:col>15</xdr:col>
                    <xdr:colOff>38100</xdr:colOff>
                    <xdr:row>23</xdr:row>
                    <xdr:rowOff>19050</xdr:rowOff>
                  </from>
                  <to>
                    <xdr:col>15</xdr:col>
                    <xdr:colOff>266700</xdr:colOff>
                    <xdr:row>23</xdr:row>
                    <xdr:rowOff>180975</xdr:rowOff>
                  </to>
                </anchor>
              </controlPr>
            </control>
          </mc:Choice>
        </mc:AlternateContent>
        <mc:AlternateContent xmlns:mc="http://schemas.openxmlformats.org/markup-compatibility/2006">
          <mc:Choice Requires="x14">
            <control shapeId="246663" r:id="rId76" name="Check Box 903">
              <controlPr defaultSize="0" autoFill="0" autoLine="0" autoPict="0">
                <anchor moveWithCells="1">
                  <from>
                    <xdr:col>15</xdr:col>
                    <xdr:colOff>38100</xdr:colOff>
                    <xdr:row>24</xdr:row>
                    <xdr:rowOff>19050</xdr:rowOff>
                  </from>
                  <to>
                    <xdr:col>15</xdr:col>
                    <xdr:colOff>266700</xdr:colOff>
                    <xdr:row>24</xdr:row>
                    <xdr:rowOff>180975</xdr:rowOff>
                  </to>
                </anchor>
              </controlPr>
            </control>
          </mc:Choice>
        </mc:AlternateContent>
        <mc:AlternateContent xmlns:mc="http://schemas.openxmlformats.org/markup-compatibility/2006">
          <mc:Choice Requires="x14">
            <control shapeId="246664" r:id="rId77" name="Check Box 904">
              <controlPr defaultSize="0" autoFill="0" autoLine="0" autoPict="0">
                <anchor moveWithCells="1">
                  <from>
                    <xdr:col>15</xdr:col>
                    <xdr:colOff>38100</xdr:colOff>
                    <xdr:row>25</xdr:row>
                    <xdr:rowOff>19050</xdr:rowOff>
                  </from>
                  <to>
                    <xdr:col>15</xdr:col>
                    <xdr:colOff>266700</xdr:colOff>
                    <xdr:row>25</xdr:row>
                    <xdr:rowOff>180975</xdr:rowOff>
                  </to>
                </anchor>
              </controlPr>
            </control>
          </mc:Choice>
        </mc:AlternateContent>
        <mc:AlternateContent xmlns:mc="http://schemas.openxmlformats.org/markup-compatibility/2006">
          <mc:Choice Requires="x14">
            <control shapeId="246665" r:id="rId78" name="Check Box 905">
              <controlPr defaultSize="0" autoFill="0" autoLine="0" autoPict="0">
                <anchor moveWithCells="1">
                  <from>
                    <xdr:col>15</xdr:col>
                    <xdr:colOff>38100</xdr:colOff>
                    <xdr:row>26</xdr:row>
                    <xdr:rowOff>19050</xdr:rowOff>
                  </from>
                  <to>
                    <xdr:col>15</xdr:col>
                    <xdr:colOff>266700</xdr:colOff>
                    <xdr:row>26</xdr:row>
                    <xdr:rowOff>180975</xdr:rowOff>
                  </to>
                </anchor>
              </controlPr>
            </control>
          </mc:Choice>
        </mc:AlternateContent>
        <mc:AlternateContent xmlns:mc="http://schemas.openxmlformats.org/markup-compatibility/2006">
          <mc:Choice Requires="x14">
            <control shapeId="246666" r:id="rId79" name="Check Box 906">
              <controlPr defaultSize="0" autoFill="0" autoLine="0" autoPict="0">
                <anchor moveWithCells="1">
                  <from>
                    <xdr:col>15</xdr:col>
                    <xdr:colOff>38100</xdr:colOff>
                    <xdr:row>27</xdr:row>
                    <xdr:rowOff>19050</xdr:rowOff>
                  </from>
                  <to>
                    <xdr:col>15</xdr:col>
                    <xdr:colOff>266700</xdr:colOff>
                    <xdr:row>27</xdr:row>
                    <xdr:rowOff>180975</xdr:rowOff>
                  </to>
                </anchor>
              </controlPr>
            </control>
          </mc:Choice>
        </mc:AlternateContent>
        <mc:AlternateContent xmlns:mc="http://schemas.openxmlformats.org/markup-compatibility/2006">
          <mc:Choice Requires="x14">
            <control shapeId="246667" r:id="rId80" name="Check Box 907">
              <controlPr defaultSize="0" autoFill="0" autoLine="0" autoPict="0">
                <anchor moveWithCells="1">
                  <from>
                    <xdr:col>15</xdr:col>
                    <xdr:colOff>38100</xdr:colOff>
                    <xdr:row>28</xdr:row>
                    <xdr:rowOff>19050</xdr:rowOff>
                  </from>
                  <to>
                    <xdr:col>15</xdr:col>
                    <xdr:colOff>266700</xdr:colOff>
                    <xdr:row>28</xdr:row>
                    <xdr:rowOff>180975</xdr:rowOff>
                  </to>
                </anchor>
              </controlPr>
            </control>
          </mc:Choice>
        </mc:AlternateContent>
        <mc:AlternateContent xmlns:mc="http://schemas.openxmlformats.org/markup-compatibility/2006">
          <mc:Choice Requires="x14">
            <control shapeId="246668" r:id="rId81" name="Check Box 908">
              <controlPr defaultSize="0" autoFill="0" autoLine="0" autoPict="0">
                <anchor moveWithCells="1">
                  <from>
                    <xdr:col>15</xdr:col>
                    <xdr:colOff>38100</xdr:colOff>
                    <xdr:row>29</xdr:row>
                    <xdr:rowOff>19050</xdr:rowOff>
                  </from>
                  <to>
                    <xdr:col>15</xdr:col>
                    <xdr:colOff>266700</xdr:colOff>
                    <xdr:row>29</xdr:row>
                    <xdr:rowOff>180975</xdr:rowOff>
                  </to>
                </anchor>
              </controlPr>
            </control>
          </mc:Choice>
        </mc:AlternateContent>
        <mc:AlternateContent xmlns:mc="http://schemas.openxmlformats.org/markup-compatibility/2006">
          <mc:Choice Requires="x14">
            <control shapeId="246669" r:id="rId82" name="Check Box 909">
              <controlPr defaultSize="0" autoFill="0" autoLine="0" autoPict="0">
                <anchor moveWithCells="1">
                  <from>
                    <xdr:col>15</xdr:col>
                    <xdr:colOff>38100</xdr:colOff>
                    <xdr:row>30</xdr:row>
                    <xdr:rowOff>19050</xdr:rowOff>
                  </from>
                  <to>
                    <xdr:col>15</xdr:col>
                    <xdr:colOff>266700</xdr:colOff>
                    <xdr:row>30</xdr:row>
                    <xdr:rowOff>180975</xdr:rowOff>
                  </to>
                </anchor>
              </controlPr>
            </control>
          </mc:Choice>
        </mc:AlternateContent>
        <mc:AlternateContent xmlns:mc="http://schemas.openxmlformats.org/markup-compatibility/2006">
          <mc:Choice Requires="x14">
            <control shapeId="246670" r:id="rId83" name="Check Box 910">
              <controlPr defaultSize="0" autoFill="0" autoLine="0" autoPict="0">
                <anchor moveWithCells="1">
                  <from>
                    <xdr:col>15</xdr:col>
                    <xdr:colOff>38100</xdr:colOff>
                    <xdr:row>31</xdr:row>
                    <xdr:rowOff>19050</xdr:rowOff>
                  </from>
                  <to>
                    <xdr:col>15</xdr:col>
                    <xdr:colOff>266700</xdr:colOff>
                    <xdr:row>31</xdr:row>
                    <xdr:rowOff>180975</xdr:rowOff>
                  </to>
                </anchor>
              </controlPr>
            </control>
          </mc:Choice>
        </mc:AlternateContent>
        <mc:AlternateContent xmlns:mc="http://schemas.openxmlformats.org/markup-compatibility/2006">
          <mc:Choice Requires="x14">
            <control shapeId="246671" r:id="rId84" name="Check Box 911">
              <controlPr defaultSize="0" autoFill="0" autoLine="0" autoPict="0">
                <anchor moveWithCells="1">
                  <from>
                    <xdr:col>15</xdr:col>
                    <xdr:colOff>38100</xdr:colOff>
                    <xdr:row>32</xdr:row>
                    <xdr:rowOff>19050</xdr:rowOff>
                  </from>
                  <to>
                    <xdr:col>15</xdr:col>
                    <xdr:colOff>266700</xdr:colOff>
                    <xdr:row>32</xdr:row>
                    <xdr:rowOff>180975</xdr:rowOff>
                  </to>
                </anchor>
              </controlPr>
            </control>
          </mc:Choice>
        </mc:AlternateContent>
        <mc:AlternateContent xmlns:mc="http://schemas.openxmlformats.org/markup-compatibility/2006">
          <mc:Choice Requires="x14">
            <control shapeId="246672" r:id="rId85" name="Check Box 912">
              <controlPr defaultSize="0" autoFill="0" autoLine="0" autoPict="0">
                <anchor moveWithCells="1">
                  <from>
                    <xdr:col>15</xdr:col>
                    <xdr:colOff>38100</xdr:colOff>
                    <xdr:row>33</xdr:row>
                    <xdr:rowOff>19050</xdr:rowOff>
                  </from>
                  <to>
                    <xdr:col>15</xdr:col>
                    <xdr:colOff>266700</xdr:colOff>
                    <xdr:row>33</xdr:row>
                    <xdr:rowOff>180975</xdr:rowOff>
                  </to>
                </anchor>
              </controlPr>
            </control>
          </mc:Choice>
        </mc:AlternateContent>
        <mc:AlternateContent xmlns:mc="http://schemas.openxmlformats.org/markup-compatibility/2006">
          <mc:Choice Requires="x14">
            <control shapeId="246673" r:id="rId86" name="Check Box 913">
              <controlPr defaultSize="0" autoFill="0" autoLine="0" autoPict="0">
                <anchor moveWithCells="1">
                  <from>
                    <xdr:col>15</xdr:col>
                    <xdr:colOff>38100</xdr:colOff>
                    <xdr:row>34</xdr:row>
                    <xdr:rowOff>19050</xdr:rowOff>
                  </from>
                  <to>
                    <xdr:col>15</xdr:col>
                    <xdr:colOff>266700</xdr:colOff>
                    <xdr:row>34</xdr:row>
                    <xdr:rowOff>180975</xdr:rowOff>
                  </to>
                </anchor>
              </controlPr>
            </control>
          </mc:Choice>
        </mc:AlternateContent>
        <mc:AlternateContent xmlns:mc="http://schemas.openxmlformats.org/markup-compatibility/2006">
          <mc:Choice Requires="x14">
            <control shapeId="246674" r:id="rId87" name="Check Box 914">
              <controlPr defaultSize="0" autoFill="0" autoLine="0" autoPict="0">
                <anchor moveWithCells="1">
                  <from>
                    <xdr:col>15</xdr:col>
                    <xdr:colOff>38100</xdr:colOff>
                    <xdr:row>35</xdr:row>
                    <xdr:rowOff>19050</xdr:rowOff>
                  </from>
                  <to>
                    <xdr:col>15</xdr:col>
                    <xdr:colOff>266700</xdr:colOff>
                    <xdr:row>35</xdr:row>
                    <xdr:rowOff>180975</xdr:rowOff>
                  </to>
                </anchor>
              </controlPr>
            </control>
          </mc:Choice>
        </mc:AlternateContent>
        <mc:AlternateContent xmlns:mc="http://schemas.openxmlformats.org/markup-compatibility/2006">
          <mc:Choice Requires="x14">
            <control shapeId="246700" r:id="rId88" name="Check Box 940">
              <controlPr defaultSize="0" autoFill="0" autoLine="0" autoPict="0">
                <anchor moveWithCells="1">
                  <from>
                    <xdr:col>15</xdr:col>
                    <xdr:colOff>38100</xdr:colOff>
                    <xdr:row>16</xdr:row>
                    <xdr:rowOff>28575</xdr:rowOff>
                  </from>
                  <to>
                    <xdr:col>15</xdr:col>
                    <xdr:colOff>266700</xdr:colOff>
                    <xdr:row>17</xdr:row>
                    <xdr:rowOff>0</xdr:rowOff>
                  </to>
                </anchor>
              </controlPr>
            </control>
          </mc:Choice>
        </mc:AlternateContent>
        <mc:AlternateContent xmlns:mc="http://schemas.openxmlformats.org/markup-compatibility/2006">
          <mc:Choice Requires="x14">
            <control shapeId="246701" r:id="rId89" name="Check Box 941">
              <controlPr defaultSize="0" autoFill="0" autoLine="0" autoPict="0">
                <anchor moveWithCells="1">
                  <from>
                    <xdr:col>15</xdr:col>
                    <xdr:colOff>38100</xdr:colOff>
                    <xdr:row>43</xdr:row>
                    <xdr:rowOff>19050</xdr:rowOff>
                  </from>
                  <to>
                    <xdr:col>15</xdr:col>
                    <xdr:colOff>266700</xdr:colOff>
                    <xdr:row>43</xdr:row>
                    <xdr:rowOff>180975</xdr:rowOff>
                  </to>
                </anchor>
              </controlPr>
            </control>
          </mc:Choice>
        </mc:AlternateContent>
        <mc:AlternateContent xmlns:mc="http://schemas.openxmlformats.org/markup-compatibility/2006">
          <mc:Choice Requires="x14">
            <control shapeId="246702" r:id="rId90" name="Check Box 942">
              <controlPr defaultSize="0" autoFill="0" autoLine="0" autoPict="0">
                <anchor moveWithCells="1">
                  <from>
                    <xdr:col>15</xdr:col>
                    <xdr:colOff>38100</xdr:colOff>
                    <xdr:row>44</xdr:row>
                    <xdr:rowOff>19050</xdr:rowOff>
                  </from>
                  <to>
                    <xdr:col>15</xdr:col>
                    <xdr:colOff>266700</xdr:colOff>
                    <xdr:row>44</xdr:row>
                    <xdr:rowOff>180975</xdr:rowOff>
                  </to>
                </anchor>
              </controlPr>
            </control>
          </mc:Choice>
        </mc:AlternateContent>
        <mc:AlternateContent xmlns:mc="http://schemas.openxmlformats.org/markup-compatibility/2006">
          <mc:Choice Requires="x14">
            <control shapeId="246703" r:id="rId91" name="Check Box 943">
              <controlPr defaultSize="0" autoFill="0" autoLine="0" autoPict="0">
                <anchor moveWithCells="1">
                  <from>
                    <xdr:col>15</xdr:col>
                    <xdr:colOff>38100</xdr:colOff>
                    <xdr:row>45</xdr:row>
                    <xdr:rowOff>19050</xdr:rowOff>
                  </from>
                  <to>
                    <xdr:col>15</xdr:col>
                    <xdr:colOff>266700</xdr:colOff>
                    <xdr:row>45</xdr:row>
                    <xdr:rowOff>180975</xdr:rowOff>
                  </to>
                </anchor>
              </controlPr>
            </control>
          </mc:Choice>
        </mc:AlternateContent>
        <mc:AlternateContent xmlns:mc="http://schemas.openxmlformats.org/markup-compatibility/2006">
          <mc:Choice Requires="x14">
            <control shapeId="246704" r:id="rId92" name="Check Box 944">
              <controlPr defaultSize="0" autoFill="0" autoLine="0" autoPict="0">
                <anchor moveWithCells="1">
                  <from>
                    <xdr:col>15</xdr:col>
                    <xdr:colOff>38100</xdr:colOff>
                    <xdr:row>46</xdr:row>
                    <xdr:rowOff>19050</xdr:rowOff>
                  </from>
                  <to>
                    <xdr:col>15</xdr:col>
                    <xdr:colOff>266700</xdr:colOff>
                    <xdr:row>46</xdr:row>
                    <xdr:rowOff>180975</xdr:rowOff>
                  </to>
                </anchor>
              </controlPr>
            </control>
          </mc:Choice>
        </mc:AlternateContent>
        <mc:AlternateContent xmlns:mc="http://schemas.openxmlformats.org/markup-compatibility/2006">
          <mc:Choice Requires="x14">
            <control shapeId="246705" r:id="rId93" name="Check Box 945">
              <controlPr defaultSize="0" autoFill="0" autoLine="0" autoPict="0">
                <anchor moveWithCells="1">
                  <from>
                    <xdr:col>15</xdr:col>
                    <xdr:colOff>38100</xdr:colOff>
                    <xdr:row>47</xdr:row>
                    <xdr:rowOff>19050</xdr:rowOff>
                  </from>
                  <to>
                    <xdr:col>15</xdr:col>
                    <xdr:colOff>266700</xdr:colOff>
                    <xdr:row>47</xdr:row>
                    <xdr:rowOff>180975</xdr:rowOff>
                  </to>
                </anchor>
              </controlPr>
            </control>
          </mc:Choice>
        </mc:AlternateContent>
        <mc:AlternateContent xmlns:mc="http://schemas.openxmlformats.org/markup-compatibility/2006">
          <mc:Choice Requires="x14">
            <control shapeId="246706" r:id="rId94" name="Check Box 946">
              <controlPr defaultSize="0" autoFill="0" autoLine="0" autoPict="0">
                <anchor moveWithCells="1">
                  <from>
                    <xdr:col>15</xdr:col>
                    <xdr:colOff>38100</xdr:colOff>
                    <xdr:row>47</xdr:row>
                    <xdr:rowOff>19050</xdr:rowOff>
                  </from>
                  <to>
                    <xdr:col>15</xdr:col>
                    <xdr:colOff>266700</xdr:colOff>
                    <xdr:row>47</xdr:row>
                    <xdr:rowOff>180975</xdr:rowOff>
                  </to>
                </anchor>
              </controlPr>
            </control>
          </mc:Choice>
        </mc:AlternateContent>
        <mc:AlternateContent xmlns:mc="http://schemas.openxmlformats.org/markup-compatibility/2006">
          <mc:Choice Requires="x14">
            <control shapeId="246707" r:id="rId95" name="Check Box 947">
              <controlPr defaultSize="0" autoFill="0" autoLine="0" autoPict="0">
                <anchor moveWithCells="1">
                  <from>
                    <xdr:col>15</xdr:col>
                    <xdr:colOff>38100</xdr:colOff>
                    <xdr:row>48</xdr:row>
                    <xdr:rowOff>19050</xdr:rowOff>
                  </from>
                  <to>
                    <xdr:col>15</xdr:col>
                    <xdr:colOff>266700</xdr:colOff>
                    <xdr:row>48</xdr:row>
                    <xdr:rowOff>180975</xdr:rowOff>
                  </to>
                </anchor>
              </controlPr>
            </control>
          </mc:Choice>
        </mc:AlternateContent>
        <mc:AlternateContent xmlns:mc="http://schemas.openxmlformats.org/markup-compatibility/2006">
          <mc:Choice Requires="x14">
            <control shapeId="246708" r:id="rId96" name="Check Box 948">
              <controlPr defaultSize="0" autoFill="0" autoLine="0" autoPict="0">
                <anchor moveWithCells="1">
                  <from>
                    <xdr:col>15</xdr:col>
                    <xdr:colOff>38100</xdr:colOff>
                    <xdr:row>49</xdr:row>
                    <xdr:rowOff>19050</xdr:rowOff>
                  </from>
                  <to>
                    <xdr:col>15</xdr:col>
                    <xdr:colOff>266700</xdr:colOff>
                    <xdr:row>49</xdr:row>
                    <xdr:rowOff>180975</xdr:rowOff>
                  </to>
                </anchor>
              </controlPr>
            </control>
          </mc:Choice>
        </mc:AlternateContent>
        <mc:AlternateContent xmlns:mc="http://schemas.openxmlformats.org/markup-compatibility/2006">
          <mc:Choice Requires="x14">
            <control shapeId="246709" r:id="rId97" name="Check Box 949">
              <controlPr defaultSize="0" autoFill="0" autoLine="0" autoPict="0">
                <anchor moveWithCells="1">
                  <from>
                    <xdr:col>15</xdr:col>
                    <xdr:colOff>38100</xdr:colOff>
                    <xdr:row>50</xdr:row>
                    <xdr:rowOff>19050</xdr:rowOff>
                  </from>
                  <to>
                    <xdr:col>15</xdr:col>
                    <xdr:colOff>266700</xdr:colOff>
                    <xdr:row>50</xdr:row>
                    <xdr:rowOff>180975</xdr:rowOff>
                  </to>
                </anchor>
              </controlPr>
            </control>
          </mc:Choice>
        </mc:AlternateContent>
        <mc:AlternateContent xmlns:mc="http://schemas.openxmlformats.org/markup-compatibility/2006">
          <mc:Choice Requires="x14">
            <control shapeId="246710" r:id="rId98" name="Check Box 950">
              <controlPr defaultSize="0" autoFill="0" autoLine="0" autoPict="0">
                <anchor moveWithCells="1">
                  <from>
                    <xdr:col>15</xdr:col>
                    <xdr:colOff>38100</xdr:colOff>
                    <xdr:row>51</xdr:row>
                    <xdr:rowOff>19050</xdr:rowOff>
                  </from>
                  <to>
                    <xdr:col>15</xdr:col>
                    <xdr:colOff>266700</xdr:colOff>
                    <xdr:row>51</xdr:row>
                    <xdr:rowOff>180975</xdr:rowOff>
                  </to>
                </anchor>
              </controlPr>
            </control>
          </mc:Choice>
        </mc:AlternateContent>
        <mc:AlternateContent xmlns:mc="http://schemas.openxmlformats.org/markup-compatibility/2006">
          <mc:Choice Requires="x14">
            <control shapeId="246711" r:id="rId99" name="Check Box 951">
              <controlPr defaultSize="0" autoFill="0" autoLine="0" autoPict="0">
                <anchor moveWithCells="1">
                  <from>
                    <xdr:col>15</xdr:col>
                    <xdr:colOff>38100</xdr:colOff>
                    <xdr:row>52</xdr:row>
                    <xdr:rowOff>19050</xdr:rowOff>
                  </from>
                  <to>
                    <xdr:col>15</xdr:col>
                    <xdr:colOff>266700</xdr:colOff>
                    <xdr:row>52</xdr:row>
                    <xdr:rowOff>180975</xdr:rowOff>
                  </to>
                </anchor>
              </controlPr>
            </control>
          </mc:Choice>
        </mc:AlternateContent>
        <mc:AlternateContent xmlns:mc="http://schemas.openxmlformats.org/markup-compatibility/2006">
          <mc:Choice Requires="x14">
            <control shapeId="246712" r:id="rId100" name="Check Box 952">
              <controlPr defaultSize="0" autoFill="0" autoLine="0" autoPict="0">
                <anchor moveWithCells="1">
                  <from>
                    <xdr:col>15</xdr:col>
                    <xdr:colOff>38100</xdr:colOff>
                    <xdr:row>53</xdr:row>
                    <xdr:rowOff>19050</xdr:rowOff>
                  </from>
                  <to>
                    <xdr:col>15</xdr:col>
                    <xdr:colOff>266700</xdr:colOff>
                    <xdr:row>53</xdr:row>
                    <xdr:rowOff>180975</xdr:rowOff>
                  </to>
                </anchor>
              </controlPr>
            </control>
          </mc:Choice>
        </mc:AlternateContent>
        <mc:AlternateContent xmlns:mc="http://schemas.openxmlformats.org/markup-compatibility/2006">
          <mc:Choice Requires="x14">
            <control shapeId="246713" r:id="rId101" name="Check Box 953">
              <controlPr defaultSize="0" autoFill="0" autoLine="0" autoPict="0">
                <anchor moveWithCells="1">
                  <from>
                    <xdr:col>15</xdr:col>
                    <xdr:colOff>38100</xdr:colOff>
                    <xdr:row>54</xdr:row>
                    <xdr:rowOff>19050</xdr:rowOff>
                  </from>
                  <to>
                    <xdr:col>15</xdr:col>
                    <xdr:colOff>266700</xdr:colOff>
                    <xdr:row>54</xdr:row>
                    <xdr:rowOff>180975</xdr:rowOff>
                  </to>
                </anchor>
              </controlPr>
            </control>
          </mc:Choice>
        </mc:AlternateContent>
        <mc:AlternateContent xmlns:mc="http://schemas.openxmlformats.org/markup-compatibility/2006">
          <mc:Choice Requires="x14">
            <control shapeId="246714" r:id="rId102" name="Check Box 954">
              <controlPr defaultSize="0" autoFill="0" autoLine="0" autoPict="0">
                <anchor moveWithCells="1">
                  <from>
                    <xdr:col>15</xdr:col>
                    <xdr:colOff>38100</xdr:colOff>
                    <xdr:row>55</xdr:row>
                    <xdr:rowOff>19050</xdr:rowOff>
                  </from>
                  <to>
                    <xdr:col>15</xdr:col>
                    <xdr:colOff>266700</xdr:colOff>
                    <xdr:row>55</xdr:row>
                    <xdr:rowOff>180975</xdr:rowOff>
                  </to>
                </anchor>
              </controlPr>
            </control>
          </mc:Choice>
        </mc:AlternateContent>
        <mc:AlternateContent xmlns:mc="http://schemas.openxmlformats.org/markup-compatibility/2006">
          <mc:Choice Requires="x14">
            <control shapeId="246715" r:id="rId103" name="Check Box 955">
              <controlPr defaultSize="0" autoFill="0" autoLine="0" autoPict="0">
                <anchor moveWithCells="1">
                  <from>
                    <xdr:col>15</xdr:col>
                    <xdr:colOff>38100</xdr:colOff>
                    <xdr:row>56</xdr:row>
                    <xdr:rowOff>19050</xdr:rowOff>
                  </from>
                  <to>
                    <xdr:col>15</xdr:col>
                    <xdr:colOff>266700</xdr:colOff>
                    <xdr:row>56</xdr:row>
                    <xdr:rowOff>180975</xdr:rowOff>
                  </to>
                </anchor>
              </controlPr>
            </control>
          </mc:Choice>
        </mc:AlternateContent>
        <mc:AlternateContent xmlns:mc="http://schemas.openxmlformats.org/markup-compatibility/2006">
          <mc:Choice Requires="x14">
            <control shapeId="246716" r:id="rId104" name="Check Box 956">
              <controlPr defaultSize="0" autoFill="0" autoLine="0" autoPict="0">
                <anchor moveWithCells="1">
                  <from>
                    <xdr:col>15</xdr:col>
                    <xdr:colOff>38100</xdr:colOff>
                    <xdr:row>57</xdr:row>
                    <xdr:rowOff>19050</xdr:rowOff>
                  </from>
                  <to>
                    <xdr:col>15</xdr:col>
                    <xdr:colOff>266700</xdr:colOff>
                    <xdr:row>57</xdr:row>
                    <xdr:rowOff>180975</xdr:rowOff>
                  </to>
                </anchor>
              </controlPr>
            </control>
          </mc:Choice>
        </mc:AlternateContent>
        <mc:AlternateContent xmlns:mc="http://schemas.openxmlformats.org/markup-compatibility/2006">
          <mc:Choice Requires="x14">
            <control shapeId="246717" r:id="rId105" name="Check Box 957">
              <controlPr defaultSize="0" autoFill="0" autoLine="0" autoPict="0">
                <anchor moveWithCells="1">
                  <from>
                    <xdr:col>15</xdr:col>
                    <xdr:colOff>38100</xdr:colOff>
                    <xdr:row>58</xdr:row>
                    <xdr:rowOff>19050</xdr:rowOff>
                  </from>
                  <to>
                    <xdr:col>15</xdr:col>
                    <xdr:colOff>266700</xdr:colOff>
                    <xdr:row>58</xdr:row>
                    <xdr:rowOff>180975</xdr:rowOff>
                  </to>
                </anchor>
              </controlPr>
            </control>
          </mc:Choice>
        </mc:AlternateContent>
        <mc:AlternateContent xmlns:mc="http://schemas.openxmlformats.org/markup-compatibility/2006">
          <mc:Choice Requires="x14">
            <control shapeId="246718" r:id="rId106" name="Check Box 958">
              <controlPr defaultSize="0" autoFill="0" autoLine="0" autoPict="0">
                <anchor moveWithCells="1">
                  <from>
                    <xdr:col>15</xdr:col>
                    <xdr:colOff>38100</xdr:colOff>
                    <xdr:row>59</xdr:row>
                    <xdr:rowOff>19050</xdr:rowOff>
                  </from>
                  <to>
                    <xdr:col>15</xdr:col>
                    <xdr:colOff>266700</xdr:colOff>
                    <xdr:row>59</xdr:row>
                    <xdr:rowOff>180975</xdr:rowOff>
                  </to>
                </anchor>
              </controlPr>
            </control>
          </mc:Choice>
        </mc:AlternateContent>
        <mc:AlternateContent xmlns:mc="http://schemas.openxmlformats.org/markup-compatibility/2006">
          <mc:Choice Requires="x14">
            <control shapeId="246719" r:id="rId107" name="Check Box 959">
              <controlPr defaultSize="0" autoFill="0" autoLine="0" autoPict="0">
                <anchor moveWithCells="1">
                  <from>
                    <xdr:col>15</xdr:col>
                    <xdr:colOff>38100</xdr:colOff>
                    <xdr:row>60</xdr:row>
                    <xdr:rowOff>19050</xdr:rowOff>
                  </from>
                  <to>
                    <xdr:col>15</xdr:col>
                    <xdr:colOff>266700</xdr:colOff>
                    <xdr:row>60</xdr:row>
                    <xdr:rowOff>180975</xdr:rowOff>
                  </to>
                </anchor>
              </controlPr>
            </control>
          </mc:Choice>
        </mc:AlternateContent>
        <mc:AlternateContent xmlns:mc="http://schemas.openxmlformats.org/markup-compatibility/2006">
          <mc:Choice Requires="x14">
            <control shapeId="246720" r:id="rId108" name="Check Box 960">
              <controlPr defaultSize="0" autoFill="0" autoLine="0" autoPict="0">
                <anchor moveWithCells="1">
                  <from>
                    <xdr:col>15</xdr:col>
                    <xdr:colOff>38100</xdr:colOff>
                    <xdr:row>61</xdr:row>
                    <xdr:rowOff>19050</xdr:rowOff>
                  </from>
                  <to>
                    <xdr:col>15</xdr:col>
                    <xdr:colOff>266700</xdr:colOff>
                    <xdr:row>61</xdr:row>
                    <xdr:rowOff>180975</xdr:rowOff>
                  </to>
                </anchor>
              </controlPr>
            </control>
          </mc:Choice>
        </mc:AlternateContent>
        <mc:AlternateContent xmlns:mc="http://schemas.openxmlformats.org/markup-compatibility/2006">
          <mc:Choice Requires="x14">
            <control shapeId="246721" r:id="rId109" name="Check Box 961">
              <controlPr defaultSize="0" autoFill="0" autoLine="0" autoPict="0">
                <anchor moveWithCells="1">
                  <from>
                    <xdr:col>15</xdr:col>
                    <xdr:colOff>38100</xdr:colOff>
                    <xdr:row>62</xdr:row>
                    <xdr:rowOff>19050</xdr:rowOff>
                  </from>
                  <to>
                    <xdr:col>15</xdr:col>
                    <xdr:colOff>266700</xdr:colOff>
                    <xdr:row>62</xdr:row>
                    <xdr:rowOff>180975</xdr:rowOff>
                  </to>
                </anchor>
              </controlPr>
            </control>
          </mc:Choice>
        </mc:AlternateContent>
        <mc:AlternateContent xmlns:mc="http://schemas.openxmlformats.org/markup-compatibility/2006">
          <mc:Choice Requires="x14">
            <control shapeId="246722" r:id="rId110" name="Check Box 962">
              <controlPr defaultSize="0" autoFill="0" autoLine="0" autoPict="0">
                <anchor moveWithCells="1">
                  <from>
                    <xdr:col>15</xdr:col>
                    <xdr:colOff>38100</xdr:colOff>
                    <xdr:row>63</xdr:row>
                    <xdr:rowOff>19050</xdr:rowOff>
                  </from>
                  <to>
                    <xdr:col>15</xdr:col>
                    <xdr:colOff>266700</xdr:colOff>
                    <xdr:row>63</xdr:row>
                    <xdr:rowOff>180975</xdr:rowOff>
                  </to>
                </anchor>
              </controlPr>
            </control>
          </mc:Choice>
        </mc:AlternateContent>
        <mc:AlternateContent xmlns:mc="http://schemas.openxmlformats.org/markup-compatibility/2006">
          <mc:Choice Requires="x14">
            <control shapeId="246723" r:id="rId111" name="Check Box 963">
              <controlPr defaultSize="0" autoFill="0" autoLine="0" autoPict="0">
                <anchor moveWithCells="1">
                  <from>
                    <xdr:col>15</xdr:col>
                    <xdr:colOff>38100</xdr:colOff>
                    <xdr:row>64</xdr:row>
                    <xdr:rowOff>19050</xdr:rowOff>
                  </from>
                  <to>
                    <xdr:col>15</xdr:col>
                    <xdr:colOff>266700</xdr:colOff>
                    <xdr:row>64</xdr:row>
                    <xdr:rowOff>180975</xdr:rowOff>
                  </to>
                </anchor>
              </controlPr>
            </control>
          </mc:Choice>
        </mc:AlternateContent>
        <mc:AlternateContent xmlns:mc="http://schemas.openxmlformats.org/markup-compatibility/2006">
          <mc:Choice Requires="x14">
            <control shapeId="246724" r:id="rId112" name="Check Box 964">
              <controlPr defaultSize="0" autoFill="0" autoLine="0" autoPict="0">
                <anchor moveWithCells="1">
                  <from>
                    <xdr:col>15</xdr:col>
                    <xdr:colOff>38100</xdr:colOff>
                    <xdr:row>65</xdr:row>
                    <xdr:rowOff>19050</xdr:rowOff>
                  </from>
                  <to>
                    <xdr:col>15</xdr:col>
                    <xdr:colOff>266700</xdr:colOff>
                    <xdr:row>65</xdr:row>
                    <xdr:rowOff>180975</xdr:rowOff>
                  </to>
                </anchor>
              </controlPr>
            </control>
          </mc:Choice>
        </mc:AlternateContent>
        <mc:AlternateContent xmlns:mc="http://schemas.openxmlformats.org/markup-compatibility/2006">
          <mc:Choice Requires="x14">
            <control shapeId="246725" r:id="rId113" name="Check Box 965">
              <controlPr defaultSize="0" autoFill="0" autoLine="0" autoPict="0">
                <anchor moveWithCells="1">
                  <from>
                    <xdr:col>15</xdr:col>
                    <xdr:colOff>38100</xdr:colOff>
                    <xdr:row>66</xdr:row>
                    <xdr:rowOff>19050</xdr:rowOff>
                  </from>
                  <to>
                    <xdr:col>15</xdr:col>
                    <xdr:colOff>266700</xdr:colOff>
                    <xdr:row>66</xdr:row>
                    <xdr:rowOff>180975</xdr:rowOff>
                  </to>
                </anchor>
              </controlPr>
            </control>
          </mc:Choice>
        </mc:AlternateContent>
        <mc:AlternateContent xmlns:mc="http://schemas.openxmlformats.org/markup-compatibility/2006">
          <mc:Choice Requires="x14">
            <control shapeId="246726" r:id="rId114" name="Check Box 966">
              <controlPr defaultSize="0" autoFill="0" autoLine="0" autoPict="0">
                <anchor moveWithCells="1">
                  <from>
                    <xdr:col>15</xdr:col>
                    <xdr:colOff>38100</xdr:colOff>
                    <xdr:row>67</xdr:row>
                    <xdr:rowOff>19050</xdr:rowOff>
                  </from>
                  <to>
                    <xdr:col>15</xdr:col>
                    <xdr:colOff>266700</xdr:colOff>
                    <xdr:row>67</xdr:row>
                    <xdr:rowOff>180975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BL33"/>
  <sheetViews>
    <sheetView showGridLines="0" zoomScaleNormal="100" workbookViewId="0">
      <selection activeCell="B7" sqref="B7"/>
    </sheetView>
  </sheetViews>
  <sheetFormatPr baseColWidth="10" defaultRowHeight="15.75" customHeight="1" x14ac:dyDescent="0.2"/>
  <cols>
    <col min="1" max="1" width="14.7109375" customWidth="1"/>
    <col min="2" max="2" width="28.85546875" customWidth="1"/>
    <col min="3" max="3" width="5" customWidth="1"/>
    <col min="4" max="6" width="5.42578125" style="259" customWidth="1"/>
    <col min="7" max="8" width="7.7109375" customWidth="1"/>
    <col min="9" max="11" width="6.5703125" customWidth="1"/>
    <col min="12" max="14" width="7" style="259" customWidth="1"/>
    <col min="15" max="17" width="7" customWidth="1"/>
    <col min="18" max="24" width="11" customWidth="1"/>
    <col min="25" max="26" width="11" style="370" customWidth="1"/>
    <col min="27" max="27" width="3.5703125" customWidth="1"/>
    <col min="28" max="33" width="11.42578125" style="509" hidden="1" customWidth="1"/>
    <col min="34" max="42" width="11.42578125" style="510" customWidth="1"/>
    <col min="43" max="71" width="11.42578125" customWidth="1"/>
  </cols>
  <sheetData>
    <row r="1" spans="1:64" ht="15.75" customHeight="1" x14ac:dyDescent="0.25">
      <c r="A1" s="3152" t="s">
        <v>347</v>
      </c>
      <c r="B1" s="3152"/>
      <c r="C1" s="3152"/>
      <c r="J1" s="366"/>
      <c r="K1" s="366"/>
      <c r="L1" s="367"/>
      <c r="M1" s="367"/>
      <c r="S1" s="2934"/>
      <c r="T1" s="2934"/>
      <c r="U1" s="2934"/>
      <c r="V1" s="2934"/>
      <c r="W1" s="2934"/>
      <c r="X1" s="2934"/>
    </row>
    <row r="2" spans="1:64" ht="75" customHeight="1" thickBot="1" x14ac:dyDescent="0.25">
      <c r="A2" s="262"/>
      <c r="S2" s="373"/>
      <c r="T2" s="648"/>
      <c r="U2" s="648"/>
      <c r="V2" s="643"/>
      <c r="W2" s="643"/>
      <c r="X2" s="643"/>
    </row>
    <row r="3" spans="1:64" s="263" customFormat="1" ht="15.75" customHeight="1" thickBot="1" x14ac:dyDescent="0.3">
      <c r="B3" s="262"/>
      <c r="C3" s="3153" t="s">
        <v>282</v>
      </c>
      <c r="D3" s="3154"/>
      <c r="E3" s="3154"/>
      <c r="F3" s="3154"/>
      <c r="G3" s="3154"/>
      <c r="H3" s="3154"/>
      <c r="I3" s="3154"/>
      <c r="J3" s="3154"/>
      <c r="K3" s="3155"/>
      <c r="L3" s="818"/>
      <c r="M3" s="308"/>
      <c r="N3" s="308"/>
      <c r="O3" s="264"/>
      <c r="P3" s="264"/>
      <c r="Q3" s="264"/>
      <c r="S3" s="643"/>
      <c r="V3" s="643"/>
      <c r="W3" s="643"/>
      <c r="X3" s="643"/>
      <c r="Y3" s="580"/>
      <c r="Z3" s="580"/>
      <c r="AB3" s="511"/>
      <c r="AC3" s="511"/>
      <c r="AD3" s="511"/>
      <c r="AE3" s="511"/>
      <c r="AF3" s="511"/>
      <c r="AG3" s="511"/>
      <c r="AH3" s="512"/>
      <c r="AI3" s="512"/>
      <c r="AJ3" s="512"/>
      <c r="AK3" s="512"/>
      <c r="AL3" s="512"/>
      <c r="AM3" s="512"/>
      <c r="AN3" s="512"/>
      <c r="AO3" s="512"/>
      <c r="AP3" s="512"/>
    </row>
    <row r="4" spans="1:64" ht="15.75" customHeight="1" thickBot="1" x14ac:dyDescent="0.25">
      <c r="A4" s="283"/>
      <c r="B4" s="283"/>
      <c r="C4" s="284"/>
      <c r="D4" s="3162" t="s">
        <v>273</v>
      </c>
      <c r="E4" s="3163"/>
      <c r="F4" s="3164"/>
      <c r="G4" s="3159" t="s">
        <v>260</v>
      </c>
      <c r="H4" s="3161"/>
      <c r="I4" s="3160" t="s">
        <v>274</v>
      </c>
      <c r="J4" s="3160"/>
      <c r="K4" s="3161"/>
      <c r="L4" s="3159" t="s">
        <v>348</v>
      </c>
      <c r="M4" s="3160"/>
      <c r="N4" s="3161"/>
      <c r="O4" s="3159" t="s">
        <v>223</v>
      </c>
      <c r="P4" s="3160"/>
      <c r="Q4" s="3161"/>
      <c r="R4" s="284" t="s">
        <v>315</v>
      </c>
      <c r="S4" s="3156" t="s">
        <v>470</v>
      </c>
      <c r="T4" s="3157"/>
      <c r="U4" s="3157"/>
      <c r="V4" s="3156" t="s">
        <v>13</v>
      </c>
      <c r="W4" s="3157"/>
      <c r="X4" s="3158"/>
      <c r="Y4" s="993"/>
      <c r="Z4" s="993"/>
    </row>
    <row r="5" spans="1:64" ht="15.75" customHeight="1" thickBot="1" x14ac:dyDescent="0.3">
      <c r="A5" s="368" t="s">
        <v>270</v>
      </c>
      <c r="B5" s="369" t="s">
        <v>272</v>
      </c>
      <c r="C5" s="294" t="s">
        <v>212</v>
      </c>
      <c r="D5" s="285" t="s">
        <v>4</v>
      </c>
      <c r="E5" s="354" t="s">
        <v>239</v>
      </c>
      <c r="F5" s="287" t="s">
        <v>240</v>
      </c>
      <c r="G5" s="285" t="s">
        <v>0</v>
      </c>
      <c r="H5" s="353" t="s">
        <v>11</v>
      </c>
      <c r="I5" s="285" t="s">
        <v>37</v>
      </c>
      <c r="J5" s="354" t="s">
        <v>38</v>
      </c>
      <c r="K5" s="287" t="s">
        <v>39</v>
      </c>
      <c r="L5" s="286" t="s">
        <v>0</v>
      </c>
      <c r="M5" s="354" t="s">
        <v>11</v>
      </c>
      <c r="N5" s="286" t="s">
        <v>13</v>
      </c>
      <c r="O5" s="292" t="s">
        <v>37</v>
      </c>
      <c r="P5" s="293" t="s">
        <v>38</v>
      </c>
      <c r="Q5" s="287" t="s">
        <v>39</v>
      </c>
      <c r="R5" s="288" t="s">
        <v>13</v>
      </c>
      <c r="S5" s="825" t="s">
        <v>556</v>
      </c>
      <c r="T5" s="826" t="s">
        <v>697</v>
      </c>
      <c r="U5" s="647" t="s">
        <v>698</v>
      </c>
      <c r="V5" s="825" t="s">
        <v>556</v>
      </c>
      <c r="W5" s="826" t="s">
        <v>697</v>
      </c>
      <c r="X5" s="827" t="s">
        <v>698</v>
      </c>
      <c r="Y5" s="994"/>
      <c r="Z5" s="994"/>
      <c r="AE5" s="3151" t="s">
        <v>720</v>
      </c>
      <c r="AF5" s="3151"/>
    </row>
    <row r="6" spans="1:64" ht="15.75" customHeight="1" thickBot="1" x14ac:dyDescent="0.25">
      <c r="A6" s="270"/>
      <c r="B6" s="270"/>
      <c r="C6" s="270"/>
      <c r="D6" s="3148" t="s">
        <v>283</v>
      </c>
      <c r="E6" s="3149"/>
      <c r="F6" s="3150"/>
      <c r="G6" s="3148" t="s">
        <v>1</v>
      </c>
      <c r="H6" s="3150"/>
      <c r="I6" s="3148" t="s">
        <v>40</v>
      </c>
      <c r="J6" s="3149"/>
      <c r="K6" s="3149"/>
      <c r="L6" s="3166" t="s">
        <v>2</v>
      </c>
      <c r="M6" s="3165"/>
      <c r="N6" s="3167"/>
      <c r="O6" s="3165" t="s">
        <v>308</v>
      </c>
      <c r="P6" s="3149"/>
      <c r="Q6" s="3150"/>
      <c r="R6" s="273" t="s">
        <v>339</v>
      </c>
      <c r="S6" s="649" t="s">
        <v>2</v>
      </c>
      <c r="T6" s="652" t="s">
        <v>557</v>
      </c>
      <c r="U6" s="650" t="s">
        <v>2</v>
      </c>
      <c r="V6" s="649" t="s">
        <v>2</v>
      </c>
      <c r="W6" s="652" t="s">
        <v>557</v>
      </c>
      <c r="X6" s="651" t="s">
        <v>2</v>
      </c>
      <c r="Y6" s="577"/>
      <c r="Z6" s="577"/>
      <c r="AB6" s="513" t="s">
        <v>270</v>
      </c>
      <c r="AE6" s="817" t="s">
        <v>0</v>
      </c>
      <c r="AF6" s="817" t="s">
        <v>13</v>
      </c>
    </row>
    <row r="7" spans="1:64" ht="15.75" customHeight="1" x14ac:dyDescent="0.2">
      <c r="A7" s="274"/>
      <c r="B7" s="2322"/>
      <c r="C7" s="384"/>
      <c r="D7" s="2326"/>
      <c r="E7" s="385"/>
      <c r="F7" s="2327"/>
      <c r="G7" s="2333"/>
      <c r="H7" s="386"/>
      <c r="I7" s="2333"/>
      <c r="J7" s="387"/>
      <c r="K7" s="386"/>
      <c r="L7" s="2333"/>
      <c r="M7" s="387"/>
      <c r="N7" s="386"/>
      <c r="O7" s="2333"/>
      <c r="P7" s="387"/>
      <c r="Q7" s="386"/>
      <c r="R7" s="388"/>
      <c r="S7" s="2340"/>
      <c r="T7" s="2341"/>
      <c r="U7" s="2342"/>
      <c r="V7" s="2340"/>
      <c r="W7" s="2341"/>
      <c r="X7" s="2342"/>
      <c r="Y7" s="995"/>
      <c r="Z7" s="995"/>
      <c r="AA7" s="370"/>
      <c r="AB7" s="509">
        <v>1</v>
      </c>
      <c r="AC7" s="509" t="str">
        <f>INDEX(Tiere!$E$89:$E$93,$AB7)</f>
        <v xml:space="preserve"> --</v>
      </c>
      <c r="AD7" s="509" t="str">
        <f>+CONCATENATE(AC7," - ",+B7)</f>
        <v xml:space="preserve"> -- - </v>
      </c>
      <c r="AE7" s="509">
        <f>INDEX(Tiere!$M$89:$M$93,$AB7)</f>
        <v>0</v>
      </c>
      <c r="AF7" s="509">
        <f>INDEX(Tiere!$N$89:$N$93,$AB7)</f>
        <v>0</v>
      </c>
    </row>
    <row r="8" spans="1:64" ht="15.75" customHeight="1" x14ac:dyDescent="0.2">
      <c r="A8" s="261"/>
      <c r="B8" s="2323"/>
      <c r="C8" s="389"/>
      <c r="D8" s="2328"/>
      <c r="E8" s="390"/>
      <c r="F8" s="2329"/>
      <c r="G8" s="2334"/>
      <c r="H8" s="2335"/>
      <c r="I8" s="2334"/>
      <c r="J8" s="391"/>
      <c r="K8" s="2335"/>
      <c r="L8" s="2334"/>
      <c r="M8" s="391"/>
      <c r="N8" s="2335"/>
      <c r="O8" s="2334"/>
      <c r="P8" s="391"/>
      <c r="Q8" s="2335"/>
      <c r="R8" s="392"/>
      <c r="S8" s="2343"/>
      <c r="T8" s="2344"/>
      <c r="U8" s="2345"/>
      <c r="V8" s="2343"/>
      <c r="W8" s="2344"/>
      <c r="X8" s="2345"/>
      <c r="Y8" s="995"/>
      <c r="Z8" s="995"/>
      <c r="AA8" s="13"/>
      <c r="AB8" s="509">
        <v>1</v>
      </c>
      <c r="AC8" s="509" t="str">
        <f>INDEX(Tiere!$E$89:$E$93,AB8)</f>
        <v xml:space="preserve"> --</v>
      </c>
      <c r="AD8" s="509" t="str">
        <f>+CONCATENATE(AC8," - ",+B8)</f>
        <v xml:space="preserve"> -- - </v>
      </c>
      <c r="AE8" s="509">
        <f>INDEX(Tiere!$M$89:$M$93,$AB8)</f>
        <v>0</v>
      </c>
      <c r="AF8" s="509">
        <f>INDEX(Tiere!$N$89:$N$93,$AB8)</f>
        <v>0</v>
      </c>
      <c r="BL8" s="296"/>
    </row>
    <row r="9" spans="1:64" ht="15.75" customHeight="1" thickBot="1" x14ac:dyDescent="0.25">
      <c r="A9" s="260"/>
      <c r="B9" s="2323"/>
      <c r="C9" s="389"/>
      <c r="D9" s="2328"/>
      <c r="E9" s="390"/>
      <c r="F9" s="2329"/>
      <c r="G9" s="2334"/>
      <c r="H9" s="2335"/>
      <c r="I9" s="2334"/>
      <c r="J9" s="391"/>
      <c r="K9" s="2335"/>
      <c r="L9" s="2334"/>
      <c r="M9" s="391"/>
      <c r="N9" s="2335"/>
      <c r="O9" s="2334"/>
      <c r="P9" s="391"/>
      <c r="Q9" s="2335"/>
      <c r="R9" s="392"/>
      <c r="S9" s="2343"/>
      <c r="T9" s="2344"/>
      <c r="U9" s="2345"/>
      <c r="V9" s="2343"/>
      <c r="W9" s="2344"/>
      <c r="X9" s="2345"/>
      <c r="Y9" s="995"/>
      <c r="Z9" s="995"/>
      <c r="AA9" s="370"/>
      <c r="AB9" s="509">
        <v>1</v>
      </c>
      <c r="AC9" s="509" t="str">
        <f>INDEX(Tiere!$E$89:$E$93,AB9)</f>
        <v xml:space="preserve"> --</v>
      </c>
      <c r="AD9" s="509" t="str">
        <f>+CONCATENATE(AC9," - ",+B9)</f>
        <v xml:space="preserve"> -- - </v>
      </c>
      <c r="AE9" s="509">
        <f>INDEX(Tiere!$M$89:$M$93,$AB9)</f>
        <v>0</v>
      </c>
      <c r="AF9" s="509">
        <f>INDEX(Tiere!$N$89:$N$93,$AB9)</f>
        <v>0</v>
      </c>
    </row>
    <row r="10" spans="1:64" ht="15.75" customHeight="1" thickBot="1" x14ac:dyDescent="0.25">
      <c r="A10" s="260"/>
      <c r="B10" s="2323"/>
      <c r="C10" s="389"/>
      <c r="D10" s="2328"/>
      <c r="E10" s="390"/>
      <c r="F10" s="2329"/>
      <c r="G10" s="2334"/>
      <c r="H10" s="2335"/>
      <c r="I10" s="2334"/>
      <c r="J10" s="391"/>
      <c r="K10" s="2335"/>
      <c r="L10" s="2334"/>
      <c r="M10" s="391"/>
      <c r="N10" s="2335"/>
      <c r="O10" s="2334"/>
      <c r="P10" s="391"/>
      <c r="Q10" s="2335"/>
      <c r="R10" s="392"/>
      <c r="S10" s="2343"/>
      <c r="T10" s="2344"/>
      <c r="U10" s="2345"/>
      <c r="V10" s="2343"/>
      <c r="W10" s="2344"/>
      <c r="X10" s="2345"/>
      <c r="Y10" s="995"/>
      <c r="Z10" s="995"/>
      <c r="AA10" s="370"/>
      <c r="AB10" s="509">
        <v>1</v>
      </c>
      <c r="AC10" s="509" t="str">
        <f>INDEX(Tiere!$E$89:$E$93,AB10)</f>
        <v xml:space="preserve"> --</v>
      </c>
      <c r="AD10" s="509" t="str">
        <f>+CONCATENATE(AC10," - ",+B10)</f>
        <v xml:space="preserve"> -- - </v>
      </c>
      <c r="AE10" s="509">
        <f>INDEX(Tiere!$M$89:$M$93,$AB10)</f>
        <v>0</v>
      </c>
      <c r="AF10" s="509">
        <f>INDEX(Tiere!$N$89:$N$93,$AB10)</f>
        <v>0</v>
      </c>
    </row>
    <row r="11" spans="1:64" ht="15.75" customHeight="1" thickBot="1" x14ac:dyDescent="0.25">
      <c r="A11" s="260"/>
      <c r="B11" s="2324"/>
      <c r="C11" s="2325"/>
      <c r="D11" s="2330"/>
      <c r="E11" s="2331"/>
      <c r="F11" s="2332"/>
      <c r="G11" s="2336"/>
      <c r="H11" s="2337"/>
      <c r="I11" s="2336"/>
      <c r="J11" s="2338"/>
      <c r="K11" s="2337"/>
      <c r="L11" s="2336"/>
      <c r="M11" s="2338"/>
      <c r="N11" s="2337"/>
      <c r="O11" s="2336"/>
      <c r="P11" s="2338"/>
      <c r="Q11" s="2337"/>
      <c r="R11" s="2339"/>
      <c r="S11" s="2346"/>
      <c r="T11" s="2347"/>
      <c r="U11" s="2348"/>
      <c r="V11" s="2346"/>
      <c r="W11" s="2347"/>
      <c r="X11" s="2348"/>
      <c r="Y11" s="995"/>
      <c r="Z11" s="995"/>
      <c r="AA11" s="370"/>
      <c r="AB11" s="509">
        <v>1</v>
      </c>
      <c r="AC11" s="509" t="str">
        <f>INDEX(Tiere!$E$89:$E$93,AB11)</f>
        <v xml:space="preserve"> --</v>
      </c>
      <c r="AD11" s="509" t="str">
        <f>+CONCATENATE(AC11," - ",+B11)</f>
        <v xml:space="preserve"> -- - </v>
      </c>
      <c r="AE11" s="509">
        <f>INDEX(Tiere!$M$89:$M$93,$AB11)</f>
        <v>0</v>
      </c>
      <c r="AF11" s="509">
        <f>INDEX(Tiere!$N$89:$N$93,$AB11)</f>
        <v>0</v>
      </c>
    </row>
    <row r="12" spans="1:64" ht="15.75" customHeight="1" x14ac:dyDescent="0.2">
      <c r="C12" s="28" t="s">
        <v>904</v>
      </c>
    </row>
    <row r="14" spans="1:64" ht="15.75" customHeight="1" x14ac:dyDescent="0.2">
      <c r="A14" s="1117"/>
      <c r="B14" s="2186"/>
      <c r="C14" s="1118"/>
      <c r="D14" s="1118"/>
      <c r="E14" s="1119"/>
      <c r="F14" s="1119"/>
      <c r="G14" s="1118"/>
      <c r="H14" s="1118"/>
      <c r="I14" s="1118"/>
      <c r="J14" s="1118"/>
      <c r="K14" s="1118"/>
      <c r="L14" s="1119"/>
    </row>
    <row r="15" spans="1:64" ht="15.75" customHeight="1" x14ac:dyDescent="0.2">
      <c r="A15" s="1120"/>
      <c r="B15" s="13"/>
      <c r="C15" s="1120"/>
      <c r="D15" s="1122"/>
      <c r="E15" s="1120"/>
      <c r="F15" s="1120"/>
      <c r="G15" s="1120"/>
      <c r="H15" s="1122"/>
      <c r="I15" s="1120"/>
      <c r="J15" s="1122"/>
      <c r="K15" s="1118"/>
      <c r="L15" s="1119"/>
    </row>
    <row r="16" spans="1:64" ht="15.75" customHeight="1" x14ac:dyDescent="0.2">
      <c r="A16" s="277"/>
      <c r="B16" s="560"/>
      <c r="C16" s="1123"/>
      <c r="D16" s="1123"/>
      <c r="E16" s="1123"/>
      <c r="F16" s="1123"/>
      <c r="G16" s="1123"/>
      <c r="H16" s="1123"/>
      <c r="I16" s="1122"/>
      <c r="J16" s="1122"/>
      <c r="K16" s="1118"/>
      <c r="L16" s="1119"/>
    </row>
    <row r="17" spans="1:32" ht="15.75" customHeight="1" x14ac:dyDescent="0.2">
      <c r="A17" s="1118"/>
      <c r="B17" s="2187"/>
      <c r="C17" s="1118"/>
      <c r="D17" s="1119"/>
      <c r="E17" s="1119"/>
      <c r="F17" s="1119"/>
      <c r="G17" s="1118"/>
      <c r="H17" s="1118"/>
      <c r="I17" s="1124"/>
      <c r="J17" s="1121"/>
      <c r="K17" s="1118"/>
      <c r="L17" s="1119"/>
    </row>
    <row r="18" spans="1:32" ht="15.75" customHeight="1" x14ac:dyDescent="0.2">
      <c r="A18" s="1117"/>
      <c r="B18" s="2187"/>
      <c r="C18" s="1118"/>
      <c r="D18" s="1119"/>
      <c r="E18" s="1119"/>
      <c r="F18" s="1119"/>
      <c r="G18" s="1118"/>
      <c r="H18" s="1118"/>
      <c r="I18" s="1124"/>
      <c r="J18" s="1121"/>
      <c r="K18" s="1118"/>
      <c r="L18" s="1119"/>
      <c r="AF18" s="817"/>
    </row>
    <row r="19" spans="1:32" ht="15.75" customHeight="1" x14ac:dyDescent="0.2">
      <c r="A19" s="277"/>
      <c r="B19" s="2188"/>
      <c r="C19" s="1120"/>
      <c r="D19" s="1122"/>
      <c r="E19" s="1120"/>
      <c r="F19" s="1120"/>
      <c r="G19" s="1120"/>
      <c r="H19" s="1122"/>
      <c r="I19" s="1120"/>
      <c r="J19" s="1122"/>
      <c r="K19" s="1118"/>
      <c r="L19" s="1119"/>
    </row>
    <row r="20" spans="1:32" ht="15.75" customHeight="1" x14ac:dyDescent="0.2">
      <c r="A20" s="1118"/>
      <c r="B20" s="2188"/>
      <c r="C20" s="1122"/>
      <c r="D20" s="1122"/>
      <c r="E20" s="1122"/>
      <c r="F20" s="1122"/>
      <c r="G20" s="1122"/>
      <c r="H20" s="1122"/>
      <c r="I20" s="1122"/>
      <c r="J20" s="1122"/>
      <c r="K20" s="1118"/>
      <c r="L20" s="1119"/>
    </row>
    <row r="21" spans="1:32" ht="15.75" customHeight="1" x14ac:dyDescent="0.2">
      <c r="A21" s="277"/>
      <c r="B21" s="2188"/>
      <c r="C21" s="1122"/>
      <c r="D21" s="1122"/>
      <c r="E21" s="1122"/>
      <c r="F21" s="1122"/>
      <c r="G21" s="1122"/>
      <c r="H21" s="1122"/>
      <c r="I21" s="1122"/>
      <c r="J21" s="1122"/>
      <c r="K21" s="1118"/>
      <c r="L21" s="1119"/>
    </row>
    <row r="22" spans="1:32" ht="15.75" customHeight="1" x14ac:dyDescent="0.2">
      <c r="A22" s="1118"/>
      <c r="B22" s="2188"/>
      <c r="C22" s="1122"/>
      <c r="D22" s="1122"/>
      <c r="E22" s="1122"/>
      <c r="F22" s="1122"/>
      <c r="G22" s="1122"/>
      <c r="H22" s="1122"/>
      <c r="I22" s="1122"/>
      <c r="J22" s="1122"/>
      <c r="K22" s="1118"/>
      <c r="L22" s="1119"/>
    </row>
    <row r="23" spans="1:32" ht="15.75" customHeight="1" x14ac:dyDescent="0.2">
      <c r="A23" s="1118"/>
      <c r="B23" s="2188"/>
      <c r="C23" s="1122"/>
      <c r="D23" s="1122"/>
      <c r="E23" s="1122"/>
      <c r="F23" s="1122"/>
      <c r="G23" s="1122"/>
      <c r="H23" s="1122"/>
      <c r="I23" s="1122"/>
      <c r="J23" s="1122"/>
      <c r="K23" s="1118"/>
      <c r="L23" s="1119"/>
    </row>
    <row r="24" spans="1:32" ht="15.75" customHeight="1" x14ac:dyDescent="0.2">
      <c r="A24" s="1118"/>
      <c r="B24" s="2188"/>
      <c r="C24" s="1122"/>
      <c r="D24" s="1122"/>
      <c r="E24" s="1122"/>
      <c r="F24" s="1122"/>
      <c r="G24" s="1122"/>
      <c r="H24" s="1122"/>
      <c r="I24" s="1122"/>
      <c r="J24" s="1122"/>
      <c r="K24" s="1118"/>
      <c r="L24" s="1119"/>
      <c r="AB24" s="1355"/>
      <c r="AC24" s="1355"/>
      <c r="AD24" s="1355"/>
    </row>
    <row r="25" spans="1:32" ht="15.75" customHeight="1" x14ac:dyDescent="0.2">
      <c r="A25" s="1125"/>
      <c r="B25" s="2189"/>
      <c r="C25" s="1125"/>
      <c r="D25" s="1125"/>
      <c r="E25" s="1125"/>
      <c r="F25" s="1125"/>
      <c r="G25" s="1125"/>
      <c r="H25" s="1125"/>
      <c r="I25" s="1118"/>
      <c r="J25" s="1118"/>
      <c r="K25" s="1118"/>
      <c r="L25" s="1119"/>
      <c r="AB25" s="1355"/>
      <c r="AC25" s="1355"/>
      <c r="AD25" s="1355"/>
      <c r="AF25" s="817"/>
    </row>
    <row r="26" spans="1:32" ht="15.75" customHeight="1" x14ac:dyDescent="0.2">
      <c r="A26" s="1125"/>
      <c r="B26" s="2189"/>
      <c r="C26" s="1125"/>
      <c r="D26" s="1125"/>
      <c r="E26" s="1125"/>
      <c r="F26" s="1125"/>
      <c r="G26" s="1125"/>
      <c r="H26" s="1125"/>
      <c r="I26" s="1118"/>
      <c r="J26" s="1118"/>
      <c r="K26" s="1118"/>
      <c r="L26" s="1119"/>
    </row>
    <row r="27" spans="1:32" ht="15.75" customHeight="1" x14ac:dyDescent="0.2">
      <c r="A27" s="1118"/>
      <c r="B27" s="2187"/>
      <c r="C27" s="1118"/>
      <c r="D27" s="1119"/>
      <c r="E27" s="1119"/>
      <c r="F27" s="1119"/>
      <c r="G27" s="1118"/>
      <c r="H27" s="1118"/>
      <c r="I27" s="1118"/>
      <c r="J27" s="1118"/>
      <c r="K27" s="1118"/>
      <c r="L27" s="1119"/>
      <c r="AB27" s="817"/>
      <c r="AF27" s="817"/>
    </row>
    <row r="28" spans="1:32" ht="15.75" customHeight="1" x14ac:dyDescent="0.2">
      <c r="B28" s="370"/>
    </row>
    <row r="29" spans="1:32" ht="15.75" customHeight="1" x14ac:dyDescent="0.2">
      <c r="B29" s="370"/>
    </row>
    <row r="30" spans="1:32" ht="15.75" customHeight="1" x14ac:dyDescent="0.2">
      <c r="B30" s="370"/>
    </row>
    <row r="31" spans="1:32" ht="15.75" customHeight="1" x14ac:dyDescent="0.2">
      <c r="B31" s="370"/>
    </row>
    <row r="32" spans="1:32" ht="15.75" customHeight="1" x14ac:dyDescent="0.2">
      <c r="B32" s="370"/>
    </row>
    <row r="33" spans="1:10" ht="15.75" customHeight="1" x14ac:dyDescent="0.2">
      <c r="A33" s="21"/>
      <c r="B33" s="21"/>
      <c r="C33" s="21"/>
      <c r="D33" s="21"/>
      <c r="E33" s="21"/>
      <c r="F33" s="21"/>
      <c r="G33" s="21"/>
      <c r="H33" s="21"/>
      <c r="I33" s="21"/>
      <c r="J33" s="21"/>
    </row>
  </sheetData>
  <sheetProtection algorithmName="SHA-512" hashValue="3fORy2KQWqTkxhcUN/S8wozK/f8MBm1cdsqjDiVAulOA+YeyNj4Rr2sqhAt8HRdZ7g2hVzfqo9gKdqu3RN4g1w==" saltValue="iXl2Bph2cacpmgAh/nld6g==" spinCount="100000" sheet="1" objects="1" scenarios="1"/>
  <customSheetViews>
    <customSheetView guid="{DDA6E6AA-9473-49A0-A3A2-76E4959B79AF}" hiddenColumns="1">
      <selection activeCell="E16" sqref="E16"/>
      <pageMargins left="0.7" right="0.7" top="0.75" bottom="0.75" header="0.3" footer="0.3"/>
      <pageSetup paperSize="9" orientation="portrait" r:id="rId1"/>
    </customSheetView>
  </customSheetViews>
  <mergeCells count="16">
    <mergeCell ref="D6:F6"/>
    <mergeCell ref="AE5:AF5"/>
    <mergeCell ref="A1:C1"/>
    <mergeCell ref="C3:K3"/>
    <mergeCell ref="S1:X1"/>
    <mergeCell ref="S4:U4"/>
    <mergeCell ref="V4:X4"/>
    <mergeCell ref="O4:Q4"/>
    <mergeCell ref="D4:F4"/>
    <mergeCell ref="G4:H4"/>
    <mergeCell ref="I4:K4"/>
    <mergeCell ref="G6:H6"/>
    <mergeCell ref="I6:K6"/>
    <mergeCell ref="O6:Q6"/>
    <mergeCell ref="L6:N6"/>
    <mergeCell ref="L4:N4"/>
  </mergeCells>
  <dataValidations count="2">
    <dataValidation type="decimal" allowBlank="1" showInputMessage="1" showErrorMessage="1" sqref="C7:Z11" xr:uid="{00000000-0002-0000-0100-000000000000}">
      <formula1>0</formula1>
      <formula2>999999</formula2>
    </dataValidation>
    <dataValidation type="decimal" operator="greaterThan" allowBlank="1" showInputMessage="1" showErrorMessage="1" sqref="B20:B24" xr:uid="{C346363A-522A-4279-9C65-C6E6FBBC4855}">
      <formula1>0.01</formula1>
    </dataValidation>
  </dataValidations>
  <pageMargins left="0.70866141732283472" right="0.70866141732283472" top="0.74803149606299213" bottom="0.74803149606299213" header="0.31496062992125984" footer="0.31496062992125984"/>
  <pageSetup paperSize="9" scale="94" orientation="landscape" r:id="rId2"/>
  <headerFooter>
    <oddFooter>&amp;C© Bayerische Landesanstalt für Landwirtschaft (Of, Sr, Sp; Ka); Stand: 04.11.21;        Seite:&amp;P von &amp;N;        &amp;D        &amp;T Uhr</oddFooter>
  </headerFooter>
  <colBreaks count="1" manualBreakCount="1">
    <brk id="14"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4361" r:id="rId5" name="Drop Down 25">
              <controlPr defaultSize="0" autoLine="0" autoPict="0">
                <anchor moveWithCells="1">
                  <from>
                    <xdr:col>0</xdr:col>
                    <xdr:colOff>19050</xdr:colOff>
                    <xdr:row>6</xdr:row>
                    <xdr:rowOff>19050</xdr:rowOff>
                  </from>
                  <to>
                    <xdr:col>0</xdr:col>
                    <xdr:colOff>971550</xdr:colOff>
                    <xdr:row>6</xdr:row>
                    <xdr:rowOff>190500</xdr:rowOff>
                  </to>
                </anchor>
              </controlPr>
            </control>
          </mc:Choice>
        </mc:AlternateContent>
        <mc:AlternateContent xmlns:mc="http://schemas.openxmlformats.org/markup-compatibility/2006">
          <mc:Choice Requires="x14">
            <control shapeId="14362" r:id="rId6" name="Drop Down 26">
              <controlPr defaultSize="0" autoLine="0" autoPict="0">
                <anchor moveWithCells="1">
                  <from>
                    <xdr:col>0</xdr:col>
                    <xdr:colOff>19050</xdr:colOff>
                    <xdr:row>7</xdr:row>
                    <xdr:rowOff>19050</xdr:rowOff>
                  </from>
                  <to>
                    <xdr:col>0</xdr:col>
                    <xdr:colOff>971550</xdr:colOff>
                    <xdr:row>7</xdr:row>
                    <xdr:rowOff>190500</xdr:rowOff>
                  </to>
                </anchor>
              </controlPr>
            </control>
          </mc:Choice>
        </mc:AlternateContent>
        <mc:AlternateContent xmlns:mc="http://schemas.openxmlformats.org/markup-compatibility/2006">
          <mc:Choice Requires="x14">
            <control shapeId="14364" r:id="rId7" name="Drop Down 28">
              <controlPr defaultSize="0" autoLine="0" autoPict="0">
                <anchor moveWithCells="1">
                  <from>
                    <xdr:col>0</xdr:col>
                    <xdr:colOff>9525</xdr:colOff>
                    <xdr:row>8</xdr:row>
                    <xdr:rowOff>19050</xdr:rowOff>
                  </from>
                  <to>
                    <xdr:col>0</xdr:col>
                    <xdr:colOff>962025</xdr:colOff>
                    <xdr:row>8</xdr:row>
                    <xdr:rowOff>190500</xdr:rowOff>
                  </to>
                </anchor>
              </controlPr>
            </control>
          </mc:Choice>
        </mc:AlternateContent>
        <mc:AlternateContent xmlns:mc="http://schemas.openxmlformats.org/markup-compatibility/2006">
          <mc:Choice Requires="x14">
            <control shapeId="15172" r:id="rId8" name="Drop Down 836">
              <controlPr defaultSize="0" autoLine="0" autoPict="0">
                <anchor moveWithCells="1">
                  <from>
                    <xdr:col>0</xdr:col>
                    <xdr:colOff>9525</xdr:colOff>
                    <xdr:row>9</xdr:row>
                    <xdr:rowOff>19050</xdr:rowOff>
                  </from>
                  <to>
                    <xdr:col>0</xdr:col>
                    <xdr:colOff>962025</xdr:colOff>
                    <xdr:row>9</xdr:row>
                    <xdr:rowOff>190500</xdr:rowOff>
                  </to>
                </anchor>
              </controlPr>
            </control>
          </mc:Choice>
        </mc:AlternateContent>
        <mc:AlternateContent xmlns:mc="http://schemas.openxmlformats.org/markup-compatibility/2006">
          <mc:Choice Requires="x14">
            <control shapeId="15173" r:id="rId9" name="Drop Down 837">
              <controlPr defaultSize="0" autoLine="0" autoPict="0">
                <anchor moveWithCells="1">
                  <from>
                    <xdr:col>0</xdr:col>
                    <xdr:colOff>9525</xdr:colOff>
                    <xdr:row>10</xdr:row>
                    <xdr:rowOff>19050</xdr:rowOff>
                  </from>
                  <to>
                    <xdr:col>0</xdr:col>
                    <xdr:colOff>962025</xdr:colOff>
                    <xdr:row>10</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9945E-BC78-4317-A665-8928E3BBCB43}">
  <sheetPr codeName="Tabelle12"/>
  <dimension ref="A1"/>
  <sheetViews>
    <sheetView workbookViewId="0"/>
  </sheetViews>
  <sheetFormatPr baseColWidth="10" defaultRowHeight="12.75" x14ac:dyDescent="0.2"/>
  <sheetData>
    <row r="1" spans="1:1" ht="23.25" customHeight="1" x14ac:dyDescent="0.2">
      <c r="A1" s="2160" t="s">
        <v>8414</v>
      </c>
    </row>
  </sheetData>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A692D-5F82-4D73-9A6A-DC5A93DC0DAF}">
  <sheetPr codeName="Tabelle14"/>
  <dimension ref="B1:L7864"/>
  <sheetViews>
    <sheetView showGridLines="0" workbookViewId="0"/>
  </sheetViews>
  <sheetFormatPr baseColWidth="10" defaultRowHeight="12.75" x14ac:dyDescent="0.2"/>
  <cols>
    <col min="1" max="1" width="4.5703125" customWidth="1"/>
    <col min="2" max="2" width="13.140625" customWidth="1"/>
    <col min="3" max="3" width="23.42578125" style="1341" customWidth="1"/>
    <col min="4" max="4" width="26.42578125" customWidth="1"/>
    <col min="5" max="5" width="3.7109375" customWidth="1"/>
    <col min="6" max="6" width="11.5703125" customWidth="1"/>
    <col min="12" max="12" width="11.5703125" customWidth="1"/>
    <col min="15" max="19" width="0" hidden="1" customWidth="1"/>
  </cols>
  <sheetData>
    <row r="1" spans="2:12" ht="26.45" customHeight="1" x14ac:dyDescent="0.2">
      <c r="B1" s="3168" t="s">
        <v>1276</v>
      </c>
      <c r="C1" s="3168"/>
      <c r="D1" s="3168"/>
    </row>
    <row r="2" spans="2:12" ht="11.45" customHeight="1" x14ac:dyDescent="0.2">
      <c r="C2" s="1344"/>
      <c r="D2" s="1344"/>
    </row>
    <row r="3" spans="2:12" ht="69" customHeight="1" x14ac:dyDescent="0.2">
      <c r="B3" s="3169" t="s">
        <v>8449</v>
      </c>
      <c r="C3" s="3169"/>
      <c r="D3" s="3169"/>
    </row>
    <row r="4" spans="2:12" ht="12" customHeight="1" thickBot="1" x14ac:dyDescent="0.25">
      <c r="C4" s="1345"/>
      <c r="D4" s="1345"/>
    </row>
    <row r="5" spans="2:12" ht="45.6" customHeight="1" thickBot="1" x14ac:dyDescent="0.25">
      <c r="B5" s="1346" t="s">
        <v>1277</v>
      </c>
      <c r="C5" s="1347" t="s">
        <v>1278</v>
      </c>
      <c r="D5" s="1348" t="s">
        <v>1279</v>
      </c>
      <c r="F5" s="1349"/>
      <c r="G5" s="1349"/>
      <c r="H5" s="1349"/>
      <c r="I5" s="1349"/>
      <c r="J5" s="1349"/>
      <c r="K5" s="1349"/>
      <c r="L5" s="1349"/>
    </row>
    <row r="6" spans="2:12" x14ac:dyDescent="0.2">
      <c r="B6" s="1341">
        <v>1</v>
      </c>
      <c r="C6" s="1341" t="s">
        <v>1280</v>
      </c>
      <c r="D6" s="1310">
        <v>831.79998799999998</v>
      </c>
      <c r="F6" s="1350"/>
    </row>
    <row r="7" spans="2:12" x14ac:dyDescent="0.2">
      <c r="B7" s="1341">
        <v>2</v>
      </c>
      <c r="C7" s="1341" t="s">
        <v>1281</v>
      </c>
      <c r="D7" s="1310">
        <v>911</v>
      </c>
    </row>
    <row r="8" spans="2:12" x14ac:dyDescent="0.2">
      <c r="B8" s="1341">
        <v>3</v>
      </c>
      <c r="C8" s="1341" t="s">
        <v>1282</v>
      </c>
      <c r="D8" s="1310">
        <v>824.18332899999996</v>
      </c>
    </row>
    <row r="9" spans="2:12" x14ac:dyDescent="0.2">
      <c r="B9" s="1341">
        <v>4</v>
      </c>
      <c r="C9" s="1341" t="s">
        <v>1283</v>
      </c>
      <c r="D9" s="1310">
        <v>840.09997599999997</v>
      </c>
    </row>
    <row r="10" spans="2:12" x14ac:dyDescent="0.2">
      <c r="B10" s="1341">
        <v>5</v>
      </c>
      <c r="C10" s="1341" t="s">
        <v>1284</v>
      </c>
      <c r="D10" s="1310">
        <v>710.53333499999997</v>
      </c>
    </row>
    <row r="11" spans="2:12" ht="13.15" customHeight="1" x14ac:dyDescent="0.2">
      <c r="B11" s="1341">
        <v>6</v>
      </c>
      <c r="C11" s="1341" t="s">
        <v>1285</v>
      </c>
      <c r="D11" s="1310">
        <v>925.16668700000002</v>
      </c>
      <c r="F11" s="1351"/>
      <c r="G11" s="1352"/>
      <c r="H11" s="1352"/>
      <c r="I11" s="1352"/>
      <c r="J11" s="1352"/>
      <c r="K11" s="1352"/>
      <c r="L11" s="1352"/>
    </row>
    <row r="12" spans="2:12" x14ac:dyDescent="0.2">
      <c r="B12" s="1341">
        <v>7</v>
      </c>
      <c r="C12" s="1341" t="s">
        <v>1286</v>
      </c>
      <c r="D12" s="1310">
        <v>863.78666999999996</v>
      </c>
      <c r="F12" s="1352"/>
      <c r="G12" s="1352"/>
      <c r="H12" s="1352"/>
      <c r="I12" s="1352"/>
      <c r="J12" s="1352"/>
      <c r="K12" s="1352"/>
      <c r="L12" s="1352"/>
    </row>
    <row r="13" spans="2:12" x14ac:dyDescent="0.2">
      <c r="B13" s="1341">
        <v>8</v>
      </c>
      <c r="C13" s="1341" t="s">
        <v>1287</v>
      </c>
      <c r="D13" s="1310">
        <v>734.80001800000002</v>
      </c>
      <c r="F13" s="1352"/>
      <c r="G13" s="1352"/>
      <c r="H13" s="1352"/>
      <c r="I13" s="1352"/>
      <c r="J13" s="1352"/>
      <c r="K13" s="1352"/>
      <c r="L13" s="1352"/>
    </row>
    <row r="14" spans="2:12" x14ac:dyDescent="0.2">
      <c r="B14" s="1341">
        <v>9</v>
      </c>
      <c r="C14" s="1341" t="s">
        <v>1288</v>
      </c>
      <c r="D14" s="1310">
        <v>712.39999399999999</v>
      </c>
    </row>
    <row r="15" spans="2:12" x14ac:dyDescent="0.2">
      <c r="B15" s="1341">
        <v>10</v>
      </c>
      <c r="C15" s="1341" t="s">
        <v>1289</v>
      </c>
      <c r="D15" s="1310">
        <v>665.66666699999996</v>
      </c>
    </row>
    <row r="16" spans="2:12" x14ac:dyDescent="0.2">
      <c r="B16" s="1341">
        <v>11</v>
      </c>
      <c r="C16" s="1341" t="s">
        <v>1290</v>
      </c>
      <c r="D16" s="1310">
        <v>934.03529600000002</v>
      </c>
    </row>
    <row r="17" spans="2:4" x14ac:dyDescent="0.2">
      <c r="B17" s="1341">
        <v>12</v>
      </c>
      <c r="C17" s="1341" t="s">
        <v>1291</v>
      </c>
      <c r="D17" s="1310">
        <v>715.23999000000003</v>
      </c>
    </row>
    <row r="18" spans="2:4" x14ac:dyDescent="0.2">
      <c r="B18" s="1341">
        <v>13</v>
      </c>
      <c r="C18" s="1341" t="s">
        <v>1292</v>
      </c>
      <c r="D18" s="1310">
        <v>662</v>
      </c>
    </row>
    <row r="19" spans="2:4" x14ac:dyDescent="0.2">
      <c r="B19" s="1341">
        <v>14</v>
      </c>
      <c r="C19" s="1341" t="s">
        <v>1293</v>
      </c>
      <c r="D19" s="1310">
        <v>635.41428900000005</v>
      </c>
    </row>
    <row r="20" spans="2:4" x14ac:dyDescent="0.2">
      <c r="B20" s="1341">
        <v>15</v>
      </c>
      <c r="C20" s="1341" t="s">
        <v>432</v>
      </c>
      <c r="D20" s="1310">
        <v>1007.833344</v>
      </c>
    </row>
    <row r="21" spans="2:4" x14ac:dyDescent="0.2">
      <c r="B21" s="1341">
        <v>16</v>
      </c>
      <c r="C21" s="1341" t="s">
        <v>1294</v>
      </c>
      <c r="D21" s="1310">
        <v>931.5</v>
      </c>
    </row>
    <row r="22" spans="2:4" x14ac:dyDescent="0.2">
      <c r="B22" s="1341">
        <v>17</v>
      </c>
      <c r="C22" s="1341" t="s">
        <v>1295</v>
      </c>
      <c r="D22" s="1310">
        <v>738.74999200000002</v>
      </c>
    </row>
    <row r="23" spans="2:4" x14ac:dyDescent="0.2">
      <c r="B23" s="1341">
        <v>18</v>
      </c>
      <c r="C23" s="1341" t="s">
        <v>1296</v>
      </c>
      <c r="D23" s="1310">
        <v>658.47499600000003</v>
      </c>
    </row>
    <row r="24" spans="2:4" x14ac:dyDescent="0.2">
      <c r="B24" s="1341">
        <v>19</v>
      </c>
      <c r="C24" s="1341" t="s">
        <v>1297</v>
      </c>
      <c r="D24" s="1310">
        <v>663.214294</v>
      </c>
    </row>
    <row r="25" spans="2:4" x14ac:dyDescent="0.2">
      <c r="B25" s="1341">
        <v>20</v>
      </c>
      <c r="C25" s="1341" t="s">
        <v>1298</v>
      </c>
      <c r="D25" s="1310">
        <v>665.19999700000005</v>
      </c>
    </row>
    <row r="26" spans="2:4" x14ac:dyDescent="0.2">
      <c r="B26" s="1341">
        <v>21</v>
      </c>
      <c r="C26" s="1341" t="s">
        <v>1299</v>
      </c>
      <c r="D26" s="1310">
        <v>923.15555800000004</v>
      </c>
    </row>
    <row r="27" spans="2:4" x14ac:dyDescent="0.2">
      <c r="B27" s="1341">
        <v>22</v>
      </c>
      <c r="C27" s="1341" t="s">
        <v>1300</v>
      </c>
      <c r="D27" s="1310">
        <v>924.34445300000004</v>
      </c>
    </row>
    <row r="28" spans="2:4" x14ac:dyDescent="0.2">
      <c r="B28" s="1341">
        <v>23</v>
      </c>
      <c r="C28" s="1341" t="s">
        <v>1301</v>
      </c>
      <c r="D28" s="1310">
        <v>733.11250299999995</v>
      </c>
    </row>
    <row r="29" spans="2:4" x14ac:dyDescent="0.2">
      <c r="B29" s="1341">
        <v>24</v>
      </c>
      <c r="C29" s="1341" t="s">
        <v>1302</v>
      </c>
      <c r="D29" s="1310">
        <v>695.49167399999999</v>
      </c>
    </row>
    <row r="30" spans="2:4" x14ac:dyDescent="0.2">
      <c r="B30" s="1341">
        <v>25</v>
      </c>
      <c r="C30" s="1341" t="s">
        <v>1303</v>
      </c>
      <c r="D30" s="1310">
        <v>608.57777199999998</v>
      </c>
    </row>
    <row r="31" spans="2:4" x14ac:dyDescent="0.2">
      <c r="B31" s="1341">
        <v>26</v>
      </c>
      <c r="C31" s="1341" t="s">
        <v>1304</v>
      </c>
      <c r="D31" s="1310">
        <v>612.20526400000006</v>
      </c>
    </row>
    <row r="32" spans="2:4" x14ac:dyDescent="0.2">
      <c r="B32" s="1341">
        <v>27</v>
      </c>
      <c r="C32" s="1341" t="s">
        <v>1305</v>
      </c>
      <c r="D32" s="1310">
        <v>642.81666099999995</v>
      </c>
    </row>
    <row r="33" spans="2:4" x14ac:dyDescent="0.2">
      <c r="B33" s="1341">
        <v>28</v>
      </c>
      <c r="C33" s="1341" t="s">
        <v>1306</v>
      </c>
      <c r="D33" s="1310">
        <v>985.49999000000003</v>
      </c>
    </row>
    <row r="34" spans="2:4" x14ac:dyDescent="0.2">
      <c r="B34" s="1341">
        <v>29</v>
      </c>
      <c r="C34" s="1341" t="s">
        <v>1307</v>
      </c>
      <c r="D34" s="1310">
        <v>969.56000400000005</v>
      </c>
    </row>
    <row r="35" spans="2:4" x14ac:dyDescent="0.2">
      <c r="B35" s="1341">
        <v>30</v>
      </c>
      <c r="C35" s="1341" t="s">
        <v>1308</v>
      </c>
      <c r="D35" s="1310">
        <v>921.870588</v>
      </c>
    </row>
    <row r="36" spans="2:4" x14ac:dyDescent="0.2">
      <c r="B36" s="1341">
        <v>31</v>
      </c>
      <c r="C36" s="1341" t="s">
        <v>1309</v>
      </c>
      <c r="D36" s="1310">
        <v>942.67647799999997</v>
      </c>
    </row>
    <row r="37" spans="2:4" x14ac:dyDescent="0.2">
      <c r="B37" s="1341">
        <v>32</v>
      </c>
      <c r="C37" s="1341" t="s">
        <v>1310</v>
      </c>
      <c r="D37" s="1310">
        <v>737.32500500000003</v>
      </c>
    </row>
    <row r="38" spans="2:4" x14ac:dyDescent="0.2">
      <c r="B38" s="1341">
        <v>33</v>
      </c>
      <c r="C38" s="1341" t="s">
        <v>1311</v>
      </c>
      <c r="D38" s="1310">
        <v>697.48751800000002</v>
      </c>
    </row>
    <row r="39" spans="2:4" x14ac:dyDescent="0.2">
      <c r="B39" s="1341">
        <v>34</v>
      </c>
      <c r="C39" s="1341" t="s">
        <v>1312</v>
      </c>
      <c r="D39" s="1310">
        <v>683.75</v>
      </c>
    </row>
    <row r="40" spans="2:4" x14ac:dyDescent="0.2">
      <c r="B40" s="1341">
        <v>35</v>
      </c>
      <c r="C40" s="1341" t="s">
        <v>1313</v>
      </c>
      <c r="D40" s="1310">
        <v>687.42500299999995</v>
      </c>
    </row>
    <row r="41" spans="2:4" x14ac:dyDescent="0.2">
      <c r="B41" s="1341">
        <v>36</v>
      </c>
      <c r="C41" s="1341" t="s">
        <v>1314</v>
      </c>
      <c r="D41" s="1310">
        <v>571.20952199999999</v>
      </c>
    </row>
    <row r="42" spans="2:4" x14ac:dyDescent="0.2">
      <c r="B42" s="1341">
        <v>37</v>
      </c>
      <c r="C42" s="1341" t="s">
        <v>1315</v>
      </c>
      <c r="D42" s="1310">
        <v>592.51428199999998</v>
      </c>
    </row>
    <row r="43" spans="2:4" x14ac:dyDescent="0.2">
      <c r="B43" s="1341">
        <v>38</v>
      </c>
      <c r="C43" s="1341" t="s">
        <v>1316</v>
      </c>
      <c r="D43" s="1310">
        <v>582.25</v>
      </c>
    </row>
    <row r="44" spans="2:4" x14ac:dyDescent="0.2">
      <c r="B44" s="1341">
        <v>39</v>
      </c>
      <c r="C44" s="1341" t="s">
        <v>1317</v>
      </c>
      <c r="D44" s="1310">
        <v>870.33528799999999</v>
      </c>
    </row>
    <row r="45" spans="2:4" x14ac:dyDescent="0.2">
      <c r="B45" s="1341">
        <v>40</v>
      </c>
      <c r="C45" s="1341" t="s">
        <v>1318</v>
      </c>
      <c r="D45" s="1310">
        <v>814.76248899999996</v>
      </c>
    </row>
    <row r="46" spans="2:4" x14ac:dyDescent="0.2">
      <c r="B46" s="1341">
        <v>41</v>
      </c>
      <c r="C46" s="1341" t="s">
        <v>1319</v>
      </c>
      <c r="D46" s="1310">
        <v>729.66665999999998</v>
      </c>
    </row>
    <row r="47" spans="2:4" x14ac:dyDescent="0.2">
      <c r="B47" s="1341">
        <v>42</v>
      </c>
      <c r="C47" s="1341" t="s">
        <v>1320</v>
      </c>
      <c r="D47" s="1310">
        <v>701.01999499999999</v>
      </c>
    </row>
    <row r="48" spans="2:4" x14ac:dyDescent="0.2">
      <c r="B48" s="1341">
        <v>43</v>
      </c>
      <c r="C48" s="1341" t="s">
        <v>1321</v>
      </c>
      <c r="D48" s="1310">
        <v>679.97143600000004</v>
      </c>
    </row>
    <row r="49" spans="2:4" x14ac:dyDescent="0.2">
      <c r="B49" s="1341">
        <v>44</v>
      </c>
      <c r="C49" s="1341" t="s">
        <v>1322</v>
      </c>
      <c r="D49" s="1310">
        <v>635.42222800000002</v>
      </c>
    </row>
    <row r="50" spans="2:4" x14ac:dyDescent="0.2">
      <c r="B50" s="1341">
        <v>45</v>
      </c>
      <c r="C50" s="1341" t="s">
        <v>1323</v>
      </c>
      <c r="D50" s="1310">
        <v>633.31428700000004</v>
      </c>
    </row>
    <row r="51" spans="2:4" x14ac:dyDescent="0.2">
      <c r="B51" s="1341">
        <v>46</v>
      </c>
      <c r="C51" s="1341" t="s">
        <v>1324</v>
      </c>
      <c r="D51" s="1310">
        <v>577.68333399999995</v>
      </c>
    </row>
    <row r="52" spans="2:4" x14ac:dyDescent="0.2">
      <c r="B52" s="1341">
        <v>47</v>
      </c>
      <c r="C52" s="1341" t="s">
        <v>1325</v>
      </c>
      <c r="D52" s="1310">
        <v>584.97142699999995</v>
      </c>
    </row>
    <row r="53" spans="2:4" x14ac:dyDescent="0.2">
      <c r="B53" s="1341">
        <v>48</v>
      </c>
      <c r="C53" s="1341" t="s">
        <v>1326</v>
      </c>
      <c r="D53" s="1310">
        <v>694.5</v>
      </c>
    </row>
    <row r="54" spans="2:4" x14ac:dyDescent="0.2">
      <c r="B54" s="1341">
        <v>49</v>
      </c>
      <c r="C54" s="1341" t="s">
        <v>1327</v>
      </c>
      <c r="D54" s="1310">
        <v>661.65999799999997</v>
      </c>
    </row>
    <row r="55" spans="2:4" x14ac:dyDescent="0.2">
      <c r="B55" s="1341">
        <v>50</v>
      </c>
      <c r="C55" s="1341" t="s">
        <v>1328</v>
      </c>
      <c r="D55" s="1310">
        <v>614.04998799999998</v>
      </c>
    </row>
    <row r="56" spans="2:4" x14ac:dyDescent="0.2">
      <c r="B56" s="1341">
        <v>51</v>
      </c>
      <c r="C56" s="1341" t="s">
        <v>1329</v>
      </c>
      <c r="D56" s="1310">
        <v>615</v>
      </c>
    </row>
    <row r="57" spans="2:4" x14ac:dyDescent="0.2">
      <c r="B57" s="1341">
        <v>52</v>
      </c>
      <c r="C57" s="1341" t="s">
        <v>1330</v>
      </c>
      <c r="D57" s="1310">
        <v>584.625</v>
      </c>
    </row>
    <row r="58" spans="2:4" x14ac:dyDescent="0.2">
      <c r="B58" s="1341">
        <v>53</v>
      </c>
      <c r="C58" s="1341" t="s">
        <v>1331</v>
      </c>
      <c r="D58" s="1310">
        <v>586.31666099999995</v>
      </c>
    </row>
    <row r="59" spans="2:4" x14ac:dyDescent="0.2">
      <c r="B59" s="1341">
        <v>54</v>
      </c>
      <c r="C59" s="1341" t="s">
        <v>1332</v>
      </c>
      <c r="D59" s="1310">
        <v>582.84999100000005</v>
      </c>
    </row>
    <row r="60" spans="2:4" x14ac:dyDescent="0.2">
      <c r="B60" s="1341">
        <v>55</v>
      </c>
      <c r="C60" s="1341" t="s">
        <v>1333</v>
      </c>
      <c r="D60" s="1310">
        <v>591.84999700000003</v>
      </c>
    </row>
    <row r="61" spans="2:4" x14ac:dyDescent="0.2">
      <c r="B61" s="1341">
        <v>56</v>
      </c>
      <c r="C61" s="1341" t="s">
        <v>1334</v>
      </c>
      <c r="D61" s="1310">
        <v>608.46667500000001</v>
      </c>
    </row>
    <row r="62" spans="2:4" x14ac:dyDescent="0.2">
      <c r="B62" s="1341">
        <v>57</v>
      </c>
      <c r="C62" s="1341" t="s">
        <v>1335</v>
      </c>
      <c r="D62" s="1310">
        <v>569.91666699999996</v>
      </c>
    </row>
    <row r="63" spans="2:4" x14ac:dyDescent="0.2">
      <c r="B63" s="1341">
        <v>58</v>
      </c>
      <c r="C63" s="1341" t="s">
        <v>1336</v>
      </c>
      <c r="D63" s="1310">
        <v>780.866669</v>
      </c>
    </row>
    <row r="64" spans="2:4" x14ac:dyDescent="0.2">
      <c r="B64" s="1341">
        <v>59</v>
      </c>
      <c r="C64" s="1341" t="s">
        <v>1337</v>
      </c>
      <c r="D64" s="1310">
        <v>756.09997599999997</v>
      </c>
    </row>
    <row r="65" spans="2:4" x14ac:dyDescent="0.2">
      <c r="B65" s="1341">
        <v>60</v>
      </c>
      <c r="C65" s="1341" t="s">
        <v>1338</v>
      </c>
      <c r="D65" s="1310">
        <v>737.28750600000001</v>
      </c>
    </row>
    <row r="66" spans="2:4" x14ac:dyDescent="0.2">
      <c r="B66" s="1341">
        <v>61</v>
      </c>
      <c r="C66" s="1341" t="s">
        <v>1339</v>
      </c>
      <c r="D66" s="1310">
        <v>661.63332100000002</v>
      </c>
    </row>
    <row r="67" spans="2:4" x14ac:dyDescent="0.2">
      <c r="B67" s="1341">
        <v>62</v>
      </c>
      <c r="C67" s="1341" t="s">
        <v>1340</v>
      </c>
      <c r="D67" s="1310">
        <v>638.77000699999996</v>
      </c>
    </row>
    <row r="68" spans="2:4" x14ac:dyDescent="0.2">
      <c r="B68" s="1341">
        <v>63</v>
      </c>
      <c r="C68" s="1341" t="s">
        <v>1341</v>
      </c>
      <c r="D68" s="1310">
        <v>599.82857000000001</v>
      </c>
    </row>
    <row r="69" spans="2:4" x14ac:dyDescent="0.2">
      <c r="B69" s="1341">
        <v>64</v>
      </c>
      <c r="C69" s="1341" t="s">
        <v>1342</v>
      </c>
      <c r="D69" s="1310">
        <v>585.43077700000003</v>
      </c>
    </row>
    <row r="70" spans="2:4" x14ac:dyDescent="0.2">
      <c r="B70" s="1341">
        <v>65</v>
      </c>
      <c r="C70" s="1341" t="s">
        <v>1343</v>
      </c>
      <c r="D70" s="1310">
        <v>583.71818399999995</v>
      </c>
    </row>
    <row r="71" spans="2:4" x14ac:dyDescent="0.2">
      <c r="B71" s="1341">
        <v>66</v>
      </c>
      <c r="C71" s="1341" t="s">
        <v>1344</v>
      </c>
      <c r="D71" s="1310">
        <v>580.03333499999997</v>
      </c>
    </row>
    <row r="72" spans="2:4" x14ac:dyDescent="0.2">
      <c r="B72" s="1341">
        <v>67</v>
      </c>
      <c r="C72" s="1341" t="s">
        <v>1345</v>
      </c>
      <c r="D72" s="1310">
        <v>616.94999700000005</v>
      </c>
    </row>
    <row r="73" spans="2:4" x14ac:dyDescent="0.2">
      <c r="B73" s="1341">
        <v>68</v>
      </c>
      <c r="C73" s="1341" t="s">
        <v>1346</v>
      </c>
      <c r="D73" s="1310">
        <v>603.79998799999998</v>
      </c>
    </row>
    <row r="74" spans="2:4" x14ac:dyDescent="0.2">
      <c r="B74" s="1341">
        <v>69</v>
      </c>
      <c r="C74" s="1341" t="s">
        <v>1347</v>
      </c>
      <c r="D74" s="1310">
        <v>573.64000199999998</v>
      </c>
    </row>
    <row r="75" spans="2:4" x14ac:dyDescent="0.2">
      <c r="B75" s="1341">
        <v>70</v>
      </c>
      <c r="C75" s="1341" t="s">
        <v>1348</v>
      </c>
      <c r="D75" s="1310">
        <v>573.34999100000005</v>
      </c>
    </row>
    <row r="76" spans="2:4" ht="15" x14ac:dyDescent="0.2">
      <c r="B76" s="1353">
        <v>71</v>
      </c>
      <c r="C76" s="1341" t="s">
        <v>1349</v>
      </c>
      <c r="D76" s="1354">
        <v>547.72500600000001</v>
      </c>
    </row>
    <row r="77" spans="2:4" x14ac:dyDescent="0.2">
      <c r="B77" s="1341">
        <v>72</v>
      </c>
      <c r="C77" s="1341" t="s">
        <v>1350</v>
      </c>
      <c r="D77" s="1310">
        <v>572.67500299999995</v>
      </c>
    </row>
    <row r="78" spans="2:4" x14ac:dyDescent="0.2">
      <c r="B78" s="1341">
        <v>73</v>
      </c>
      <c r="C78" s="1341" t="s">
        <v>1351</v>
      </c>
      <c r="D78" s="1310">
        <v>793.139996</v>
      </c>
    </row>
    <row r="79" spans="2:4" x14ac:dyDescent="0.2">
      <c r="B79" s="1341">
        <v>74</v>
      </c>
      <c r="C79" s="1341" t="s">
        <v>1352</v>
      </c>
      <c r="D79" s="1310">
        <v>706.14285700000005</v>
      </c>
    </row>
    <row r="80" spans="2:4" x14ac:dyDescent="0.2">
      <c r="B80" s="1341">
        <v>75</v>
      </c>
      <c r="C80" s="1341" t="s">
        <v>1353</v>
      </c>
      <c r="D80" s="1310">
        <v>702.31999499999995</v>
      </c>
    </row>
    <row r="81" spans="2:4" x14ac:dyDescent="0.2">
      <c r="B81" s="1341">
        <v>76</v>
      </c>
      <c r="C81" s="1341" t="s">
        <v>1354</v>
      </c>
      <c r="D81" s="1310">
        <v>715.91875100000004</v>
      </c>
    </row>
    <row r="82" spans="2:4" x14ac:dyDescent="0.2">
      <c r="B82" s="1341">
        <v>77</v>
      </c>
      <c r="C82" s="1341" t="s">
        <v>1355</v>
      </c>
      <c r="D82" s="1310">
        <v>709.25713199999996</v>
      </c>
    </row>
    <row r="83" spans="2:4" x14ac:dyDescent="0.2">
      <c r="B83" s="1341">
        <v>78</v>
      </c>
      <c r="C83" s="1341" t="s">
        <v>1356</v>
      </c>
      <c r="D83" s="1310">
        <v>670.63332100000002</v>
      </c>
    </row>
    <row r="84" spans="2:4" x14ac:dyDescent="0.2">
      <c r="B84" s="1341">
        <v>79</v>
      </c>
      <c r="C84" s="1341" t="s">
        <v>1357</v>
      </c>
      <c r="D84" s="1310">
        <v>639.47499100000005</v>
      </c>
    </row>
    <row r="85" spans="2:4" x14ac:dyDescent="0.2">
      <c r="B85" s="1341">
        <v>80</v>
      </c>
      <c r="C85" s="1341" t="s">
        <v>1358</v>
      </c>
      <c r="D85" s="1310">
        <v>595.54444699999999</v>
      </c>
    </row>
    <row r="86" spans="2:4" x14ac:dyDescent="0.2">
      <c r="B86" s="1341">
        <v>81</v>
      </c>
      <c r="C86" s="1341" t="s">
        <v>1359</v>
      </c>
      <c r="D86" s="1310">
        <v>599.49998800000003</v>
      </c>
    </row>
    <row r="87" spans="2:4" x14ac:dyDescent="0.2">
      <c r="B87" s="1341">
        <v>82</v>
      </c>
      <c r="C87" s="1341" t="s">
        <v>1360</v>
      </c>
      <c r="D87" s="1310">
        <v>585.82142399999998</v>
      </c>
    </row>
    <row r="88" spans="2:4" x14ac:dyDescent="0.2">
      <c r="B88" s="1341">
        <v>83</v>
      </c>
      <c r="C88" s="1341" t="s">
        <v>1361</v>
      </c>
      <c r="D88" s="1310">
        <v>589.15999799999997</v>
      </c>
    </row>
    <row r="89" spans="2:4" x14ac:dyDescent="0.2">
      <c r="B89" s="1341">
        <v>84</v>
      </c>
      <c r="C89" s="1341" t="s">
        <v>1362</v>
      </c>
      <c r="D89" s="1310">
        <v>576.33077300000002</v>
      </c>
    </row>
    <row r="90" spans="2:4" x14ac:dyDescent="0.2">
      <c r="B90" s="1341">
        <v>85</v>
      </c>
      <c r="C90" s="1341" t="s">
        <v>1363</v>
      </c>
      <c r="D90" s="1310">
        <v>562.74999000000003</v>
      </c>
    </row>
    <row r="91" spans="2:4" x14ac:dyDescent="0.2">
      <c r="B91" s="1341">
        <v>86</v>
      </c>
      <c r="C91" s="1341" t="s">
        <v>1364</v>
      </c>
      <c r="D91" s="1310">
        <v>575.990906</v>
      </c>
    </row>
    <row r="92" spans="2:4" x14ac:dyDescent="0.2">
      <c r="B92" s="1341">
        <v>87</v>
      </c>
      <c r="C92" s="1341" t="s">
        <v>1365</v>
      </c>
      <c r="D92" s="1310">
        <v>657.35000600000001</v>
      </c>
    </row>
    <row r="93" spans="2:4" x14ac:dyDescent="0.2">
      <c r="B93" s="1341">
        <v>88</v>
      </c>
      <c r="C93" s="1341" t="s">
        <v>1366</v>
      </c>
      <c r="D93" s="1310">
        <v>653.98570900000004</v>
      </c>
    </row>
    <row r="94" spans="2:4" x14ac:dyDescent="0.2">
      <c r="B94" s="1341">
        <v>89</v>
      </c>
      <c r="C94" s="1341" t="s">
        <v>1367</v>
      </c>
      <c r="D94" s="1310">
        <v>588.52499399999999</v>
      </c>
    </row>
    <row r="95" spans="2:4" x14ac:dyDescent="0.2">
      <c r="B95" s="1341">
        <v>90</v>
      </c>
      <c r="C95" s="1341" t="s">
        <v>1368</v>
      </c>
      <c r="D95" s="1310">
        <v>592.19998199999998</v>
      </c>
    </row>
    <row r="96" spans="2:4" x14ac:dyDescent="0.2">
      <c r="B96" s="1341">
        <v>91</v>
      </c>
      <c r="C96" s="1341" t="s">
        <v>1369</v>
      </c>
      <c r="D96" s="1310">
        <v>629.20001200000002</v>
      </c>
    </row>
    <row r="97" spans="2:4" x14ac:dyDescent="0.2">
      <c r="B97" s="1341">
        <v>92</v>
      </c>
      <c r="C97" s="1341" t="s">
        <v>1370</v>
      </c>
      <c r="D97" s="1310">
        <v>650.26666299999999</v>
      </c>
    </row>
    <row r="98" spans="2:4" x14ac:dyDescent="0.2">
      <c r="B98" s="1341">
        <v>93</v>
      </c>
      <c r="C98" s="1341" t="s">
        <v>1371</v>
      </c>
      <c r="D98" s="1310">
        <v>641.71667500000001</v>
      </c>
    </row>
    <row r="99" spans="2:4" x14ac:dyDescent="0.2">
      <c r="B99" s="1341">
        <v>94</v>
      </c>
      <c r="C99" s="1341" t="s">
        <v>1372</v>
      </c>
      <c r="D99" s="1310">
        <v>613.70000000000005</v>
      </c>
    </row>
    <row r="100" spans="2:4" x14ac:dyDescent="0.2">
      <c r="B100" s="1341">
        <v>95</v>
      </c>
      <c r="C100" s="1341" t="s">
        <v>1373</v>
      </c>
      <c r="D100" s="1310">
        <v>584.65555800000004</v>
      </c>
    </row>
    <row r="101" spans="2:4" x14ac:dyDescent="0.2">
      <c r="B101" s="1341">
        <v>96</v>
      </c>
      <c r="C101" s="1341" t="s">
        <v>1374</v>
      </c>
      <c r="D101" s="1310">
        <v>565.80000099999995</v>
      </c>
    </row>
    <row r="102" spans="2:4" ht="15" x14ac:dyDescent="0.2">
      <c r="B102" s="1353">
        <v>97</v>
      </c>
      <c r="C102" s="1341" t="s">
        <v>1375</v>
      </c>
      <c r="D102" s="1354">
        <v>547.33333700000003</v>
      </c>
    </row>
    <row r="103" spans="2:4" ht="15" x14ac:dyDescent="0.2">
      <c r="B103" s="1353">
        <v>98</v>
      </c>
      <c r="C103" s="1341" t="s">
        <v>1376</v>
      </c>
      <c r="D103" s="1354">
        <v>547.07499700000005</v>
      </c>
    </row>
    <row r="104" spans="2:4" x14ac:dyDescent="0.2">
      <c r="B104" s="1341">
        <v>99</v>
      </c>
      <c r="C104" s="1341" t="s">
        <v>1377</v>
      </c>
      <c r="D104" s="1310">
        <v>593.01538100000005</v>
      </c>
    </row>
    <row r="105" spans="2:4" x14ac:dyDescent="0.2">
      <c r="B105" s="1341">
        <v>100</v>
      </c>
      <c r="C105" s="1341" t="s">
        <v>1378</v>
      </c>
      <c r="D105" s="1310">
        <v>598.21818399999995</v>
      </c>
    </row>
    <row r="106" spans="2:4" x14ac:dyDescent="0.2">
      <c r="B106" s="1341">
        <v>101</v>
      </c>
      <c r="C106" s="1341" t="s">
        <v>1379</v>
      </c>
      <c r="D106" s="1310">
        <v>624.90000399999997</v>
      </c>
    </row>
    <row r="107" spans="2:4" x14ac:dyDescent="0.2">
      <c r="B107" s="1341">
        <v>102</v>
      </c>
      <c r="C107" s="1341" t="s">
        <v>1380</v>
      </c>
      <c r="D107" s="1310">
        <v>621.875</v>
      </c>
    </row>
    <row r="108" spans="2:4" x14ac:dyDescent="0.2">
      <c r="B108" s="1341">
        <v>103</v>
      </c>
      <c r="C108" s="1341" t="s">
        <v>1381</v>
      </c>
      <c r="D108" s="1310">
        <v>604.05999099999997</v>
      </c>
    </row>
    <row r="109" spans="2:4" x14ac:dyDescent="0.2">
      <c r="B109" s="1341">
        <v>104</v>
      </c>
      <c r="C109" s="1341" t="s">
        <v>1382</v>
      </c>
      <c r="D109" s="1310">
        <v>640.375</v>
      </c>
    </row>
    <row r="110" spans="2:4" x14ac:dyDescent="0.2">
      <c r="B110" s="1341">
        <v>105</v>
      </c>
      <c r="C110" s="1341" t="s">
        <v>1383</v>
      </c>
      <c r="D110" s="1310">
        <v>562.02500899999995</v>
      </c>
    </row>
    <row r="111" spans="2:4" x14ac:dyDescent="0.2">
      <c r="B111" s="1341">
        <v>106</v>
      </c>
      <c r="C111" s="1341" t="s">
        <v>1384</v>
      </c>
      <c r="D111" s="1310">
        <v>563.02000699999996</v>
      </c>
    </row>
    <row r="112" spans="2:4" x14ac:dyDescent="0.2">
      <c r="B112" s="1341">
        <v>107</v>
      </c>
      <c r="C112" s="1341" t="s">
        <v>1385</v>
      </c>
      <c r="D112" s="1310">
        <v>557.44998899999996</v>
      </c>
    </row>
    <row r="113" spans="2:4" x14ac:dyDescent="0.2">
      <c r="B113" s="1341">
        <v>108</v>
      </c>
      <c r="C113" s="1341" t="s">
        <v>1386</v>
      </c>
      <c r="D113" s="1310">
        <v>590.69999600000006</v>
      </c>
    </row>
    <row r="114" spans="2:4" x14ac:dyDescent="0.2">
      <c r="B114" s="1341">
        <v>109</v>
      </c>
      <c r="C114" s="1341" t="s">
        <v>1387</v>
      </c>
      <c r="D114" s="1310">
        <v>686.34999100000005</v>
      </c>
    </row>
    <row r="115" spans="2:4" x14ac:dyDescent="0.2">
      <c r="B115" s="1341">
        <v>110</v>
      </c>
      <c r="C115" s="1341" t="s">
        <v>1388</v>
      </c>
      <c r="D115" s="1310">
        <v>641.54999999999995</v>
      </c>
    </row>
    <row r="116" spans="2:4" x14ac:dyDescent="0.2">
      <c r="B116" s="1341">
        <v>111</v>
      </c>
      <c r="C116" s="1341" t="s">
        <v>1389</v>
      </c>
      <c r="D116" s="1310">
        <v>665.34615399999996</v>
      </c>
    </row>
    <row r="117" spans="2:4" x14ac:dyDescent="0.2">
      <c r="B117" s="1341">
        <v>112</v>
      </c>
      <c r="C117" s="1341" t="s">
        <v>1390</v>
      </c>
      <c r="D117" s="1310">
        <v>586.56666399999995</v>
      </c>
    </row>
    <row r="118" spans="2:4" x14ac:dyDescent="0.2">
      <c r="B118" s="1341">
        <v>113</v>
      </c>
      <c r="C118" s="1341" t="s">
        <v>1391</v>
      </c>
      <c r="D118" s="1310">
        <v>590.38666999999998</v>
      </c>
    </row>
    <row r="119" spans="2:4" x14ac:dyDescent="0.2">
      <c r="B119" s="1341">
        <v>114</v>
      </c>
      <c r="C119" s="1341" t="s">
        <v>1392</v>
      </c>
      <c r="D119" s="1310">
        <v>607.67999899999995</v>
      </c>
    </row>
    <row r="120" spans="2:4" x14ac:dyDescent="0.2">
      <c r="B120" s="1341">
        <v>115</v>
      </c>
      <c r="C120" s="1341" t="s">
        <v>1393</v>
      </c>
      <c r="D120" s="1310">
        <v>635.64999399999999</v>
      </c>
    </row>
    <row r="121" spans="2:4" x14ac:dyDescent="0.2">
      <c r="B121" s="1341">
        <v>116</v>
      </c>
      <c r="C121" s="1341" t="s">
        <v>1394</v>
      </c>
      <c r="D121" s="1310">
        <v>567.21249399999999</v>
      </c>
    </row>
    <row r="122" spans="2:4" x14ac:dyDescent="0.2">
      <c r="B122" s="1341">
        <v>117</v>
      </c>
      <c r="C122" s="1341" t="s">
        <v>1395</v>
      </c>
      <c r="D122" s="1310">
        <v>578.84999600000003</v>
      </c>
    </row>
    <row r="123" spans="2:4" x14ac:dyDescent="0.2">
      <c r="B123" s="1341">
        <v>118</v>
      </c>
      <c r="C123" s="1341" t="s">
        <v>1396</v>
      </c>
      <c r="D123" s="1310">
        <v>576.885716</v>
      </c>
    </row>
    <row r="124" spans="2:4" x14ac:dyDescent="0.2">
      <c r="B124" s="1341">
        <v>119</v>
      </c>
      <c r="C124" s="1341" t="s">
        <v>1397</v>
      </c>
      <c r="D124" s="1310">
        <v>583.93332899999996</v>
      </c>
    </row>
    <row r="125" spans="2:4" x14ac:dyDescent="0.2">
      <c r="B125" s="1341">
        <v>120</v>
      </c>
      <c r="C125" s="1341" t="s">
        <v>1398</v>
      </c>
      <c r="D125" s="1310">
        <v>610.35000600000001</v>
      </c>
    </row>
    <row r="126" spans="2:4" x14ac:dyDescent="0.2">
      <c r="B126" s="1341">
        <v>121</v>
      </c>
      <c r="C126" s="1341" t="s">
        <v>1399</v>
      </c>
      <c r="D126" s="1310">
        <v>609.20001200000002</v>
      </c>
    </row>
    <row r="127" spans="2:4" x14ac:dyDescent="0.2">
      <c r="B127" s="1341">
        <v>122</v>
      </c>
      <c r="C127" s="1341" t="s">
        <v>1400</v>
      </c>
      <c r="D127" s="1310">
        <v>648.07499700000005</v>
      </c>
    </row>
    <row r="128" spans="2:4" x14ac:dyDescent="0.2">
      <c r="B128" s="1341">
        <v>123</v>
      </c>
      <c r="C128" s="1341" t="s">
        <v>1401</v>
      </c>
      <c r="D128" s="1310">
        <v>650.38420699999995</v>
      </c>
    </row>
    <row r="129" spans="2:4" x14ac:dyDescent="0.2">
      <c r="B129" s="1341">
        <v>124</v>
      </c>
      <c r="C129" s="1341" t="s">
        <v>1402</v>
      </c>
      <c r="D129" s="1310">
        <v>605.73076900000001</v>
      </c>
    </row>
    <row r="130" spans="2:4" x14ac:dyDescent="0.2">
      <c r="B130" s="1341">
        <v>125</v>
      </c>
      <c r="C130" s="1341" t="s">
        <v>1403</v>
      </c>
      <c r="D130" s="1310">
        <v>619.08335399999999</v>
      </c>
    </row>
    <row r="131" spans="2:4" x14ac:dyDescent="0.2">
      <c r="B131" s="1341">
        <v>126</v>
      </c>
      <c r="C131" s="1341" t="s">
        <v>1404</v>
      </c>
      <c r="D131" s="1310">
        <v>603.84999100000005</v>
      </c>
    </row>
    <row r="132" spans="2:4" x14ac:dyDescent="0.2">
      <c r="B132" s="1341">
        <v>150</v>
      </c>
      <c r="C132" s="1341" t="s">
        <v>1405</v>
      </c>
      <c r="D132" s="1310">
        <v>645.69999199999995</v>
      </c>
    </row>
    <row r="133" spans="2:4" x14ac:dyDescent="0.2">
      <c r="B133" s="1341">
        <v>151</v>
      </c>
      <c r="C133" s="1341" t="s">
        <v>1406</v>
      </c>
      <c r="D133" s="1310">
        <v>838.10000300000002</v>
      </c>
    </row>
    <row r="134" spans="2:4" x14ac:dyDescent="0.2">
      <c r="B134" s="1341">
        <v>152</v>
      </c>
      <c r="C134" s="1341" t="s">
        <v>1407</v>
      </c>
      <c r="D134" s="1310">
        <v>896.10000600000001</v>
      </c>
    </row>
    <row r="135" spans="2:4" x14ac:dyDescent="0.2">
      <c r="B135" s="1341">
        <v>153</v>
      </c>
      <c r="C135" s="1341" t="s">
        <v>1408</v>
      </c>
      <c r="D135" s="1310">
        <v>934.59343799999999</v>
      </c>
    </row>
    <row r="136" spans="2:4" x14ac:dyDescent="0.2">
      <c r="B136" s="1341">
        <v>154</v>
      </c>
      <c r="C136" s="1341" t="s">
        <v>1409</v>
      </c>
      <c r="D136" s="1310">
        <v>866.79998799999998</v>
      </c>
    </row>
    <row r="137" spans="2:4" x14ac:dyDescent="0.2">
      <c r="B137" s="1341">
        <v>155</v>
      </c>
      <c r="C137" s="1341" t="s">
        <v>1410</v>
      </c>
      <c r="D137" s="1310">
        <v>800</v>
      </c>
    </row>
    <row r="138" spans="2:4" x14ac:dyDescent="0.2">
      <c r="B138" s="1341">
        <v>156</v>
      </c>
      <c r="C138" s="1341" t="s">
        <v>1411</v>
      </c>
      <c r="D138" s="1310">
        <v>905.72500600000001</v>
      </c>
    </row>
    <row r="139" spans="2:4" x14ac:dyDescent="0.2">
      <c r="B139" s="1341">
        <v>157</v>
      </c>
      <c r="C139" s="1341" t="s">
        <v>1412</v>
      </c>
      <c r="D139" s="1310">
        <v>883.75</v>
      </c>
    </row>
    <row r="140" spans="2:4" x14ac:dyDescent="0.2">
      <c r="B140" s="1341">
        <v>158</v>
      </c>
      <c r="C140" s="1341" t="s">
        <v>1413</v>
      </c>
      <c r="D140" s="1310">
        <v>766.40000399999997</v>
      </c>
    </row>
    <row r="141" spans="2:4" x14ac:dyDescent="0.2">
      <c r="B141" s="1341">
        <v>159</v>
      </c>
      <c r="C141" s="1341" t="s">
        <v>1414</v>
      </c>
      <c r="D141" s="1310">
        <v>844.62501499999996</v>
      </c>
    </row>
    <row r="142" spans="2:4" x14ac:dyDescent="0.2">
      <c r="B142" s="1341">
        <v>160</v>
      </c>
      <c r="C142" s="1341" t="s">
        <v>1415</v>
      </c>
      <c r="D142" s="1310">
        <v>882.75833599999999</v>
      </c>
    </row>
    <row r="143" spans="2:4" x14ac:dyDescent="0.2">
      <c r="B143" s="1341">
        <v>161</v>
      </c>
      <c r="C143" s="1341" t="s">
        <v>1416</v>
      </c>
      <c r="D143" s="1310">
        <v>858.50000499999999</v>
      </c>
    </row>
    <row r="144" spans="2:4" x14ac:dyDescent="0.2">
      <c r="B144" s="1341">
        <v>162</v>
      </c>
      <c r="C144" s="1341" t="s">
        <v>1417</v>
      </c>
      <c r="D144" s="1310">
        <v>865.02499399999999</v>
      </c>
    </row>
    <row r="145" spans="2:4" x14ac:dyDescent="0.2">
      <c r="B145" s="1341">
        <v>163</v>
      </c>
      <c r="C145" s="1341" t="s">
        <v>1418</v>
      </c>
      <c r="D145" s="1310">
        <v>834.29998799999998</v>
      </c>
    </row>
    <row r="146" spans="2:4" x14ac:dyDescent="0.2">
      <c r="B146" s="1341">
        <v>164</v>
      </c>
      <c r="C146" s="1341" t="s">
        <v>1419</v>
      </c>
      <c r="D146" s="1310">
        <v>852.99286300000006</v>
      </c>
    </row>
    <row r="147" spans="2:4" x14ac:dyDescent="0.2">
      <c r="B147" s="1341">
        <v>165</v>
      </c>
      <c r="C147" s="1341" t="s">
        <v>1420</v>
      </c>
      <c r="D147" s="1310">
        <v>809.51999499999999</v>
      </c>
    </row>
    <row r="148" spans="2:4" x14ac:dyDescent="0.2">
      <c r="B148" s="1341">
        <v>166</v>
      </c>
      <c r="C148" s="1341" t="s">
        <v>1421</v>
      </c>
      <c r="D148" s="1310">
        <v>743.59999600000003</v>
      </c>
    </row>
    <row r="149" spans="2:4" x14ac:dyDescent="0.2">
      <c r="B149" s="1341">
        <v>167</v>
      </c>
      <c r="C149" s="1341" t="s">
        <v>1422</v>
      </c>
      <c r="D149" s="1310">
        <v>750.51999499999999</v>
      </c>
    </row>
    <row r="150" spans="2:4" x14ac:dyDescent="0.2">
      <c r="B150" s="1341">
        <v>168</v>
      </c>
      <c r="C150" s="1341" t="s">
        <v>1423</v>
      </c>
      <c r="D150" s="1310">
        <v>844.62501499999996</v>
      </c>
    </row>
    <row r="151" spans="2:4" x14ac:dyDescent="0.2">
      <c r="B151" s="1341">
        <v>169</v>
      </c>
      <c r="C151" s="1341" t="s">
        <v>1424</v>
      </c>
      <c r="D151" s="1310">
        <v>801.14999399999999</v>
      </c>
    </row>
    <row r="152" spans="2:4" x14ac:dyDescent="0.2">
      <c r="B152" s="1341">
        <v>170</v>
      </c>
      <c r="C152" s="1341" t="s">
        <v>1425</v>
      </c>
      <c r="D152" s="1310">
        <v>858.39444300000002</v>
      </c>
    </row>
    <row r="153" spans="2:4" x14ac:dyDescent="0.2">
      <c r="B153" s="1341">
        <v>171</v>
      </c>
      <c r="C153" s="1341" t="s">
        <v>1426</v>
      </c>
      <c r="D153" s="1310">
        <v>701.89999399999999</v>
      </c>
    </row>
    <row r="154" spans="2:4" x14ac:dyDescent="0.2">
      <c r="B154" s="1341">
        <v>172</v>
      </c>
      <c r="C154" s="1341" t="s">
        <v>1427</v>
      </c>
      <c r="D154" s="1310">
        <v>659.34286099999997</v>
      </c>
    </row>
    <row r="155" spans="2:4" x14ac:dyDescent="0.2">
      <c r="B155" s="1341">
        <v>173</v>
      </c>
      <c r="C155" s="1341" t="s">
        <v>1428</v>
      </c>
      <c r="D155" s="1310">
        <v>732.02499399999999</v>
      </c>
    </row>
    <row r="156" spans="2:4" x14ac:dyDescent="0.2">
      <c r="B156" s="1341">
        <v>174</v>
      </c>
      <c r="C156" s="1341" t="s">
        <v>1429</v>
      </c>
      <c r="D156" s="1310">
        <v>768.76668299999994</v>
      </c>
    </row>
    <row r="157" spans="2:4" x14ac:dyDescent="0.2">
      <c r="B157" s="1341">
        <v>175</v>
      </c>
      <c r="C157" s="1341" t="s">
        <v>1430</v>
      </c>
      <c r="D157" s="1310">
        <v>753.9</v>
      </c>
    </row>
    <row r="158" spans="2:4" x14ac:dyDescent="0.2">
      <c r="B158" s="1341">
        <v>176</v>
      </c>
      <c r="C158" s="1341" t="s">
        <v>1431</v>
      </c>
      <c r="D158" s="1310">
        <v>813.25</v>
      </c>
    </row>
    <row r="159" spans="2:4" x14ac:dyDescent="0.2">
      <c r="B159" s="1341">
        <v>177</v>
      </c>
      <c r="C159" s="1341" t="s">
        <v>1432</v>
      </c>
      <c r="D159" s="1310">
        <v>847.70999099999995</v>
      </c>
    </row>
    <row r="160" spans="2:4" x14ac:dyDescent="0.2">
      <c r="B160" s="1341">
        <v>178</v>
      </c>
      <c r="C160" s="1341" t="s">
        <v>1433</v>
      </c>
      <c r="D160" s="1310">
        <v>722.58571099999995</v>
      </c>
    </row>
    <row r="161" spans="2:4" x14ac:dyDescent="0.2">
      <c r="B161" s="1341">
        <v>179</v>
      </c>
      <c r="C161" s="1341" t="s">
        <v>1434</v>
      </c>
      <c r="D161" s="1310">
        <v>639.17500299999995</v>
      </c>
    </row>
    <row r="162" spans="2:4" x14ac:dyDescent="0.2">
      <c r="B162" s="1341">
        <v>180</v>
      </c>
      <c r="C162" s="1341" t="s">
        <v>1435</v>
      </c>
      <c r="D162" s="1310">
        <v>625.64999399999999</v>
      </c>
    </row>
    <row r="163" spans="2:4" x14ac:dyDescent="0.2">
      <c r="B163" s="1341">
        <v>181</v>
      </c>
      <c r="C163" s="1341" t="s">
        <v>1436</v>
      </c>
      <c r="D163" s="1310">
        <v>691.46666500000003</v>
      </c>
    </row>
    <row r="164" spans="2:4" x14ac:dyDescent="0.2">
      <c r="B164" s="1341">
        <v>182</v>
      </c>
      <c r="C164" s="1341" t="s">
        <v>1437</v>
      </c>
      <c r="D164" s="1310">
        <v>803.76666299999999</v>
      </c>
    </row>
    <row r="165" spans="2:4" x14ac:dyDescent="0.2">
      <c r="B165" s="1341">
        <v>183</v>
      </c>
      <c r="C165" s="1341" t="s">
        <v>1438</v>
      </c>
      <c r="D165" s="1310">
        <v>766.87999300000001</v>
      </c>
    </row>
    <row r="166" spans="2:4" x14ac:dyDescent="0.2">
      <c r="B166" s="1341">
        <v>184</v>
      </c>
      <c r="C166" s="1341" t="s">
        <v>1439</v>
      </c>
      <c r="D166" s="1310">
        <v>594</v>
      </c>
    </row>
    <row r="167" spans="2:4" x14ac:dyDescent="0.2">
      <c r="B167" s="1341">
        <v>185</v>
      </c>
      <c r="C167" s="1341" t="s">
        <v>1440</v>
      </c>
      <c r="D167" s="1310">
        <v>634.39999799999998</v>
      </c>
    </row>
    <row r="168" spans="2:4" x14ac:dyDescent="0.2">
      <c r="B168" s="1341">
        <v>186</v>
      </c>
      <c r="C168" s="1341" t="s">
        <v>1441</v>
      </c>
      <c r="D168" s="1310">
        <v>756.96429899999998</v>
      </c>
    </row>
    <row r="169" spans="2:4" x14ac:dyDescent="0.2">
      <c r="B169" s="1341">
        <v>187</v>
      </c>
      <c r="C169" s="1341" t="s">
        <v>1442</v>
      </c>
      <c r="D169" s="1310">
        <v>778.00000899999998</v>
      </c>
    </row>
    <row r="170" spans="2:4" x14ac:dyDescent="0.2">
      <c r="B170" s="1341">
        <v>188</v>
      </c>
      <c r="C170" s="1341" t="s">
        <v>1443</v>
      </c>
      <c r="D170" s="1310">
        <v>683.75</v>
      </c>
    </row>
    <row r="171" spans="2:4" x14ac:dyDescent="0.2">
      <c r="B171" s="1341">
        <v>189</v>
      </c>
      <c r="C171" s="1341" t="s">
        <v>1341</v>
      </c>
      <c r="D171" s="1310">
        <v>681.07499700000005</v>
      </c>
    </row>
    <row r="172" spans="2:4" x14ac:dyDescent="0.2">
      <c r="B172" s="1341">
        <v>190</v>
      </c>
      <c r="C172" s="1341" t="s">
        <v>1444</v>
      </c>
      <c r="D172" s="1310">
        <v>685.48999600000002</v>
      </c>
    </row>
    <row r="173" spans="2:4" x14ac:dyDescent="0.2">
      <c r="B173" s="1341">
        <v>191</v>
      </c>
      <c r="C173" s="1341" t="s">
        <v>1445</v>
      </c>
      <c r="D173" s="1310">
        <v>589.30001800000002</v>
      </c>
    </row>
    <row r="174" spans="2:4" x14ac:dyDescent="0.2">
      <c r="B174" s="1341">
        <v>192</v>
      </c>
      <c r="C174" s="1341" t="s">
        <v>1446</v>
      </c>
      <c r="D174" s="1310">
        <v>699.20001200000002</v>
      </c>
    </row>
    <row r="175" spans="2:4" x14ac:dyDescent="0.2">
      <c r="B175" s="1341">
        <v>193</v>
      </c>
      <c r="C175" s="1341" t="s">
        <v>1447</v>
      </c>
      <c r="D175" s="1310">
        <v>631.45001200000002</v>
      </c>
    </row>
    <row r="176" spans="2:4" x14ac:dyDescent="0.2">
      <c r="B176" s="1341">
        <v>194</v>
      </c>
      <c r="C176" s="1341" t="s">
        <v>1448</v>
      </c>
      <c r="D176" s="1310">
        <v>683.12498500000004</v>
      </c>
    </row>
    <row r="177" spans="2:4" x14ac:dyDescent="0.2">
      <c r="B177" s="1341">
        <v>195</v>
      </c>
      <c r="C177" s="1341" t="s">
        <v>1449</v>
      </c>
      <c r="D177" s="1310">
        <v>729.61250299999995</v>
      </c>
    </row>
    <row r="178" spans="2:4" x14ac:dyDescent="0.2">
      <c r="B178" s="1341">
        <v>196</v>
      </c>
      <c r="C178" s="1341" t="s">
        <v>1450</v>
      </c>
      <c r="D178" s="1310">
        <v>762.80000500000006</v>
      </c>
    </row>
    <row r="179" spans="2:4" x14ac:dyDescent="0.2">
      <c r="B179" s="1341">
        <v>197</v>
      </c>
      <c r="C179" s="1341" t="s">
        <v>1451</v>
      </c>
      <c r="D179" s="1310">
        <v>788.8</v>
      </c>
    </row>
    <row r="180" spans="2:4" x14ac:dyDescent="0.2">
      <c r="B180" s="1341">
        <v>198</v>
      </c>
      <c r="C180" s="1341" t="s">
        <v>1452</v>
      </c>
      <c r="D180" s="1310">
        <v>724.42499499999997</v>
      </c>
    </row>
    <row r="181" spans="2:4" x14ac:dyDescent="0.2">
      <c r="B181" s="1341">
        <v>199</v>
      </c>
      <c r="C181" s="1341" t="s">
        <v>1453</v>
      </c>
      <c r="D181" s="1310">
        <v>751.20000700000003</v>
      </c>
    </row>
    <row r="182" spans="2:4" x14ac:dyDescent="0.2">
      <c r="B182" s="1341">
        <v>200</v>
      </c>
      <c r="C182" s="1341" t="s">
        <v>1454</v>
      </c>
      <c r="D182" s="1310">
        <v>766.19999199999995</v>
      </c>
    </row>
    <row r="183" spans="2:4" x14ac:dyDescent="0.2">
      <c r="B183" s="1341">
        <v>201</v>
      </c>
      <c r="C183" s="1341" t="s">
        <v>1455</v>
      </c>
      <c r="D183" s="1310">
        <v>682.77999299999999</v>
      </c>
    </row>
    <row r="184" spans="2:4" x14ac:dyDescent="0.2">
      <c r="B184" s="1341">
        <v>202</v>
      </c>
      <c r="C184" s="1341" t="s">
        <v>1456</v>
      </c>
      <c r="D184" s="1310">
        <v>622</v>
      </c>
    </row>
    <row r="185" spans="2:4" x14ac:dyDescent="0.2">
      <c r="B185" s="1341">
        <v>203</v>
      </c>
      <c r="C185" s="1341" t="s">
        <v>1457</v>
      </c>
      <c r="D185" s="1310">
        <v>624.36665900000003</v>
      </c>
    </row>
    <row r="186" spans="2:4" x14ac:dyDescent="0.2">
      <c r="B186" s="1341">
        <v>204</v>
      </c>
      <c r="C186" s="1341" t="s">
        <v>1458</v>
      </c>
      <c r="D186" s="1310">
        <v>623.56666099999995</v>
      </c>
    </row>
    <row r="187" spans="2:4" x14ac:dyDescent="0.2">
      <c r="B187" s="1341">
        <v>205</v>
      </c>
      <c r="C187" s="1341" t="s">
        <v>1459</v>
      </c>
      <c r="D187" s="1310">
        <v>674.89998400000002</v>
      </c>
    </row>
    <row r="188" spans="2:4" x14ac:dyDescent="0.2">
      <c r="B188" s="1341">
        <v>206</v>
      </c>
      <c r="C188" s="1341" t="s">
        <v>1460</v>
      </c>
      <c r="D188" s="1310">
        <v>654.76666299999999</v>
      </c>
    </row>
    <row r="189" spans="2:4" x14ac:dyDescent="0.2">
      <c r="B189" s="1341">
        <v>207</v>
      </c>
      <c r="C189" s="1341" t="s">
        <v>1461</v>
      </c>
      <c r="D189" s="1310">
        <v>650.53334600000005</v>
      </c>
    </row>
    <row r="190" spans="2:4" x14ac:dyDescent="0.2">
      <c r="B190" s="1341">
        <v>208</v>
      </c>
      <c r="C190" s="1341" t="s">
        <v>1462</v>
      </c>
      <c r="D190" s="1310">
        <v>598.38889600000005</v>
      </c>
    </row>
    <row r="191" spans="2:4" x14ac:dyDescent="0.2">
      <c r="B191" s="1341">
        <v>209</v>
      </c>
      <c r="C191" s="1341" t="s">
        <v>1463</v>
      </c>
      <c r="D191" s="1310">
        <v>583.12306599999999</v>
      </c>
    </row>
    <row r="192" spans="2:4" x14ac:dyDescent="0.2">
      <c r="B192" s="1341">
        <v>210</v>
      </c>
      <c r="C192" s="1341" t="s">
        <v>1464</v>
      </c>
      <c r="D192" s="1310">
        <v>762.59997599999997</v>
      </c>
    </row>
    <row r="193" spans="2:4" x14ac:dyDescent="0.2">
      <c r="B193" s="1341">
        <v>211</v>
      </c>
      <c r="C193" s="1341" t="s">
        <v>1465</v>
      </c>
      <c r="D193" s="1310">
        <v>717.56664999999998</v>
      </c>
    </row>
    <row r="194" spans="2:4" x14ac:dyDescent="0.2">
      <c r="B194" s="1341">
        <v>212</v>
      </c>
      <c r="C194" s="1341" t="s">
        <v>1466</v>
      </c>
      <c r="D194" s="1310">
        <v>681.74998500000004</v>
      </c>
    </row>
    <row r="195" spans="2:4" x14ac:dyDescent="0.2">
      <c r="B195" s="1341">
        <v>213</v>
      </c>
      <c r="C195" s="1341" t="s">
        <v>1467</v>
      </c>
      <c r="D195" s="1310">
        <v>713.44999700000005</v>
      </c>
    </row>
    <row r="196" spans="2:4" x14ac:dyDescent="0.2">
      <c r="B196" s="1341">
        <v>214</v>
      </c>
      <c r="C196" s="1341" t="s">
        <v>1468</v>
      </c>
      <c r="D196" s="1310">
        <v>710.42501100000004</v>
      </c>
    </row>
    <row r="197" spans="2:4" x14ac:dyDescent="0.2">
      <c r="B197" s="1341">
        <v>215</v>
      </c>
      <c r="C197" s="1341" t="s">
        <v>1469</v>
      </c>
      <c r="D197" s="1310">
        <v>715.95001200000002</v>
      </c>
    </row>
    <row r="198" spans="2:4" x14ac:dyDescent="0.2">
      <c r="B198" s="1341">
        <v>216</v>
      </c>
      <c r="C198" s="1341" t="s">
        <v>1470</v>
      </c>
      <c r="D198" s="1310">
        <v>590.6</v>
      </c>
    </row>
    <row r="199" spans="2:4" x14ac:dyDescent="0.2">
      <c r="B199" s="1341">
        <v>217</v>
      </c>
      <c r="C199" s="1341" t="s">
        <v>1471</v>
      </c>
      <c r="D199" s="1310">
        <v>669.48751100000004</v>
      </c>
    </row>
    <row r="200" spans="2:4" x14ac:dyDescent="0.2">
      <c r="B200" s="1341">
        <v>218</v>
      </c>
      <c r="C200" s="1341" t="s">
        <v>1392</v>
      </c>
      <c r="D200" s="1310">
        <v>646.32000700000003</v>
      </c>
    </row>
    <row r="201" spans="2:4" x14ac:dyDescent="0.2">
      <c r="B201" s="1341">
        <v>219</v>
      </c>
      <c r="C201" s="1341" t="s">
        <v>1472</v>
      </c>
      <c r="D201" s="1310">
        <v>704.20001200000002</v>
      </c>
    </row>
    <row r="202" spans="2:4" x14ac:dyDescent="0.2">
      <c r="B202" s="1341">
        <v>220</v>
      </c>
      <c r="C202" s="1341" t="s">
        <v>1473</v>
      </c>
      <c r="D202" s="1310">
        <v>674.14999399999999</v>
      </c>
    </row>
    <row r="203" spans="2:4" x14ac:dyDescent="0.2">
      <c r="B203" s="1341">
        <v>221</v>
      </c>
      <c r="C203" s="1341" t="s">
        <v>1474</v>
      </c>
      <c r="D203" s="1310">
        <v>668.68333900000005</v>
      </c>
    </row>
    <row r="204" spans="2:4" x14ac:dyDescent="0.2">
      <c r="B204" s="1341">
        <v>222</v>
      </c>
      <c r="C204" s="1341" t="s">
        <v>1475</v>
      </c>
      <c r="D204" s="1310">
        <v>640.69999700000005</v>
      </c>
    </row>
    <row r="205" spans="2:4" x14ac:dyDescent="0.2">
      <c r="B205" s="1341">
        <v>223</v>
      </c>
      <c r="C205" s="1341" t="s">
        <v>1476</v>
      </c>
      <c r="D205" s="1310">
        <v>646.35555999999997</v>
      </c>
    </row>
    <row r="206" spans="2:4" x14ac:dyDescent="0.2">
      <c r="B206" s="1341">
        <v>224</v>
      </c>
      <c r="C206" s="1341" t="s">
        <v>1477</v>
      </c>
      <c r="D206" s="1310">
        <v>609.89999399999999</v>
      </c>
    </row>
    <row r="207" spans="2:4" x14ac:dyDescent="0.2">
      <c r="B207" s="1341">
        <v>225</v>
      </c>
      <c r="C207" s="1341" t="s">
        <v>1478</v>
      </c>
      <c r="D207" s="1310">
        <v>732.06087300000002</v>
      </c>
    </row>
    <row r="208" spans="2:4" x14ac:dyDescent="0.2">
      <c r="B208" s="1341">
        <v>226</v>
      </c>
      <c r="C208" s="1341" t="s">
        <v>1479</v>
      </c>
      <c r="D208" s="1310">
        <v>723.52499399999999</v>
      </c>
    </row>
    <row r="209" spans="2:4" x14ac:dyDescent="0.2">
      <c r="B209" s="1341">
        <v>227</v>
      </c>
      <c r="C209" s="1341" t="s">
        <v>1480</v>
      </c>
      <c r="D209" s="1310">
        <v>728.60868800000003</v>
      </c>
    </row>
    <row r="210" spans="2:4" x14ac:dyDescent="0.2">
      <c r="B210" s="1341">
        <v>228</v>
      </c>
      <c r="C210" s="1341" t="s">
        <v>1481</v>
      </c>
      <c r="D210" s="1310">
        <v>563.89999399999999</v>
      </c>
    </row>
    <row r="211" spans="2:4" x14ac:dyDescent="0.2">
      <c r="B211" s="1341">
        <v>229</v>
      </c>
      <c r="C211" s="1341" t="s">
        <v>1482</v>
      </c>
      <c r="D211" s="1310">
        <v>597.240002</v>
      </c>
    </row>
    <row r="212" spans="2:4" x14ac:dyDescent="0.2">
      <c r="B212" s="1341">
        <v>230</v>
      </c>
      <c r="C212" s="1341" t="s">
        <v>1483</v>
      </c>
      <c r="D212" s="1310">
        <v>690.33331299999998</v>
      </c>
    </row>
    <row r="213" spans="2:4" x14ac:dyDescent="0.2">
      <c r="B213" s="1341">
        <v>231</v>
      </c>
      <c r="C213" s="1341" t="s">
        <v>1484</v>
      </c>
      <c r="D213" s="1310">
        <v>674.54000199999996</v>
      </c>
    </row>
    <row r="214" spans="2:4" x14ac:dyDescent="0.2">
      <c r="B214" s="1341">
        <v>232</v>
      </c>
      <c r="C214" s="1341" t="s">
        <v>1485</v>
      </c>
      <c r="D214" s="1310">
        <v>646.31818699999997</v>
      </c>
    </row>
    <row r="215" spans="2:4" x14ac:dyDescent="0.2">
      <c r="B215" s="1341">
        <v>233</v>
      </c>
      <c r="C215" s="1341" t="s">
        <v>1290</v>
      </c>
      <c r="D215" s="1310">
        <v>585.366669</v>
      </c>
    </row>
    <row r="216" spans="2:4" x14ac:dyDescent="0.2">
      <c r="B216" s="1341">
        <v>234</v>
      </c>
      <c r="C216" s="1341" t="s">
        <v>1486</v>
      </c>
      <c r="D216" s="1310">
        <v>594.89000199999998</v>
      </c>
    </row>
    <row r="217" spans="2:4" x14ac:dyDescent="0.2">
      <c r="B217" s="1341">
        <v>235</v>
      </c>
      <c r="C217" s="1341" t="s">
        <v>1487</v>
      </c>
      <c r="D217" s="1310">
        <v>730.2</v>
      </c>
    </row>
    <row r="218" spans="2:4" x14ac:dyDescent="0.2">
      <c r="B218" s="1341">
        <v>236</v>
      </c>
      <c r="C218" s="1341" t="s">
        <v>1488</v>
      </c>
      <c r="D218" s="1310">
        <v>709.37917100000004</v>
      </c>
    </row>
    <row r="219" spans="2:4" x14ac:dyDescent="0.2">
      <c r="B219" s="1341">
        <v>237</v>
      </c>
      <c r="C219" s="1341" t="s">
        <v>1489</v>
      </c>
      <c r="D219" s="1310">
        <v>656.83333300000004</v>
      </c>
    </row>
    <row r="220" spans="2:4" x14ac:dyDescent="0.2">
      <c r="B220" s="1341">
        <v>238</v>
      </c>
      <c r="C220" s="1341" t="s">
        <v>1490</v>
      </c>
      <c r="D220" s="1310">
        <v>638.100008</v>
      </c>
    </row>
    <row r="221" spans="2:4" x14ac:dyDescent="0.2">
      <c r="B221" s="1341">
        <v>239</v>
      </c>
      <c r="C221" s="1341" t="s">
        <v>1491</v>
      </c>
      <c r="D221" s="1310">
        <v>642.49998500000004</v>
      </c>
    </row>
    <row r="222" spans="2:4" x14ac:dyDescent="0.2">
      <c r="B222" s="1341">
        <v>240</v>
      </c>
      <c r="C222" s="1341" t="s">
        <v>1492</v>
      </c>
      <c r="D222" s="1310">
        <v>606.46520999999996</v>
      </c>
    </row>
    <row r="223" spans="2:4" x14ac:dyDescent="0.2">
      <c r="B223" s="1341">
        <v>241</v>
      </c>
      <c r="C223" s="1341" t="s">
        <v>1493</v>
      </c>
      <c r="D223" s="1310">
        <v>596.23333700000001</v>
      </c>
    </row>
    <row r="224" spans="2:4" x14ac:dyDescent="0.2">
      <c r="B224" s="1341">
        <v>242</v>
      </c>
      <c r="C224" s="1341" t="s">
        <v>1494</v>
      </c>
      <c r="D224" s="1310">
        <v>605.42500299999995</v>
      </c>
    </row>
    <row r="225" spans="2:4" x14ac:dyDescent="0.2">
      <c r="B225" s="1341">
        <v>243</v>
      </c>
      <c r="C225" s="1341" t="s">
        <v>1495</v>
      </c>
      <c r="D225" s="1310">
        <v>738.03334600000005</v>
      </c>
    </row>
    <row r="226" spans="2:4" x14ac:dyDescent="0.2">
      <c r="B226" s="1341">
        <v>244</v>
      </c>
      <c r="C226" s="1341" t="s">
        <v>1496</v>
      </c>
      <c r="D226" s="1310">
        <v>673.11665900000003</v>
      </c>
    </row>
    <row r="227" spans="2:4" x14ac:dyDescent="0.2">
      <c r="B227" s="1341">
        <v>245</v>
      </c>
      <c r="C227" s="1341" t="s">
        <v>1497</v>
      </c>
      <c r="D227" s="1310">
        <v>652.72858499999995</v>
      </c>
    </row>
    <row r="228" spans="2:4" x14ac:dyDescent="0.2">
      <c r="B228" s="1341">
        <v>246</v>
      </c>
      <c r="C228" s="1341" t="s">
        <v>439</v>
      </c>
      <c r="D228" s="1310">
        <v>609.68461300000001</v>
      </c>
    </row>
    <row r="229" spans="2:4" x14ac:dyDescent="0.2">
      <c r="B229" s="1341">
        <v>247</v>
      </c>
      <c r="C229" s="1341" t="s">
        <v>1498</v>
      </c>
      <c r="D229" s="1310">
        <v>605.79998799999998</v>
      </c>
    </row>
    <row r="230" spans="2:4" x14ac:dyDescent="0.2">
      <c r="B230" s="1341">
        <v>248</v>
      </c>
      <c r="C230" s="1341" t="s">
        <v>1499</v>
      </c>
      <c r="D230" s="1310">
        <v>702.56249200000002</v>
      </c>
    </row>
    <row r="231" spans="2:4" x14ac:dyDescent="0.2">
      <c r="B231" s="1341">
        <v>249</v>
      </c>
      <c r="C231" s="1341" t="s">
        <v>1500</v>
      </c>
      <c r="D231" s="1310">
        <v>674.84286899999995</v>
      </c>
    </row>
    <row r="232" spans="2:4" x14ac:dyDescent="0.2">
      <c r="B232" s="1341">
        <v>250</v>
      </c>
      <c r="C232" s="1341" t="s">
        <v>1501</v>
      </c>
      <c r="D232" s="1310">
        <v>673.740002</v>
      </c>
    </row>
    <row r="233" spans="2:4" x14ac:dyDescent="0.2">
      <c r="B233" s="1341">
        <v>251</v>
      </c>
      <c r="C233" s="1341" t="s">
        <v>1502</v>
      </c>
      <c r="D233" s="1310">
        <v>668.75</v>
      </c>
    </row>
    <row r="234" spans="2:4" x14ac:dyDescent="0.2">
      <c r="B234" s="1341">
        <v>252</v>
      </c>
      <c r="C234" s="1341" t="s">
        <v>1503</v>
      </c>
      <c r="D234" s="1310">
        <v>661.13334099999997</v>
      </c>
    </row>
    <row r="235" spans="2:4" x14ac:dyDescent="0.2">
      <c r="B235" s="1341">
        <v>253</v>
      </c>
      <c r="C235" s="1341" t="s">
        <v>1504</v>
      </c>
      <c r="D235" s="1310">
        <v>660.29999799999996</v>
      </c>
    </row>
    <row r="236" spans="2:4" x14ac:dyDescent="0.2">
      <c r="B236" s="1341">
        <v>254</v>
      </c>
      <c r="C236" s="1341" t="s">
        <v>1505</v>
      </c>
      <c r="D236" s="1310">
        <v>603.30001200000004</v>
      </c>
    </row>
    <row r="237" spans="2:4" x14ac:dyDescent="0.2">
      <c r="B237" s="1341">
        <v>255</v>
      </c>
      <c r="C237" s="1341" t="s">
        <v>1506</v>
      </c>
      <c r="D237" s="1310">
        <v>624.68000500000005</v>
      </c>
    </row>
    <row r="238" spans="2:4" x14ac:dyDescent="0.2">
      <c r="B238" s="1341">
        <v>256</v>
      </c>
      <c r="C238" s="1341" t="s">
        <v>1507</v>
      </c>
      <c r="D238" s="1310">
        <v>600.25714100000005</v>
      </c>
    </row>
    <row r="239" spans="2:4" x14ac:dyDescent="0.2">
      <c r="B239" s="1341">
        <v>257</v>
      </c>
      <c r="C239" s="1341" t="s">
        <v>1508</v>
      </c>
      <c r="D239" s="1310">
        <v>637.21250199999997</v>
      </c>
    </row>
    <row r="240" spans="2:4" x14ac:dyDescent="0.2">
      <c r="B240" s="1341">
        <v>258</v>
      </c>
      <c r="C240" s="1341" t="s">
        <v>1509</v>
      </c>
      <c r="D240" s="1310">
        <v>657.1</v>
      </c>
    </row>
    <row r="241" spans="2:4" x14ac:dyDescent="0.2">
      <c r="B241" s="1341">
        <v>259</v>
      </c>
      <c r="C241" s="1341" t="s">
        <v>1510</v>
      </c>
      <c r="D241" s="1310">
        <v>649.53332499999999</v>
      </c>
    </row>
    <row r="242" spans="2:4" x14ac:dyDescent="0.2">
      <c r="B242" s="1341">
        <v>260</v>
      </c>
      <c r="C242" s="1341" t="s">
        <v>1511</v>
      </c>
      <c r="D242" s="1310">
        <v>664.114284</v>
      </c>
    </row>
    <row r="243" spans="2:4" x14ac:dyDescent="0.2">
      <c r="B243" s="1341">
        <v>261</v>
      </c>
      <c r="C243" s="1341" t="s">
        <v>1512</v>
      </c>
      <c r="D243" s="1310">
        <v>629.70000600000003</v>
      </c>
    </row>
    <row r="244" spans="2:4" x14ac:dyDescent="0.2">
      <c r="B244" s="1341">
        <v>262</v>
      </c>
      <c r="C244" s="1341" t="s">
        <v>1513</v>
      </c>
      <c r="D244" s="1310">
        <v>631.08181999999999</v>
      </c>
    </row>
    <row r="245" spans="2:4" x14ac:dyDescent="0.2">
      <c r="B245" s="1341">
        <v>263</v>
      </c>
      <c r="C245" s="1341" t="s">
        <v>1514</v>
      </c>
      <c r="D245" s="1310">
        <v>632.259998</v>
      </c>
    </row>
    <row r="246" spans="2:4" x14ac:dyDescent="0.2">
      <c r="B246" s="1341">
        <v>264</v>
      </c>
      <c r="C246" s="1341" t="s">
        <v>1515</v>
      </c>
      <c r="D246" s="1310">
        <v>649.89999399999999</v>
      </c>
    </row>
    <row r="247" spans="2:4" x14ac:dyDescent="0.2">
      <c r="B247" s="1341">
        <v>265</v>
      </c>
      <c r="C247" s="1341" t="s">
        <v>1516</v>
      </c>
      <c r="D247" s="1310">
        <v>605.44999700000005</v>
      </c>
    </row>
    <row r="248" spans="2:4" x14ac:dyDescent="0.2">
      <c r="B248" s="1341">
        <v>266</v>
      </c>
      <c r="C248" s="1341" t="s">
        <v>1517</v>
      </c>
      <c r="D248" s="1310">
        <v>604.59998900000005</v>
      </c>
    </row>
    <row r="249" spans="2:4" x14ac:dyDescent="0.2">
      <c r="B249" s="1341">
        <v>267</v>
      </c>
      <c r="C249" s="1341" t="s">
        <v>1518</v>
      </c>
      <c r="D249" s="1310">
        <v>598.88181399999996</v>
      </c>
    </row>
    <row r="250" spans="2:4" x14ac:dyDescent="0.2">
      <c r="B250" s="1341">
        <v>268</v>
      </c>
      <c r="C250" s="1341" t="s">
        <v>1519</v>
      </c>
      <c r="D250" s="1310">
        <v>605.62222599999996</v>
      </c>
    </row>
    <row r="251" spans="2:4" x14ac:dyDescent="0.2">
      <c r="B251" s="1341">
        <v>269</v>
      </c>
      <c r="C251" s="1341" t="s">
        <v>1520</v>
      </c>
      <c r="D251" s="1310">
        <v>627.48748799999998</v>
      </c>
    </row>
    <row r="252" spans="2:4" x14ac:dyDescent="0.2">
      <c r="B252" s="1341">
        <v>270</v>
      </c>
      <c r="C252" s="1341" t="s">
        <v>1521</v>
      </c>
      <c r="D252" s="1310">
        <v>636.81000400000005</v>
      </c>
    </row>
    <row r="253" spans="2:4" x14ac:dyDescent="0.2">
      <c r="B253" s="1341">
        <v>271</v>
      </c>
      <c r="C253" s="1341" t="s">
        <v>1522</v>
      </c>
      <c r="D253" s="1310">
        <v>621.66842199999996</v>
      </c>
    </row>
    <row r="254" spans="2:4" x14ac:dyDescent="0.2">
      <c r="B254" s="1341">
        <v>272</v>
      </c>
      <c r="C254" s="1341" t="s">
        <v>1523</v>
      </c>
      <c r="D254" s="1310">
        <v>598.20000200000004</v>
      </c>
    </row>
    <row r="255" spans="2:4" x14ac:dyDescent="0.2">
      <c r="B255" s="1341">
        <v>273</v>
      </c>
      <c r="C255" s="1341" t="s">
        <v>1524</v>
      </c>
      <c r="D255" s="1310">
        <v>594.92916600000001</v>
      </c>
    </row>
    <row r="256" spans="2:4" x14ac:dyDescent="0.2">
      <c r="B256" s="1341">
        <v>274</v>
      </c>
      <c r="C256" s="1341" t="s">
        <v>1525</v>
      </c>
      <c r="D256" s="1310">
        <v>599.70000200000004</v>
      </c>
    </row>
    <row r="257" spans="2:4" x14ac:dyDescent="0.2">
      <c r="B257" s="1341">
        <v>275</v>
      </c>
      <c r="C257" s="1341" t="s">
        <v>1526</v>
      </c>
      <c r="D257" s="1310">
        <v>615.29998799999998</v>
      </c>
    </row>
    <row r="258" spans="2:4" x14ac:dyDescent="0.2">
      <c r="B258" s="1341">
        <v>276</v>
      </c>
      <c r="C258" s="1341" t="s">
        <v>1527</v>
      </c>
      <c r="D258" s="1310">
        <v>619.24999000000003</v>
      </c>
    </row>
    <row r="259" spans="2:4" x14ac:dyDescent="0.2">
      <c r="B259" s="1341">
        <v>277</v>
      </c>
      <c r="C259" s="1341" t="s">
        <v>1528</v>
      </c>
      <c r="D259" s="1310">
        <v>642.15002400000003</v>
      </c>
    </row>
    <row r="260" spans="2:4" x14ac:dyDescent="0.2">
      <c r="B260" s="1341">
        <v>278</v>
      </c>
      <c r="C260" s="1341" t="s">
        <v>1529</v>
      </c>
      <c r="D260" s="1310">
        <v>595.889996</v>
      </c>
    </row>
    <row r="261" spans="2:4" x14ac:dyDescent="0.2">
      <c r="B261" s="1341">
        <v>279</v>
      </c>
      <c r="C261" s="1341" t="s">
        <v>1530</v>
      </c>
      <c r="D261" s="1310">
        <v>596.84374600000001</v>
      </c>
    </row>
    <row r="262" spans="2:4" x14ac:dyDescent="0.2">
      <c r="B262" s="1341">
        <v>280</v>
      </c>
      <c r="C262" s="1341" t="s">
        <v>1531</v>
      </c>
      <c r="D262" s="1310">
        <v>598.125</v>
      </c>
    </row>
    <row r="263" spans="2:4" x14ac:dyDescent="0.2">
      <c r="B263" s="1341">
        <v>281</v>
      </c>
      <c r="C263" s="1341" t="s">
        <v>1532</v>
      </c>
      <c r="D263" s="1310">
        <v>584.90000399999997</v>
      </c>
    </row>
    <row r="264" spans="2:4" x14ac:dyDescent="0.2">
      <c r="B264" s="1341">
        <v>282</v>
      </c>
      <c r="C264" s="1341" t="s">
        <v>1533</v>
      </c>
      <c r="D264" s="1310">
        <v>663.79998799999998</v>
      </c>
    </row>
    <row r="265" spans="2:4" x14ac:dyDescent="0.2">
      <c r="B265" s="1341">
        <v>283</v>
      </c>
      <c r="C265" s="1341" t="s">
        <v>1534</v>
      </c>
      <c r="D265" s="1310">
        <v>613.70000200000004</v>
      </c>
    </row>
    <row r="266" spans="2:4" x14ac:dyDescent="0.2">
      <c r="B266" s="1341">
        <v>284</v>
      </c>
      <c r="C266" s="1341" t="s">
        <v>1535</v>
      </c>
      <c r="D266" s="1310">
        <v>641.62726399999997</v>
      </c>
    </row>
    <row r="267" spans="2:4" x14ac:dyDescent="0.2">
      <c r="B267" s="1341">
        <v>285</v>
      </c>
      <c r="C267" s="1341" t="s">
        <v>1536</v>
      </c>
      <c r="D267" s="1310">
        <v>592.39999399999999</v>
      </c>
    </row>
    <row r="268" spans="2:4" x14ac:dyDescent="0.2">
      <c r="B268" s="1341">
        <v>286</v>
      </c>
      <c r="C268" s="1341" t="s">
        <v>1537</v>
      </c>
      <c r="D268" s="1310">
        <v>616.85000600000001</v>
      </c>
    </row>
    <row r="269" spans="2:4" x14ac:dyDescent="0.2">
      <c r="B269" s="1341">
        <v>287</v>
      </c>
      <c r="C269" s="1341" t="s">
        <v>1538</v>
      </c>
      <c r="D269" s="1310">
        <v>629.42999899999995</v>
      </c>
    </row>
    <row r="270" spans="2:4" x14ac:dyDescent="0.2">
      <c r="B270" s="1341">
        <v>288</v>
      </c>
      <c r="C270" s="1341" t="s">
        <v>1539</v>
      </c>
      <c r="D270" s="1310">
        <v>623.84999500000004</v>
      </c>
    </row>
    <row r="271" spans="2:4" x14ac:dyDescent="0.2">
      <c r="B271" s="1341">
        <v>289</v>
      </c>
      <c r="C271" s="1341" t="s">
        <v>1540</v>
      </c>
      <c r="D271" s="1310">
        <v>636.86665900000003</v>
      </c>
    </row>
    <row r="272" spans="2:4" x14ac:dyDescent="0.2">
      <c r="B272" s="1341">
        <v>290</v>
      </c>
      <c r="C272" s="1341" t="s">
        <v>1541</v>
      </c>
      <c r="D272" s="1310">
        <v>616.56364299999996</v>
      </c>
    </row>
    <row r="273" spans="2:4" x14ac:dyDescent="0.2">
      <c r="B273" s="1341">
        <v>291</v>
      </c>
      <c r="C273" s="1341" t="s">
        <v>1542</v>
      </c>
      <c r="D273" s="1310">
        <v>621.44999700000005</v>
      </c>
    </row>
    <row r="274" spans="2:4" x14ac:dyDescent="0.2">
      <c r="B274" s="1341">
        <v>292</v>
      </c>
      <c r="C274" s="1341" t="s">
        <v>1543</v>
      </c>
      <c r="D274" s="1310">
        <v>636.69999199999995</v>
      </c>
    </row>
    <row r="275" spans="2:4" x14ac:dyDescent="0.2">
      <c r="B275" s="1341">
        <v>293</v>
      </c>
      <c r="C275" s="1341" t="s">
        <v>1544</v>
      </c>
      <c r="D275" s="1310">
        <v>640.67894899999999</v>
      </c>
    </row>
    <row r="276" spans="2:4" x14ac:dyDescent="0.2">
      <c r="B276" s="1341">
        <v>294</v>
      </c>
      <c r="C276" s="1341" t="s">
        <v>1545</v>
      </c>
      <c r="D276" s="1310">
        <v>643.30769499999997</v>
      </c>
    </row>
    <row r="277" spans="2:4" x14ac:dyDescent="0.2">
      <c r="B277" s="1341">
        <v>295</v>
      </c>
      <c r="C277" s="1341" t="s">
        <v>1546</v>
      </c>
      <c r="D277" s="1310">
        <v>651.84616300000005</v>
      </c>
    </row>
    <row r="278" spans="2:4" x14ac:dyDescent="0.2">
      <c r="B278" s="1341">
        <v>296</v>
      </c>
      <c r="C278" s="1341" t="s">
        <v>1547</v>
      </c>
      <c r="D278" s="1310">
        <v>632.56922799999995</v>
      </c>
    </row>
    <row r="279" spans="2:4" x14ac:dyDescent="0.2">
      <c r="B279" s="1341">
        <v>301</v>
      </c>
      <c r="C279" s="1341" t="s">
        <v>1548</v>
      </c>
      <c r="D279" s="1310">
        <v>862.13999000000001</v>
      </c>
    </row>
    <row r="280" spans="2:4" x14ac:dyDescent="0.2">
      <c r="B280" s="1341">
        <v>302</v>
      </c>
      <c r="C280" s="1341" t="s">
        <v>1549</v>
      </c>
      <c r="D280" s="1310">
        <v>749.54285500000003</v>
      </c>
    </row>
    <row r="281" spans="2:4" x14ac:dyDescent="0.2">
      <c r="B281" s="1341">
        <v>303</v>
      </c>
      <c r="C281" s="1341" t="s">
        <v>1550</v>
      </c>
      <c r="D281" s="1310">
        <v>831.16667700000005</v>
      </c>
    </row>
    <row r="282" spans="2:4" x14ac:dyDescent="0.2">
      <c r="B282" s="1341">
        <v>304</v>
      </c>
      <c r="C282" s="1341" t="s">
        <v>1551</v>
      </c>
      <c r="D282" s="1310">
        <v>869.38889600000005</v>
      </c>
    </row>
    <row r="283" spans="2:4" x14ac:dyDescent="0.2">
      <c r="B283" s="1341">
        <v>305</v>
      </c>
      <c r="C283" s="1341" t="s">
        <v>1552</v>
      </c>
      <c r="D283" s="1310">
        <v>813.02502400000003</v>
      </c>
    </row>
    <row r="284" spans="2:4" x14ac:dyDescent="0.2">
      <c r="B284" s="1341">
        <v>306</v>
      </c>
      <c r="C284" s="1341" t="s">
        <v>1553</v>
      </c>
      <c r="D284" s="1310">
        <v>658.86499900000001</v>
      </c>
    </row>
    <row r="285" spans="2:4" x14ac:dyDescent="0.2">
      <c r="B285" s="1341">
        <v>307</v>
      </c>
      <c r="C285" s="1341" t="s">
        <v>1554</v>
      </c>
      <c r="D285" s="1310">
        <v>705.89999399999999</v>
      </c>
    </row>
    <row r="286" spans="2:4" x14ac:dyDescent="0.2">
      <c r="B286" s="1341">
        <v>308</v>
      </c>
      <c r="C286" s="1341" t="s">
        <v>1555</v>
      </c>
      <c r="D286" s="1310">
        <v>734.35</v>
      </c>
    </row>
    <row r="287" spans="2:4" x14ac:dyDescent="0.2">
      <c r="B287" s="1341">
        <v>309</v>
      </c>
      <c r="C287" s="1341" t="s">
        <v>1556</v>
      </c>
      <c r="D287" s="1310">
        <v>838.29998799999998</v>
      </c>
    </row>
    <row r="288" spans="2:4" x14ac:dyDescent="0.2">
      <c r="B288" s="1341">
        <v>310</v>
      </c>
      <c r="C288" s="1341" t="s">
        <v>1557</v>
      </c>
      <c r="D288" s="1310">
        <v>810.32499700000005</v>
      </c>
    </row>
    <row r="289" spans="2:4" x14ac:dyDescent="0.2">
      <c r="B289" s="1341">
        <v>311</v>
      </c>
      <c r="C289" s="1341" t="s">
        <v>1558</v>
      </c>
      <c r="D289" s="1310">
        <v>808.96665399999995</v>
      </c>
    </row>
    <row r="290" spans="2:4" x14ac:dyDescent="0.2">
      <c r="B290" s="1341">
        <v>312</v>
      </c>
      <c r="C290" s="1341" t="s">
        <v>1559</v>
      </c>
      <c r="D290" s="1310">
        <v>781.60000600000001</v>
      </c>
    </row>
    <row r="291" spans="2:4" x14ac:dyDescent="0.2">
      <c r="B291" s="1341">
        <v>313</v>
      </c>
      <c r="C291" s="1341" t="s">
        <v>1560</v>
      </c>
      <c r="D291" s="1310">
        <v>796.43332899999996</v>
      </c>
    </row>
    <row r="292" spans="2:4" x14ac:dyDescent="0.2">
      <c r="B292" s="1341">
        <v>314</v>
      </c>
      <c r="C292" s="1341" t="s">
        <v>1561</v>
      </c>
      <c r="D292" s="1310">
        <v>801.79998799999998</v>
      </c>
    </row>
    <row r="293" spans="2:4" x14ac:dyDescent="0.2">
      <c r="B293" s="1341">
        <v>315</v>
      </c>
      <c r="C293" s="1341" t="s">
        <v>1562</v>
      </c>
      <c r="D293" s="1310">
        <v>812.90002400000003</v>
      </c>
    </row>
    <row r="294" spans="2:4" x14ac:dyDescent="0.2">
      <c r="B294" s="1341">
        <v>316</v>
      </c>
      <c r="C294" s="1341" t="s">
        <v>1563</v>
      </c>
      <c r="D294" s="1310">
        <v>825.83335399999999</v>
      </c>
    </row>
    <row r="295" spans="2:4" x14ac:dyDescent="0.2">
      <c r="B295" s="1341">
        <v>317</v>
      </c>
      <c r="C295" s="1341" t="s">
        <v>1564</v>
      </c>
      <c r="D295" s="1310">
        <v>868.16667700000005</v>
      </c>
    </row>
    <row r="296" spans="2:4" x14ac:dyDescent="0.2">
      <c r="B296" s="1341">
        <v>318</v>
      </c>
      <c r="C296" s="1341" t="s">
        <v>1565</v>
      </c>
      <c r="D296" s="1310">
        <v>856.79998799999998</v>
      </c>
    </row>
    <row r="297" spans="2:4" x14ac:dyDescent="0.2">
      <c r="B297" s="1341">
        <v>319</v>
      </c>
      <c r="C297" s="1341" t="s">
        <v>1566</v>
      </c>
      <c r="D297" s="1310">
        <v>960.875</v>
      </c>
    </row>
    <row r="298" spans="2:4" x14ac:dyDescent="0.2">
      <c r="B298" s="1341">
        <v>320</v>
      </c>
      <c r="C298" s="1341" t="s">
        <v>1567</v>
      </c>
      <c r="D298" s="1310">
        <v>948.41428900000005</v>
      </c>
    </row>
    <row r="299" spans="2:4" x14ac:dyDescent="0.2">
      <c r="B299" s="1341">
        <v>321</v>
      </c>
      <c r="C299" s="1341" t="s">
        <v>1568</v>
      </c>
      <c r="D299" s="1310">
        <v>631.07500500000003</v>
      </c>
    </row>
    <row r="300" spans="2:4" x14ac:dyDescent="0.2">
      <c r="B300" s="1341">
        <v>322</v>
      </c>
      <c r="C300" s="1341" t="s">
        <v>1569</v>
      </c>
      <c r="D300" s="1310">
        <v>668.93333900000005</v>
      </c>
    </row>
    <row r="301" spans="2:4" x14ac:dyDescent="0.2">
      <c r="B301" s="1341">
        <v>323</v>
      </c>
      <c r="C301" s="1341" t="s">
        <v>1570</v>
      </c>
      <c r="D301" s="1310">
        <v>886.5</v>
      </c>
    </row>
    <row r="302" spans="2:4" x14ac:dyDescent="0.2">
      <c r="B302" s="1341">
        <v>324</v>
      </c>
      <c r="C302" s="1341" t="s">
        <v>1571</v>
      </c>
      <c r="D302" s="1310">
        <v>823.96667500000001</v>
      </c>
    </row>
    <row r="303" spans="2:4" x14ac:dyDescent="0.2">
      <c r="B303" s="1341">
        <v>325</v>
      </c>
      <c r="C303" s="1341" t="s">
        <v>1572</v>
      </c>
      <c r="D303" s="1310">
        <v>808.442858</v>
      </c>
    </row>
    <row r="304" spans="2:4" x14ac:dyDescent="0.2">
      <c r="B304" s="1341">
        <v>326</v>
      </c>
      <c r="C304" s="1341" t="s">
        <v>1573</v>
      </c>
      <c r="D304" s="1310">
        <v>825.5</v>
      </c>
    </row>
    <row r="305" spans="2:4" x14ac:dyDescent="0.2">
      <c r="B305" s="1341">
        <v>327</v>
      </c>
      <c r="C305" s="1341" t="s">
        <v>1574</v>
      </c>
      <c r="D305" s="1310">
        <v>799.47000100000002</v>
      </c>
    </row>
    <row r="306" spans="2:4" x14ac:dyDescent="0.2">
      <c r="B306" s="1341">
        <v>328</v>
      </c>
      <c r="C306" s="1341" t="s">
        <v>1575</v>
      </c>
      <c r="D306" s="1310">
        <v>788.81428700000004</v>
      </c>
    </row>
    <row r="307" spans="2:4" x14ac:dyDescent="0.2">
      <c r="B307" s="1341">
        <v>329</v>
      </c>
      <c r="C307" s="1341" t="s">
        <v>1576</v>
      </c>
      <c r="D307" s="1310">
        <v>781</v>
      </c>
    </row>
    <row r="308" spans="2:4" x14ac:dyDescent="0.2">
      <c r="B308" s="1341">
        <v>330</v>
      </c>
      <c r="C308" s="1341" t="s">
        <v>1577</v>
      </c>
      <c r="D308" s="1310">
        <v>929.34444499999995</v>
      </c>
    </row>
    <row r="309" spans="2:4" x14ac:dyDescent="0.2">
      <c r="B309" s="1341">
        <v>331</v>
      </c>
      <c r="C309" s="1341" t="s">
        <v>1578</v>
      </c>
      <c r="D309" s="1310">
        <v>968.259998</v>
      </c>
    </row>
    <row r="310" spans="2:4" x14ac:dyDescent="0.2">
      <c r="B310" s="1341">
        <v>332</v>
      </c>
      <c r="C310" s="1341" t="s">
        <v>1579</v>
      </c>
      <c r="D310" s="1310">
        <v>627.48333700000001</v>
      </c>
    </row>
    <row r="311" spans="2:4" x14ac:dyDescent="0.2">
      <c r="B311" s="1341">
        <v>333</v>
      </c>
      <c r="C311" s="1341" t="s">
        <v>1580</v>
      </c>
      <c r="D311" s="1310">
        <v>676.5</v>
      </c>
    </row>
    <row r="312" spans="2:4" x14ac:dyDescent="0.2">
      <c r="B312" s="1341">
        <v>334</v>
      </c>
      <c r="C312" s="1341" t="s">
        <v>1581</v>
      </c>
      <c r="D312" s="1310">
        <v>776.5</v>
      </c>
    </row>
    <row r="313" spans="2:4" x14ac:dyDescent="0.2">
      <c r="B313" s="1341">
        <v>335</v>
      </c>
      <c r="C313" s="1341" t="s">
        <v>1582</v>
      </c>
      <c r="D313" s="1310">
        <v>747.26666299999999</v>
      </c>
    </row>
    <row r="314" spans="2:4" x14ac:dyDescent="0.2">
      <c r="B314" s="1341">
        <v>336</v>
      </c>
      <c r="C314" s="1341" t="s">
        <v>1583</v>
      </c>
      <c r="D314" s="1310">
        <v>763.70001200000002</v>
      </c>
    </row>
    <row r="315" spans="2:4" x14ac:dyDescent="0.2">
      <c r="B315" s="1341">
        <v>337</v>
      </c>
      <c r="C315" s="1341" t="s">
        <v>1584</v>
      </c>
      <c r="D315" s="1310">
        <v>752.54998799999998</v>
      </c>
    </row>
    <row r="316" spans="2:4" x14ac:dyDescent="0.2">
      <c r="B316" s="1341">
        <v>338</v>
      </c>
      <c r="C316" s="1341" t="s">
        <v>1585</v>
      </c>
      <c r="D316" s="1310">
        <v>748.20001200000002</v>
      </c>
    </row>
    <row r="317" spans="2:4" x14ac:dyDescent="0.2">
      <c r="B317" s="1341">
        <v>339</v>
      </c>
      <c r="C317" s="1341" t="s">
        <v>1586</v>
      </c>
      <c r="D317" s="1310">
        <v>817.63335199999995</v>
      </c>
    </row>
    <row r="318" spans="2:4" x14ac:dyDescent="0.2">
      <c r="B318" s="1341">
        <v>340</v>
      </c>
      <c r="C318" s="1341" t="s">
        <v>1587</v>
      </c>
      <c r="D318" s="1310">
        <v>969.04998799999998</v>
      </c>
    </row>
    <row r="319" spans="2:4" x14ac:dyDescent="0.2">
      <c r="B319" s="1341">
        <v>341</v>
      </c>
      <c r="C319" s="1341" t="s">
        <v>1588</v>
      </c>
      <c r="D319" s="1310">
        <v>967.68148499999995</v>
      </c>
    </row>
    <row r="320" spans="2:4" x14ac:dyDescent="0.2">
      <c r="B320" s="1341">
        <v>342</v>
      </c>
      <c r="C320" s="1341" t="s">
        <v>1589</v>
      </c>
      <c r="D320" s="1310">
        <v>634.34998599999994</v>
      </c>
    </row>
    <row r="321" spans="2:4" x14ac:dyDescent="0.2">
      <c r="B321" s="1341">
        <v>343</v>
      </c>
      <c r="C321" s="1341" t="s">
        <v>1590</v>
      </c>
      <c r="D321" s="1310">
        <v>720.59999600000003</v>
      </c>
    </row>
    <row r="322" spans="2:4" x14ac:dyDescent="0.2">
      <c r="B322" s="1341">
        <v>344</v>
      </c>
      <c r="C322" s="1341" t="s">
        <v>1460</v>
      </c>
      <c r="D322" s="1310">
        <v>757.375</v>
      </c>
    </row>
    <row r="323" spans="2:4" x14ac:dyDescent="0.2">
      <c r="B323" s="1341">
        <v>345</v>
      </c>
      <c r="C323" s="1341" t="s">
        <v>1591</v>
      </c>
      <c r="D323" s="1310">
        <v>742.47500600000001</v>
      </c>
    </row>
    <row r="324" spans="2:4" x14ac:dyDescent="0.2">
      <c r="B324" s="1341">
        <v>346</v>
      </c>
      <c r="C324" s="1341" t="s">
        <v>1592</v>
      </c>
      <c r="D324" s="1310">
        <v>738.59999600000003</v>
      </c>
    </row>
    <row r="325" spans="2:4" x14ac:dyDescent="0.2">
      <c r="B325" s="1341">
        <v>347</v>
      </c>
      <c r="C325" s="1341" t="s">
        <v>1593</v>
      </c>
      <c r="D325" s="1310">
        <v>754.40002400000003</v>
      </c>
    </row>
    <row r="326" spans="2:4" x14ac:dyDescent="0.2">
      <c r="B326" s="1341">
        <v>348</v>
      </c>
      <c r="C326" s="1341" t="s">
        <v>1594</v>
      </c>
      <c r="D326" s="1310">
        <v>790.79998799999998</v>
      </c>
    </row>
    <row r="327" spans="2:4" x14ac:dyDescent="0.2">
      <c r="B327" s="1341">
        <v>349</v>
      </c>
      <c r="C327" s="1341" t="s">
        <v>1595</v>
      </c>
      <c r="D327" s="1310">
        <v>726.41999499999997</v>
      </c>
    </row>
    <row r="328" spans="2:4" x14ac:dyDescent="0.2">
      <c r="B328" s="1341">
        <v>350</v>
      </c>
      <c r="C328" s="1341" t="s">
        <v>1596</v>
      </c>
      <c r="D328" s="1310">
        <v>767.14000199999998</v>
      </c>
    </row>
    <row r="329" spans="2:4" x14ac:dyDescent="0.2">
      <c r="B329" s="1341">
        <v>351</v>
      </c>
      <c r="C329" s="1341" t="s">
        <v>1597</v>
      </c>
      <c r="D329" s="1310">
        <v>777</v>
      </c>
    </row>
    <row r="330" spans="2:4" x14ac:dyDescent="0.2">
      <c r="B330" s="1341">
        <v>352</v>
      </c>
      <c r="C330" s="1341" t="s">
        <v>1598</v>
      </c>
      <c r="D330" s="1310">
        <v>938.81539199999997</v>
      </c>
    </row>
    <row r="331" spans="2:4" x14ac:dyDescent="0.2">
      <c r="B331" s="1341">
        <v>353</v>
      </c>
      <c r="C331" s="1341" t="s">
        <v>1599</v>
      </c>
      <c r="D331" s="1310">
        <v>727.16666699999996</v>
      </c>
    </row>
    <row r="332" spans="2:4" x14ac:dyDescent="0.2">
      <c r="B332" s="1341">
        <v>354</v>
      </c>
      <c r="C332" s="1341" t="s">
        <v>1600</v>
      </c>
      <c r="D332" s="1310">
        <v>708.375</v>
      </c>
    </row>
    <row r="333" spans="2:4" x14ac:dyDescent="0.2">
      <c r="B333" s="1341">
        <v>355</v>
      </c>
      <c r="C333" s="1341" t="s">
        <v>1601</v>
      </c>
      <c r="D333" s="1310">
        <v>699.75</v>
      </c>
    </row>
    <row r="334" spans="2:4" x14ac:dyDescent="0.2">
      <c r="B334" s="1341">
        <v>356</v>
      </c>
      <c r="C334" s="1341" t="s">
        <v>1602</v>
      </c>
      <c r="D334" s="1310">
        <v>760.21111399999995</v>
      </c>
    </row>
    <row r="335" spans="2:4" x14ac:dyDescent="0.2">
      <c r="B335" s="1341">
        <v>357</v>
      </c>
      <c r="C335" s="1341" t="s">
        <v>1603</v>
      </c>
      <c r="D335" s="1310">
        <v>802.35455300000001</v>
      </c>
    </row>
    <row r="336" spans="2:4" x14ac:dyDescent="0.2">
      <c r="B336" s="1341">
        <v>358</v>
      </c>
      <c r="C336" s="1341" t="s">
        <v>1604</v>
      </c>
      <c r="D336" s="1310">
        <v>875.73333700000001</v>
      </c>
    </row>
    <row r="337" spans="2:4" x14ac:dyDescent="0.2">
      <c r="B337" s="1341">
        <v>359</v>
      </c>
      <c r="C337" s="1341" t="s">
        <v>1605</v>
      </c>
      <c r="D337" s="1310">
        <v>939.67498799999998</v>
      </c>
    </row>
    <row r="338" spans="2:4" x14ac:dyDescent="0.2">
      <c r="B338" s="1341">
        <v>360</v>
      </c>
      <c r="C338" s="1341" t="s">
        <v>1606</v>
      </c>
      <c r="D338" s="1310">
        <v>628.06427900000006</v>
      </c>
    </row>
    <row r="339" spans="2:4" x14ac:dyDescent="0.2">
      <c r="B339" s="1341">
        <v>361</v>
      </c>
      <c r="C339" s="1341" t="s">
        <v>1607</v>
      </c>
      <c r="D339" s="1310">
        <v>614.67367999999999</v>
      </c>
    </row>
    <row r="340" spans="2:4" x14ac:dyDescent="0.2">
      <c r="B340" s="1341">
        <v>362</v>
      </c>
      <c r="C340" s="1341" t="s">
        <v>1608</v>
      </c>
      <c r="D340" s="1310">
        <v>656.69231200000002</v>
      </c>
    </row>
    <row r="341" spans="2:4" x14ac:dyDescent="0.2">
      <c r="B341" s="1341">
        <v>363</v>
      </c>
      <c r="C341" s="1341" t="s">
        <v>1609</v>
      </c>
      <c r="D341" s="1310">
        <v>687.20908999999995</v>
      </c>
    </row>
    <row r="342" spans="2:4" x14ac:dyDescent="0.2">
      <c r="B342" s="1341">
        <v>364</v>
      </c>
      <c r="C342" s="1341" t="s">
        <v>1610</v>
      </c>
      <c r="D342" s="1310">
        <v>706.625</v>
      </c>
    </row>
    <row r="343" spans="2:4" x14ac:dyDescent="0.2">
      <c r="B343" s="1341">
        <v>365</v>
      </c>
      <c r="C343" s="1341" t="s">
        <v>1611</v>
      </c>
      <c r="D343" s="1310">
        <v>917.42500099999995</v>
      </c>
    </row>
    <row r="344" spans="2:4" x14ac:dyDescent="0.2">
      <c r="B344" s="1341">
        <v>366</v>
      </c>
      <c r="C344" s="1341" t="s">
        <v>1612</v>
      </c>
      <c r="D344" s="1310">
        <v>634.3125</v>
      </c>
    </row>
    <row r="345" spans="2:4" x14ac:dyDescent="0.2">
      <c r="B345" s="1341">
        <v>367</v>
      </c>
      <c r="C345" s="1341" t="s">
        <v>1613</v>
      </c>
      <c r="D345" s="1310">
        <v>615.39090199999998</v>
      </c>
    </row>
    <row r="346" spans="2:4" x14ac:dyDescent="0.2">
      <c r="B346" s="1341">
        <v>368</v>
      </c>
      <c r="C346" s="1341" t="s">
        <v>435</v>
      </c>
      <c r="D346" s="1310">
        <v>657.866669</v>
      </c>
    </row>
    <row r="347" spans="2:4" x14ac:dyDescent="0.2">
      <c r="B347" s="1341">
        <v>369</v>
      </c>
      <c r="C347" s="1341" t="s">
        <v>1614</v>
      </c>
      <c r="D347" s="1310">
        <v>740.30000299999995</v>
      </c>
    </row>
    <row r="348" spans="2:4" x14ac:dyDescent="0.2">
      <c r="B348" s="1341">
        <v>370</v>
      </c>
      <c r="C348" s="1341" t="s">
        <v>1615</v>
      </c>
      <c r="D348" s="1310">
        <v>746.95714499999997</v>
      </c>
    </row>
    <row r="349" spans="2:4" x14ac:dyDescent="0.2">
      <c r="B349" s="1341">
        <v>371</v>
      </c>
      <c r="C349" s="1341" t="s">
        <v>1616</v>
      </c>
      <c r="D349" s="1310">
        <v>784.63999799999999</v>
      </c>
    </row>
    <row r="350" spans="2:4" x14ac:dyDescent="0.2">
      <c r="B350" s="1341">
        <v>372</v>
      </c>
      <c r="C350" s="1341" t="s">
        <v>1617</v>
      </c>
      <c r="D350" s="1310">
        <v>776.18889000000001</v>
      </c>
    </row>
    <row r="351" spans="2:4" x14ac:dyDescent="0.2">
      <c r="B351" s="1341">
        <v>373</v>
      </c>
      <c r="C351" s="1341" t="s">
        <v>1618</v>
      </c>
      <c r="D351" s="1310">
        <v>876.63000799999998</v>
      </c>
    </row>
    <row r="352" spans="2:4" x14ac:dyDescent="0.2">
      <c r="B352" s="1341">
        <v>374</v>
      </c>
      <c r="C352" s="1341" t="s">
        <v>1619</v>
      </c>
      <c r="D352" s="1310">
        <v>883.18332899999996</v>
      </c>
    </row>
    <row r="353" spans="2:4" x14ac:dyDescent="0.2">
      <c r="B353" s="1341">
        <v>375</v>
      </c>
      <c r="C353" s="1341" t="s">
        <v>1620</v>
      </c>
      <c r="D353" s="1310">
        <v>678.42000700000006</v>
      </c>
    </row>
    <row r="354" spans="2:4" x14ac:dyDescent="0.2">
      <c r="B354" s="1341">
        <v>376</v>
      </c>
      <c r="C354" s="1341" t="s">
        <v>1621</v>
      </c>
      <c r="D354" s="1310">
        <v>743.29998799999998</v>
      </c>
    </row>
    <row r="355" spans="2:4" x14ac:dyDescent="0.2">
      <c r="B355" s="1341">
        <v>377</v>
      </c>
      <c r="C355" s="1341" t="s">
        <v>1622</v>
      </c>
      <c r="D355" s="1310">
        <v>757.03334600000005</v>
      </c>
    </row>
    <row r="356" spans="2:4" x14ac:dyDescent="0.2">
      <c r="B356" s="1341">
        <v>378</v>
      </c>
      <c r="C356" s="1341" t="s">
        <v>1623</v>
      </c>
      <c r="D356" s="1310">
        <v>827.90002400000003</v>
      </c>
    </row>
    <row r="357" spans="2:4" x14ac:dyDescent="0.2">
      <c r="B357" s="1341">
        <v>379</v>
      </c>
      <c r="C357" s="1341" t="s">
        <v>1624</v>
      </c>
      <c r="D357" s="1310">
        <v>738.44000200000005</v>
      </c>
    </row>
    <row r="358" spans="2:4" x14ac:dyDescent="0.2">
      <c r="B358" s="1341">
        <v>380</v>
      </c>
      <c r="C358" s="1341" t="s">
        <v>1625</v>
      </c>
      <c r="D358" s="1310">
        <v>788.58572000000004</v>
      </c>
    </row>
    <row r="359" spans="2:4" x14ac:dyDescent="0.2">
      <c r="B359" s="1341">
        <v>381</v>
      </c>
      <c r="C359" s="1341" t="s">
        <v>1626</v>
      </c>
      <c r="D359" s="1310">
        <v>902.59411999999998</v>
      </c>
    </row>
    <row r="360" spans="2:4" x14ac:dyDescent="0.2">
      <c r="B360" s="1341">
        <v>382</v>
      </c>
      <c r="C360" s="1341" t="s">
        <v>1627</v>
      </c>
      <c r="D360" s="1310">
        <v>613.75184899999999</v>
      </c>
    </row>
    <row r="361" spans="2:4" x14ac:dyDescent="0.2">
      <c r="B361" s="1341">
        <v>383</v>
      </c>
      <c r="C361" s="1341" t="s">
        <v>1628</v>
      </c>
      <c r="D361" s="1310">
        <v>610.78749100000005</v>
      </c>
    </row>
    <row r="362" spans="2:4" x14ac:dyDescent="0.2">
      <c r="B362" s="1341">
        <v>384</v>
      </c>
      <c r="C362" s="1341" t="s">
        <v>1629</v>
      </c>
      <c r="D362" s="1310">
        <v>857.94001500000002</v>
      </c>
    </row>
    <row r="363" spans="2:4" x14ac:dyDescent="0.2">
      <c r="B363" s="1341">
        <v>385</v>
      </c>
      <c r="C363" s="1341" t="s">
        <v>1630</v>
      </c>
      <c r="D363" s="1310">
        <v>869.40002400000003</v>
      </c>
    </row>
    <row r="364" spans="2:4" x14ac:dyDescent="0.2">
      <c r="B364" s="1341">
        <v>386</v>
      </c>
      <c r="C364" s="1341" t="s">
        <v>1631</v>
      </c>
      <c r="D364" s="1310">
        <v>632.55713800000001</v>
      </c>
    </row>
    <row r="365" spans="2:4" x14ac:dyDescent="0.2">
      <c r="B365" s="1341">
        <v>387</v>
      </c>
      <c r="C365" s="1341" t="s">
        <v>1632</v>
      </c>
      <c r="D365" s="1310">
        <v>846.44545700000003</v>
      </c>
    </row>
    <row r="366" spans="2:4" x14ac:dyDescent="0.2">
      <c r="B366" s="1341">
        <v>388</v>
      </c>
      <c r="C366" s="1341" t="s">
        <v>1633</v>
      </c>
      <c r="D366" s="1310">
        <v>878.99512300000004</v>
      </c>
    </row>
    <row r="367" spans="2:4" x14ac:dyDescent="0.2">
      <c r="B367" s="1341">
        <v>389</v>
      </c>
      <c r="C367" s="1341" t="s">
        <v>1634</v>
      </c>
      <c r="D367" s="1310">
        <v>660.259998</v>
      </c>
    </row>
    <row r="368" spans="2:4" x14ac:dyDescent="0.2">
      <c r="B368" s="1341">
        <v>390</v>
      </c>
      <c r="C368" s="1341" t="s">
        <v>1635</v>
      </c>
      <c r="D368" s="1310">
        <v>806.12500399999999</v>
      </c>
    </row>
    <row r="369" spans="2:4" x14ac:dyDescent="0.2">
      <c r="B369" s="1341">
        <v>391</v>
      </c>
      <c r="C369" s="1341" t="s">
        <v>1636</v>
      </c>
      <c r="D369" s="1310">
        <v>765.61000999999999</v>
      </c>
    </row>
    <row r="370" spans="2:4" x14ac:dyDescent="0.2">
      <c r="B370" s="1341">
        <v>392</v>
      </c>
      <c r="C370" s="1341" t="s">
        <v>1637</v>
      </c>
      <c r="D370" s="1310">
        <v>765.10000300000002</v>
      </c>
    </row>
    <row r="371" spans="2:4" x14ac:dyDescent="0.2">
      <c r="B371" s="1341">
        <v>393</v>
      </c>
      <c r="C371" s="1341" t="s">
        <v>1638</v>
      </c>
      <c r="D371" s="1310">
        <v>837.87499500000001</v>
      </c>
    </row>
    <row r="372" spans="2:4" x14ac:dyDescent="0.2">
      <c r="B372" s="1341">
        <v>401</v>
      </c>
      <c r="C372" s="1341" t="s">
        <v>1639</v>
      </c>
      <c r="D372" s="1310">
        <v>618.98235699999998</v>
      </c>
    </row>
    <row r="373" spans="2:4" x14ac:dyDescent="0.2">
      <c r="B373" s="1341">
        <v>402</v>
      </c>
      <c r="C373" s="1341" t="s">
        <v>1640</v>
      </c>
      <c r="D373" s="1310">
        <v>618.31000400000005</v>
      </c>
    </row>
    <row r="374" spans="2:4" x14ac:dyDescent="0.2">
      <c r="B374" s="1341">
        <v>403</v>
      </c>
      <c r="C374" s="1341" t="s">
        <v>1641</v>
      </c>
      <c r="D374" s="1310">
        <v>755.65714800000001</v>
      </c>
    </row>
    <row r="375" spans="2:4" x14ac:dyDescent="0.2">
      <c r="B375" s="1341">
        <v>404</v>
      </c>
      <c r="C375" s="1341" t="s">
        <v>1642</v>
      </c>
      <c r="D375" s="1310">
        <v>693.86665900000003</v>
      </c>
    </row>
    <row r="376" spans="2:4" x14ac:dyDescent="0.2">
      <c r="B376" s="1341">
        <v>405</v>
      </c>
      <c r="C376" s="1341" t="s">
        <v>1643</v>
      </c>
      <c r="D376" s="1310">
        <v>733.64000199999998</v>
      </c>
    </row>
    <row r="377" spans="2:4" x14ac:dyDescent="0.2">
      <c r="B377" s="1341">
        <v>406</v>
      </c>
      <c r="C377" s="1341" t="s">
        <v>1644</v>
      </c>
      <c r="D377" s="1310">
        <v>866.55999799999995</v>
      </c>
    </row>
    <row r="378" spans="2:4" x14ac:dyDescent="0.2">
      <c r="B378" s="1341">
        <v>407</v>
      </c>
      <c r="C378" s="1341" t="s">
        <v>1645</v>
      </c>
      <c r="D378" s="1310">
        <v>643.04998799999998</v>
      </c>
    </row>
    <row r="379" spans="2:4" x14ac:dyDescent="0.2">
      <c r="B379" s="1341">
        <v>408</v>
      </c>
      <c r="C379" s="1341" t="s">
        <v>1646</v>
      </c>
      <c r="D379" s="1310">
        <v>809.96667500000001</v>
      </c>
    </row>
    <row r="380" spans="2:4" x14ac:dyDescent="0.2">
      <c r="B380" s="1341">
        <v>409</v>
      </c>
      <c r="C380" s="1341" t="s">
        <v>1647</v>
      </c>
      <c r="D380" s="1310">
        <v>666.72500600000001</v>
      </c>
    </row>
    <row r="381" spans="2:4" x14ac:dyDescent="0.2">
      <c r="B381" s="1341">
        <v>410</v>
      </c>
      <c r="C381" s="1341" t="s">
        <v>1648</v>
      </c>
      <c r="D381" s="1310">
        <v>636.76363900000001</v>
      </c>
    </row>
    <row r="382" spans="2:4" x14ac:dyDescent="0.2">
      <c r="B382" s="1341">
        <v>411</v>
      </c>
      <c r="C382" s="1341" t="s">
        <v>1290</v>
      </c>
      <c r="D382" s="1310">
        <v>712.90000399999997</v>
      </c>
    </row>
    <row r="383" spans="2:4" x14ac:dyDescent="0.2">
      <c r="B383" s="1341">
        <v>412</v>
      </c>
      <c r="C383" s="1341" t="s">
        <v>1466</v>
      </c>
      <c r="D383" s="1310">
        <v>759.92000700000006</v>
      </c>
    </row>
    <row r="384" spans="2:4" x14ac:dyDescent="0.2">
      <c r="B384" s="1341">
        <v>413</v>
      </c>
      <c r="C384" s="1341" t="s">
        <v>1649</v>
      </c>
      <c r="D384" s="1310">
        <v>687.38889600000005</v>
      </c>
    </row>
    <row r="385" spans="2:4" x14ac:dyDescent="0.2">
      <c r="B385" s="1341">
        <v>414</v>
      </c>
      <c r="C385" s="1341" t="s">
        <v>1650</v>
      </c>
      <c r="D385" s="1310">
        <v>723.6875</v>
      </c>
    </row>
    <row r="386" spans="2:4" x14ac:dyDescent="0.2">
      <c r="B386" s="1341">
        <v>415</v>
      </c>
      <c r="C386" s="1341" t="s">
        <v>1651</v>
      </c>
      <c r="D386" s="1310">
        <v>717.222219</v>
      </c>
    </row>
    <row r="387" spans="2:4" x14ac:dyDescent="0.2">
      <c r="B387" s="1341">
        <v>416</v>
      </c>
      <c r="C387" s="1341" t="s">
        <v>1652</v>
      </c>
      <c r="D387" s="1310">
        <v>652.81428700000004</v>
      </c>
    </row>
    <row r="388" spans="2:4" x14ac:dyDescent="0.2">
      <c r="B388" s="1341">
        <v>417</v>
      </c>
      <c r="C388" s="1341" t="s">
        <v>1653</v>
      </c>
      <c r="D388" s="1310">
        <v>699.07141999999999</v>
      </c>
    </row>
    <row r="389" spans="2:4" x14ac:dyDescent="0.2">
      <c r="B389" s="1341">
        <v>418</v>
      </c>
      <c r="C389" s="1341" t="s">
        <v>1654</v>
      </c>
      <c r="D389" s="1310">
        <v>743.26666299999999</v>
      </c>
    </row>
    <row r="390" spans="2:4" x14ac:dyDescent="0.2">
      <c r="B390" s="1341">
        <v>419</v>
      </c>
      <c r="C390" s="1341" t="s">
        <v>1655</v>
      </c>
      <c r="D390" s="1310">
        <v>726.44000200000005</v>
      </c>
    </row>
    <row r="391" spans="2:4" x14ac:dyDescent="0.2">
      <c r="B391" s="1341">
        <v>420</v>
      </c>
      <c r="C391" s="1341" t="s">
        <v>1656</v>
      </c>
      <c r="D391" s="1310">
        <v>642.36251100000004</v>
      </c>
    </row>
    <row r="392" spans="2:4" x14ac:dyDescent="0.2">
      <c r="B392" s="1341">
        <v>421</v>
      </c>
      <c r="C392" s="1341" t="s">
        <v>1657</v>
      </c>
      <c r="D392" s="1310">
        <v>664.68000500000005</v>
      </c>
    </row>
    <row r="393" spans="2:4" x14ac:dyDescent="0.2">
      <c r="B393" s="1341">
        <v>422</v>
      </c>
      <c r="C393" s="1341" t="s">
        <v>1658</v>
      </c>
      <c r="D393" s="1310">
        <v>657.16249800000003</v>
      </c>
    </row>
    <row r="394" spans="2:4" x14ac:dyDescent="0.2">
      <c r="B394" s="1341">
        <v>423</v>
      </c>
      <c r="C394" s="1341" t="s">
        <v>1659</v>
      </c>
      <c r="D394" s="1310">
        <v>674.55000299999995</v>
      </c>
    </row>
    <row r="395" spans="2:4" x14ac:dyDescent="0.2">
      <c r="B395" s="1341">
        <v>424</v>
      </c>
      <c r="C395" s="1341" t="s">
        <v>1660</v>
      </c>
      <c r="D395" s="1310">
        <v>679.02000699999996</v>
      </c>
    </row>
    <row r="396" spans="2:4" x14ac:dyDescent="0.2">
      <c r="B396" s="1341">
        <v>425</v>
      </c>
      <c r="C396" s="1341" t="s">
        <v>1661</v>
      </c>
      <c r="D396" s="1310">
        <v>789.54999799999996</v>
      </c>
    </row>
    <row r="397" spans="2:4" x14ac:dyDescent="0.2">
      <c r="B397" s="1341">
        <v>426</v>
      </c>
      <c r="C397" s="1341" t="s">
        <v>1662</v>
      </c>
      <c r="D397" s="1310">
        <v>827.72307599999999</v>
      </c>
    </row>
    <row r="398" spans="2:4" x14ac:dyDescent="0.2">
      <c r="B398" s="1341">
        <v>427</v>
      </c>
      <c r="C398" s="1341" t="s">
        <v>1663</v>
      </c>
      <c r="D398" s="1310">
        <v>724.89523799999995</v>
      </c>
    </row>
    <row r="399" spans="2:4" x14ac:dyDescent="0.2">
      <c r="B399" s="1341">
        <v>428</v>
      </c>
      <c r="C399" s="1341" t="s">
        <v>1664</v>
      </c>
      <c r="D399" s="1310">
        <v>768.19998199999998</v>
      </c>
    </row>
    <row r="400" spans="2:4" x14ac:dyDescent="0.2">
      <c r="B400" s="1341">
        <v>429</v>
      </c>
      <c r="C400" s="1341" t="s">
        <v>1665</v>
      </c>
      <c r="D400" s="1310">
        <v>775.05001800000002</v>
      </c>
    </row>
    <row r="401" spans="2:4" x14ac:dyDescent="0.2">
      <c r="B401" s="1341">
        <v>430</v>
      </c>
      <c r="C401" s="1341" t="s">
        <v>1666</v>
      </c>
      <c r="D401" s="1310">
        <v>754.97143600000004</v>
      </c>
    </row>
    <row r="402" spans="2:4" x14ac:dyDescent="0.2">
      <c r="B402" s="1341">
        <v>431</v>
      </c>
      <c r="C402" s="1341" t="s">
        <v>1667</v>
      </c>
      <c r="D402" s="1310">
        <v>678.44443799999999</v>
      </c>
    </row>
    <row r="403" spans="2:4" x14ac:dyDescent="0.2">
      <c r="B403" s="1341">
        <v>432</v>
      </c>
      <c r="C403" s="1341" t="s">
        <v>1668</v>
      </c>
      <c r="D403" s="1310">
        <v>633.76668299999994</v>
      </c>
    </row>
    <row r="404" spans="2:4" x14ac:dyDescent="0.2">
      <c r="B404" s="1341">
        <v>433</v>
      </c>
      <c r="C404" s="1341" t="s">
        <v>1669</v>
      </c>
      <c r="D404" s="1310">
        <v>673.22500600000001</v>
      </c>
    </row>
    <row r="405" spans="2:4" x14ac:dyDescent="0.2">
      <c r="B405" s="1341">
        <v>434</v>
      </c>
      <c r="C405" s="1341" t="s">
        <v>1670</v>
      </c>
      <c r="D405" s="1310">
        <v>698.25</v>
      </c>
    </row>
    <row r="406" spans="2:4" x14ac:dyDescent="0.2">
      <c r="B406" s="1341">
        <v>435</v>
      </c>
      <c r="C406" s="1341" t="s">
        <v>1671</v>
      </c>
      <c r="D406" s="1310">
        <v>673.04000199999996</v>
      </c>
    </row>
    <row r="407" spans="2:4" x14ac:dyDescent="0.2">
      <c r="B407" s="1341">
        <v>436</v>
      </c>
      <c r="C407" s="1341" t="s">
        <v>1672</v>
      </c>
      <c r="D407" s="1310">
        <v>696.15263300000004</v>
      </c>
    </row>
    <row r="408" spans="2:4" x14ac:dyDescent="0.2">
      <c r="B408" s="1341">
        <v>437</v>
      </c>
      <c r="C408" s="1341" t="s">
        <v>1673</v>
      </c>
      <c r="D408" s="1310">
        <v>708.52999299999999</v>
      </c>
    </row>
    <row r="409" spans="2:4" x14ac:dyDescent="0.2">
      <c r="B409" s="1341">
        <v>439</v>
      </c>
      <c r="C409" s="1341" t="s">
        <v>1674</v>
      </c>
      <c r="D409" s="1310">
        <v>713.009094</v>
      </c>
    </row>
    <row r="410" spans="2:4" x14ac:dyDescent="0.2">
      <c r="B410" s="1341">
        <v>440</v>
      </c>
      <c r="C410" s="1341" t="s">
        <v>1675</v>
      </c>
      <c r="D410" s="1310">
        <v>733.20000200000004</v>
      </c>
    </row>
    <row r="411" spans="2:4" x14ac:dyDescent="0.2">
      <c r="B411" s="1341">
        <v>441</v>
      </c>
      <c r="C411" s="1341" t="s">
        <v>1676</v>
      </c>
      <c r="D411" s="1310">
        <v>734.53998999999999</v>
      </c>
    </row>
    <row r="412" spans="2:4" x14ac:dyDescent="0.2">
      <c r="B412" s="1341">
        <v>442</v>
      </c>
      <c r="C412" s="1341" t="s">
        <v>1677</v>
      </c>
      <c r="D412" s="1310">
        <v>773.27499399999999</v>
      </c>
    </row>
    <row r="413" spans="2:4" x14ac:dyDescent="0.2">
      <c r="B413" s="1341">
        <v>443</v>
      </c>
      <c r="C413" s="1341" t="s">
        <v>1678</v>
      </c>
      <c r="D413" s="1310">
        <v>665.96667500000001</v>
      </c>
    </row>
    <row r="414" spans="2:4" x14ac:dyDescent="0.2">
      <c r="B414" s="1341">
        <v>444</v>
      </c>
      <c r="C414" s="1341" t="s">
        <v>1679</v>
      </c>
      <c r="D414" s="1310">
        <v>635.97778300000004</v>
      </c>
    </row>
    <row r="415" spans="2:4" x14ac:dyDescent="0.2">
      <c r="B415" s="1341">
        <v>445</v>
      </c>
      <c r="C415" s="1341" t="s">
        <v>1680</v>
      </c>
      <c r="D415" s="1310">
        <v>658.27778499999999</v>
      </c>
    </row>
    <row r="416" spans="2:4" x14ac:dyDescent="0.2">
      <c r="B416" s="1341">
        <v>446</v>
      </c>
      <c r="C416" s="1341" t="s">
        <v>1681</v>
      </c>
      <c r="D416" s="1310">
        <v>627.26000399999998</v>
      </c>
    </row>
    <row r="417" spans="2:4" x14ac:dyDescent="0.2">
      <c r="B417" s="1341">
        <v>447</v>
      </c>
      <c r="C417" s="1341" t="s">
        <v>1682</v>
      </c>
      <c r="D417" s="1310">
        <v>669.10000100000002</v>
      </c>
    </row>
    <row r="418" spans="2:4" x14ac:dyDescent="0.2">
      <c r="B418" s="1341">
        <v>448</v>
      </c>
      <c r="C418" s="1341" t="s">
        <v>1683</v>
      </c>
      <c r="D418" s="1310">
        <v>712.41333399999996</v>
      </c>
    </row>
    <row r="419" spans="2:4" x14ac:dyDescent="0.2">
      <c r="B419" s="1341">
        <v>449</v>
      </c>
      <c r="C419" s="1341" t="s">
        <v>1684</v>
      </c>
      <c r="D419" s="1310">
        <v>659.740002</v>
      </c>
    </row>
    <row r="420" spans="2:4" x14ac:dyDescent="0.2">
      <c r="B420" s="1341">
        <v>450</v>
      </c>
      <c r="C420" s="1341" t="s">
        <v>1685</v>
      </c>
      <c r="D420" s="1310">
        <v>671.46666800000003</v>
      </c>
    </row>
    <row r="421" spans="2:4" x14ac:dyDescent="0.2">
      <c r="B421" s="1341">
        <v>451</v>
      </c>
      <c r="C421" s="1341" t="s">
        <v>1686</v>
      </c>
      <c r="D421" s="1310">
        <v>732.57777899999996</v>
      </c>
    </row>
    <row r="422" spans="2:4" x14ac:dyDescent="0.2">
      <c r="B422" s="1341">
        <v>452</v>
      </c>
      <c r="C422" s="1341" t="s">
        <v>1687</v>
      </c>
      <c r="D422" s="1310">
        <v>641.52104699999995</v>
      </c>
    </row>
    <row r="423" spans="2:4" x14ac:dyDescent="0.2">
      <c r="B423" s="1341">
        <v>453</v>
      </c>
      <c r="C423" s="1341" t="s">
        <v>1688</v>
      </c>
      <c r="D423" s="1310">
        <v>702.03334600000005</v>
      </c>
    </row>
    <row r="424" spans="2:4" x14ac:dyDescent="0.2">
      <c r="B424" s="1341">
        <v>454</v>
      </c>
      <c r="C424" s="1341" t="s">
        <v>1689</v>
      </c>
      <c r="D424" s="1310">
        <v>804.19999199999995</v>
      </c>
    </row>
    <row r="425" spans="2:4" x14ac:dyDescent="0.2">
      <c r="B425" s="1341">
        <v>455</v>
      </c>
      <c r="C425" s="1341" t="s">
        <v>1690</v>
      </c>
      <c r="D425" s="1310">
        <v>692.5</v>
      </c>
    </row>
    <row r="426" spans="2:4" x14ac:dyDescent="0.2">
      <c r="B426" s="1341">
        <v>456</v>
      </c>
      <c r="C426" s="1341" t="s">
        <v>445</v>
      </c>
      <c r="D426" s="1310">
        <v>711.76666599999999</v>
      </c>
    </row>
    <row r="427" spans="2:4" x14ac:dyDescent="0.2">
      <c r="B427" s="1341">
        <v>457</v>
      </c>
      <c r="C427" s="1341" t="s">
        <v>1691</v>
      </c>
      <c r="D427" s="1310">
        <v>627.25000599999998</v>
      </c>
    </row>
    <row r="428" spans="2:4" x14ac:dyDescent="0.2">
      <c r="B428" s="1341">
        <v>458</v>
      </c>
      <c r="C428" s="1341" t="s">
        <v>1692</v>
      </c>
      <c r="D428" s="1310">
        <v>675.16666699999996</v>
      </c>
    </row>
    <row r="429" spans="2:4" x14ac:dyDescent="0.2">
      <c r="B429" s="1341">
        <v>459</v>
      </c>
      <c r="C429" s="1341" t="s">
        <v>1693</v>
      </c>
      <c r="D429" s="1310">
        <v>675.69999499999994</v>
      </c>
    </row>
    <row r="430" spans="2:4" x14ac:dyDescent="0.2">
      <c r="B430" s="1341">
        <v>460</v>
      </c>
      <c r="C430" s="1341" t="s">
        <v>1694</v>
      </c>
      <c r="D430" s="1310">
        <v>635.55000299999995</v>
      </c>
    </row>
    <row r="431" spans="2:4" x14ac:dyDescent="0.2">
      <c r="B431" s="1341">
        <v>461</v>
      </c>
      <c r="C431" s="1341" t="s">
        <v>1695</v>
      </c>
      <c r="D431" s="1310">
        <v>748.84999600000003</v>
      </c>
    </row>
    <row r="432" spans="2:4" x14ac:dyDescent="0.2">
      <c r="B432" s="1341">
        <v>462</v>
      </c>
      <c r="C432" s="1341" t="s">
        <v>1696</v>
      </c>
      <c r="D432" s="1310">
        <v>751.64545199999998</v>
      </c>
    </row>
    <row r="433" spans="2:4" x14ac:dyDescent="0.2">
      <c r="B433" s="1341">
        <v>463</v>
      </c>
      <c r="C433" s="1341" t="s">
        <v>1697</v>
      </c>
      <c r="D433" s="1310">
        <v>663.76000399999998</v>
      </c>
    </row>
    <row r="434" spans="2:4" x14ac:dyDescent="0.2">
      <c r="B434" s="1341">
        <v>464</v>
      </c>
      <c r="C434" s="1341" t="s">
        <v>1698</v>
      </c>
      <c r="D434" s="1310">
        <v>751.36363600000004</v>
      </c>
    </row>
    <row r="435" spans="2:4" x14ac:dyDescent="0.2">
      <c r="B435" s="1341">
        <v>465</v>
      </c>
      <c r="C435" s="1341" t="s">
        <v>1699</v>
      </c>
      <c r="D435" s="1310">
        <v>683.95714499999997</v>
      </c>
    </row>
    <row r="436" spans="2:4" x14ac:dyDescent="0.2">
      <c r="B436" s="1341">
        <v>466</v>
      </c>
      <c r="C436" s="1341" t="s">
        <v>1700</v>
      </c>
      <c r="D436" s="1310">
        <v>674.4</v>
      </c>
    </row>
    <row r="437" spans="2:4" x14ac:dyDescent="0.2">
      <c r="B437" s="1341">
        <v>467</v>
      </c>
      <c r="C437" s="1341" t="s">
        <v>1701</v>
      </c>
      <c r="D437" s="1310">
        <v>886.43332899999996</v>
      </c>
    </row>
    <row r="438" spans="2:4" x14ac:dyDescent="0.2">
      <c r="B438" s="1341">
        <v>468</v>
      </c>
      <c r="C438" s="1341" t="s">
        <v>1702</v>
      </c>
      <c r="D438" s="1310">
        <v>777.30000199999995</v>
      </c>
    </row>
    <row r="439" spans="2:4" x14ac:dyDescent="0.2">
      <c r="B439" s="1341">
        <v>469</v>
      </c>
      <c r="C439" s="1341" t="s">
        <v>1703</v>
      </c>
      <c r="D439" s="1310">
        <v>668.28332999999998</v>
      </c>
    </row>
    <row r="440" spans="2:4" x14ac:dyDescent="0.2">
      <c r="B440" s="1341">
        <v>470</v>
      </c>
      <c r="C440" s="1341" t="s">
        <v>1704</v>
      </c>
      <c r="D440" s="1310">
        <v>707.74443900000006</v>
      </c>
    </row>
    <row r="441" spans="2:4" x14ac:dyDescent="0.2">
      <c r="B441" s="1341">
        <v>471</v>
      </c>
      <c r="C441" s="1341" t="s">
        <v>1705</v>
      </c>
      <c r="D441" s="1310">
        <v>651.47997999999995</v>
      </c>
    </row>
    <row r="442" spans="2:4" x14ac:dyDescent="0.2">
      <c r="B442" s="1341">
        <v>472</v>
      </c>
      <c r="C442" s="1341" t="s">
        <v>1706</v>
      </c>
      <c r="D442" s="1310">
        <v>658.77778499999999</v>
      </c>
    </row>
    <row r="443" spans="2:4" x14ac:dyDescent="0.2">
      <c r="B443" s="1341">
        <v>473</v>
      </c>
      <c r="C443" s="1341" t="s">
        <v>1707</v>
      </c>
      <c r="D443" s="1310">
        <v>689.74284999999998</v>
      </c>
    </row>
    <row r="444" spans="2:4" x14ac:dyDescent="0.2">
      <c r="B444" s="1341">
        <v>474</v>
      </c>
      <c r="C444" s="1341" t="s">
        <v>1708</v>
      </c>
      <c r="D444" s="1310">
        <v>802.12963200000002</v>
      </c>
    </row>
    <row r="445" spans="2:4" x14ac:dyDescent="0.2">
      <c r="B445" s="1341">
        <v>475</v>
      </c>
      <c r="C445" s="1341" t="s">
        <v>1709</v>
      </c>
      <c r="D445" s="1310">
        <v>713.19999299999995</v>
      </c>
    </row>
    <row r="446" spans="2:4" x14ac:dyDescent="0.2">
      <c r="B446" s="1341">
        <v>476</v>
      </c>
      <c r="C446" s="1341" t="s">
        <v>1710</v>
      </c>
      <c r="D446" s="1310">
        <v>766.26248899999996</v>
      </c>
    </row>
    <row r="447" spans="2:4" x14ac:dyDescent="0.2">
      <c r="B447" s="1341">
        <v>477</v>
      </c>
      <c r="C447" s="1341" t="s">
        <v>1711</v>
      </c>
      <c r="D447" s="1310">
        <v>760.21334200000001</v>
      </c>
    </row>
    <row r="448" spans="2:4" x14ac:dyDescent="0.2">
      <c r="B448" s="1341">
        <v>478</v>
      </c>
      <c r="C448" s="1341" t="s">
        <v>1712</v>
      </c>
      <c r="D448" s="1310">
        <v>798.46666500000003</v>
      </c>
    </row>
    <row r="449" spans="2:4" x14ac:dyDescent="0.2">
      <c r="B449" s="1341">
        <v>479</v>
      </c>
      <c r="C449" s="1341" t="s">
        <v>1713</v>
      </c>
      <c r="D449" s="1310">
        <v>688.95001200000002</v>
      </c>
    </row>
    <row r="450" spans="2:4" x14ac:dyDescent="0.2">
      <c r="B450" s="1341">
        <v>480</v>
      </c>
      <c r="C450" s="1341" t="s">
        <v>1714</v>
      </c>
      <c r="D450" s="1310">
        <v>759.39998400000002</v>
      </c>
    </row>
    <row r="451" spans="2:4" x14ac:dyDescent="0.2">
      <c r="B451" s="1341">
        <v>501</v>
      </c>
      <c r="C451" s="1341" t="s">
        <v>1715</v>
      </c>
      <c r="D451" s="1310">
        <v>847.92400399999997</v>
      </c>
    </row>
    <row r="452" spans="2:4" x14ac:dyDescent="0.2">
      <c r="B452" s="1341">
        <v>502</v>
      </c>
      <c r="C452" s="1341" t="s">
        <v>1716</v>
      </c>
      <c r="D452" s="1310">
        <v>693.60908600000005</v>
      </c>
    </row>
    <row r="453" spans="2:4" x14ac:dyDescent="0.2">
      <c r="B453" s="1341">
        <v>503</v>
      </c>
      <c r="C453" s="1341" t="s">
        <v>1717</v>
      </c>
      <c r="D453" s="1310">
        <v>778.04583000000002</v>
      </c>
    </row>
    <row r="454" spans="2:4" x14ac:dyDescent="0.2">
      <c r="B454" s="1341">
        <v>504</v>
      </c>
      <c r="C454" s="1341" t="s">
        <v>1718</v>
      </c>
      <c r="D454" s="1310">
        <v>700.10714700000005</v>
      </c>
    </row>
    <row r="455" spans="2:4" x14ac:dyDescent="0.2">
      <c r="B455" s="1341">
        <v>505</v>
      </c>
      <c r="C455" s="1341" t="s">
        <v>1719</v>
      </c>
      <c r="D455" s="1310">
        <v>755.736356</v>
      </c>
    </row>
    <row r="456" spans="2:4" x14ac:dyDescent="0.2">
      <c r="B456" s="1341">
        <v>506</v>
      </c>
      <c r="C456" s="1341" t="s">
        <v>1720</v>
      </c>
      <c r="D456" s="1310">
        <v>804.95769299999995</v>
      </c>
    </row>
    <row r="457" spans="2:4" x14ac:dyDescent="0.2">
      <c r="B457" s="1341">
        <v>507</v>
      </c>
      <c r="C457" s="1341" t="s">
        <v>1721</v>
      </c>
      <c r="D457" s="1310">
        <v>746.07692399999996</v>
      </c>
    </row>
    <row r="458" spans="2:4" x14ac:dyDescent="0.2">
      <c r="B458" s="1341">
        <v>508</v>
      </c>
      <c r="C458" s="1341" t="s">
        <v>1722</v>
      </c>
      <c r="D458" s="1310">
        <v>906.52220999999997</v>
      </c>
    </row>
    <row r="459" spans="2:4" x14ac:dyDescent="0.2">
      <c r="B459" s="1341">
        <v>509</v>
      </c>
      <c r="C459" s="1341" t="s">
        <v>1723</v>
      </c>
      <c r="D459" s="1310">
        <v>906.79998799999998</v>
      </c>
    </row>
    <row r="460" spans="2:4" x14ac:dyDescent="0.2">
      <c r="B460" s="1341">
        <v>510</v>
      </c>
      <c r="C460" s="1341" t="s">
        <v>1724</v>
      </c>
      <c r="D460" s="1310">
        <v>734.06154200000003</v>
      </c>
    </row>
    <row r="461" spans="2:4" x14ac:dyDescent="0.2">
      <c r="B461" s="1341">
        <v>511</v>
      </c>
      <c r="C461" s="1341" t="s">
        <v>1725</v>
      </c>
      <c r="D461" s="1310">
        <v>700.08571099999995</v>
      </c>
    </row>
    <row r="462" spans="2:4" x14ac:dyDescent="0.2">
      <c r="B462" s="1341">
        <v>512</v>
      </c>
      <c r="C462" s="1341" t="s">
        <v>1726</v>
      </c>
      <c r="D462" s="1310">
        <v>682.98749499999997</v>
      </c>
    </row>
    <row r="463" spans="2:4" x14ac:dyDescent="0.2">
      <c r="B463" s="1341">
        <v>513</v>
      </c>
      <c r="C463" s="1341" t="s">
        <v>1727</v>
      </c>
      <c r="D463" s="1310">
        <v>648.99998800000003</v>
      </c>
    </row>
    <row r="464" spans="2:4" x14ac:dyDescent="0.2">
      <c r="B464" s="1341">
        <v>514</v>
      </c>
      <c r="C464" s="1341" t="s">
        <v>1728</v>
      </c>
      <c r="D464" s="1310">
        <v>660.05908999999997</v>
      </c>
    </row>
    <row r="465" spans="2:4" x14ac:dyDescent="0.2">
      <c r="B465" s="1341">
        <v>515</v>
      </c>
      <c r="C465" s="1341" t="s">
        <v>1729</v>
      </c>
      <c r="D465" s="1310">
        <v>621.58332299999995</v>
      </c>
    </row>
    <row r="466" spans="2:4" x14ac:dyDescent="0.2">
      <c r="B466" s="1341">
        <v>516</v>
      </c>
      <c r="C466" s="1341" t="s">
        <v>1730</v>
      </c>
      <c r="D466" s="1310">
        <v>627.21666500000003</v>
      </c>
    </row>
    <row r="467" spans="2:4" x14ac:dyDescent="0.2">
      <c r="B467" s="1341">
        <v>517</v>
      </c>
      <c r="C467" s="1341" t="s">
        <v>1731</v>
      </c>
      <c r="D467" s="1310">
        <v>684.14000199999998</v>
      </c>
    </row>
    <row r="468" spans="2:4" x14ac:dyDescent="0.2">
      <c r="B468" s="1341">
        <v>518</v>
      </c>
      <c r="C468" s="1341" t="s">
        <v>1732</v>
      </c>
      <c r="D468" s="1310">
        <v>663.19999199999995</v>
      </c>
    </row>
    <row r="469" spans="2:4" x14ac:dyDescent="0.2">
      <c r="B469" s="1341">
        <v>519</v>
      </c>
      <c r="C469" s="1341" t="s">
        <v>1733</v>
      </c>
      <c r="D469" s="1310">
        <v>669.36363100000005</v>
      </c>
    </row>
    <row r="470" spans="2:4" x14ac:dyDescent="0.2">
      <c r="B470" s="1341">
        <v>520</v>
      </c>
      <c r="C470" s="1341" t="s">
        <v>1734</v>
      </c>
      <c r="D470" s="1310">
        <v>659.88570700000002</v>
      </c>
    </row>
    <row r="471" spans="2:4" x14ac:dyDescent="0.2">
      <c r="B471" s="1341">
        <v>521</v>
      </c>
      <c r="C471" s="1341" t="s">
        <v>1735</v>
      </c>
      <c r="D471" s="1310">
        <v>925.52499399999999</v>
      </c>
    </row>
    <row r="472" spans="2:4" x14ac:dyDescent="0.2">
      <c r="B472" s="1341">
        <v>522</v>
      </c>
      <c r="C472" s="1341" t="s">
        <v>1736</v>
      </c>
      <c r="D472" s="1310">
        <v>907.08000100000004</v>
      </c>
    </row>
    <row r="473" spans="2:4" x14ac:dyDescent="0.2">
      <c r="B473" s="1341">
        <v>523</v>
      </c>
      <c r="C473" s="1341" t="s">
        <v>1737</v>
      </c>
      <c r="D473" s="1310">
        <v>855.38333499999999</v>
      </c>
    </row>
    <row r="474" spans="2:4" x14ac:dyDescent="0.2">
      <c r="B474" s="1341">
        <v>524</v>
      </c>
      <c r="C474" s="1341" t="s">
        <v>1738</v>
      </c>
      <c r="D474" s="1310">
        <v>948.39999399999999</v>
      </c>
    </row>
    <row r="475" spans="2:4" x14ac:dyDescent="0.2">
      <c r="B475" s="1341">
        <v>525</v>
      </c>
      <c r="C475" s="1341" t="s">
        <v>1739</v>
      </c>
      <c r="D475" s="1310">
        <v>903.42777799999999</v>
      </c>
    </row>
    <row r="476" spans="2:4" x14ac:dyDescent="0.2">
      <c r="B476" s="1341">
        <v>526</v>
      </c>
      <c r="C476" s="1341" t="s">
        <v>1740</v>
      </c>
      <c r="D476" s="1310">
        <v>947.59999100000005</v>
      </c>
    </row>
    <row r="477" spans="2:4" x14ac:dyDescent="0.2">
      <c r="B477" s="1341">
        <v>527</v>
      </c>
      <c r="C477" s="1341" t="s">
        <v>1741</v>
      </c>
      <c r="D477" s="1310">
        <v>772.088888</v>
      </c>
    </row>
    <row r="478" spans="2:4" x14ac:dyDescent="0.2">
      <c r="B478" s="1341">
        <v>528</v>
      </c>
      <c r="C478" s="1341" t="s">
        <v>1742</v>
      </c>
      <c r="D478" s="1310">
        <v>739.69285400000001</v>
      </c>
    </row>
    <row r="479" spans="2:4" x14ac:dyDescent="0.2">
      <c r="B479" s="1341">
        <v>529</v>
      </c>
      <c r="C479" s="1341" t="s">
        <v>1653</v>
      </c>
      <c r="D479" s="1310">
        <v>669.51428199999998</v>
      </c>
    </row>
    <row r="480" spans="2:4" x14ac:dyDescent="0.2">
      <c r="B480" s="1341">
        <v>530</v>
      </c>
      <c r="C480" s="1341" t="s">
        <v>1743</v>
      </c>
      <c r="D480" s="1310">
        <v>658.42000700000006</v>
      </c>
    </row>
    <row r="481" spans="2:4" x14ac:dyDescent="0.2">
      <c r="B481" s="1341">
        <v>531</v>
      </c>
      <c r="C481" s="1341" t="s">
        <v>1744</v>
      </c>
      <c r="D481" s="1310">
        <v>651.25000799999998</v>
      </c>
    </row>
    <row r="482" spans="2:4" x14ac:dyDescent="0.2">
      <c r="B482" s="1341">
        <v>532</v>
      </c>
      <c r="C482" s="1341" t="s">
        <v>1745</v>
      </c>
      <c r="D482" s="1310">
        <v>637.21000400000003</v>
      </c>
    </row>
    <row r="483" spans="2:4" x14ac:dyDescent="0.2">
      <c r="B483" s="1341">
        <v>533</v>
      </c>
      <c r="C483" s="1341" t="s">
        <v>1746</v>
      </c>
      <c r="D483" s="1310">
        <v>884.28571399999998</v>
      </c>
    </row>
    <row r="484" spans="2:4" x14ac:dyDescent="0.2">
      <c r="B484" s="1341">
        <v>534</v>
      </c>
      <c r="C484" s="1341" t="s">
        <v>1747</v>
      </c>
      <c r="D484" s="1310">
        <v>859.73999000000003</v>
      </c>
    </row>
    <row r="485" spans="2:4" x14ac:dyDescent="0.2">
      <c r="B485" s="1341">
        <v>535</v>
      </c>
      <c r="C485" s="1341" t="s">
        <v>1748</v>
      </c>
      <c r="D485" s="1310">
        <v>840.76666299999999</v>
      </c>
    </row>
    <row r="486" spans="2:4" x14ac:dyDescent="0.2">
      <c r="B486" s="1341">
        <v>536</v>
      </c>
      <c r="C486" s="1341" t="s">
        <v>1749</v>
      </c>
      <c r="D486" s="1310">
        <v>868.80000399999994</v>
      </c>
    </row>
    <row r="487" spans="2:4" x14ac:dyDescent="0.2">
      <c r="B487" s="1341">
        <v>537</v>
      </c>
      <c r="C487" s="1341" t="s">
        <v>1750</v>
      </c>
      <c r="D487" s="1310">
        <v>816.37999300000001</v>
      </c>
    </row>
    <row r="488" spans="2:4" x14ac:dyDescent="0.2">
      <c r="B488" s="1341">
        <v>538</v>
      </c>
      <c r="C488" s="1341" t="s">
        <v>1751</v>
      </c>
      <c r="D488" s="1310">
        <v>791.92220699999996</v>
      </c>
    </row>
    <row r="489" spans="2:4" x14ac:dyDescent="0.2">
      <c r="B489" s="1341">
        <v>539</v>
      </c>
      <c r="C489" s="1341" t="s">
        <v>1752</v>
      </c>
      <c r="D489" s="1310">
        <v>687.48751100000004</v>
      </c>
    </row>
    <row r="490" spans="2:4" x14ac:dyDescent="0.2">
      <c r="B490" s="1341">
        <v>540</v>
      </c>
      <c r="C490" s="1341" t="s">
        <v>1753</v>
      </c>
      <c r="D490" s="1310">
        <v>610.00000999999997</v>
      </c>
    </row>
    <row r="491" spans="2:4" x14ac:dyDescent="0.2">
      <c r="B491" s="1341">
        <v>541</v>
      </c>
      <c r="C491" s="1341" t="s">
        <v>1754</v>
      </c>
      <c r="D491" s="1310">
        <v>600.34997599999997</v>
      </c>
    </row>
    <row r="492" spans="2:4" x14ac:dyDescent="0.2">
      <c r="B492" s="1341">
        <v>542</v>
      </c>
      <c r="C492" s="1341" t="s">
        <v>1755</v>
      </c>
      <c r="D492" s="1310">
        <v>665.30000500000006</v>
      </c>
    </row>
    <row r="493" spans="2:4" x14ac:dyDescent="0.2">
      <c r="B493" s="1341">
        <v>543</v>
      </c>
      <c r="C493" s="1341" t="s">
        <v>1756</v>
      </c>
      <c r="D493" s="1310">
        <v>592.45001200000002</v>
      </c>
    </row>
    <row r="494" spans="2:4" x14ac:dyDescent="0.2">
      <c r="B494" s="1341">
        <v>544</v>
      </c>
      <c r="C494" s="1341" t="s">
        <v>1757</v>
      </c>
      <c r="D494" s="1310">
        <v>620.49999200000002</v>
      </c>
    </row>
    <row r="495" spans="2:4" x14ac:dyDescent="0.2">
      <c r="B495" s="1341">
        <v>545</v>
      </c>
      <c r="C495" s="1341" t="s">
        <v>1758</v>
      </c>
      <c r="D495" s="1310">
        <v>633.625</v>
      </c>
    </row>
    <row r="496" spans="2:4" x14ac:dyDescent="0.2">
      <c r="B496" s="1341">
        <v>546</v>
      </c>
      <c r="C496" s="1341" t="s">
        <v>1759</v>
      </c>
      <c r="D496" s="1310">
        <v>624.28000499999996</v>
      </c>
    </row>
    <row r="497" spans="2:4" x14ac:dyDescent="0.2">
      <c r="B497" s="1341">
        <v>547</v>
      </c>
      <c r="C497" s="1341" t="s">
        <v>1760</v>
      </c>
      <c r="D497" s="1310">
        <v>616.30001200000004</v>
      </c>
    </row>
    <row r="498" spans="2:4" x14ac:dyDescent="0.2">
      <c r="B498" s="1341">
        <v>548</v>
      </c>
      <c r="C498" s="1341" t="s">
        <v>1761</v>
      </c>
      <c r="D498" s="1310">
        <v>655.64999399999999</v>
      </c>
    </row>
    <row r="499" spans="2:4" x14ac:dyDescent="0.2">
      <c r="B499" s="1341">
        <v>549</v>
      </c>
      <c r="C499" s="1341" t="s">
        <v>1762</v>
      </c>
      <c r="D499" s="1310">
        <v>633.822225</v>
      </c>
    </row>
    <row r="500" spans="2:4" x14ac:dyDescent="0.2">
      <c r="B500" s="1341">
        <v>550</v>
      </c>
      <c r="C500" s="1341" t="s">
        <v>1763</v>
      </c>
      <c r="D500" s="1310">
        <v>628.21111399999995</v>
      </c>
    </row>
    <row r="501" spans="2:4" x14ac:dyDescent="0.2">
      <c r="B501" s="1341">
        <v>551</v>
      </c>
      <c r="C501" s="1341" t="s">
        <v>1764</v>
      </c>
      <c r="D501" s="1310">
        <v>912.97826399999997</v>
      </c>
    </row>
    <row r="502" spans="2:4" x14ac:dyDescent="0.2">
      <c r="B502" s="1341">
        <v>552</v>
      </c>
      <c r="C502" s="1341" t="s">
        <v>1765</v>
      </c>
      <c r="D502" s="1310">
        <v>907.79998799999998</v>
      </c>
    </row>
    <row r="503" spans="2:4" x14ac:dyDescent="0.2">
      <c r="B503" s="1341">
        <v>553</v>
      </c>
      <c r="C503" s="1341" t="s">
        <v>1766</v>
      </c>
      <c r="D503" s="1310">
        <v>855</v>
      </c>
    </row>
    <row r="504" spans="2:4" x14ac:dyDescent="0.2">
      <c r="B504" s="1341">
        <v>554</v>
      </c>
      <c r="C504" s="1341" t="s">
        <v>1767</v>
      </c>
      <c r="D504" s="1310">
        <v>778.97999300000004</v>
      </c>
    </row>
    <row r="505" spans="2:4" x14ac:dyDescent="0.2">
      <c r="B505" s="1341">
        <v>555</v>
      </c>
      <c r="C505" s="1341" t="s">
        <v>1768</v>
      </c>
      <c r="D505" s="1310">
        <v>828.18000500000005</v>
      </c>
    </row>
    <row r="506" spans="2:4" x14ac:dyDescent="0.2">
      <c r="B506" s="1341">
        <v>556</v>
      </c>
      <c r="C506" s="1341" t="s">
        <v>1769</v>
      </c>
      <c r="D506" s="1310">
        <v>782.52857300000005</v>
      </c>
    </row>
    <row r="507" spans="2:4" x14ac:dyDescent="0.2">
      <c r="B507" s="1341">
        <v>557</v>
      </c>
      <c r="C507" s="1341" t="s">
        <v>1770</v>
      </c>
      <c r="D507" s="1310">
        <v>689.73332700000003</v>
      </c>
    </row>
    <row r="508" spans="2:4" x14ac:dyDescent="0.2">
      <c r="B508" s="1341">
        <v>558</v>
      </c>
      <c r="C508" s="1341" t="s">
        <v>1771</v>
      </c>
      <c r="D508" s="1310">
        <v>763.70908999999995</v>
      </c>
    </row>
    <row r="509" spans="2:4" x14ac:dyDescent="0.2">
      <c r="B509" s="1341">
        <v>559</v>
      </c>
      <c r="C509" s="1341" t="s">
        <v>1772</v>
      </c>
      <c r="D509" s="1310">
        <v>660.29998799999998</v>
      </c>
    </row>
    <row r="510" spans="2:4" x14ac:dyDescent="0.2">
      <c r="B510" s="1341">
        <v>560</v>
      </c>
      <c r="C510" s="1341" t="s">
        <v>1599</v>
      </c>
      <c r="D510" s="1310">
        <v>677.03999599999997</v>
      </c>
    </row>
    <row r="511" spans="2:4" x14ac:dyDescent="0.2">
      <c r="B511" s="1341">
        <v>561</v>
      </c>
      <c r="C511" s="1341" t="s">
        <v>1773</v>
      </c>
      <c r="D511" s="1310">
        <v>685.51429099999996</v>
      </c>
    </row>
    <row r="512" spans="2:4" x14ac:dyDescent="0.2">
      <c r="B512" s="1341">
        <v>562</v>
      </c>
      <c r="C512" s="1341" t="s">
        <v>1774</v>
      </c>
      <c r="D512" s="1310">
        <v>657.61818600000004</v>
      </c>
    </row>
    <row r="513" spans="2:4" x14ac:dyDescent="0.2">
      <c r="B513" s="1341">
        <v>563</v>
      </c>
      <c r="C513" s="1341" t="s">
        <v>1290</v>
      </c>
      <c r="D513" s="1310">
        <v>661.60000600000001</v>
      </c>
    </row>
    <row r="514" spans="2:4" x14ac:dyDescent="0.2">
      <c r="B514" s="1341">
        <v>564</v>
      </c>
      <c r="C514" s="1341" t="s">
        <v>1775</v>
      </c>
      <c r="D514" s="1310">
        <v>684.77726900000005</v>
      </c>
    </row>
    <row r="515" spans="2:4" x14ac:dyDescent="0.2">
      <c r="B515" s="1341">
        <v>565</v>
      </c>
      <c r="C515" s="1341" t="s">
        <v>1776</v>
      </c>
      <c r="D515" s="1310">
        <v>647.55001200000004</v>
      </c>
    </row>
    <row r="516" spans="2:4" x14ac:dyDescent="0.2">
      <c r="B516" s="1341">
        <v>566</v>
      </c>
      <c r="C516" s="1341" t="s">
        <v>1777</v>
      </c>
      <c r="D516" s="1310">
        <v>610.29998799999998</v>
      </c>
    </row>
    <row r="517" spans="2:4" x14ac:dyDescent="0.2">
      <c r="B517" s="1341">
        <v>567</v>
      </c>
      <c r="C517" s="1341" t="s">
        <v>1778</v>
      </c>
      <c r="D517" s="1310">
        <v>638.771432</v>
      </c>
    </row>
    <row r="518" spans="2:4" x14ac:dyDescent="0.2">
      <c r="B518" s="1341">
        <v>568</v>
      </c>
      <c r="C518" s="1341" t="s">
        <v>1779</v>
      </c>
      <c r="D518" s="1310">
        <v>621.67271800000003</v>
      </c>
    </row>
    <row r="519" spans="2:4" x14ac:dyDescent="0.2">
      <c r="B519" s="1341">
        <v>569</v>
      </c>
      <c r="C519" s="1341" t="s">
        <v>1368</v>
      </c>
      <c r="D519" s="1310">
        <v>634.86665900000003</v>
      </c>
    </row>
    <row r="520" spans="2:4" x14ac:dyDescent="0.2">
      <c r="B520" s="1341">
        <v>570</v>
      </c>
      <c r="C520" s="1341" t="s">
        <v>1780</v>
      </c>
      <c r="D520" s="1310">
        <v>602.03077099999996</v>
      </c>
    </row>
    <row r="521" spans="2:4" x14ac:dyDescent="0.2">
      <c r="B521" s="1341">
        <v>571</v>
      </c>
      <c r="C521" s="1341" t="s">
        <v>1684</v>
      </c>
      <c r="D521" s="1310">
        <v>655.46364000000005</v>
      </c>
    </row>
    <row r="522" spans="2:4" x14ac:dyDescent="0.2">
      <c r="B522" s="1341">
        <v>572</v>
      </c>
      <c r="C522" s="1341" t="s">
        <v>1781</v>
      </c>
      <c r="D522" s="1310">
        <v>670.75000999999997</v>
      </c>
    </row>
    <row r="523" spans="2:4" x14ac:dyDescent="0.2">
      <c r="B523" s="1341">
        <v>573</v>
      </c>
      <c r="C523" s="1341" t="s">
        <v>1295</v>
      </c>
      <c r="D523" s="1310">
        <v>638.67692199999999</v>
      </c>
    </row>
    <row r="524" spans="2:4" x14ac:dyDescent="0.2">
      <c r="B524" s="1341">
        <v>574</v>
      </c>
      <c r="C524" s="1341" t="s">
        <v>1782</v>
      </c>
      <c r="D524" s="1310">
        <v>810.67058799999995</v>
      </c>
    </row>
    <row r="525" spans="2:4" x14ac:dyDescent="0.2">
      <c r="B525" s="1341">
        <v>575</v>
      </c>
      <c r="C525" s="1341" t="s">
        <v>1783</v>
      </c>
      <c r="D525" s="1310">
        <v>830.370588</v>
      </c>
    </row>
    <row r="526" spans="2:4" x14ac:dyDescent="0.2">
      <c r="B526" s="1341">
        <v>576</v>
      </c>
      <c r="C526" s="1341" t="s">
        <v>1784</v>
      </c>
      <c r="D526" s="1310">
        <v>712.10000600000001</v>
      </c>
    </row>
    <row r="527" spans="2:4" x14ac:dyDescent="0.2">
      <c r="B527" s="1341">
        <v>577</v>
      </c>
      <c r="C527" s="1341" t="s">
        <v>420</v>
      </c>
      <c r="D527" s="1310">
        <v>711.63750500000003</v>
      </c>
    </row>
    <row r="528" spans="2:4" x14ac:dyDescent="0.2">
      <c r="B528" s="1341">
        <v>578</v>
      </c>
      <c r="C528" s="1341" t="s">
        <v>1785</v>
      </c>
      <c r="D528" s="1310">
        <v>704.53750600000001</v>
      </c>
    </row>
    <row r="529" spans="2:4" x14ac:dyDescent="0.2">
      <c r="B529" s="1341">
        <v>579</v>
      </c>
      <c r="C529" s="1341" t="s">
        <v>1786</v>
      </c>
      <c r="D529" s="1310">
        <v>669.05001800000002</v>
      </c>
    </row>
    <row r="530" spans="2:4" x14ac:dyDescent="0.2">
      <c r="B530" s="1341">
        <v>580</v>
      </c>
      <c r="C530" s="1341" t="s">
        <v>1787</v>
      </c>
      <c r="D530" s="1310">
        <v>753.98333700000001</v>
      </c>
    </row>
    <row r="531" spans="2:4" x14ac:dyDescent="0.2">
      <c r="B531" s="1341">
        <v>581</v>
      </c>
      <c r="C531" s="1341" t="s">
        <v>1788</v>
      </c>
      <c r="D531" s="1310">
        <v>789.21999500000004</v>
      </c>
    </row>
    <row r="532" spans="2:4" x14ac:dyDescent="0.2">
      <c r="B532" s="1341">
        <v>582</v>
      </c>
      <c r="C532" s="1341" t="s">
        <v>1789</v>
      </c>
      <c r="D532" s="1310">
        <v>701.35000600000001</v>
      </c>
    </row>
    <row r="533" spans="2:4" x14ac:dyDescent="0.2">
      <c r="B533" s="1341">
        <v>583</v>
      </c>
      <c r="C533" s="1341" t="s">
        <v>1790</v>
      </c>
      <c r="D533" s="1310">
        <v>679.14999399999999</v>
      </c>
    </row>
    <row r="534" spans="2:4" x14ac:dyDescent="0.2">
      <c r="B534" s="1341">
        <v>584</v>
      </c>
      <c r="C534" s="1341" t="s">
        <v>1791</v>
      </c>
      <c r="D534" s="1310">
        <v>667.936374</v>
      </c>
    </row>
    <row r="535" spans="2:4" x14ac:dyDescent="0.2">
      <c r="B535" s="1341">
        <v>585</v>
      </c>
      <c r="C535" s="1341" t="s">
        <v>1301</v>
      </c>
      <c r="D535" s="1310">
        <v>650.25555799999995</v>
      </c>
    </row>
    <row r="536" spans="2:4" x14ac:dyDescent="0.2">
      <c r="B536" s="1341">
        <v>586</v>
      </c>
      <c r="C536" s="1341" t="s">
        <v>1792</v>
      </c>
      <c r="D536" s="1310">
        <v>850.67931699999997</v>
      </c>
    </row>
    <row r="537" spans="2:4" x14ac:dyDescent="0.2">
      <c r="B537" s="1341">
        <v>587</v>
      </c>
      <c r="C537" s="1341" t="s">
        <v>1793</v>
      </c>
      <c r="D537" s="1310">
        <v>820.59999600000003</v>
      </c>
    </row>
    <row r="538" spans="2:4" x14ac:dyDescent="0.2">
      <c r="B538" s="1341">
        <v>588</v>
      </c>
      <c r="C538" s="1341" t="s">
        <v>1794</v>
      </c>
      <c r="D538" s="1310">
        <v>779.19999700000005</v>
      </c>
    </row>
    <row r="539" spans="2:4" x14ac:dyDescent="0.2">
      <c r="B539" s="1341">
        <v>589</v>
      </c>
      <c r="C539" s="1341" t="s">
        <v>1795</v>
      </c>
      <c r="D539" s="1310">
        <v>773.01665200000002</v>
      </c>
    </row>
    <row r="540" spans="2:4" x14ac:dyDescent="0.2">
      <c r="B540" s="1341">
        <v>590</v>
      </c>
      <c r="C540" s="1341" t="s">
        <v>1796</v>
      </c>
      <c r="D540" s="1310">
        <v>750.40000399999997</v>
      </c>
    </row>
    <row r="541" spans="2:4" x14ac:dyDescent="0.2">
      <c r="B541" s="1341">
        <v>591</v>
      </c>
      <c r="C541" s="1341" t="s">
        <v>1797</v>
      </c>
      <c r="D541" s="1310">
        <v>752.96665399999995</v>
      </c>
    </row>
    <row r="542" spans="2:4" x14ac:dyDescent="0.2">
      <c r="B542" s="1341">
        <v>592</v>
      </c>
      <c r="C542" s="1341" t="s">
        <v>1798</v>
      </c>
      <c r="D542" s="1310">
        <v>682.5</v>
      </c>
    </row>
    <row r="543" spans="2:4" x14ac:dyDescent="0.2">
      <c r="B543" s="1341">
        <v>593</v>
      </c>
      <c r="C543" s="1341" t="s">
        <v>1799</v>
      </c>
      <c r="D543" s="1310">
        <v>652.98888499999998</v>
      </c>
    </row>
    <row r="544" spans="2:4" x14ac:dyDescent="0.2">
      <c r="B544" s="1341">
        <v>594</v>
      </c>
      <c r="C544" s="1341" t="s">
        <v>1800</v>
      </c>
      <c r="D544" s="1310">
        <v>633.01599599999997</v>
      </c>
    </row>
    <row r="545" spans="2:4" x14ac:dyDescent="0.2">
      <c r="B545" s="1341">
        <v>595</v>
      </c>
      <c r="C545" s="1341" t="s">
        <v>1801</v>
      </c>
      <c r="D545" s="1310">
        <v>628.08000500000003</v>
      </c>
    </row>
    <row r="546" spans="2:4" x14ac:dyDescent="0.2">
      <c r="B546" s="1341">
        <v>596</v>
      </c>
      <c r="C546" s="1341" t="s">
        <v>1802</v>
      </c>
      <c r="D546" s="1310">
        <v>633.64500099999998</v>
      </c>
    </row>
    <row r="547" spans="2:4" x14ac:dyDescent="0.2">
      <c r="B547" s="1341">
        <v>597</v>
      </c>
      <c r="C547" s="1341" t="s">
        <v>1803</v>
      </c>
      <c r="D547" s="1310">
        <v>744.28462100000002</v>
      </c>
    </row>
    <row r="548" spans="2:4" x14ac:dyDescent="0.2">
      <c r="B548" s="1341">
        <v>598</v>
      </c>
      <c r="C548" s="1341" t="s">
        <v>1804</v>
      </c>
      <c r="D548" s="1310">
        <v>747.85999800000002</v>
      </c>
    </row>
    <row r="549" spans="2:4" x14ac:dyDescent="0.2">
      <c r="B549" s="1341">
        <v>599</v>
      </c>
      <c r="C549" s="1341" t="s">
        <v>1805</v>
      </c>
      <c r="D549" s="1310">
        <v>703.70000200000004</v>
      </c>
    </row>
    <row r="550" spans="2:4" x14ac:dyDescent="0.2">
      <c r="B550" s="1341">
        <v>600</v>
      </c>
      <c r="C550" s="1341" t="s">
        <v>1806</v>
      </c>
      <c r="D550" s="1310">
        <v>637.01250500000003</v>
      </c>
    </row>
    <row r="551" spans="2:4" x14ac:dyDescent="0.2">
      <c r="B551" s="1341">
        <v>601</v>
      </c>
      <c r="C551" s="1341" t="s">
        <v>1807</v>
      </c>
      <c r="D551" s="1310">
        <v>714.17142999999999</v>
      </c>
    </row>
    <row r="552" spans="2:4" x14ac:dyDescent="0.2">
      <c r="B552" s="1341">
        <v>602</v>
      </c>
      <c r="C552" s="1341" t="s">
        <v>1808</v>
      </c>
      <c r="D552" s="1310">
        <v>743.03998999999999</v>
      </c>
    </row>
    <row r="553" spans="2:4" x14ac:dyDescent="0.2">
      <c r="B553" s="1341">
        <v>603</v>
      </c>
      <c r="C553" s="1341" t="s">
        <v>1809</v>
      </c>
      <c r="D553" s="1310">
        <v>657</v>
      </c>
    </row>
    <row r="554" spans="2:4" x14ac:dyDescent="0.2">
      <c r="B554" s="1341">
        <v>604</v>
      </c>
      <c r="C554" s="1341" t="s">
        <v>1810</v>
      </c>
      <c r="D554" s="1310">
        <v>733.32000700000003</v>
      </c>
    </row>
    <row r="555" spans="2:4" x14ac:dyDescent="0.2">
      <c r="B555" s="1341">
        <v>605</v>
      </c>
      <c r="C555" s="1341" t="s">
        <v>1811</v>
      </c>
      <c r="D555" s="1310">
        <v>699.29998799999998</v>
      </c>
    </row>
    <row r="556" spans="2:4" x14ac:dyDescent="0.2">
      <c r="B556" s="1341">
        <v>606</v>
      </c>
      <c r="C556" s="1341" t="s">
        <v>1812</v>
      </c>
      <c r="D556" s="1310">
        <v>694.24998500000004</v>
      </c>
    </row>
    <row r="557" spans="2:4" x14ac:dyDescent="0.2">
      <c r="B557" s="1341">
        <v>607</v>
      </c>
      <c r="C557" s="1341" t="s">
        <v>1813</v>
      </c>
      <c r="D557" s="1310">
        <v>617.47999900000002</v>
      </c>
    </row>
    <row r="558" spans="2:4" x14ac:dyDescent="0.2">
      <c r="B558" s="1341">
        <v>608</v>
      </c>
      <c r="C558" s="1341" t="s">
        <v>1814</v>
      </c>
      <c r="D558" s="1310">
        <v>672.09997599999997</v>
      </c>
    </row>
    <row r="559" spans="2:4" x14ac:dyDescent="0.2">
      <c r="B559" s="1341">
        <v>609</v>
      </c>
      <c r="C559" s="1341" t="s">
        <v>1815</v>
      </c>
      <c r="D559" s="1310">
        <v>643.16664600000001</v>
      </c>
    </row>
    <row r="560" spans="2:4" x14ac:dyDescent="0.2">
      <c r="B560" s="1341">
        <v>610</v>
      </c>
      <c r="C560" s="1341" t="s">
        <v>1816</v>
      </c>
      <c r="D560" s="1310">
        <v>637.82000700000003</v>
      </c>
    </row>
    <row r="561" spans="2:4" x14ac:dyDescent="0.2">
      <c r="B561" s="1341">
        <v>611</v>
      </c>
      <c r="C561" s="1341" t="s">
        <v>1817</v>
      </c>
      <c r="D561" s="1310">
        <v>646.610004</v>
      </c>
    </row>
    <row r="562" spans="2:4" x14ac:dyDescent="0.2">
      <c r="B562" s="1341">
        <v>612</v>
      </c>
      <c r="C562" s="1341" t="s">
        <v>1818</v>
      </c>
      <c r="D562" s="1310">
        <v>645.6</v>
      </c>
    </row>
    <row r="563" spans="2:4" x14ac:dyDescent="0.2">
      <c r="B563" s="1341">
        <v>613</v>
      </c>
      <c r="C563" s="1341" t="s">
        <v>1819</v>
      </c>
      <c r="D563" s="1310">
        <v>603.14545799999996</v>
      </c>
    </row>
    <row r="564" spans="2:4" x14ac:dyDescent="0.2">
      <c r="B564" s="1341">
        <v>614</v>
      </c>
      <c r="C564" s="1341" t="s">
        <v>1820</v>
      </c>
      <c r="D564" s="1310">
        <v>632.11665900000003</v>
      </c>
    </row>
    <row r="565" spans="2:4" x14ac:dyDescent="0.2">
      <c r="B565" s="1341">
        <v>651</v>
      </c>
      <c r="C565" s="1341" t="s">
        <v>1821</v>
      </c>
      <c r="D565" s="1310">
        <v>654.42999899999995</v>
      </c>
    </row>
    <row r="566" spans="2:4" x14ac:dyDescent="0.2">
      <c r="B566" s="1341">
        <v>652</v>
      </c>
      <c r="C566" s="1341" t="s">
        <v>1822</v>
      </c>
      <c r="D566" s="1310">
        <v>621.61428000000001</v>
      </c>
    </row>
    <row r="567" spans="2:4" x14ac:dyDescent="0.2">
      <c r="B567" s="1341">
        <v>653</v>
      </c>
      <c r="C567" s="1341" t="s">
        <v>1823</v>
      </c>
      <c r="D567" s="1310">
        <v>604.69500100000005</v>
      </c>
    </row>
    <row r="568" spans="2:4" x14ac:dyDescent="0.2">
      <c r="B568" s="1341">
        <v>654</v>
      </c>
      <c r="C568" s="1341" t="s">
        <v>1824</v>
      </c>
      <c r="D568" s="1310">
        <v>610.55554900000004</v>
      </c>
    </row>
    <row r="569" spans="2:4" x14ac:dyDescent="0.2">
      <c r="B569" s="1341">
        <v>655</v>
      </c>
      <c r="C569" s="1341" t="s">
        <v>1825</v>
      </c>
      <c r="D569" s="1310">
        <v>643.40769599999999</v>
      </c>
    </row>
    <row r="570" spans="2:4" x14ac:dyDescent="0.2">
      <c r="B570" s="1341">
        <v>656</v>
      </c>
      <c r="C570" s="1341" t="s">
        <v>1826</v>
      </c>
      <c r="D570" s="1310">
        <v>660.88636599999995</v>
      </c>
    </row>
    <row r="571" spans="2:4" x14ac:dyDescent="0.2">
      <c r="B571" s="1341">
        <v>657</v>
      </c>
      <c r="C571" s="1341" t="s">
        <v>1827</v>
      </c>
      <c r="D571" s="1310">
        <v>642.57143399999995</v>
      </c>
    </row>
    <row r="572" spans="2:4" x14ac:dyDescent="0.2">
      <c r="B572" s="1341">
        <v>658</v>
      </c>
      <c r="C572" s="1341" t="s">
        <v>1828</v>
      </c>
      <c r="D572" s="1310">
        <v>634.11000999999999</v>
      </c>
    </row>
    <row r="573" spans="2:4" x14ac:dyDescent="0.2">
      <c r="B573" s="1341">
        <v>659</v>
      </c>
      <c r="C573" s="1341" t="s">
        <v>1829</v>
      </c>
      <c r="D573" s="1310">
        <v>614.84286099999997</v>
      </c>
    </row>
    <row r="574" spans="2:4" x14ac:dyDescent="0.2">
      <c r="B574" s="1341">
        <v>660</v>
      </c>
      <c r="C574" s="1341" t="s">
        <v>1290</v>
      </c>
      <c r="D574" s="1310">
        <v>611.80000500000006</v>
      </c>
    </row>
    <row r="575" spans="2:4" x14ac:dyDescent="0.2">
      <c r="B575" s="1341">
        <v>661</v>
      </c>
      <c r="C575" s="1341" t="s">
        <v>1830</v>
      </c>
      <c r="D575" s="1310">
        <v>593.71109999999999</v>
      </c>
    </row>
    <row r="576" spans="2:4" x14ac:dyDescent="0.2">
      <c r="B576" s="1341">
        <v>662</v>
      </c>
      <c r="C576" s="1341" t="s">
        <v>1831</v>
      </c>
      <c r="D576" s="1310">
        <v>569.69999900000005</v>
      </c>
    </row>
    <row r="577" spans="2:4" x14ac:dyDescent="0.2">
      <c r="B577" s="1341">
        <v>663</v>
      </c>
      <c r="C577" s="1341" t="s">
        <v>1832</v>
      </c>
      <c r="D577" s="1310">
        <v>641.32352900000001</v>
      </c>
    </row>
    <row r="578" spans="2:4" x14ac:dyDescent="0.2">
      <c r="B578" s="1341">
        <v>664</v>
      </c>
      <c r="C578" s="1341" t="s">
        <v>1833</v>
      </c>
      <c r="D578" s="1310">
        <v>637.70768899999996</v>
      </c>
    </row>
    <row r="579" spans="2:4" x14ac:dyDescent="0.2">
      <c r="B579" s="1341">
        <v>665</v>
      </c>
      <c r="C579" s="1341" t="s">
        <v>1834</v>
      </c>
      <c r="D579" s="1310">
        <v>589.35002099999997</v>
      </c>
    </row>
    <row r="580" spans="2:4" x14ac:dyDescent="0.2">
      <c r="B580" s="1341">
        <v>666</v>
      </c>
      <c r="C580" s="1341" t="s">
        <v>1835</v>
      </c>
      <c r="D580" s="1310">
        <v>607.48999600000002</v>
      </c>
    </row>
    <row r="581" spans="2:4" x14ac:dyDescent="0.2">
      <c r="B581" s="1341">
        <v>667</v>
      </c>
      <c r="C581" s="1341" t="s">
        <v>1836</v>
      </c>
      <c r="D581" s="1310">
        <v>636.79333099999997</v>
      </c>
    </row>
    <row r="582" spans="2:4" x14ac:dyDescent="0.2">
      <c r="B582" s="1341">
        <v>668</v>
      </c>
      <c r="C582" s="1341" t="s">
        <v>1837</v>
      </c>
      <c r="D582" s="1310">
        <v>609.98499500000003</v>
      </c>
    </row>
    <row r="583" spans="2:4" x14ac:dyDescent="0.2">
      <c r="B583" s="1341">
        <v>669</v>
      </c>
      <c r="C583" s="1341" t="s">
        <v>1838</v>
      </c>
      <c r="D583" s="1310">
        <v>615.16667700000005</v>
      </c>
    </row>
    <row r="584" spans="2:4" x14ac:dyDescent="0.2">
      <c r="B584" s="1341">
        <v>670</v>
      </c>
      <c r="C584" s="1341" t="s">
        <v>1839</v>
      </c>
      <c r="D584" s="1310">
        <v>596.29999799999996</v>
      </c>
    </row>
    <row r="585" spans="2:4" x14ac:dyDescent="0.2">
      <c r="B585" s="1341">
        <v>671</v>
      </c>
      <c r="C585" s="1341" t="s">
        <v>1840</v>
      </c>
      <c r="D585" s="1310">
        <v>567.672729</v>
      </c>
    </row>
    <row r="586" spans="2:4" x14ac:dyDescent="0.2">
      <c r="B586" s="1341">
        <v>672</v>
      </c>
      <c r="C586" s="1341" t="s">
        <v>1841</v>
      </c>
      <c r="D586" s="1310">
        <v>586.60000200000002</v>
      </c>
    </row>
    <row r="587" spans="2:4" x14ac:dyDescent="0.2">
      <c r="B587" s="1341">
        <v>673</v>
      </c>
      <c r="C587" s="1341" t="s">
        <v>1842</v>
      </c>
      <c r="D587" s="1310">
        <v>555.62858400000005</v>
      </c>
    </row>
    <row r="588" spans="2:4" ht="15" x14ac:dyDescent="0.2">
      <c r="B588" s="1353">
        <v>674</v>
      </c>
      <c r="C588" s="1341" t="s">
        <v>1843</v>
      </c>
      <c r="D588" s="1354">
        <v>542.70001200000002</v>
      </c>
    </row>
    <row r="589" spans="2:4" x14ac:dyDescent="0.2">
      <c r="B589" s="1341">
        <v>675</v>
      </c>
      <c r="C589" s="1341" t="s">
        <v>1844</v>
      </c>
      <c r="D589" s="1310">
        <v>598.29998799999998</v>
      </c>
    </row>
    <row r="590" spans="2:4" x14ac:dyDescent="0.2">
      <c r="B590" s="1341">
        <v>676</v>
      </c>
      <c r="C590" s="1341" t="s">
        <v>1845</v>
      </c>
      <c r="D590" s="1310">
        <v>580.25</v>
      </c>
    </row>
    <row r="591" spans="2:4" x14ac:dyDescent="0.2">
      <c r="B591" s="1341">
        <v>677</v>
      </c>
      <c r="C591" s="1341" t="s">
        <v>1846</v>
      </c>
      <c r="D591" s="1310">
        <v>583.51667299999997</v>
      </c>
    </row>
    <row r="592" spans="2:4" x14ac:dyDescent="0.2">
      <c r="B592" s="1341">
        <v>678</v>
      </c>
      <c r="C592" s="1341" t="s">
        <v>1847</v>
      </c>
      <c r="D592" s="1310">
        <v>564.79999299999997</v>
      </c>
    </row>
    <row r="593" spans="2:4" x14ac:dyDescent="0.2">
      <c r="B593" s="1341">
        <v>679</v>
      </c>
      <c r="C593" s="1341" t="s">
        <v>1848</v>
      </c>
      <c r="D593" s="1310">
        <v>559.15555099999995</v>
      </c>
    </row>
    <row r="594" spans="2:4" x14ac:dyDescent="0.2">
      <c r="B594" s="1341">
        <v>680</v>
      </c>
      <c r="C594" s="1341" t="s">
        <v>1849</v>
      </c>
      <c r="D594" s="1310">
        <v>575.92000700000006</v>
      </c>
    </row>
    <row r="595" spans="2:4" x14ac:dyDescent="0.2">
      <c r="B595" s="1341">
        <v>681</v>
      </c>
      <c r="C595" s="1341" t="s">
        <v>1850</v>
      </c>
      <c r="D595" s="1310">
        <v>559.12142100000005</v>
      </c>
    </row>
    <row r="596" spans="2:4" x14ac:dyDescent="0.2">
      <c r="B596" s="1341">
        <v>682</v>
      </c>
      <c r="C596" s="1341" t="s">
        <v>1851</v>
      </c>
      <c r="D596" s="1310">
        <v>644.30000099999995</v>
      </c>
    </row>
    <row r="597" spans="2:4" x14ac:dyDescent="0.2">
      <c r="B597" s="1341">
        <v>683</v>
      </c>
      <c r="C597" s="1341" t="s">
        <v>1852</v>
      </c>
      <c r="D597" s="1310">
        <v>631.27333599999997</v>
      </c>
    </row>
    <row r="598" spans="2:4" x14ac:dyDescent="0.2">
      <c r="B598" s="1341">
        <v>684</v>
      </c>
      <c r="C598" s="1341" t="s">
        <v>1853</v>
      </c>
      <c r="D598" s="1310">
        <v>597.58334400000001</v>
      </c>
    </row>
    <row r="599" spans="2:4" x14ac:dyDescent="0.2">
      <c r="B599" s="1341">
        <v>685</v>
      </c>
      <c r="C599" s="1341" t="s">
        <v>1854</v>
      </c>
      <c r="D599" s="1310">
        <v>600.16249800000003</v>
      </c>
    </row>
    <row r="600" spans="2:4" x14ac:dyDescent="0.2">
      <c r="B600" s="1341">
        <v>686</v>
      </c>
      <c r="C600" s="1341" t="s">
        <v>1855</v>
      </c>
      <c r="D600" s="1310">
        <v>606.26251200000002</v>
      </c>
    </row>
    <row r="601" spans="2:4" x14ac:dyDescent="0.2">
      <c r="B601" s="1341">
        <v>687</v>
      </c>
      <c r="C601" s="1341" t="s">
        <v>1856</v>
      </c>
      <c r="D601" s="1310">
        <v>585.78749800000003</v>
      </c>
    </row>
    <row r="602" spans="2:4" x14ac:dyDescent="0.2">
      <c r="B602" s="1341">
        <v>688</v>
      </c>
      <c r="C602" s="1341" t="s">
        <v>1857</v>
      </c>
      <c r="D602" s="1310">
        <v>566.48461399999997</v>
      </c>
    </row>
    <row r="603" spans="2:4" x14ac:dyDescent="0.2">
      <c r="B603" s="1341">
        <v>689</v>
      </c>
      <c r="C603" s="1341" t="s">
        <v>1858</v>
      </c>
      <c r="D603" s="1310">
        <v>568.80769699999996</v>
      </c>
    </row>
    <row r="604" spans="2:4" x14ac:dyDescent="0.2">
      <c r="B604" s="1341">
        <v>690</v>
      </c>
      <c r="C604" s="1341" t="s">
        <v>1859</v>
      </c>
      <c r="D604" s="1310">
        <v>603.00001499999996</v>
      </c>
    </row>
    <row r="605" spans="2:4" x14ac:dyDescent="0.2">
      <c r="B605" s="1341">
        <v>691</v>
      </c>
      <c r="C605" s="1341" t="s">
        <v>1860</v>
      </c>
      <c r="D605" s="1310">
        <v>621.70000000000005</v>
      </c>
    </row>
    <row r="606" spans="2:4" x14ac:dyDescent="0.2">
      <c r="B606" s="1341">
        <v>692</v>
      </c>
      <c r="C606" s="1341" t="s">
        <v>1861</v>
      </c>
      <c r="D606" s="1310">
        <v>624.23571300000003</v>
      </c>
    </row>
    <row r="607" spans="2:4" x14ac:dyDescent="0.2">
      <c r="B607" s="1341">
        <v>693</v>
      </c>
      <c r="C607" s="1341" t="s">
        <v>1862</v>
      </c>
      <c r="D607" s="1310">
        <v>605.48888499999998</v>
      </c>
    </row>
    <row r="608" spans="2:4" x14ac:dyDescent="0.2">
      <c r="B608" s="1341">
        <v>694</v>
      </c>
      <c r="C608" s="1341" t="s">
        <v>1863</v>
      </c>
      <c r="D608" s="1310">
        <v>605.20625299999995</v>
      </c>
    </row>
    <row r="609" spans="2:4" x14ac:dyDescent="0.2">
      <c r="B609" s="1341">
        <v>695</v>
      </c>
      <c r="C609" s="1341" t="s">
        <v>1864</v>
      </c>
      <c r="D609" s="1310">
        <v>602.20000000000005</v>
      </c>
    </row>
    <row r="610" spans="2:4" x14ac:dyDescent="0.2">
      <c r="B610" s="1341">
        <v>696</v>
      </c>
      <c r="C610" s="1341" t="s">
        <v>1865</v>
      </c>
      <c r="D610" s="1310">
        <v>602.46667500000001</v>
      </c>
    </row>
    <row r="611" spans="2:4" x14ac:dyDescent="0.2">
      <c r="B611" s="1341">
        <v>697</v>
      </c>
      <c r="C611" s="1341" t="s">
        <v>438</v>
      </c>
      <c r="D611" s="1310">
        <v>569.44864900000005</v>
      </c>
    </row>
    <row r="612" spans="2:4" x14ac:dyDescent="0.2">
      <c r="B612" s="1341">
        <v>698</v>
      </c>
      <c r="C612" s="1341" t="s">
        <v>1866</v>
      </c>
      <c r="D612" s="1310">
        <v>566.58334400000001</v>
      </c>
    </row>
    <row r="613" spans="2:4" x14ac:dyDescent="0.2">
      <c r="B613" s="1341">
        <v>699</v>
      </c>
      <c r="C613" s="1341" t="s">
        <v>1867</v>
      </c>
      <c r="D613" s="1310">
        <v>566.94285400000001</v>
      </c>
    </row>
    <row r="614" spans="2:4" x14ac:dyDescent="0.2">
      <c r="B614" s="1341">
        <v>700</v>
      </c>
      <c r="C614" s="1341" t="s">
        <v>1868</v>
      </c>
      <c r="D614" s="1310">
        <v>636.44286199999999</v>
      </c>
    </row>
    <row r="615" spans="2:4" x14ac:dyDescent="0.2">
      <c r="B615" s="1341">
        <v>701</v>
      </c>
      <c r="C615" s="1341" t="s">
        <v>1869</v>
      </c>
      <c r="D615" s="1310">
        <v>635.81764799999996</v>
      </c>
    </row>
    <row r="616" spans="2:4" x14ac:dyDescent="0.2">
      <c r="B616" s="1341">
        <v>702</v>
      </c>
      <c r="C616" s="1341" t="s">
        <v>1870</v>
      </c>
      <c r="D616" s="1310">
        <v>573</v>
      </c>
    </row>
    <row r="617" spans="2:4" x14ac:dyDescent="0.2">
      <c r="B617" s="1341">
        <v>703</v>
      </c>
      <c r="C617" s="1341" t="s">
        <v>1871</v>
      </c>
      <c r="D617" s="1310">
        <v>570.70908399999996</v>
      </c>
    </row>
    <row r="618" spans="2:4" x14ac:dyDescent="0.2">
      <c r="B618" s="1341">
        <v>704</v>
      </c>
      <c r="C618" s="1341" t="s">
        <v>1872</v>
      </c>
      <c r="D618" s="1310">
        <v>564.866669</v>
      </c>
    </row>
    <row r="619" spans="2:4" x14ac:dyDescent="0.2">
      <c r="B619" s="1341">
        <v>705</v>
      </c>
      <c r="C619" s="1341" t="s">
        <v>1873</v>
      </c>
      <c r="D619" s="1310">
        <v>603.97142699999995</v>
      </c>
    </row>
    <row r="620" spans="2:4" x14ac:dyDescent="0.2">
      <c r="B620" s="1341">
        <v>706</v>
      </c>
      <c r="C620" s="1341" t="s">
        <v>1874</v>
      </c>
      <c r="D620" s="1310">
        <v>616.226315</v>
      </c>
    </row>
    <row r="621" spans="2:4" x14ac:dyDescent="0.2">
      <c r="B621" s="1341">
        <v>707</v>
      </c>
      <c r="C621" s="1341" t="s">
        <v>1875</v>
      </c>
      <c r="D621" s="1310">
        <v>561.99600099999998</v>
      </c>
    </row>
    <row r="622" spans="2:4" x14ac:dyDescent="0.2">
      <c r="B622" s="1341">
        <v>708</v>
      </c>
      <c r="C622" s="1341" t="s">
        <v>1876</v>
      </c>
      <c r="D622" s="1310">
        <v>566.5</v>
      </c>
    </row>
    <row r="623" spans="2:4" x14ac:dyDescent="0.2">
      <c r="B623" s="1341">
        <v>709</v>
      </c>
      <c r="C623" s="1341" t="s">
        <v>1877</v>
      </c>
      <c r="D623" s="1310">
        <v>563.33999600000004</v>
      </c>
    </row>
    <row r="624" spans="2:4" x14ac:dyDescent="0.2">
      <c r="B624" s="1341">
        <v>710</v>
      </c>
      <c r="C624" s="1341" t="s">
        <v>1878</v>
      </c>
      <c r="D624" s="1310">
        <v>587.77999899999998</v>
      </c>
    </row>
    <row r="625" spans="2:4" x14ac:dyDescent="0.2">
      <c r="B625" s="1341">
        <v>711</v>
      </c>
      <c r="C625" s="1341" t="s">
        <v>1879</v>
      </c>
      <c r="D625" s="1310">
        <v>622.52307599999995</v>
      </c>
    </row>
    <row r="626" spans="2:4" x14ac:dyDescent="0.2">
      <c r="B626" s="1341">
        <v>712</v>
      </c>
      <c r="C626" s="1341" t="s">
        <v>1880</v>
      </c>
      <c r="D626" s="1310">
        <v>612.89999899999998</v>
      </c>
    </row>
    <row r="627" spans="2:4" x14ac:dyDescent="0.2">
      <c r="B627" s="1341">
        <v>713</v>
      </c>
      <c r="C627" s="1341" t="s">
        <v>1881</v>
      </c>
      <c r="D627" s="1310">
        <v>615.46667500000001</v>
      </c>
    </row>
    <row r="628" spans="2:4" x14ac:dyDescent="0.2">
      <c r="B628" s="1341">
        <v>714</v>
      </c>
      <c r="C628" s="1341" t="s">
        <v>1882</v>
      </c>
      <c r="D628" s="1310">
        <v>608.28749800000003</v>
      </c>
    </row>
    <row r="629" spans="2:4" x14ac:dyDescent="0.2">
      <c r="B629" s="1341">
        <v>715</v>
      </c>
      <c r="C629" s="1341" t="s">
        <v>1883</v>
      </c>
      <c r="D629" s="1310">
        <v>618.10000600000001</v>
      </c>
    </row>
    <row r="630" spans="2:4" x14ac:dyDescent="0.2">
      <c r="B630" s="1341">
        <v>716</v>
      </c>
      <c r="C630" s="1341" t="s">
        <v>1884</v>
      </c>
      <c r="D630" s="1310">
        <v>583.52221699999996</v>
      </c>
    </row>
    <row r="631" spans="2:4" x14ac:dyDescent="0.2">
      <c r="B631" s="1341">
        <v>717</v>
      </c>
      <c r="C631" s="1341" t="s">
        <v>1885</v>
      </c>
      <c r="D631" s="1310">
        <v>630.06001000000003</v>
      </c>
    </row>
    <row r="632" spans="2:4" x14ac:dyDescent="0.2">
      <c r="B632" s="1341">
        <v>718</v>
      </c>
      <c r="C632" s="1341" t="s">
        <v>1599</v>
      </c>
      <c r="D632" s="1310">
        <v>607.52499399999999</v>
      </c>
    </row>
    <row r="633" spans="2:4" x14ac:dyDescent="0.2">
      <c r="B633" s="1341">
        <v>719</v>
      </c>
      <c r="C633" s="1341" t="s">
        <v>1886</v>
      </c>
      <c r="D633" s="1310">
        <v>612.11249499999997</v>
      </c>
    </row>
    <row r="634" spans="2:4" x14ac:dyDescent="0.2">
      <c r="B634" s="1341">
        <v>720</v>
      </c>
      <c r="C634" s="1341" t="s">
        <v>1887</v>
      </c>
      <c r="D634" s="1310">
        <v>607.67142200000001</v>
      </c>
    </row>
    <row r="635" spans="2:4" x14ac:dyDescent="0.2">
      <c r="B635" s="1341">
        <v>721</v>
      </c>
      <c r="C635" s="1341" t="s">
        <v>1888</v>
      </c>
      <c r="D635" s="1310">
        <v>584.69999199999995</v>
      </c>
    </row>
    <row r="636" spans="2:4" x14ac:dyDescent="0.2">
      <c r="B636" s="1341">
        <v>722</v>
      </c>
      <c r="C636" s="1341" t="s">
        <v>1889</v>
      </c>
      <c r="D636" s="1310">
        <v>572.46666500000003</v>
      </c>
    </row>
    <row r="637" spans="2:4" ht="15" x14ac:dyDescent="0.2">
      <c r="B637" s="1353">
        <v>723</v>
      </c>
      <c r="C637" s="1341" t="s">
        <v>1890</v>
      </c>
      <c r="D637" s="1354">
        <v>547.366669</v>
      </c>
    </row>
    <row r="638" spans="2:4" x14ac:dyDescent="0.2">
      <c r="B638" s="1341">
        <v>724</v>
      </c>
      <c r="C638" s="1341" t="s">
        <v>1891</v>
      </c>
      <c r="D638" s="1310">
        <v>582.57501200000002</v>
      </c>
    </row>
    <row r="639" spans="2:4" x14ac:dyDescent="0.2">
      <c r="B639" s="1341">
        <v>725</v>
      </c>
      <c r="C639" s="1341" t="s">
        <v>1497</v>
      </c>
      <c r="D639" s="1310">
        <v>594.15713900000003</v>
      </c>
    </row>
    <row r="640" spans="2:4" x14ac:dyDescent="0.2">
      <c r="B640" s="1341">
        <v>726</v>
      </c>
      <c r="C640" s="1341" t="s">
        <v>1544</v>
      </c>
      <c r="D640" s="1310">
        <v>586.60000600000001</v>
      </c>
    </row>
    <row r="641" spans="2:4" ht="15" x14ac:dyDescent="0.2">
      <c r="B641" s="1353">
        <v>727</v>
      </c>
      <c r="C641" s="1341" t="s">
        <v>1892</v>
      </c>
      <c r="D641" s="1354">
        <v>544.13750800000003</v>
      </c>
    </row>
    <row r="642" spans="2:4" ht="15" x14ac:dyDescent="0.2">
      <c r="B642" s="1353">
        <v>728</v>
      </c>
      <c r="C642" s="1341" t="s">
        <v>1893</v>
      </c>
      <c r="D642" s="1354">
        <v>545.51428699999997</v>
      </c>
    </row>
    <row r="643" spans="2:4" x14ac:dyDescent="0.2">
      <c r="B643" s="1341">
        <v>729</v>
      </c>
      <c r="C643" s="1341" t="s">
        <v>1894</v>
      </c>
      <c r="D643" s="1310">
        <v>577.96922900000004</v>
      </c>
    </row>
    <row r="644" spans="2:4" x14ac:dyDescent="0.2">
      <c r="B644" s="1341">
        <v>730</v>
      </c>
      <c r="C644" s="1341" t="s">
        <v>1895</v>
      </c>
      <c r="D644" s="1310">
        <v>608.71666500000003</v>
      </c>
    </row>
    <row r="645" spans="2:4" x14ac:dyDescent="0.2">
      <c r="B645" s="1341">
        <v>731</v>
      </c>
      <c r="C645" s="1341" t="s">
        <v>1896</v>
      </c>
      <c r="D645" s="1310">
        <v>607.47499100000005</v>
      </c>
    </row>
    <row r="646" spans="2:4" x14ac:dyDescent="0.2">
      <c r="B646" s="1341">
        <v>732</v>
      </c>
      <c r="C646" s="1341" t="s">
        <v>1897</v>
      </c>
      <c r="D646" s="1310">
        <v>598.50908900000002</v>
      </c>
    </row>
    <row r="647" spans="2:4" x14ac:dyDescent="0.2">
      <c r="B647" s="1341">
        <v>733</v>
      </c>
      <c r="C647" s="1341" t="s">
        <v>1898</v>
      </c>
      <c r="D647" s="1310">
        <v>607.01111500000002</v>
      </c>
    </row>
    <row r="648" spans="2:4" x14ac:dyDescent="0.2">
      <c r="B648" s="1341">
        <v>734</v>
      </c>
      <c r="C648" s="1341" t="s">
        <v>1899</v>
      </c>
      <c r="D648" s="1310">
        <v>591.16668700000002</v>
      </c>
    </row>
    <row r="649" spans="2:4" x14ac:dyDescent="0.2">
      <c r="B649" s="1341">
        <v>735</v>
      </c>
      <c r="C649" s="1341" t="s">
        <v>1900</v>
      </c>
      <c r="D649" s="1310">
        <v>583.40000199999997</v>
      </c>
    </row>
    <row r="650" spans="2:4" x14ac:dyDescent="0.2">
      <c r="B650" s="1341">
        <v>736</v>
      </c>
      <c r="C650" s="1341" t="s">
        <v>1901</v>
      </c>
      <c r="D650" s="1310">
        <v>575.27500899999995</v>
      </c>
    </row>
    <row r="651" spans="2:4" ht="15" x14ac:dyDescent="0.2">
      <c r="B651" s="1353">
        <v>737</v>
      </c>
      <c r="C651" s="1341" t="s">
        <v>1902</v>
      </c>
      <c r="D651" s="1354">
        <v>539.57142899999997</v>
      </c>
    </row>
    <row r="652" spans="2:4" x14ac:dyDescent="0.2">
      <c r="B652" s="1341">
        <v>738</v>
      </c>
      <c r="C652" s="1341" t="s">
        <v>1903</v>
      </c>
      <c r="D652" s="1310">
        <v>563.19999199999995</v>
      </c>
    </row>
    <row r="653" spans="2:4" x14ac:dyDescent="0.2">
      <c r="B653" s="1341">
        <v>739</v>
      </c>
      <c r="C653" s="1341" t="s">
        <v>1904</v>
      </c>
      <c r="D653" s="1310">
        <v>572.34999100000005</v>
      </c>
    </row>
    <row r="654" spans="2:4" x14ac:dyDescent="0.2">
      <c r="B654" s="1341">
        <v>740</v>
      </c>
      <c r="C654" s="1341" t="s">
        <v>1905</v>
      </c>
      <c r="D654" s="1310">
        <v>579.78999599999997</v>
      </c>
    </row>
    <row r="655" spans="2:4" x14ac:dyDescent="0.2">
      <c r="B655" s="1341">
        <v>741</v>
      </c>
      <c r="C655" s="1341" t="s">
        <v>1906</v>
      </c>
      <c r="D655" s="1310">
        <v>567.64284799999996</v>
      </c>
    </row>
    <row r="656" spans="2:4" x14ac:dyDescent="0.2">
      <c r="B656" s="1341">
        <v>742</v>
      </c>
      <c r="C656" s="1341" t="s">
        <v>1907</v>
      </c>
      <c r="D656" s="1310">
        <v>553.80001800000002</v>
      </c>
    </row>
    <row r="657" spans="2:4" x14ac:dyDescent="0.2">
      <c r="B657" s="1341">
        <v>743</v>
      </c>
      <c r="C657" s="1341" t="s">
        <v>1908</v>
      </c>
      <c r="D657" s="1310">
        <v>557.03998999999999</v>
      </c>
    </row>
    <row r="658" spans="2:4" ht="15" x14ac:dyDescent="0.2">
      <c r="B658" s="1353">
        <v>744</v>
      </c>
      <c r="C658" s="1341" t="s">
        <v>1909</v>
      </c>
      <c r="D658" s="1354">
        <v>534.91666899999996</v>
      </c>
    </row>
    <row r="659" spans="2:4" x14ac:dyDescent="0.2">
      <c r="B659" s="1341">
        <v>745</v>
      </c>
      <c r="C659" s="1341" t="s">
        <v>1910</v>
      </c>
      <c r="D659" s="1310">
        <v>557.77999299999999</v>
      </c>
    </row>
    <row r="660" spans="2:4" x14ac:dyDescent="0.2">
      <c r="B660" s="1341">
        <v>746</v>
      </c>
      <c r="C660" s="1341" t="s">
        <v>1911</v>
      </c>
      <c r="D660" s="1310">
        <v>600.633331</v>
      </c>
    </row>
    <row r="661" spans="2:4" x14ac:dyDescent="0.2">
      <c r="B661" s="1341">
        <v>747</v>
      </c>
      <c r="C661" s="1341" t="s">
        <v>1912</v>
      </c>
      <c r="D661" s="1310">
        <v>601.70000000000005</v>
      </c>
    </row>
    <row r="662" spans="2:4" x14ac:dyDescent="0.2">
      <c r="B662" s="1341">
        <v>748</v>
      </c>
      <c r="C662" s="1341" t="s">
        <v>1913</v>
      </c>
      <c r="D662" s="1310">
        <v>591.23999000000003</v>
      </c>
    </row>
    <row r="663" spans="2:4" x14ac:dyDescent="0.2">
      <c r="B663" s="1341">
        <v>749</v>
      </c>
      <c r="C663" s="1341" t="s">
        <v>1914</v>
      </c>
      <c r="D663" s="1310">
        <v>585.96665399999995</v>
      </c>
    </row>
    <row r="664" spans="2:4" x14ac:dyDescent="0.2">
      <c r="B664" s="1341">
        <v>750</v>
      </c>
      <c r="C664" s="1341" t="s">
        <v>1915</v>
      </c>
      <c r="D664" s="1310">
        <v>550.75715000000002</v>
      </c>
    </row>
    <row r="665" spans="2:4" ht="15" x14ac:dyDescent="0.2">
      <c r="B665" s="1353">
        <v>751</v>
      </c>
      <c r="C665" s="1341" t="s">
        <v>1916</v>
      </c>
      <c r="D665" s="1354">
        <v>541.91999499999997</v>
      </c>
    </row>
    <row r="666" spans="2:4" x14ac:dyDescent="0.2">
      <c r="B666" s="1341">
        <v>752</v>
      </c>
      <c r="C666" s="1341" t="s">
        <v>1917</v>
      </c>
      <c r="D666" s="1310">
        <v>552.41334600000005</v>
      </c>
    </row>
    <row r="667" spans="2:4" x14ac:dyDescent="0.2">
      <c r="B667" s="1341">
        <v>753</v>
      </c>
      <c r="C667" s="1341" t="s">
        <v>1918</v>
      </c>
      <c r="D667" s="1310">
        <v>625.69999700000005</v>
      </c>
    </row>
    <row r="668" spans="2:4" x14ac:dyDescent="0.2">
      <c r="B668" s="1341">
        <v>754</v>
      </c>
      <c r="C668" s="1341" t="s">
        <v>1919</v>
      </c>
      <c r="D668" s="1310">
        <v>602.24998500000004</v>
      </c>
    </row>
    <row r="669" spans="2:4" x14ac:dyDescent="0.2">
      <c r="B669" s="1341">
        <v>755</v>
      </c>
      <c r="C669" s="1341" t="s">
        <v>1920</v>
      </c>
      <c r="D669" s="1310">
        <v>591.97778300000004</v>
      </c>
    </row>
    <row r="670" spans="2:4" x14ac:dyDescent="0.2">
      <c r="B670" s="1341">
        <v>756</v>
      </c>
      <c r="C670" s="1341" t="s">
        <v>1921</v>
      </c>
      <c r="D670" s="1310">
        <v>570.90000699999996</v>
      </c>
    </row>
    <row r="671" spans="2:4" ht="15" x14ac:dyDescent="0.2">
      <c r="B671" s="1353">
        <v>757</v>
      </c>
      <c r="C671" s="1341" t="s">
        <v>1922</v>
      </c>
      <c r="D671" s="1354">
        <v>548.29999799999996</v>
      </c>
    </row>
    <row r="672" spans="2:4" x14ac:dyDescent="0.2">
      <c r="B672" s="1341">
        <v>758</v>
      </c>
      <c r="C672" s="1341" t="s">
        <v>1923</v>
      </c>
      <c r="D672" s="1310">
        <v>617.18000500000005</v>
      </c>
    </row>
    <row r="673" spans="2:4" x14ac:dyDescent="0.2">
      <c r="B673" s="1341">
        <v>759</v>
      </c>
      <c r="C673" s="1341" t="s">
        <v>1924</v>
      </c>
      <c r="D673" s="1310">
        <v>600.55000299999995</v>
      </c>
    </row>
    <row r="674" spans="2:4" x14ac:dyDescent="0.2">
      <c r="B674" s="1341">
        <v>760</v>
      </c>
      <c r="C674" s="1341" t="s">
        <v>1925</v>
      </c>
      <c r="D674" s="1310">
        <v>570.75999100000001</v>
      </c>
    </row>
    <row r="675" spans="2:4" x14ac:dyDescent="0.2">
      <c r="B675" s="1341">
        <v>761</v>
      </c>
      <c r="C675" s="1341" t="s">
        <v>1926</v>
      </c>
      <c r="D675" s="1310">
        <v>552.69999700000005</v>
      </c>
    </row>
    <row r="676" spans="2:4" x14ac:dyDescent="0.2">
      <c r="B676" s="1341">
        <v>762</v>
      </c>
      <c r="C676" s="1341" t="s">
        <v>1927</v>
      </c>
      <c r="D676" s="1310">
        <v>551.44998199999998</v>
      </c>
    </row>
    <row r="677" spans="2:4" x14ac:dyDescent="0.2">
      <c r="B677" s="1341">
        <v>763</v>
      </c>
      <c r="C677" s="1341" t="s">
        <v>1928</v>
      </c>
      <c r="D677" s="1310">
        <v>650.57777199999998</v>
      </c>
    </row>
    <row r="678" spans="2:4" x14ac:dyDescent="0.2">
      <c r="B678" s="1341">
        <v>764</v>
      </c>
      <c r="C678" s="1341" t="s">
        <v>1818</v>
      </c>
      <c r="D678" s="1310">
        <v>623.85000600000001</v>
      </c>
    </row>
    <row r="679" spans="2:4" x14ac:dyDescent="0.2">
      <c r="B679" s="1341">
        <v>765</v>
      </c>
      <c r="C679" s="1341" t="s">
        <v>1929</v>
      </c>
      <c r="D679" s="1310">
        <v>623.09999300000004</v>
      </c>
    </row>
    <row r="680" spans="2:4" x14ac:dyDescent="0.2">
      <c r="B680" s="1341">
        <v>766</v>
      </c>
      <c r="C680" s="1341" t="s">
        <v>1930</v>
      </c>
      <c r="D680" s="1310">
        <v>562.64444300000002</v>
      </c>
    </row>
    <row r="681" spans="2:4" x14ac:dyDescent="0.2">
      <c r="B681" s="1341">
        <v>767</v>
      </c>
      <c r="C681" s="1341" t="s">
        <v>1931</v>
      </c>
      <c r="D681" s="1310">
        <v>569.04000199999996</v>
      </c>
    </row>
    <row r="682" spans="2:4" x14ac:dyDescent="0.2">
      <c r="B682" s="1341">
        <v>768</v>
      </c>
      <c r="C682" s="1341" t="s">
        <v>1932</v>
      </c>
      <c r="D682" s="1310">
        <v>603.21249799999998</v>
      </c>
    </row>
    <row r="683" spans="2:4" x14ac:dyDescent="0.2">
      <c r="B683" s="1341">
        <v>769</v>
      </c>
      <c r="C683" s="1341" t="s">
        <v>1933</v>
      </c>
      <c r="D683" s="1310">
        <v>585.42000099999996</v>
      </c>
    </row>
    <row r="684" spans="2:4" x14ac:dyDescent="0.2">
      <c r="B684" s="1341">
        <v>770</v>
      </c>
      <c r="C684" s="1341" t="s">
        <v>1393</v>
      </c>
      <c r="D684" s="1310">
        <v>582.67500299999995</v>
      </c>
    </row>
    <row r="685" spans="2:4" x14ac:dyDescent="0.2">
      <c r="B685" s="1341">
        <v>771</v>
      </c>
      <c r="C685" s="1341" t="s">
        <v>1934</v>
      </c>
      <c r="D685" s="1310">
        <v>654.39999399999999</v>
      </c>
    </row>
    <row r="686" spans="2:4" x14ac:dyDescent="0.2">
      <c r="B686" s="1341">
        <v>772</v>
      </c>
      <c r="C686" s="1341" t="s">
        <v>1935</v>
      </c>
      <c r="D686" s="1310">
        <v>602.26668299999994</v>
      </c>
    </row>
    <row r="687" spans="2:4" x14ac:dyDescent="0.2">
      <c r="B687" s="1341">
        <v>773</v>
      </c>
      <c r="C687" s="1341" t="s">
        <v>1936</v>
      </c>
      <c r="D687" s="1310">
        <v>592.09999100000005</v>
      </c>
    </row>
    <row r="688" spans="2:4" x14ac:dyDescent="0.2">
      <c r="B688" s="1341">
        <v>774</v>
      </c>
      <c r="C688" s="1341" t="s">
        <v>1937</v>
      </c>
      <c r="D688" s="1310">
        <v>619.45554900000002</v>
      </c>
    </row>
    <row r="689" spans="2:4" x14ac:dyDescent="0.2">
      <c r="B689" s="1341">
        <v>775</v>
      </c>
      <c r="C689" s="1341" t="s">
        <v>1938</v>
      </c>
      <c r="D689" s="1310">
        <v>589.18181800000002</v>
      </c>
    </row>
    <row r="690" spans="2:4" x14ac:dyDescent="0.2">
      <c r="B690" s="1341">
        <v>776</v>
      </c>
      <c r="C690" s="1341" t="s">
        <v>1939</v>
      </c>
      <c r="D690" s="1310">
        <v>612.83335399999999</v>
      </c>
    </row>
    <row r="691" spans="2:4" x14ac:dyDescent="0.2">
      <c r="B691" s="1341">
        <v>777</v>
      </c>
      <c r="C691" s="1341" t="s">
        <v>1940</v>
      </c>
      <c r="D691" s="1310">
        <v>612.79998799999998</v>
      </c>
    </row>
    <row r="692" spans="2:4" x14ac:dyDescent="0.2">
      <c r="B692" s="1341">
        <v>778</v>
      </c>
      <c r="C692" s="1341" t="s">
        <v>1941</v>
      </c>
      <c r="D692" s="1310">
        <v>645.55001800000002</v>
      </c>
    </row>
    <row r="693" spans="2:4" x14ac:dyDescent="0.2">
      <c r="B693" s="1341">
        <v>801</v>
      </c>
      <c r="C693" s="1341" t="s">
        <v>1942</v>
      </c>
      <c r="D693" s="1310">
        <v>588.97778300000004</v>
      </c>
    </row>
    <row r="694" spans="2:4" x14ac:dyDescent="0.2">
      <c r="B694" s="1341">
        <v>802</v>
      </c>
      <c r="C694" s="1341" t="s">
        <v>1943</v>
      </c>
      <c r="D694" s="1310">
        <v>599.63333499999999</v>
      </c>
    </row>
    <row r="695" spans="2:4" x14ac:dyDescent="0.2">
      <c r="B695" s="1341">
        <v>803</v>
      </c>
      <c r="C695" s="1341" t="s">
        <v>1944</v>
      </c>
      <c r="D695" s="1310">
        <v>619.1</v>
      </c>
    </row>
    <row r="696" spans="2:4" x14ac:dyDescent="0.2">
      <c r="B696" s="1341">
        <v>804</v>
      </c>
      <c r="C696" s="1341" t="s">
        <v>1945</v>
      </c>
      <c r="D696" s="1310">
        <v>589.39998400000002</v>
      </c>
    </row>
    <row r="697" spans="2:4" x14ac:dyDescent="0.2">
      <c r="B697" s="1341">
        <v>805</v>
      </c>
      <c r="C697" s="1341" t="s">
        <v>1946</v>
      </c>
      <c r="D697" s="1310">
        <v>614.85999800000002</v>
      </c>
    </row>
    <row r="698" spans="2:4" x14ac:dyDescent="0.2">
      <c r="B698" s="1341">
        <v>806</v>
      </c>
      <c r="C698" s="1341" t="s">
        <v>1947</v>
      </c>
      <c r="D698" s="1310">
        <v>604.41999499999997</v>
      </c>
    </row>
    <row r="699" spans="2:4" x14ac:dyDescent="0.2">
      <c r="B699" s="1341">
        <v>807</v>
      </c>
      <c r="C699" s="1341" t="s">
        <v>1948</v>
      </c>
      <c r="D699" s="1310">
        <v>609.02500899999995</v>
      </c>
    </row>
    <row r="700" spans="2:4" x14ac:dyDescent="0.2">
      <c r="B700" s="1341">
        <v>808</v>
      </c>
      <c r="C700" s="1341" t="s">
        <v>1949</v>
      </c>
      <c r="D700" s="1310">
        <v>594.81428700000004</v>
      </c>
    </row>
    <row r="701" spans="2:4" x14ac:dyDescent="0.2">
      <c r="B701" s="1341">
        <v>809</v>
      </c>
      <c r="C701" s="1341" t="s">
        <v>1898</v>
      </c>
      <c r="D701" s="1310">
        <v>590.759998</v>
      </c>
    </row>
    <row r="702" spans="2:4" x14ac:dyDescent="0.2">
      <c r="B702" s="1341">
        <v>810</v>
      </c>
      <c r="C702" s="1341" t="s">
        <v>1950</v>
      </c>
      <c r="D702" s="1310">
        <v>623.20001200000002</v>
      </c>
    </row>
    <row r="703" spans="2:4" x14ac:dyDescent="0.2">
      <c r="B703" s="1341">
        <v>811</v>
      </c>
      <c r="C703" s="1341" t="s">
        <v>1951</v>
      </c>
      <c r="D703" s="1310">
        <v>664.82999900000004</v>
      </c>
    </row>
    <row r="704" spans="2:4" x14ac:dyDescent="0.2">
      <c r="B704" s="1341">
        <v>812</v>
      </c>
      <c r="C704" s="1341" t="s">
        <v>1952</v>
      </c>
      <c r="D704" s="1310">
        <v>614.85000600000001</v>
      </c>
    </row>
    <row r="705" spans="2:4" x14ac:dyDescent="0.2">
      <c r="B705" s="1341">
        <v>813</v>
      </c>
      <c r="C705" s="1341" t="s">
        <v>1953</v>
      </c>
      <c r="D705" s="1310">
        <v>619.97776999999996</v>
      </c>
    </row>
    <row r="706" spans="2:4" x14ac:dyDescent="0.2">
      <c r="B706" s="1341">
        <v>814</v>
      </c>
      <c r="C706" s="1341" t="s">
        <v>1954</v>
      </c>
      <c r="D706" s="1310">
        <v>619.47500600000001</v>
      </c>
    </row>
    <row r="707" spans="2:4" x14ac:dyDescent="0.2">
      <c r="B707" s="1341">
        <v>815</v>
      </c>
      <c r="C707" s="1341" t="s">
        <v>1955</v>
      </c>
      <c r="D707" s="1310">
        <v>613.72726699999998</v>
      </c>
    </row>
    <row r="708" spans="2:4" x14ac:dyDescent="0.2">
      <c r="B708" s="1341">
        <v>816</v>
      </c>
      <c r="C708" s="1341" t="s">
        <v>1544</v>
      </c>
      <c r="D708" s="1310">
        <v>615.5</v>
      </c>
    </row>
    <row r="709" spans="2:4" x14ac:dyDescent="0.2">
      <c r="B709" s="1341">
        <v>817</v>
      </c>
      <c r="C709" s="1341" t="s">
        <v>1956</v>
      </c>
      <c r="D709" s="1310">
        <v>590.35000600000001</v>
      </c>
    </row>
    <row r="710" spans="2:4" x14ac:dyDescent="0.2">
      <c r="B710" s="1341">
        <v>818</v>
      </c>
      <c r="C710" s="1341" t="s">
        <v>1957</v>
      </c>
      <c r="D710" s="1310">
        <v>616.88461500000005</v>
      </c>
    </row>
    <row r="711" spans="2:4" x14ac:dyDescent="0.2">
      <c r="B711" s="1341">
        <v>819</v>
      </c>
      <c r="C711" s="1341" t="s">
        <v>1958</v>
      </c>
      <c r="D711" s="1310">
        <v>594.55999799999995</v>
      </c>
    </row>
    <row r="712" spans="2:4" x14ac:dyDescent="0.2">
      <c r="B712" s="1341">
        <v>820</v>
      </c>
      <c r="C712" s="1341" t="s">
        <v>1959</v>
      </c>
      <c r="D712" s="1310">
        <v>596.63334099999997</v>
      </c>
    </row>
    <row r="713" spans="2:4" x14ac:dyDescent="0.2">
      <c r="B713" s="1341">
        <v>821</v>
      </c>
      <c r="C713" s="1341" t="s">
        <v>1960</v>
      </c>
      <c r="D713" s="1310">
        <v>633.39999399999999</v>
      </c>
    </row>
    <row r="714" spans="2:4" x14ac:dyDescent="0.2">
      <c r="B714" s="1341">
        <v>822</v>
      </c>
      <c r="C714" s="1341" t="s">
        <v>1961</v>
      </c>
      <c r="D714" s="1310">
        <v>660.65998500000001</v>
      </c>
    </row>
    <row r="715" spans="2:4" x14ac:dyDescent="0.2">
      <c r="B715" s="1341">
        <v>823</v>
      </c>
      <c r="C715" s="1341" t="s">
        <v>1962</v>
      </c>
      <c r="D715" s="1310">
        <v>598.5</v>
      </c>
    </row>
    <row r="716" spans="2:4" x14ac:dyDescent="0.2">
      <c r="B716" s="1341">
        <v>824</v>
      </c>
      <c r="C716" s="1341" t="s">
        <v>1963</v>
      </c>
      <c r="D716" s="1310">
        <v>626.40002400000003</v>
      </c>
    </row>
    <row r="717" spans="2:4" x14ac:dyDescent="0.2">
      <c r="B717" s="1341">
        <v>825</v>
      </c>
      <c r="C717" s="1341" t="s">
        <v>1964</v>
      </c>
      <c r="D717" s="1310">
        <v>635.22500600000001</v>
      </c>
    </row>
    <row r="718" spans="2:4" x14ac:dyDescent="0.2">
      <c r="B718" s="1341">
        <v>826</v>
      </c>
      <c r="C718" s="1341" t="s">
        <v>1965</v>
      </c>
      <c r="D718" s="1310">
        <v>609.93332899999996</v>
      </c>
    </row>
    <row r="719" spans="2:4" x14ac:dyDescent="0.2">
      <c r="B719" s="1341">
        <v>827</v>
      </c>
      <c r="C719" s="1341" t="s">
        <v>1966</v>
      </c>
      <c r="D719" s="1310">
        <v>613.75</v>
      </c>
    </row>
    <row r="720" spans="2:4" x14ac:dyDescent="0.2">
      <c r="B720" s="1341">
        <v>828</v>
      </c>
      <c r="C720" s="1341" t="s">
        <v>1967</v>
      </c>
      <c r="D720" s="1310">
        <v>629.89999399999999</v>
      </c>
    </row>
    <row r="721" spans="2:4" x14ac:dyDescent="0.2">
      <c r="B721" s="1341">
        <v>829</v>
      </c>
      <c r="C721" s="1341" t="s">
        <v>1968</v>
      </c>
      <c r="D721" s="1310">
        <v>584.75000999999997</v>
      </c>
    </row>
    <row r="722" spans="2:4" x14ac:dyDescent="0.2">
      <c r="B722" s="1341">
        <v>830</v>
      </c>
      <c r="C722" s="1341" t="s">
        <v>1969</v>
      </c>
      <c r="D722" s="1310">
        <v>603.52857300000005</v>
      </c>
    </row>
    <row r="723" spans="2:4" x14ac:dyDescent="0.2">
      <c r="B723" s="1341">
        <v>831</v>
      </c>
      <c r="C723" s="1341" t="s">
        <v>1970</v>
      </c>
      <c r="D723" s="1310">
        <v>641.58333300000004</v>
      </c>
    </row>
    <row r="724" spans="2:4" x14ac:dyDescent="0.2">
      <c r="B724" s="1341">
        <v>832</v>
      </c>
      <c r="C724" s="1341" t="s">
        <v>1971</v>
      </c>
      <c r="D724" s="1310">
        <v>647.92500299999995</v>
      </c>
    </row>
    <row r="725" spans="2:4" x14ac:dyDescent="0.2">
      <c r="B725" s="1341">
        <v>833</v>
      </c>
      <c r="C725" s="1341" t="s">
        <v>1972</v>
      </c>
      <c r="D725" s="1310">
        <v>632.74999200000002</v>
      </c>
    </row>
    <row r="726" spans="2:4" x14ac:dyDescent="0.2">
      <c r="B726" s="1341">
        <v>834</v>
      </c>
      <c r="C726" s="1341" t="s">
        <v>1973</v>
      </c>
      <c r="D726" s="1310">
        <v>634.34285199999999</v>
      </c>
    </row>
    <row r="727" spans="2:4" x14ac:dyDescent="0.2">
      <c r="B727" s="1341">
        <v>835</v>
      </c>
      <c r="C727" s="1341" t="s">
        <v>1974</v>
      </c>
      <c r="D727" s="1310">
        <v>628.08749399999999</v>
      </c>
    </row>
    <row r="728" spans="2:4" x14ac:dyDescent="0.2">
      <c r="B728" s="1341">
        <v>836</v>
      </c>
      <c r="C728" s="1341" t="s">
        <v>1975</v>
      </c>
      <c r="D728" s="1310">
        <v>626.616669</v>
      </c>
    </row>
    <row r="729" spans="2:4" x14ac:dyDescent="0.2">
      <c r="B729" s="1341">
        <v>837</v>
      </c>
      <c r="C729" s="1341" t="s">
        <v>1976</v>
      </c>
      <c r="D729" s="1310">
        <v>599.44000200000005</v>
      </c>
    </row>
    <row r="730" spans="2:4" x14ac:dyDescent="0.2">
      <c r="B730" s="1341">
        <v>838</v>
      </c>
      <c r="C730" s="1341" t="s">
        <v>1977</v>
      </c>
      <c r="D730" s="1310">
        <v>636.55555600000002</v>
      </c>
    </row>
    <row r="731" spans="2:4" x14ac:dyDescent="0.2">
      <c r="B731" s="1341">
        <v>839</v>
      </c>
      <c r="C731" s="1341" t="s">
        <v>1978</v>
      </c>
      <c r="D731" s="1310">
        <v>651</v>
      </c>
    </row>
    <row r="732" spans="2:4" x14ac:dyDescent="0.2">
      <c r="B732" s="1341">
        <v>840</v>
      </c>
      <c r="C732" s="1341" t="s">
        <v>1979</v>
      </c>
      <c r="D732" s="1310">
        <v>607.30001800000002</v>
      </c>
    </row>
    <row r="733" spans="2:4" x14ac:dyDescent="0.2">
      <c r="B733" s="1341">
        <v>841</v>
      </c>
      <c r="C733" s="1341" t="s">
        <v>1980</v>
      </c>
      <c r="D733" s="1310">
        <v>594.125</v>
      </c>
    </row>
    <row r="734" spans="2:4" x14ac:dyDescent="0.2">
      <c r="B734" s="1341">
        <v>842</v>
      </c>
      <c r="C734" s="1341" t="s">
        <v>1981</v>
      </c>
      <c r="D734" s="1310">
        <v>606.375</v>
      </c>
    </row>
    <row r="735" spans="2:4" x14ac:dyDescent="0.2">
      <c r="B735" s="1341">
        <v>843</v>
      </c>
      <c r="C735" s="1341" t="s">
        <v>1982</v>
      </c>
      <c r="D735" s="1310">
        <v>594.25</v>
      </c>
    </row>
    <row r="736" spans="2:4" x14ac:dyDescent="0.2">
      <c r="B736" s="1341">
        <v>844</v>
      </c>
      <c r="C736" s="1341" t="s">
        <v>1983</v>
      </c>
      <c r="D736" s="1310">
        <v>629.28572299999996</v>
      </c>
    </row>
    <row r="737" spans="2:4" x14ac:dyDescent="0.2">
      <c r="B737" s="1341">
        <v>845</v>
      </c>
      <c r="C737" s="1341" t="s">
        <v>1984</v>
      </c>
      <c r="D737" s="1310">
        <v>647.00000399999999</v>
      </c>
    </row>
    <row r="738" spans="2:4" x14ac:dyDescent="0.2">
      <c r="B738" s="1341">
        <v>846</v>
      </c>
      <c r="C738" s="1341" t="s">
        <v>1985</v>
      </c>
      <c r="D738" s="1310">
        <v>656.100008</v>
      </c>
    </row>
    <row r="739" spans="2:4" x14ac:dyDescent="0.2">
      <c r="B739" s="1341">
        <v>847</v>
      </c>
      <c r="C739" s="1341" t="s">
        <v>1986</v>
      </c>
      <c r="D739" s="1310">
        <v>641.96875</v>
      </c>
    </row>
    <row r="740" spans="2:4" x14ac:dyDescent="0.2">
      <c r="B740" s="1341">
        <v>848</v>
      </c>
      <c r="C740" s="1341" t="s">
        <v>1987</v>
      </c>
      <c r="D740" s="1310">
        <v>642.19412399999999</v>
      </c>
    </row>
    <row r="741" spans="2:4" x14ac:dyDescent="0.2">
      <c r="B741" s="1341">
        <v>849</v>
      </c>
      <c r="C741" s="1341" t="s">
        <v>1988</v>
      </c>
      <c r="D741" s="1310">
        <v>634.29999999999995</v>
      </c>
    </row>
    <row r="742" spans="2:4" x14ac:dyDescent="0.2">
      <c r="B742" s="1341">
        <v>850</v>
      </c>
      <c r="C742" s="1341" t="s">
        <v>1989</v>
      </c>
      <c r="D742" s="1310">
        <v>614.85999800000002</v>
      </c>
    </row>
    <row r="743" spans="2:4" x14ac:dyDescent="0.2">
      <c r="B743" s="1341">
        <v>851</v>
      </c>
      <c r="C743" s="1341" t="s">
        <v>1990</v>
      </c>
      <c r="D743" s="1310">
        <v>608.41427199999998</v>
      </c>
    </row>
    <row r="744" spans="2:4" x14ac:dyDescent="0.2">
      <c r="B744" s="1341">
        <v>852</v>
      </c>
      <c r="C744" s="1341" t="s">
        <v>1991</v>
      </c>
      <c r="D744" s="1310">
        <v>645.20001200000002</v>
      </c>
    </row>
    <row r="745" spans="2:4" x14ac:dyDescent="0.2">
      <c r="B745" s="1341">
        <v>853</v>
      </c>
      <c r="C745" s="1341" t="s">
        <v>1992</v>
      </c>
      <c r="D745" s="1310">
        <v>684.37499500000001</v>
      </c>
    </row>
    <row r="746" spans="2:4" x14ac:dyDescent="0.2">
      <c r="B746" s="1341">
        <v>854</v>
      </c>
      <c r="C746" s="1341" t="s">
        <v>1993</v>
      </c>
      <c r="D746" s="1310">
        <v>580.64445000000001</v>
      </c>
    </row>
    <row r="747" spans="2:4" x14ac:dyDescent="0.2">
      <c r="B747" s="1341">
        <v>855</v>
      </c>
      <c r="C747" s="1341" t="s">
        <v>1994</v>
      </c>
      <c r="D747" s="1310">
        <v>591.96666800000003</v>
      </c>
    </row>
    <row r="748" spans="2:4" x14ac:dyDescent="0.2">
      <c r="B748" s="1341">
        <v>856</v>
      </c>
      <c r="C748" s="1341" t="s">
        <v>1995</v>
      </c>
      <c r="D748" s="1310">
        <v>582.67500299999995</v>
      </c>
    </row>
    <row r="749" spans="2:4" x14ac:dyDescent="0.2">
      <c r="B749" s="1341">
        <v>857</v>
      </c>
      <c r="C749" s="1341" t="s">
        <v>1996</v>
      </c>
      <c r="D749" s="1310">
        <v>593.728568</v>
      </c>
    </row>
    <row r="750" spans="2:4" x14ac:dyDescent="0.2">
      <c r="B750" s="1341">
        <v>858</v>
      </c>
      <c r="C750" s="1341" t="s">
        <v>1997</v>
      </c>
      <c r="D750" s="1310">
        <v>616.02499399999999</v>
      </c>
    </row>
    <row r="751" spans="2:4" x14ac:dyDescent="0.2">
      <c r="B751" s="1341">
        <v>859</v>
      </c>
      <c r="C751" s="1341" t="s">
        <v>1998</v>
      </c>
      <c r="D751" s="1310">
        <v>604.02857300000005</v>
      </c>
    </row>
    <row r="752" spans="2:4" x14ac:dyDescent="0.2">
      <c r="B752" s="1341">
        <v>860</v>
      </c>
      <c r="C752" s="1341" t="s">
        <v>1999</v>
      </c>
      <c r="D752" s="1310">
        <v>625.30000299999995</v>
      </c>
    </row>
    <row r="753" spans="2:4" x14ac:dyDescent="0.2">
      <c r="B753" s="1341">
        <v>861</v>
      </c>
      <c r="C753" s="1341" t="s">
        <v>2000</v>
      </c>
      <c r="D753" s="1310">
        <v>658.57499700000005</v>
      </c>
    </row>
    <row r="754" spans="2:4" x14ac:dyDescent="0.2">
      <c r="B754" s="1341">
        <v>862</v>
      </c>
      <c r="C754" s="1341" t="s">
        <v>2001</v>
      </c>
      <c r="D754" s="1310">
        <v>648.9</v>
      </c>
    </row>
    <row r="755" spans="2:4" x14ac:dyDescent="0.2">
      <c r="B755" s="1341">
        <v>863</v>
      </c>
      <c r="C755" s="1341" t="s">
        <v>2002</v>
      </c>
      <c r="D755" s="1310">
        <v>614.92857100000003</v>
      </c>
    </row>
    <row r="756" spans="2:4" x14ac:dyDescent="0.2">
      <c r="B756" s="1341">
        <v>864</v>
      </c>
      <c r="C756" s="1341" t="s">
        <v>2003</v>
      </c>
      <c r="D756" s="1310">
        <v>610.4</v>
      </c>
    </row>
    <row r="757" spans="2:4" x14ac:dyDescent="0.2">
      <c r="B757" s="1341">
        <v>865</v>
      </c>
      <c r="C757" s="1341" t="s">
        <v>2004</v>
      </c>
      <c r="D757" s="1310">
        <v>638.27500899999995</v>
      </c>
    </row>
    <row r="758" spans="2:4" x14ac:dyDescent="0.2">
      <c r="B758" s="1341">
        <v>866</v>
      </c>
      <c r="C758" s="1341" t="s">
        <v>2005</v>
      </c>
      <c r="D758" s="1310">
        <v>586.57777899999996</v>
      </c>
    </row>
    <row r="759" spans="2:4" x14ac:dyDescent="0.2">
      <c r="B759" s="1341">
        <v>867</v>
      </c>
      <c r="C759" s="1341" t="s">
        <v>2006</v>
      </c>
      <c r="D759" s="1310">
        <v>605.20001200000002</v>
      </c>
    </row>
    <row r="760" spans="2:4" x14ac:dyDescent="0.2">
      <c r="B760" s="1341">
        <v>868</v>
      </c>
      <c r="C760" s="1341" t="s">
        <v>2007</v>
      </c>
      <c r="D760" s="1310">
        <v>606</v>
      </c>
    </row>
    <row r="761" spans="2:4" x14ac:dyDescent="0.2">
      <c r="B761" s="1341">
        <v>869</v>
      </c>
      <c r="C761" s="1341" t="s">
        <v>2008</v>
      </c>
      <c r="D761" s="1310">
        <v>609.714294</v>
      </c>
    </row>
    <row r="762" spans="2:4" x14ac:dyDescent="0.2">
      <c r="B762" s="1341">
        <v>870</v>
      </c>
      <c r="C762" s="1341" t="s">
        <v>2009</v>
      </c>
      <c r="D762" s="1310">
        <v>600.95999800000004</v>
      </c>
    </row>
    <row r="763" spans="2:4" x14ac:dyDescent="0.2">
      <c r="B763" s="1341">
        <v>871</v>
      </c>
      <c r="C763" s="1341" t="s">
        <v>2010</v>
      </c>
      <c r="D763" s="1310">
        <v>575.29998799999998</v>
      </c>
    </row>
    <row r="764" spans="2:4" x14ac:dyDescent="0.2">
      <c r="B764" s="1341">
        <v>872</v>
      </c>
      <c r="C764" s="1341" t="s">
        <v>2011</v>
      </c>
      <c r="D764" s="1310">
        <v>572.35000600000001</v>
      </c>
    </row>
    <row r="765" spans="2:4" x14ac:dyDescent="0.2">
      <c r="B765" s="1341">
        <v>873</v>
      </c>
      <c r="C765" s="1341" t="s">
        <v>2012</v>
      </c>
      <c r="D765" s="1310">
        <v>566.62000699999999</v>
      </c>
    </row>
    <row r="766" spans="2:4" x14ac:dyDescent="0.2">
      <c r="B766" s="1341">
        <v>874</v>
      </c>
      <c r="C766" s="1341" t="s">
        <v>2013</v>
      </c>
      <c r="D766" s="1310">
        <v>574.14999399999999</v>
      </c>
    </row>
    <row r="767" spans="2:4" x14ac:dyDescent="0.2">
      <c r="B767" s="1341">
        <v>875</v>
      </c>
      <c r="C767" s="1341" t="s">
        <v>1290</v>
      </c>
      <c r="D767" s="1310">
        <v>618.59998900000005</v>
      </c>
    </row>
    <row r="768" spans="2:4" x14ac:dyDescent="0.2">
      <c r="B768" s="1341">
        <v>876</v>
      </c>
      <c r="C768" s="1341" t="s">
        <v>2014</v>
      </c>
      <c r="D768" s="1310">
        <v>625.47499800000003</v>
      </c>
    </row>
    <row r="769" spans="2:4" x14ac:dyDescent="0.2">
      <c r="B769" s="1341">
        <v>877</v>
      </c>
      <c r="C769" s="1341" t="s">
        <v>2015</v>
      </c>
      <c r="D769" s="1310">
        <v>640.07777899999996</v>
      </c>
    </row>
    <row r="770" spans="2:4" x14ac:dyDescent="0.2">
      <c r="B770" s="1341">
        <v>878</v>
      </c>
      <c r="C770" s="1341" t="s">
        <v>1983</v>
      </c>
      <c r="D770" s="1310">
        <v>616.98749499999997</v>
      </c>
    </row>
    <row r="771" spans="2:4" x14ac:dyDescent="0.2">
      <c r="B771" s="1341">
        <v>879</v>
      </c>
      <c r="C771" s="1341" t="s">
        <v>2016</v>
      </c>
      <c r="D771" s="1310">
        <v>632.02500899999995</v>
      </c>
    </row>
    <row r="772" spans="2:4" x14ac:dyDescent="0.2">
      <c r="B772" s="1341">
        <v>880</v>
      </c>
      <c r="C772" s="1341" t="s">
        <v>2017</v>
      </c>
      <c r="D772" s="1310">
        <v>596.79998799999998</v>
      </c>
    </row>
    <row r="773" spans="2:4" x14ac:dyDescent="0.2">
      <c r="B773" s="1341">
        <v>881</v>
      </c>
      <c r="C773" s="1341" t="s">
        <v>2018</v>
      </c>
      <c r="D773" s="1310">
        <v>601.15999799999997</v>
      </c>
    </row>
    <row r="774" spans="2:4" x14ac:dyDescent="0.2">
      <c r="B774" s="1341">
        <v>882</v>
      </c>
      <c r="C774" s="1341" t="s">
        <v>2019</v>
      </c>
      <c r="D774" s="1310">
        <v>668.78332999999998</v>
      </c>
    </row>
    <row r="775" spans="2:4" x14ac:dyDescent="0.2">
      <c r="B775" s="1341">
        <v>883</v>
      </c>
      <c r="C775" s="1341" t="s">
        <v>1653</v>
      </c>
      <c r="D775" s="1310">
        <v>722.45999800000004</v>
      </c>
    </row>
    <row r="776" spans="2:4" x14ac:dyDescent="0.2">
      <c r="B776" s="1341">
        <v>884</v>
      </c>
      <c r="C776" s="1341" t="s">
        <v>2020</v>
      </c>
      <c r="D776" s="1310">
        <v>623.84997599999997</v>
      </c>
    </row>
    <row r="777" spans="2:4" x14ac:dyDescent="0.2">
      <c r="B777" s="1341">
        <v>885</v>
      </c>
      <c r="C777" s="1341" t="s">
        <v>2021</v>
      </c>
      <c r="D777" s="1310">
        <v>613.54546000000005</v>
      </c>
    </row>
    <row r="778" spans="2:4" x14ac:dyDescent="0.2">
      <c r="B778" s="1341">
        <v>886</v>
      </c>
      <c r="C778" s="1341" t="s">
        <v>1471</v>
      </c>
      <c r="D778" s="1310">
        <v>613.82498199999998</v>
      </c>
    </row>
    <row r="779" spans="2:4" x14ac:dyDescent="0.2">
      <c r="B779" s="1341">
        <v>887</v>
      </c>
      <c r="C779" s="1341" t="s">
        <v>2022</v>
      </c>
      <c r="D779" s="1310">
        <v>619</v>
      </c>
    </row>
    <row r="780" spans="2:4" x14ac:dyDescent="0.2">
      <c r="B780" s="1341">
        <v>888</v>
      </c>
      <c r="C780" s="1341" t="s">
        <v>2023</v>
      </c>
      <c r="D780" s="1310">
        <v>603.19999199999995</v>
      </c>
    </row>
    <row r="781" spans="2:4" x14ac:dyDescent="0.2">
      <c r="B781" s="1341">
        <v>889</v>
      </c>
      <c r="C781" s="1341" t="s">
        <v>2024</v>
      </c>
      <c r="D781" s="1310">
        <v>600.17500299999995</v>
      </c>
    </row>
    <row r="782" spans="2:4" x14ac:dyDescent="0.2">
      <c r="B782" s="1341">
        <v>890</v>
      </c>
      <c r="C782" s="1341" t="s">
        <v>2025</v>
      </c>
      <c r="D782" s="1310">
        <v>560.27333599999997</v>
      </c>
    </row>
    <row r="783" spans="2:4" x14ac:dyDescent="0.2">
      <c r="B783" s="1341">
        <v>891</v>
      </c>
      <c r="C783" s="1341" t="s">
        <v>436</v>
      </c>
      <c r="D783" s="1310">
        <v>553.524136</v>
      </c>
    </row>
    <row r="784" spans="2:4" ht="15" x14ac:dyDescent="0.2">
      <c r="B784" s="1353">
        <v>892</v>
      </c>
      <c r="C784" s="1341" t="s">
        <v>2026</v>
      </c>
      <c r="D784" s="1354">
        <v>545.614284</v>
      </c>
    </row>
    <row r="785" spans="2:4" x14ac:dyDescent="0.2">
      <c r="B785" s="1341">
        <v>893</v>
      </c>
      <c r="C785" s="1341" t="s">
        <v>2027</v>
      </c>
      <c r="D785" s="1310">
        <v>601.259998</v>
      </c>
    </row>
    <row r="786" spans="2:4" x14ac:dyDescent="0.2">
      <c r="B786" s="1341">
        <v>894</v>
      </c>
      <c r="C786" s="1341" t="s">
        <v>2028</v>
      </c>
      <c r="D786" s="1310">
        <v>589.75715000000002</v>
      </c>
    </row>
    <row r="787" spans="2:4" x14ac:dyDescent="0.2">
      <c r="B787" s="1341">
        <v>895</v>
      </c>
      <c r="C787" s="1341" t="s">
        <v>2029</v>
      </c>
      <c r="D787" s="1310">
        <v>651.588888</v>
      </c>
    </row>
    <row r="788" spans="2:4" x14ac:dyDescent="0.2">
      <c r="B788" s="1341">
        <v>896</v>
      </c>
      <c r="C788" s="1341" t="s">
        <v>1939</v>
      </c>
      <c r="D788" s="1310">
        <v>646.01667299999997</v>
      </c>
    </row>
    <row r="789" spans="2:4" x14ac:dyDescent="0.2">
      <c r="B789" s="1341">
        <v>897</v>
      </c>
      <c r="C789" s="1341" t="s">
        <v>2030</v>
      </c>
      <c r="D789" s="1310">
        <v>641.20000300000004</v>
      </c>
    </row>
    <row r="790" spans="2:4" x14ac:dyDescent="0.2">
      <c r="B790" s="1341">
        <v>898</v>
      </c>
      <c r="C790" s="1341" t="s">
        <v>2031</v>
      </c>
      <c r="D790" s="1310">
        <v>594.6</v>
      </c>
    </row>
    <row r="791" spans="2:4" x14ac:dyDescent="0.2">
      <c r="B791" s="1341">
        <v>899</v>
      </c>
      <c r="C791" s="1341" t="s">
        <v>2032</v>
      </c>
      <c r="D791" s="1310">
        <v>610.15002400000003</v>
      </c>
    </row>
    <row r="792" spans="2:4" x14ac:dyDescent="0.2">
      <c r="B792" s="1341">
        <v>900</v>
      </c>
      <c r="C792" s="1341" t="s">
        <v>2033</v>
      </c>
      <c r="D792" s="1310">
        <v>607.65000899999995</v>
      </c>
    </row>
    <row r="793" spans="2:4" x14ac:dyDescent="0.2">
      <c r="B793" s="1341">
        <v>901</v>
      </c>
      <c r="C793" s="1341" t="s">
        <v>2034</v>
      </c>
      <c r="D793" s="1310">
        <v>600.99998800000003</v>
      </c>
    </row>
    <row r="794" spans="2:4" x14ac:dyDescent="0.2">
      <c r="B794" s="1341">
        <v>902</v>
      </c>
      <c r="C794" s="1341" t="s">
        <v>2035</v>
      </c>
      <c r="D794" s="1310">
        <v>663</v>
      </c>
    </row>
    <row r="795" spans="2:4" x14ac:dyDescent="0.2">
      <c r="B795" s="1341">
        <v>903</v>
      </c>
      <c r="C795" s="1341" t="s">
        <v>2036</v>
      </c>
      <c r="D795" s="1310">
        <v>659.10000600000001</v>
      </c>
    </row>
    <row r="796" spans="2:4" x14ac:dyDescent="0.2">
      <c r="B796" s="1341">
        <v>904</v>
      </c>
      <c r="C796" s="1341" t="s">
        <v>2037</v>
      </c>
      <c r="D796" s="1310">
        <v>681</v>
      </c>
    </row>
    <row r="797" spans="2:4" x14ac:dyDescent="0.2">
      <c r="B797" s="1341">
        <v>905</v>
      </c>
      <c r="C797" s="1341" t="s">
        <v>2038</v>
      </c>
      <c r="D797" s="1310">
        <v>668.36667899999998</v>
      </c>
    </row>
    <row r="798" spans="2:4" x14ac:dyDescent="0.2">
      <c r="B798" s="1341">
        <v>906</v>
      </c>
      <c r="C798" s="1341" t="s">
        <v>2039</v>
      </c>
      <c r="D798" s="1310">
        <v>709.07499700000005</v>
      </c>
    </row>
    <row r="799" spans="2:4" x14ac:dyDescent="0.2">
      <c r="B799" s="1341">
        <v>907</v>
      </c>
      <c r="C799" s="1341" t="s">
        <v>2040</v>
      </c>
      <c r="D799" s="1310">
        <v>696.56001000000003</v>
      </c>
    </row>
    <row r="800" spans="2:4" x14ac:dyDescent="0.2">
      <c r="B800" s="1341">
        <v>908</v>
      </c>
      <c r="C800" s="1341" t="s">
        <v>2041</v>
      </c>
      <c r="D800" s="1310">
        <v>598.411112</v>
      </c>
    </row>
    <row r="801" spans="2:4" x14ac:dyDescent="0.2">
      <c r="B801" s="1341">
        <v>909</v>
      </c>
      <c r="C801" s="1341" t="s">
        <v>2042</v>
      </c>
      <c r="D801" s="1310">
        <v>607.14445000000001</v>
      </c>
    </row>
    <row r="802" spans="2:4" x14ac:dyDescent="0.2">
      <c r="B802" s="1341">
        <v>910</v>
      </c>
      <c r="C802" s="1341" t="s">
        <v>2043</v>
      </c>
      <c r="D802" s="1310">
        <v>615.83332299999995</v>
      </c>
    </row>
    <row r="803" spans="2:4" x14ac:dyDescent="0.2">
      <c r="B803" s="1341">
        <v>911</v>
      </c>
      <c r="C803" s="1341" t="s">
        <v>2044</v>
      </c>
      <c r="D803" s="1310">
        <v>594.70001200000002</v>
      </c>
    </row>
    <row r="804" spans="2:4" ht="15" x14ac:dyDescent="0.2">
      <c r="B804" s="1353">
        <v>912</v>
      </c>
      <c r="C804" s="1341" t="s">
        <v>1794</v>
      </c>
      <c r="D804" s="1354">
        <v>535.75000999999997</v>
      </c>
    </row>
    <row r="805" spans="2:4" x14ac:dyDescent="0.2">
      <c r="B805" s="1341">
        <v>913</v>
      </c>
      <c r="C805" s="1341" t="s">
        <v>2045</v>
      </c>
      <c r="D805" s="1310">
        <v>561.04000199999996</v>
      </c>
    </row>
    <row r="806" spans="2:4" x14ac:dyDescent="0.2">
      <c r="B806" s="1341">
        <v>914</v>
      </c>
      <c r="C806" s="1341" t="s">
        <v>2046</v>
      </c>
      <c r="D806" s="1310">
        <v>621.48332700000003</v>
      </c>
    </row>
    <row r="807" spans="2:4" x14ac:dyDescent="0.2">
      <c r="B807" s="1341">
        <v>915</v>
      </c>
      <c r="C807" s="1341" t="s">
        <v>2047</v>
      </c>
      <c r="D807" s="1310">
        <v>595.06667100000004</v>
      </c>
    </row>
    <row r="808" spans="2:4" x14ac:dyDescent="0.2">
      <c r="B808" s="1341">
        <v>916</v>
      </c>
      <c r="C808" s="1341" t="s">
        <v>2048</v>
      </c>
      <c r="D808" s="1310">
        <v>636.97500600000001</v>
      </c>
    </row>
    <row r="809" spans="2:4" x14ac:dyDescent="0.2">
      <c r="B809" s="1341">
        <v>917</v>
      </c>
      <c r="C809" s="1341" t="s">
        <v>2049</v>
      </c>
      <c r="D809" s="1310">
        <v>612.17500299999995</v>
      </c>
    </row>
    <row r="810" spans="2:4" x14ac:dyDescent="0.2">
      <c r="B810" s="1341">
        <v>918</v>
      </c>
      <c r="C810" s="1341" t="s">
        <v>2050</v>
      </c>
      <c r="D810" s="1310">
        <v>595.79332299999999</v>
      </c>
    </row>
    <row r="811" spans="2:4" x14ac:dyDescent="0.2">
      <c r="B811" s="1341">
        <v>919</v>
      </c>
      <c r="C811" s="1341" t="s">
        <v>2051</v>
      </c>
      <c r="D811" s="1310">
        <v>639.614284</v>
      </c>
    </row>
    <row r="812" spans="2:4" x14ac:dyDescent="0.2">
      <c r="B812" s="1341">
        <v>920</v>
      </c>
      <c r="C812" s="1341" t="s">
        <v>2052</v>
      </c>
      <c r="D812" s="1310">
        <v>640.20001200000002</v>
      </c>
    </row>
    <row r="813" spans="2:4" x14ac:dyDescent="0.2">
      <c r="B813" s="1341">
        <v>921</v>
      </c>
      <c r="C813" s="1341" t="s">
        <v>2053</v>
      </c>
      <c r="D813" s="1310">
        <v>631.06001000000003</v>
      </c>
    </row>
    <row r="814" spans="2:4" x14ac:dyDescent="0.2">
      <c r="B814" s="1341">
        <v>922</v>
      </c>
      <c r="C814" s="1341" t="s">
        <v>2054</v>
      </c>
      <c r="D814" s="1310">
        <v>637.14999399999999</v>
      </c>
    </row>
    <row r="815" spans="2:4" x14ac:dyDescent="0.2">
      <c r="B815" s="1341">
        <v>923</v>
      </c>
      <c r="C815" s="1341" t="s">
        <v>2055</v>
      </c>
      <c r="D815" s="1310">
        <v>659.69998199999998</v>
      </c>
    </row>
    <row r="816" spans="2:4" x14ac:dyDescent="0.2">
      <c r="B816" s="1341">
        <v>924</v>
      </c>
      <c r="C816" s="1341" t="s">
        <v>1879</v>
      </c>
      <c r="D816" s="1310">
        <v>635.32857000000001</v>
      </c>
    </row>
    <row r="817" spans="2:4" x14ac:dyDescent="0.2">
      <c r="B817" s="1341">
        <v>925</v>
      </c>
      <c r="C817" s="1341" t="s">
        <v>2056</v>
      </c>
      <c r="D817" s="1310">
        <v>664.37142500000004</v>
      </c>
    </row>
    <row r="818" spans="2:4" x14ac:dyDescent="0.2">
      <c r="B818" s="1341">
        <v>926</v>
      </c>
      <c r="C818" s="1341" t="s">
        <v>2057</v>
      </c>
      <c r="D818" s="1310">
        <v>615.24615900000003</v>
      </c>
    </row>
    <row r="819" spans="2:4" x14ac:dyDescent="0.2">
      <c r="B819" s="1341">
        <v>927</v>
      </c>
      <c r="C819" s="1341" t="s">
        <v>2058</v>
      </c>
      <c r="D819" s="1310">
        <v>608.64999399999999</v>
      </c>
    </row>
    <row r="820" spans="2:4" x14ac:dyDescent="0.2">
      <c r="B820" s="1341">
        <v>928</v>
      </c>
      <c r="C820" s="1341" t="s">
        <v>2059</v>
      </c>
      <c r="D820" s="1310">
        <v>578.14999399999999</v>
      </c>
    </row>
    <row r="821" spans="2:4" x14ac:dyDescent="0.2">
      <c r="B821" s="1341">
        <v>929</v>
      </c>
      <c r="C821" s="1341" t="s">
        <v>2060</v>
      </c>
      <c r="D821" s="1310">
        <v>579.41999499999997</v>
      </c>
    </row>
    <row r="822" spans="2:4" x14ac:dyDescent="0.2">
      <c r="B822" s="1341">
        <v>930</v>
      </c>
      <c r="C822" s="1341" t="s">
        <v>2061</v>
      </c>
      <c r="D822" s="1310">
        <v>570.40002400000003</v>
      </c>
    </row>
    <row r="823" spans="2:4" x14ac:dyDescent="0.2">
      <c r="B823" s="1341">
        <v>931</v>
      </c>
      <c r="C823" s="1341" t="s">
        <v>2062</v>
      </c>
      <c r="D823" s="1310">
        <v>557.71665399999995</v>
      </c>
    </row>
    <row r="824" spans="2:4" ht="15" x14ac:dyDescent="0.2">
      <c r="B824" s="1353">
        <v>932</v>
      </c>
      <c r="C824" s="1341" t="s">
        <v>2063</v>
      </c>
      <c r="D824" s="1354">
        <v>540.08499500000005</v>
      </c>
    </row>
    <row r="825" spans="2:4" ht="15" x14ac:dyDescent="0.2">
      <c r="B825" s="1353">
        <v>933</v>
      </c>
      <c r="C825" s="1341" t="s">
        <v>2064</v>
      </c>
      <c r="D825" s="1354">
        <v>527.68181300000003</v>
      </c>
    </row>
    <row r="826" spans="2:4" x14ac:dyDescent="0.2">
      <c r="B826" s="1341">
        <v>934</v>
      </c>
      <c r="C826" s="1341" t="s">
        <v>2065</v>
      </c>
      <c r="D826" s="1310">
        <v>550.58823199999995</v>
      </c>
    </row>
    <row r="827" spans="2:4" x14ac:dyDescent="0.2">
      <c r="B827" s="1341">
        <v>935</v>
      </c>
      <c r="C827" s="1341" t="s">
        <v>2066</v>
      </c>
      <c r="D827" s="1310">
        <v>551.93998999999997</v>
      </c>
    </row>
    <row r="828" spans="2:4" x14ac:dyDescent="0.2">
      <c r="B828" s="1341">
        <v>936</v>
      </c>
      <c r="C828" s="1341" t="s">
        <v>2067</v>
      </c>
      <c r="D828" s="1310">
        <v>567.23749499999997</v>
      </c>
    </row>
    <row r="829" spans="2:4" x14ac:dyDescent="0.2">
      <c r="B829" s="1341">
        <v>937</v>
      </c>
      <c r="C829" s="1341" t="s">
        <v>2068</v>
      </c>
      <c r="D829" s="1310">
        <v>578.23331700000006</v>
      </c>
    </row>
    <row r="830" spans="2:4" x14ac:dyDescent="0.2">
      <c r="B830" s="1341">
        <v>938</v>
      </c>
      <c r="C830" s="1341" t="s">
        <v>2069</v>
      </c>
      <c r="D830" s="1310">
        <v>585.40000199999997</v>
      </c>
    </row>
    <row r="831" spans="2:4" x14ac:dyDescent="0.2">
      <c r="B831" s="1341">
        <v>939</v>
      </c>
      <c r="C831" s="1341" t="s">
        <v>2070</v>
      </c>
      <c r="D831" s="1310">
        <v>574.05712900000003</v>
      </c>
    </row>
    <row r="832" spans="2:4" x14ac:dyDescent="0.2">
      <c r="B832" s="1341">
        <v>940</v>
      </c>
      <c r="C832" s="1341" t="s">
        <v>2071</v>
      </c>
      <c r="D832" s="1310">
        <v>599.06666099999995</v>
      </c>
    </row>
    <row r="833" spans="2:4" x14ac:dyDescent="0.2">
      <c r="B833" s="1341">
        <v>941</v>
      </c>
      <c r="C833" s="1341" t="s">
        <v>2072</v>
      </c>
      <c r="D833" s="1310">
        <v>592.32499700000005</v>
      </c>
    </row>
    <row r="834" spans="2:4" x14ac:dyDescent="0.2">
      <c r="B834" s="1341">
        <v>942</v>
      </c>
      <c r="C834" s="1341" t="s">
        <v>2073</v>
      </c>
      <c r="D834" s="1310">
        <v>584.36665900000003</v>
      </c>
    </row>
    <row r="835" spans="2:4" x14ac:dyDescent="0.2">
      <c r="B835" s="1341">
        <v>943</v>
      </c>
      <c r="C835" s="1341" t="s">
        <v>2074</v>
      </c>
      <c r="D835" s="1310">
        <v>598.83999800000004</v>
      </c>
    </row>
    <row r="836" spans="2:4" x14ac:dyDescent="0.2">
      <c r="B836" s="1341">
        <v>944</v>
      </c>
      <c r="C836" s="1341" t="s">
        <v>1671</v>
      </c>
      <c r="D836" s="1310">
        <v>574.59997599999997</v>
      </c>
    </row>
    <row r="837" spans="2:4" x14ac:dyDescent="0.2">
      <c r="B837" s="1341">
        <v>945</v>
      </c>
      <c r="C837" s="1341" t="s">
        <v>2075</v>
      </c>
      <c r="D837" s="1310">
        <v>637</v>
      </c>
    </row>
    <row r="838" spans="2:4" x14ac:dyDescent="0.2">
      <c r="B838" s="1341">
        <v>946</v>
      </c>
      <c r="C838" s="1341" t="s">
        <v>2076</v>
      </c>
      <c r="D838" s="1310">
        <v>618.85000600000001</v>
      </c>
    </row>
    <row r="839" spans="2:4" x14ac:dyDescent="0.2">
      <c r="B839" s="1341">
        <v>947</v>
      </c>
      <c r="C839" s="1341" t="s">
        <v>2077</v>
      </c>
      <c r="D839" s="1310">
        <v>637.55001800000002</v>
      </c>
    </row>
    <row r="840" spans="2:4" x14ac:dyDescent="0.2">
      <c r="B840" s="1341">
        <v>948</v>
      </c>
      <c r="C840" s="1341" t="s">
        <v>2078</v>
      </c>
      <c r="D840" s="1310">
        <v>658.41666699999996</v>
      </c>
    </row>
    <row r="841" spans="2:4" x14ac:dyDescent="0.2">
      <c r="B841" s="1341">
        <v>949</v>
      </c>
      <c r="C841" s="1341" t="s">
        <v>2079</v>
      </c>
      <c r="D841" s="1310">
        <v>617.89999799999998</v>
      </c>
    </row>
    <row r="842" spans="2:4" x14ac:dyDescent="0.2">
      <c r="B842" s="1341">
        <v>950</v>
      </c>
      <c r="C842" s="1341" t="s">
        <v>2080</v>
      </c>
      <c r="D842" s="1310">
        <v>618.29999899999996</v>
      </c>
    </row>
    <row r="843" spans="2:4" x14ac:dyDescent="0.2">
      <c r="B843" s="1341">
        <v>951</v>
      </c>
      <c r="C843" s="1341" t="s">
        <v>2081</v>
      </c>
      <c r="D843" s="1310">
        <v>606.35999800000002</v>
      </c>
    </row>
    <row r="844" spans="2:4" x14ac:dyDescent="0.2">
      <c r="B844" s="1341">
        <v>952</v>
      </c>
      <c r="C844" s="1341" t="s">
        <v>2082</v>
      </c>
      <c r="D844" s="1310">
        <v>560.89999399999999</v>
      </c>
    </row>
    <row r="845" spans="2:4" ht="15" x14ac:dyDescent="0.2">
      <c r="B845" s="1353">
        <v>953</v>
      </c>
      <c r="C845" s="1341" t="s">
        <v>2083</v>
      </c>
      <c r="D845" s="1354">
        <v>549.49999100000002</v>
      </c>
    </row>
    <row r="846" spans="2:4" ht="15" x14ac:dyDescent="0.2">
      <c r="B846" s="1353">
        <v>954</v>
      </c>
      <c r="C846" s="1341" t="s">
        <v>2084</v>
      </c>
      <c r="D846" s="1354">
        <v>526.19999700000005</v>
      </c>
    </row>
    <row r="847" spans="2:4" ht="15" x14ac:dyDescent="0.2">
      <c r="B847" s="1353">
        <v>955</v>
      </c>
      <c r="C847" s="1341" t="s">
        <v>2085</v>
      </c>
      <c r="D847" s="1354">
        <v>527.91249800000003</v>
      </c>
    </row>
    <row r="848" spans="2:4" ht="15" x14ac:dyDescent="0.2">
      <c r="B848" s="1353">
        <v>956</v>
      </c>
      <c r="C848" s="1341" t="s">
        <v>2086</v>
      </c>
      <c r="D848" s="1354">
        <v>548.90714400000002</v>
      </c>
    </row>
    <row r="849" spans="2:4" x14ac:dyDescent="0.2">
      <c r="B849" s="1341">
        <v>957</v>
      </c>
      <c r="C849" s="1341" t="s">
        <v>2087</v>
      </c>
      <c r="D849" s="1310">
        <v>565.65000399999997</v>
      </c>
    </row>
    <row r="850" spans="2:4" x14ac:dyDescent="0.2">
      <c r="B850" s="1341">
        <v>958</v>
      </c>
      <c r="C850" s="1341" t="s">
        <v>2088</v>
      </c>
      <c r="D850" s="1310">
        <v>574.875</v>
      </c>
    </row>
    <row r="851" spans="2:4" x14ac:dyDescent="0.2">
      <c r="B851" s="1341">
        <v>959</v>
      </c>
      <c r="C851" s="1341" t="s">
        <v>2089</v>
      </c>
      <c r="D851" s="1310">
        <v>597.85999800000002</v>
      </c>
    </row>
    <row r="852" spans="2:4" x14ac:dyDescent="0.2">
      <c r="B852" s="1341">
        <v>960</v>
      </c>
      <c r="C852" s="1341" t="s">
        <v>2090</v>
      </c>
      <c r="D852" s="1310">
        <v>602.96667500000001</v>
      </c>
    </row>
    <row r="853" spans="2:4" x14ac:dyDescent="0.2">
      <c r="B853" s="1341">
        <v>961</v>
      </c>
      <c r="C853" s="1341" t="s">
        <v>2091</v>
      </c>
      <c r="D853" s="1310">
        <v>608.28999599999997</v>
      </c>
    </row>
    <row r="854" spans="2:4" x14ac:dyDescent="0.2">
      <c r="B854" s="1341">
        <v>962</v>
      </c>
      <c r="C854" s="1341" t="s">
        <v>2092</v>
      </c>
      <c r="D854" s="1310">
        <v>598.52999899999998</v>
      </c>
    </row>
    <row r="855" spans="2:4" x14ac:dyDescent="0.2">
      <c r="B855" s="1341">
        <v>963</v>
      </c>
      <c r="C855" s="1341" t="s">
        <v>2093</v>
      </c>
      <c r="D855" s="1310">
        <v>597.99999200000002</v>
      </c>
    </row>
    <row r="856" spans="2:4" x14ac:dyDescent="0.2">
      <c r="B856" s="1341">
        <v>964</v>
      </c>
      <c r="C856" s="1341" t="s">
        <v>2094</v>
      </c>
      <c r="D856" s="1310">
        <v>630.70001200000002</v>
      </c>
    </row>
    <row r="857" spans="2:4" x14ac:dyDescent="0.2">
      <c r="B857" s="1341">
        <v>965</v>
      </c>
      <c r="C857" s="1341" t="s">
        <v>2095</v>
      </c>
      <c r="D857" s="1310">
        <v>577.55000299999995</v>
      </c>
    </row>
    <row r="858" spans="2:4" x14ac:dyDescent="0.2">
      <c r="B858" s="1341">
        <v>966</v>
      </c>
      <c r="C858" s="1341" t="s">
        <v>1599</v>
      </c>
      <c r="D858" s="1310">
        <v>632.214294</v>
      </c>
    </row>
    <row r="859" spans="2:4" x14ac:dyDescent="0.2">
      <c r="B859" s="1341">
        <v>967</v>
      </c>
      <c r="C859" s="1341" t="s">
        <v>2096</v>
      </c>
      <c r="D859" s="1310">
        <v>602.11998300000005</v>
      </c>
    </row>
    <row r="860" spans="2:4" x14ac:dyDescent="0.2">
      <c r="B860" s="1341">
        <v>968</v>
      </c>
      <c r="C860" s="1341" t="s">
        <v>2097</v>
      </c>
      <c r="D860" s="1310">
        <v>611.70001200000002</v>
      </c>
    </row>
    <row r="861" spans="2:4" x14ac:dyDescent="0.2">
      <c r="B861" s="1341">
        <v>969</v>
      </c>
      <c r="C861" s="1341" t="s">
        <v>2098</v>
      </c>
      <c r="D861" s="1310">
        <v>643.66001000000006</v>
      </c>
    </row>
    <row r="862" spans="2:4" x14ac:dyDescent="0.2">
      <c r="B862" s="1341">
        <v>970</v>
      </c>
      <c r="C862" s="1341" t="s">
        <v>2099</v>
      </c>
      <c r="D862" s="1310">
        <v>652.69999700000005</v>
      </c>
    </row>
    <row r="863" spans="2:4" x14ac:dyDescent="0.2">
      <c r="B863" s="1341">
        <v>971</v>
      </c>
      <c r="C863" s="1341" t="s">
        <v>2100</v>
      </c>
      <c r="D863" s="1310">
        <v>649.20001200000002</v>
      </c>
    </row>
    <row r="864" spans="2:4" x14ac:dyDescent="0.2">
      <c r="B864" s="1341">
        <v>972</v>
      </c>
      <c r="C864" s="1341" t="s">
        <v>2101</v>
      </c>
      <c r="D864" s="1310">
        <v>645.89000199999998</v>
      </c>
    </row>
    <row r="865" spans="2:4" x14ac:dyDescent="0.2">
      <c r="B865" s="1341">
        <v>973</v>
      </c>
      <c r="C865" s="1341" t="s">
        <v>2102</v>
      </c>
      <c r="D865" s="1310">
        <v>642.62222599999996</v>
      </c>
    </row>
    <row r="866" spans="2:4" x14ac:dyDescent="0.2">
      <c r="B866" s="1341">
        <v>974</v>
      </c>
      <c r="C866" s="1341" t="s">
        <v>2103</v>
      </c>
      <c r="D866" s="1310">
        <v>596.96364000000005</v>
      </c>
    </row>
    <row r="867" spans="2:4" x14ac:dyDescent="0.2">
      <c r="B867" s="1341">
        <v>975</v>
      </c>
      <c r="C867" s="1341" t="s">
        <v>1846</v>
      </c>
      <c r="D867" s="1310">
        <v>568.125</v>
      </c>
    </row>
    <row r="868" spans="2:4" x14ac:dyDescent="0.2">
      <c r="B868" s="1341">
        <v>976</v>
      </c>
      <c r="C868" s="1341" t="s">
        <v>2104</v>
      </c>
      <c r="D868" s="1310">
        <v>569.44546200000002</v>
      </c>
    </row>
    <row r="869" spans="2:4" x14ac:dyDescent="0.2">
      <c r="B869" s="1341">
        <v>977</v>
      </c>
      <c r="C869" s="1341" t="s">
        <v>2105</v>
      </c>
      <c r="D869" s="1310">
        <v>565.03749800000003</v>
      </c>
    </row>
    <row r="870" spans="2:4" x14ac:dyDescent="0.2">
      <c r="B870" s="1341">
        <v>978</v>
      </c>
      <c r="C870" s="1341" t="s">
        <v>2106</v>
      </c>
      <c r="D870" s="1310">
        <v>554.9375</v>
      </c>
    </row>
    <row r="871" spans="2:4" ht="15" x14ac:dyDescent="0.2">
      <c r="B871" s="1353">
        <v>979</v>
      </c>
      <c r="C871" s="1341" t="s">
        <v>2107</v>
      </c>
      <c r="D871" s="1354">
        <v>543.13332100000002</v>
      </c>
    </row>
    <row r="872" spans="2:4" ht="15" x14ac:dyDescent="0.2">
      <c r="B872" s="1353">
        <v>980</v>
      </c>
      <c r="C872" s="1341" t="s">
        <v>2108</v>
      </c>
      <c r="D872" s="1354">
        <v>525.30833900000005</v>
      </c>
    </row>
    <row r="873" spans="2:4" x14ac:dyDescent="0.2">
      <c r="B873" s="1341">
        <v>981</v>
      </c>
      <c r="C873" s="1341" t="s">
        <v>2109</v>
      </c>
      <c r="D873" s="1310">
        <v>590.09999600000003</v>
      </c>
    </row>
    <row r="874" spans="2:4" x14ac:dyDescent="0.2">
      <c r="B874" s="1341">
        <v>982</v>
      </c>
      <c r="C874" s="1341" t="s">
        <v>2110</v>
      </c>
      <c r="D874" s="1310">
        <v>601.10000600000001</v>
      </c>
    </row>
    <row r="875" spans="2:4" x14ac:dyDescent="0.2">
      <c r="B875" s="1341">
        <v>983</v>
      </c>
      <c r="C875" s="1341" t="s">
        <v>2111</v>
      </c>
      <c r="D875" s="1310">
        <v>652.20001200000002</v>
      </c>
    </row>
    <row r="876" spans="2:4" x14ac:dyDescent="0.2">
      <c r="B876" s="1341">
        <v>984</v>
      </c>
      <c r="C876" s="1341" t="s">
        <v>2112</v>
      </c>
      <c r="D876" s="1310">
        <v>635.93332899999996</v>
      </c>
    </row>
    <row r="877" spans="2:4" x14ac:dyDescent="0.2">
      <c r="B877" s="1341">
        <v>985</v>
      </c>
      <c r="C877" s="1341" t="s">
        <v>2113</v>
      </c>
      <c r="D877" s="1310">
        <v>654</v>
      </c>
    </row>
    <row r="878" spans="2:4" x14ac:dyDescent="0.2">
      <c r="B878" s="1341">
        <v>986</v>
      </c>
      <c r="C878" s="1341" t="s">
        <v>2114</v>
      </c>
      <c r="D878" s="1310">
        <v>633.63332100000002</v>
      </c>
    </row>
    <row r="879" spans="2:4" x14ac:dyDescent="0.2">
      <c r="B879" s="1341">
        <v>987</v>
      </c>
      <c r="C879" s="1341" t="s">
        <v>2115</v>
      </c>
      <c r="D879" s="1310">
        <v>644.62000699999999</v>
      </c>
    </row>
    <row r="880" spans="2:4" x14ac:dyDescent="0.2">
      <c r="B880" s="1341">
        <v>988</v>
      </c>
      <c r="C880" s="1341" t="s">
        <v>2116</v>
      </c>
      <c r="D880" s="1310">
        <v>664.89999399999999</v>
      </c>
    </row>
    <row r="881" spans="2:4" x14ac:dyDescent="0.2">
      <c r="B881" s="1341">
        <v>989</v>
      </c>
      <c r="C881" s="1341" t="s">
        <v>1531</v>
      </c>
      <c r="D881" s="1310">
        <v>630.08333300000004</v>
      </c>
    </row>
    <row r="882" spans="2:4" x14ac:dyDescent="0.2">
      <c r="B882" s="1341">
        <v>990</v>
      </c>
      <c r="C882" s="1341" t="s">
        <v>2117</v>
      </c>
      <c r="D882" s="1310">
        <v>659.03333499999997</v>
      </c>
    </row>
    <row r="883" spans="2:4" x14ac:dyDescent="0.2">
      <c r="B883" s="1341">
        <v>991</v>
      </c>
      <c r="C883" s="1341" t="s">
        <v>2118</v>
      </c>
      <c r="D883" s="1310">
        <v>678.07501200000002</v>
      </c>
    </row>
    <row r="884" spans="2:4" x14ac:dyDescent="0.2">
      <c r="B884" s="1341">
        <v>992</v>
      </c>
      <c r="C884" s="1341" t="s">
        <v>2119</v>
      </c>
      <c r="D884" s="1310">
        <v>624.80555600000002</v>
      </c>
    </row>
    <row r="885" spans="2:4" x14ac:dyDescent="0.2">
      <c r="B885" s="1341">
        <v>993</v>
      </c>
      <c r="C885" s="1341" t="s">
        <v>2120</v>
      </c>
      <c r="D885" s="1310">
        <v>616</v>
      </c>
    </row>
    <row r="886" spans="2:4" x14ac:dyDescent="0.2">
      <c r="B886" s="1341">
        <v>994</v>
      </c>
      <c r="C886" s="1341" t="s">
        <v>2121</v>
      </c>
      <c r="D886" s="1310">
        <v>627.66998899999999</v>
      </c>
    </row>
    <row r="887" spans="2:4" x14ac:dyDescent="0.2">
      <c r="B887" s="1341">
        <v>995</v>
      </c>
      <c r="C887" s="1341" t="s">
        <v>2122</v>
      </c>
      <c r="D887" s="1310">
        <v>637.48571800000002</v>
      </c>
    </row>
    <row r="888" spans="2:4" x14ac:dyDescent="0.2">
      <c r="B888" s="1341">
        <v>996</v>
      </c>
      <c r="C888" s="1341" t="s">
        <v>2123</v>
      </c>
      <c r="D888" s="1310">
        <v>614.16001000000006</v>
      </c>
    </row>
    <row r="889" spans="2:4" x14ac:dyDescent="0.2">
      <c r="B889" s="1341">
        <v>997</v>
      </c>
      <c r="C889" s="1341" t="s">
        <v>2124</v>
      </c>
      <c r="D889" s="1310">
        <v>571.64999899999998</v>
      </c>
    </row>
    <row r="890" spans="2:4" x14ac:dyDescent="0.2">
      <c r="B890" s="1341">
        <v>998</v>
      </c>
      <c r="C890" s="1341" t="s">
        <v>1878</v>
      </c>
      <c r="D890" s="1310">
        <v>575.91428900000005</v>
      </c>
    </row>
    <row r="891" spans="2:4" ht="15" x14ac:dyDescent="0.2">
      <c r="B891" s="1353">
        <v>999</v>
      </c>
      <c r="C891" s="1341" t="s">
        <v>2125</v>
      </c>
      <c r="D891" s="1354">
        <v>529.95001200000002</v>
      </c>
    </row>
    <row r="892" spans="2:4" ht="15" x14ac:dyDescent="0.2">
      <c r="B892" s="1353">
        <v>1000</v>
      </c>
      <c r="C892" s="1341" t="s">
        <v>2126</v>
      </c>
      <c r="D892" s="1354">
        <v>531.55999799999995</v>
      </c>
    </row>
    <row r="893" spans="2:4" ht="15" x14ac:dyDescent="0.2">
      <c r="B893" s="1353">
        <v>1001</v>
      </c>
      <c r="C893" s="1341" t="s">
        <v>2127</v>
      </c>
      <c r="D893" s="1354">
        <v>523.25454400000001</v>
      </c>
    </row>
    <row r="894" spans="2:4" ht="15" x14ac:dyDescent="0.2">
      <c r="B894" s="1353">
        <v>1002</v>
      </c>
      <c r="C894" s="1341" t="s">
        <v>2128</v>
      </c>
      <c r="D894" s="1354">
        <v>521.75</v>
      </c>
    </row>
    <row r="895" spans="2:4" x14ac:dyDescent="0.2">
      <c r="B895" s="1341">
        <v>1003</v>
      </c>
      <c r="C895" s="1341" t="s">
        <v>2129</v>
      </c>
      <c r="D895" s="1310">
        <v>554.07271500000002</v>
      </c>
    </row>
    <row r="896" spans="2:4" x14ac:dyDescent="0.2">
      <c r="B896" s="1341">
        <v>1004</v>
      </c>
      <c r="C896" s="1341" t="s">
        <v>2130</v>
      </c>
      <c r="D896" s="1310">
        <v>589.86665900000003</v>
      </c>
    </row>
    <row r="897" spans="2:4" x14ac:dyDescent="0.2">
      <c r="B897" s="1341">
        <v>1005</v>
      </c>
      <c r="C897" s="1341" t="s">
        <v>2131</v>
      </c>
      <c r="D897" s="1310">
        <v>613.09999600000003</v>
      </c>
    </row>
    <row r="898" spans="2:4" x14ac:dyDescent="0.2">
      <c r="B898" s="1341">
        <v>1006</v>
      </c>
      <c r="C898" s="1341" t="s">
        <v>2132</v>
      </c>
      <c r="D898" s="1310">
        <v>702.37500499999999</v>
      </c>
    </row>
    <row r="899" spans="2:4" x14ac:dyDescent="0.2">
      <c r="B899" s="1341">
        <v>1007</v>
      </c>
      <c r="C899" s="1341" t="s">
        <v>2133</v>
      </c>
      <c r="D899" s="1310">
        <v>717.15999799999997</v>
      </c>
    </row>
    <row r="900" spans="2:4" x14ac:dyDescent="0.2">
      <c r="B900" s="1341">
        <v>1008</v>
      </c>
      <c r="C900" s="1341" t="s">
        <v>2134</v>
      </c>
      <c r="D900" s="1310">
        <v>703.60001599999998</v>
      </c>
    </row>
    <row r="901" spans="2:4" x14ac:dyDescent="0.2">
      <c r="B901" s="1341">
        <v>1009</v>
      </c>
      <c r="C901" s="1341" t="s">
        <v>2135</v>
      </c>
      <c r="D901" s="1310">
        <v>704.67498799999998</v>
      </c>
    </row>
    <row r="902" spans="2:4" x14ac:dyDescent="0.2">
      <c r="B902" s="1341">
        <v>1010</v>
      </c>
      <c r="C902" s="1341" t="s">
        <v>2136</v>
      </c>
      <c r="D902" s="1310">
        <v>651.875</v>
      </c>
    </row>
    <row r="903" spans="2:4" x14ac:dyDescent="0.2">
      <c r="B903" s="1341">
        <v>1011</v>
      </c>
      <c r="C903" s="1341" t="s">
        <v>2137</v>
      </c>
      <c r="D903" s="1310">
        <v>611.05000299999995</v>
      </c>
    </row>
    <row r="904" spans="2:4" x14ac:dyDescent="0.2">
      <c r="B904" s="1341">
        <v>1012</v>
      </c>
      <c r="C904" s="1341" t="s">
        <v>2138</v>
      </c>
      <c r="D904" s="1310">
        <v>614.08332299999995</v>
      </c>
    </row>
    <row r="905" spans="2:4" x14ac:dyDescent="0.2">
      <c r="B905" s="1341">
        <v>1013</v>
      </c>
      <c r="C905" s="1341" t="s">
        <v>2139</v>
      </c>
      <c r="D905" s="1310">
        <v>577.29091000000005</v>
      </c>
    </row>
    <row r="906" spans="2:4" ht="15" x14ac:dyDescent="0.2">
      <c r="B906" s="1353">
        <v>1014</v>
      </c>
      <c r="C906" s="1341" t="s">
        <v>2140</v>
      </c>
      <c r="D906" s="1354">
        <v>542.15713900000003</v>
      </c>
    </row>
    <row r="907" spans="2:4" ht="15" x14ac:dyDescent="0.2">
      <c r="B907" s="1353">
        <v>1015</v>
      </c>
      <c r="C907" s="1341" t="s">
        <v>2141</v>
      </c>
      <c r="D907" s="1354">
        <v>535.37498500000004</v>
      </c>
    </row>
    <row r="908" spans="2:4" ht="15" x14ac:dyDescent="0.2">
      <c r="B908" s="1353">
        <v>1016</v>
      </c>
      <c r="C908" s="1341" t="s">
        <v>2142</v>
      </c>
      <c r="D908" s="1354">
        <v>509.38750800000003</v>
      </c>
    </row>
    <row r="909" spans="2:4" ht="15" x14ac:dyDescent="0.2">
      <c r="B909" s="1353">
        <v>1017</v>
      </c>
      <c r="C909" s="1341" t="s">
        <v>2143</v>
      </c>
      <c r="D909" s="1354">
        <v>529.34444199999996</v>
      </c>
    </row>
    <row r="910" spans="2:4" ht="15" x14ac:dyDescent="0.2">
      <c r="B910" s="1353">
        <v>1018</v>
      </c>
      <c r="C910" s="1341" t="s">
        <v>2144</v>
      </c>
      <c r="D910" s="1354">
        <v>547.41249800000003</v>
      </c>
    </row>
    <row r="911" spans="2:4" x14ac:dyDescent="0.2">
      <c r="B911" s="1341">
        <v>1019</v>
      </c>
      <c r="C911" s="1341" t="s">
        <v>2145</v>
      </c>
      <c r="D911" s="1310">
        <v>574.43332899999996</v>
      </c>
    </row>
    <row r="912" spans="2:4" x14ac:dyDescent="0.2">
      <c r="B912" s="1341">
        <v>1020</v>
      </c>
      <c r="C912" s="1341" t="s">
        <v>2146</v>
      </c>
      <c r="D912" s="1310">
        <v>594.82501200000002</v>
      </c>
    </row>
    <row r="913" spans="2:4" x14ac:dyDescent="0.2">
      <c r="B913" s="1341">
        <v>1021</v>
      </c>
      <c r="C913" s="1341" t="s">
        <v>2147</v>
      </c>
      <c r="D913" s="1310">
        <v>612.03332499999999</v>
      </c>
    </row>
    <row r="914" spans="2:4" x14ac:dyDescent="0.2">
      <c r="B914" s="1341">
        <v>1022</v>
      </c>
      <c r="C914" s="1341" t="s">
        <v>2148</v>
      </c>
      <c r="D914" s="1310">
        <v>702.41250600000001</v>
      </c>
    </row>
    <row r="915" spans="2:4" x14ac:dyDescent="0.2">
      <c r="B915" s="1341">
        <v>1023</v>
      </c>
      <c r="C915" s="1341" t="s">
        <v>2149</v>
      </c>
      <c r="D915" s="1310">
        <v>627.79998799999998</v>
      </c>
    </row>
    <row r="916" spans="2:4" x14ac:dyDescent="0.2">
      <c r="B916" s="1341">
        <v>1024</v>
      </c>
      <c r="C916" s="1341" t="s">
        <v>2150</v>
      </c>
      <c r="D916" s="1310">
        <v>732</v>
      </c>
    </row>
    <row r="917" spans="2:4" x14ac:dyDescent="0.2">
      <c r="B917" s="1341">
        <v>1025</v>
      </c>
      <c r="C917" s="1341" t="s">
        <v>2151</v>
      </c>
      <c r="D917" s="1310">
        <v>718.72500600000001</v>
      </c>
    </row>
    <row r="918" spans="2:4" x14ac:dyDescent="0.2">
      <c r="B918" s="1341">
        <v>1026</v>
      </c>
      <c r="C918" s="1341" t="s">
        <v>2152</v>
      </c>
      <c r="D918" s="1310">
        <v>751</v>
      </c>
    </row>
    <row r="919" spans="2:4" x14ac:dyDescent="0.2">
      <c r="B919" s="1341">
        <v>1027</v>
      </c>
      <c r="C919" s="1341" t="s">
        <v>2153</v>
      </c>
      <c r="D919" s="1310">
        <v>705.5</v>
      </c>
    </row>
    <row r="920" spans="2:4" x14ac:dyDescent="0.2">
      <c r="B920" s="1341">
        <v>1029</v>
      </c>
      <c r="C920" s="1341" t="s">
        <v>2154</v>
      </c>
      <c r="D920" s="1310">
        <v>683</v>
      </c>
    </row>
    <row r="921" spans="2:4" x14ac:dyDescent="0.2">
      <c r="B921" s="1341">
        <v>1030</v>
      </c>
      <c r="C921" s="1341" t="s">
        <v>2155</v>
      </c>
      <c r="D921" s="1310">
        <v>666.75</v>
      </c>
    </row>
    <row r="922" spans="2:4" x14ac:dyDescent="0.2">
      <c r="B922" s="1341">
        <v>1031</v>
      </c>
      <c r="C922" s="1341" t="s">
        <v>2156</v>
      </c>
      <c r="D922" s="1310">
        <v>660.39999399999999</v>
      </c>
    </row>
    <row r="923" spans="2:4" x14ac:dyDescent="0.2">
      <c r="B923" s="1341">
        <v>1032</v>
      </c>
      <c r="C923" s="1341" t="s">
        <v>2157</v>
      </c>
      <c r="D923" s="1310">
        <v>658.55000299999995</v>
      </c>
    </row>
    <row r="924" spans="2:4" ht="15" x14ac:dyDescent="0.2">
      <c r="B924" s="1353">
        <v>1033</v>
      </c>
      <c r="C924" s="1341" t="s">
        <v>2158</v>
      </c>
      <c r="D924" s="1354">
        <v>537.89998400000002</v>
      </c>
    </row>
    <row r="925" spans="2:4" ht="15" x14ac:dyDescent="0.2">
      <c r="B925" s="1353">
        <v>1034</v>
      </c>
      <c r="C925" s="1341" t="s">
        <v>2159</v>
      </c>
      <c r="D925" s="1354">
        <v>517.04999499999997</v>
      </c>
    </row>
    <row r="926" spans="2:4" ht="15" x14ac:dyDescent="0.2">
      <c r="B926" s="1353">
        <v>1035</v>
      </c>
      <c r="C926" s="1341" t="s">
        <v>2160</v>
      </c>
      <c r="D926" s="1354">
        <v>547.01667299999997</v>
      </c>
    </row>
    <row r="927" spans="2:4" x14ac:dyDescent="0.2">
      <c r="B927" s="1341">
        <v>1036</v>
      </c>
      <c r="C927" s="1341" t="s">
        <v>2161</v>
      </c>
      <c r="D927" s="1310">
        <v>629.4</v>
      </c>
    </row>
    <row r="928" spans="2:4" x14ac:dyDescent="0.2">
      <c r="B928" s="1341">
        <v>1037</v>
      </c>
      <c r="C928" s="1341" t="s">
        <v>2162</v>
      </c>
      <c r="D928" s="1310">
        <v>577.38000499999998</v>
      </c>
    </row>
    <row r="929" spans="2:4" x14ac:dyDescent="0.2">
      <c r="B929" s="1341">
        <v>1038</v>
      </c>
      <c r="C929" s="1341" t="s">
        <v>2163</v>
      </c>
      <c r="D929" s="1310">
        <v>606.16667700000005</v>
      </c>
    </row>
    <row r="930" spans="2:4" x14ac:dyDescent="0.2">
      <c r="B930" s="1341">
        <v>1039</v>
      </c>
      <c r="C930" s="1341" t="s">
        <v>2164</v>
      </c>
      <c r="D930" s="1310">
        <v>641.81666099999995</v>
      </c>
    </row>
    <row r="931" spans="2:4" x14ac:dyDescent="0.2">
      <c r="B931" s="1341">
        <v>1040</v>
      </c>
      <c r="C931" s="1341" t="s">
        <v>2165</v>
      </c>
      <c r="D931" s="1310">
        <v>646.53334600000005</v>
      </c>
    </row>
    <row r="932" spans="2:4" x14ac:dyDescent="0.2">
      <c r="B932" s="1341">
        <v>1041</v>
      </c>
      <c r="C932" s="1341" t="s">
        <v>2166</v>
      </c>
      <c r="D932" s="1310">
        <v>714.76364999999998</v>
      </c>
    </row>
    <row r="933" spans="2:4" x14ac:dyDescent="0.2">
      <c r="B933" s="1341">
        <v>1042</v>
      </c>
      <c r="C933" s="1341" t="s">
        <v>1800</v>
      </c>
      <c r="D933" s="1310">
        <v>687.29998799999998</v>
      </c>
    </row>
    <row r="934" spans="2:4" x14ac:dyDescent="0.2">
      <c r="B934" s="1341">
        <v>1043</v>
      </c>
      <c r="C934" s="1341" t="s">
        <v>2167</v>
      </c>
      <c r="D934" s="1310">
        <v>675.03332499999999</v>
      </c>
    </row>
    <row r="935" spans="2:4" x14ac:dyDescent="0.2">
      <c r="B935" s="1341">
        <v>1045</v>
      </c>
      <c r="C935" s="1341" t="s">
        <v>2168</v>
      </c>
      <c r="D935" s="1310">
        <v>659.90000899999995</v>
      </c>
    </row>
    <row r="936" spans="2:4" x14ac:dyDescent="0.2">
      <c r="B936" s="1341">
        <v>1046</v>
      </c>
      <c r="C936" s="1341" t="s">
        <v>2169</v>
      </c>
      <c r="D936" s="1310">
        <v>690.12857499999996</v>
      </c>
    </row>
    <row r="937" spans="2:4" x14ac:dyDescent="0.2">
      <c r="B937" s="1341">
        <v>1047</v>
      </c>
      <c r="C937" s="1341" t="s">
        <v>2170</v>
      </c>
      <c r="D937" s="1310">
        <v>573.79000199999996</v>
      </c>
    </row>
    <row r="938" spans="2:4" x14ac:dyDescent="0.2">
      <c r="B938" s="1341">
        <v>1048</v>
      </c>
      <c r="C938" s="1341" t="s">
        <v>2171</v>
      </c>
      <c r="D938" s="1310">
        <v>615.85000600000001</v>
      </c>
    </row>
    <row r="939" spans="2:4" x14ac:dyDescent="0.2">
      <c r="B939" s="1341">
        <v>1049</v>
      </c>
      <c r="C939" s="1341" t="s">
        <v>2172</v>
      </c>
      <c r="D939" s="1310">
        <v>672.91666699999996</v>
      </c>
    </row>
    <row r="940" spans="2:4" x14ac:dyDescent="0.2">
      <c r="B940" s="1341">
        <v>1050</v>
      </c>
      <c r="C940" s="1341" t="s">
        <v>2173</v>
      </c>
      <c r="D940" s="1310">
        <v>692.83998999999994</v>
      </c>
    </row>
    <row r="941" spans="2:4" x14ac:dyDescent="0.2">
      <c r="B941" s="1341">
        <v>1051</v>
      </c>
      <c r="C941" s="1341" t="s">
        <v>2174</v>
      </c>
      <c r="D941" s="1310">
        <v>669.95712700000001</v>
      </c>
    </row>
    <row r="942" spans="2:4" x14ac:dyDescent="0.2">
      <c r="B942" s="1341">
        <v>1052</v>
      </c>
      <c r="C942" s="1341" t="s">
        <v>2175</v>
      </c>
      <c r="D942" s="1310">
        <v>707.67998699999998</v>
      </c>
    </row>
    <row r="943" spans="2:4" x14ac:dyDescent="0.2">
      <c r="B943" s="1341">
        <v>1053</v>
      </c>
      <c r="C943" s="1341" t="s">
        <v>2176</v>
      </c>
      <c r="D943" s="1310">
        <v>666.91665599999999</v>
      </c>
    </row>
    <row r="944" spans="2:4" x14ac:dyDescent="0.2">
      <c r="B944" s="1341">
        <v>1054</v>
      </c>
      <c r="C944" s="1341" t="s">
        <v>2177</v>
      </c>
      <c r="D944" s="1310">
        <v>683.08889399999998</v>
      </c>
    </row>
    <row r="945" spans="2:4" x14ac:dyDescent="0.2">
      <c r="B945" s="1341">
        <v>1055</v>
      </c>
      <c r="C945" s="1341" t="s">
        <v>2178</v>
      </c>
      <c r="D945" s="1310">
        <v>587.44000200000005</v>
      </c>
    </row>
    <row r="946" spans="2:4" x14ac:dyDescent="0.2">
      <c r="B946" s="1341">
        <v>1056</v>
      </c>
      <c r="C946" s="1341" t="s">
        <v>2179</v>
      </c>
      <c r="D946" s="1310">
        <v>595.83332299999995</v>
      </c>
    </row>
    <row r="947" spans="2:4" x14ac:dyDescent="0.2">
      <c r="B947" s="1341">
        <v>1057</v>
      </c>
      <c r="C947" s="1341" t="s">
        <v>2180</v>
      </c>
      <c r="D947" s="1310">
        <v>641.10000600000001</v>
      </c>
    </row>
    <row r="948" spans="2:4" x14ac:dyDescent="0.2">
      <c r="B948" s="1341">
        <v>1058</v>
      </c>
      <c r="C948" s="1341" t="s">
        <v>2181</v>
      </c>
      <c r="D948" s="1310">
        <v>658.9375</v>
      </c>
    </row>
    <row r="949" spans="2:4" x14ac:dyDescent="0.2">
      <c r="B949" s="1341">
        <v>1059</v>
      </c>
      <c r="C949" s="1341" t="s">
        <v>2182</v>
      </c>
      <c r="D949" s="1310">
        <v>711.92000700000006</v>
      </c>
    </row>
    <row r="950" spans="2:4" x14ac:dyDescent="0.2">
      <c r="B950" s="1341">
        <v>1060</v>
      </c>
      <c r="C950" s="1341" t="s">
        <v>2183</v>
      </c>
      <c r="D950" s="1310">
        <v>695.70001200000002</v>
      </c>
    </row>
    <row r="951" spans="2:4" x14ac:dyDescent="0.2">
      <c r="B951" s="1341">
        <v>1061</v>
      </c>
      <c r="C951" s="1341" t="s">
        <v>2184</v>
      </c>
      <c r="D951" s="1310">
        <v>654.52857300000005</v>
      </c>
    </row>
    <row r="952" spans="2:4" x14ac:dyDescent="0.2">
      <c r="B952" s="1341">
        <v>1062</v>
      </c>
      <c r="C952" s="1341" t="s">
        <v>2185</v>
      </c>
      <c r="D952" s="1310">
        <v>658.92500299999995</v>
      </c>
    </row>
    <row r="953" spans="2:4" x14ac:dyDescent="0.2">
      <c r="B953" s="1341">
        <v>1063</v>
      </c>
      <c r="C953" s="1341" t="s">
        <v>2186</v>
      </c>
      <c r="D953" s="1310">
        <v>678.48750299999995</v>
      </c>
    </row>
    <row r="954" spans="2:4" ht="15" x14ac:dyDescent="0.2">
      <c r="B954" s="1353">
        <v>1101</v>
      </c>
      <c r="C954" s="1341" t="s">
        <v>2187</v>
      </c>
      <c r="D954" s="1354">
        <v>529.46667000000002</v>
      </c>
    </row>
    <row r="955" spans="2:4" ht="15" x14ac:dyDescent="0.2">
      <c r="B955" s="1353">
        <v>1102</v>
      </c>
      <c r="C955" s="1341" t="s">
        <v>2188</v>
      </c>
      <c r="D955" s="1354">
        <v>525.04285100000004</v>
      </c>
    </row>
    <row r="956" spans="2:4" ht="15" x14ac:dyDescent="0.2">
      <c r="B956" s="1353">
        <v>1103</v>
      </c>
      <c r="C956" s="1341" t="s">
        <v>2189</v>
      </c>
      <c r="D956" s="1354">
        <v>529.25</v>
      </c>
    </row>
    <row r="957" spans="2:4" ht="15" x14ac:dyDescent="0.2">
      <c r="B957" s="1353">
        <v>1104</v>
      </c>
      <c r="C957" s="1341" t="s">
        <v>2190</v>
      </c>
      <c r="D957" s="1354">
        <v>518.5</v>
      </c>
    </row>
    <row r="958" spans="2:4" ht="15" x14ac:dyDescent="0.2">
      <c r="B958" s="1353">
        <v>1105</v>
      </c>
      <c r="C958" s="1341" t="s">
        <v>2191</v>
      </c>
      <c r="D958" s="1354">
        <v>526.52499799999998</v>
      </c>
    </row>
    <row r="959" spans="2:4" ht="15" x14ac:dyDescent="0.2">
      <c r="B959" s="1353">
        <v>1106</v>
      </c>
      <c r="C959" s="1341" t="s">
        <v>2192</v>
      </c>
      <c r="D959" s="1354">
        <v>541.5</v>
      </c>
    </row>
    <row r="960" spans="2:4" x14ac:dyDescent="0.2">
      <c r="B960" s="1341">
        <v>1107</v>
      </c>
      <c r="C960" s="1341" t="s">
        <v>2193</v>
      </c>
      <c r="D960" s="1310">
        <v>564.63334099999997</v>
      </c>
    </row>
    <row r="961" spans="2:4" x14ac:dyDescent="0.2">
      <c r="B961" s="1341">
        <v>1108</v>
      </c>
      <c r="C961" s="1341" t="s">
        <v>2194</v>
      </c>
      <c r="D961" s="1310">
        <v>556.55000299999995</v>
      </c>
    </row>
    <row r="962" spans="2:4" ht="15" x14ac:dyDescent="0.2">
      <c r="B962" s="1353">
        <v>1109</v>
      </c>
      <c r="C962" s="1341" t="s">
        <v>2195</v>
      </c>
      <c r="D962" s="1354">
        <v>529.90002400000003</v>
      </c>
    </row>
    <row r="963" spans="2:4" ht="15" x14ac:dyDescent="0.2">
      <c r="B963" s="1353">
        <v>1110</v>
      </c>
      <c r="C963" s="1341" t="s">
        <v>2196</v>
      </c>
      <c r="D963" s="1354">
        <v>540.02497900000003</v>
      </c>
    </row>
    <row r="964" spans="2:4" ht="15" x14ac:dyDescent="0.2">
      <c r="B964" s="1353">
        <v>1111</v>
      </c>
      <c r="C964" s="1341" t="s">
        <v>2197</v>
      </c>
      <c r="D964" s="1354">
        <v>544.5</v>
      </c>
    </row>
    <row r="965" spans="2:4" x14ac:dyDescent="0.2">
      <c r="B965" s="1341">
        <v>1112</v>
      </c>
      <c r="C965" s="1341" t="s">
        <v>2198</v>
      </c>
      <c r="D965" s="1310">
        <v>564.64285700000005</v>
      </c>
    </row>
    <row r="966" spans="2:4" x14ac:dyDescent="0.2">
      <c r="B966" s="1341">
        <v>1113</v>
      </c>
      <c r="C966" s="1341" t="s">
        <v>2199</v>
      </c>
      <c r="D966" s="1310">
        <v>575.43998999999997</v>
      </c>
    </row>
    <row r="967" spans="2:4" x14ac:dyDescent="0.2">
      <c r="B967" s="1341">
        <v>1114</v>
      </c>
      <c r="C967" s="1341" t="s">
        <v>2200</v>
      </c>
      <c r="D967" s="1310">
        <v>595.02499399999999</v>
      </c>
    </row>
    <row r="968" spans="2:4" x14ac:dyDescent="0.2">
      <c r="B968" s="1341">
        <v>1115</v>
      </c>
      <c r="C968" s="1341" t="s">
        <v>2201</v>
      </c>
      <c r="D968" s="1310">
        <v>602.5</v>
      </c>
    </row>
    <row r="969" spans="2:4" x14ac:dyDescent="0.2">
      <c r="B969" s="1341">
        <v>1116</v>
      </c>
      <c r="C969" s="1341" t="s">
        <v>2202</v>
      </c>
      <c r="D969" s="1310">
        <v>612.09999600000003</v>
      </c>
    </row>
    <row r="970" spans="2:4" x14ac:dyDescent="0.2">
      <c r="B970" s="1341">
        <v>1117</v>
      </c>
      <c r="C970" s="1341" t="s">
        <v>2203</v>
      </c>
      <c r="D970" s="1310">
        <v>614.19999700000005</v>
      </c>
    </row>
    <row r="971" spans="2:4" x14ac:dyDescent="0.2">
      <c r="B971" s="1341">
        <v>1118</v>
      </c>
      <c r="C971" s="1341" t="s">
        <v>2204</v>
      </c>
      <c r="D971" s="1310">
        <v>620.40002400000003</v>
      </c>
    </row>
    <row r="972" spans="2:4" x14ac:dyDescent="0.2">
      <c r="B972" s="1341">
        <v>1119</v>
      </c>
      <c r="C972" s="1341" t="s">
        <v>2205</v>
      </c>
      <c r="D972" s="1310">
        <v>554.70000700000003</v>
      </c>
    </row>
    <row r="973" spans="2:4" ht="15" x14ac:dyDescent="0.2">
      <c r="B973" s="1353">
        <v>1120</v>
      </c>
      <c r="C973" s="1341" t="s">
        <v>2206</v>
      </c>
      <c r="D973" s="1354">
        <v>541.85999800000002</v>
      </c>
    </row>
    <row r="974" spans="2:4" ht="15" x14ac:dyDescent="0.2">
      <c r="B974" s="1353">
        <v>1121</v>
      </c>
      <c r="C974" s="1341" t="s">
        <v>2207</v>
      </c>
      <c r="D974" s="1354">
        <v>541.25</v>
      </c>
    </row>
    <row r="975" spans="2:4" ht="15" x14ac:dyDescent="0.2">
      <c r="B975" s="1353">
        <v>1122</v>
      </c>
      <c r="C975" s="1341" t="s">
        <v>2208</v>
      </c>
      <c r="D975" s="1354">
        <v>521.5</v>
      </c>
    </row>
    <row r="976" spans="2:4" x14ac:dyDescent="0.2">
      <c r="B976" s="1341">
        <v>1123</v>
      </c>
      <c r="C976" s="1341" t="s">
        <v>2209</v>
      </c>
      <c r="D976" s="1310">
        <v>558.04998799999998</v>
      </c>
    </row>
    <row r="977" spans="2:4" ht="15" x14ac:dyDescent="0.2">
      <c r="B977" s="1353">
        <v>1124</v>
      </c>
      <c r="C977" s="1341" t="s">
        <v>2210</v>
      </c>
      <c r="D977" s="1354">
        <v>521.17142999999999</v>
      </c>
    </row>
    <row r="978" spans="2:4" ht="15" x14ac:dyDescent="0.2">
      <c r="B978" s="1353">
        <v>1125</v>
      </c>
      <c r="C978" s="1341" t="s">
        <v>2211</v>
      </c>
      <c r="D978" s="1354">
        <v>513.63999000000001</v>
      </c>
    </row>
    <row r="979" spans="2:4" ht="15" x14ac:dyDescent="0.2">
      <c r="B979" s="1353">
        <v>1126</v>
      </c>
      <c r="C979" s="1341" t="s">
        <v>2212</v>
      </c>
      <c r="D979" s="1354">
        <v>542.30000800000005</v>
      </c>
    </row>
    <row r="980" spans="2:4" x14ac:dyDescent="0.2">
      <c r="B980" s="1341">
        <v>1127</v>
      </c>
      <c r="C980" s="1341" t="s">
        <v>2213</v>
      </c>
      <c r="D980" s="1310">
        <v>551.95000500000003</v>
      </c>
    </row>
    <row r="981" spans="2:4" x14ac:dyDescent="0.2">
      <c r="B981" s="1341">
        <v>1128</v>
      </c>
      <c r="C981" s="1341" t="s">
        <v>2214</v>
      </c>
      <c r="D981" s="1310">
        <v>587.71667500000001</v>
      </c>
    </row>
    <row r="982" spans="2:4" x14ac:dyDescent="0.2">
      <c r="B982" s="1341">
        <v>1129</v>
      </c>
      <c r="C982" s="1341" t="s">
        <v>2215</v>
      </c>
      <c r="D982" s="1310">
        <v>611.32857799999999</v>
      </c>
    </row>
    <row r="983" spans="2:4" x14ac:dyDescent="0.2">
      <c r="B983" s="1341">
        <v>1130</v>
      </c>
      <c r="C983" s="1341" t="s">
        <v>2216</v>
      </c>
      <c r="D983" s="1310">
        <v>628.51667299999997</v>
      </c>
    </row>
    <row r="984" spans="2:4" x14ac:dyDescent="0.2">
      <c r="B984" s="1341">
        <v>1131</v>
      </c>
      <c r="C984" s="1341" t="s">
        <v>2217</v>
      </c>
      <c r="D984" s="1310">
        <v>634.67500299999995</v>
      </c>
    </row>
    <row r="985" spans="2:4" x14ac:dyDescent="0.2">
      <c r="B985" s="1341">
        <v>1132</v>
      </c>
      <c r="C985" s="1341" t="s">
        <v>2218</v>
      </c>
      <c r="D985" s="1310">
        <v>649.98332700000003</v>
      </c>
    </row>
    <row r="986" spans="2:4" x14ac:dyDescent="0.2">
      <c r="B986" s="1341">
        <v>1133</v>
      </c>
      <c r="C986" s="1341" t="s">
        <v>2219</v>
      </c>
      <c r="D986" s="1310">
        <v>574.36665900000003</v>
      </c>
    </row>
    <row r="987" spans="2:4" x14ac:dyDescent="0.2">
      <c r="B987" s="1341">
        <v>1134</v>
      </c>
      <c r="C987" s="1341" t="s">
        <v>2220</v>
      </c>
      <c r="D987" s="1310">
        <v>554.00000899999998</v>
      </c>
    </row>
    <row r="988" spans="2:4" ht="15" x14ac:dyDescent="0.2">
      <c r="B988" s="1353">
        <v>1135</v>
      </c>
      <c r="C988" s="1341" t="s">
        <v>2221</v>
      </c>
      <c r="D988" s="1354">
        <v>535.32352800000001</v>
      </c>
    </row>
    <row r="989" spans="2:4" ht="15" x14ac:dyDescent="0.2">
      <c r="B989" s="1353">
        <v>1136</v>
      </c>
      <c r="C989" s="1341" t="s">
        <v>2222</v>
      </c>
      <c r="D989" s="1354">
        <v>512.29998799999998</v>
      </c>
    </row>
    <row r="990" spans="2:4" ht="15" x14ac:dyDescent="0.2">
      <c r="B990" s="1353">
        <v>1137</v>
      </c>
      <c r="C990" s="1341" t="s">
        <v>2223</v>
      </c>
      <c r="D990" s="1354">
        <v>514.40000199999997</v>
      </c>
    </row>
    <row r="991" spans="2:4" ht="15" x14ac:dyDescent="0.2">
      <c r="B991" s="1353">
        <v>1138</v>
      </c>
      <c r="C991" s="1341" t="s">
        <v>2224</v>
      </c>
      <c r="D991" s="1354">
        <v>487.89999399999999</v>
      </c>
    </row>
    <row r="992" spans="2:4" ht="15" x14ac:dyDescent="0.2">
      <c r="B992" s="1353">
        <v>1139</v>
      </c>
      <c r="C992" s="1341" t="s">
        <v>2225</v>
      </c>
      <c r="D992" s="1354">
        <v>496.43332900000001</v>
      </c>
    </row>
    <row r="993" spans="2:4" ht="15" x14ac:dyDescent="0.2">
      <c r="B993" s="1353">
        <v>1140</v>
      </c>
      <c r="C993" s="1341" t="s">
        <v>2226</v>
      </c>
      <c r="D993" s="1354">
        <v>521.157152</v>
      </c>
    </row>
    <row r="994" spans="2:4" ht="15" x14ac:dyDescent="0.2">
      <c r="B994" s="1353">
        <v>1141</v>
      </c>
      <c r="C994" s="1341" t="s">
        <v>2227</v>
      </c>
      <c r="D994" s="1354">
        <v>547.16666699999996</v>
      </c>
    </row>
    <row r="995" spans="2:4" x14ac:dyDescent="0.2">
      <c r="B995" s="1341">
        <v>1142</v>
      </c>
      <c r="C995" s="1341" t="s">
        <v>2228</v>
      </c>
      <c r="D995" s="1310">
        <v>566.59999100000005</v>
      </c>
    </row>
    <row r="996" spans="2:4" x14ac:dyDescent="0.2">
      <c r="B996" s="1341">
        <v>1143</v>
      </c>
      <c r="C996" s="1341" t="s">
        <v>2229</v>
      </c>
      <c r="D996" s="1310">
        <v>597.11818100000005</v>
      </c>
    </row>
    <row r="997" spans="2:4" x14ac:dyDescent="0.2">
      <c r="B997" s="1341">
        <v>1144</v>
      </c>
      <c r="C997" s="1341" t="s">
        <v>2230</v>
      </c>
      <c r="D997" s="1310">
        <v>621.33333300000004</v>
      </c>
    </row>
    <row r="998" spans="2:4" x14ac:dyDescent="0.2">
      <c r="B998" s="1341">
        <v>1145</v>
      </c>
      <c r="C998" s="1341" t="s">
        <v>2231</v>
      </c>
      <c r="D998" s="1310">
        <v>665.08334400000001</v>
      </c>
    </row>
    <row r="999" spans="2:4" x14ac:dyDescent="0.2">
      <c r="B999" s="1341">
        <v>1146</v>
      </c>
      <c r="C999" s="1341" t="s">
        <v>2232</v>
      </c>
      <c r="D999" s="1310">
        <v>727.78000499999996</v>
      </c>
    </row>
    <row r="1000" spans="2:4" x14ac:dyDescent="0.2">
      <c r="B1000" s="1341">
        <v>1147</v>
      </c>
      <c r="C1000" s="1341" t="s">
        <v>2233</v>
      </c>
      <c r="D1000" s="1310">
        <v>739.95001200000002</v>
      </c>
    </row>
    <row r="1001" spans="2:4" x14ac:dyDescent="0.2">
      <c r="B1001" s="1341">
        <v>1148</v>
      </c>
      <c r="C1001" s="1341" t="s">
        <v>2234</v>
      </c>
      <c r="D1001" s="1310">
        <v>581.25556099999994</v>
      </c>
    </row>
    <row r="1002" spans="2:4" ht="15" x14ac:dyDescent="0.2">
      <c r="B1002" s="1353">
        <v>1149</v>
      </c>
      <c r="C1002" s="1341" t="s">
        <v>2235</v>
      </c>
      <c r="D1002" s="1354">
        <v>530.93749200000002</v>
      </c>
    </row>
    <row r="1003" spans="2:4" ht="15" x14ac:dyDescent="0.2">
      <c r="B1003" s="1353">
        <v>1150</v>
      </c>
      <c r="C1003" s="1341" t="s">
        <v>2236</v>
      </c>
      <c r="D1003" s="1354">
        <v>518.93335000000002</v>
      </c>
    </row>
    <row r="1004" spans="2:4" ht="15" x14ac:dyDescent="0.2">
      <c r="B1004" s="1353">
        <v>1151</v>
      </c>
      <c r="C1004" s="1341" t="s">
        <v>2237</v>
      </c>
      <c r="D1004" s="1354">
        <v>527.48888499999998</v>
      </c>
    </row>
    <row r="1005" spans="2:4" ht="15" x14ac:dyDescent="0.2">
      <c r="B1005" s="1353">
        <v>1152</v>
      </c>
      <c r="C1005" s="1341" t="s">
        <v>2238</v>
      </c>
      <c r="D1005" s="1354">
        <v>516.75999100000001</v>
      </c>
    </row>
    <row r="1006" spans="2:4" ht="15" x14ac:dyDescent="0.2">
      <c r="B1006" s="1353">
        <v>1153</v>
      </c>
      <c r="C1006" s="1341" t="s">
        <v>2239</v>
      </c>
      <c r="D1006" s="1354">
        <v>529.84997599999997</v>
      </c>
    </row>
    <row r="1007" spans="2:4" x14ac:dyDescent="0.2">
      <c r="B1007" s="1341">
        <v>1154</v>
      </c>
      <c r="C1007" s="1341" t="s">
        <v>2240</v>
      </c>
      <c r="D1007" s="1310">
        <v>554.57693200000006</v>
      </c>
    </row>
    <row r="1008" spans="2:4" x14ac:dyDescent="0.2">
      <c r="B1008" s="1341">
        <v>1155</v>
      </c>
      <c r="C1008" s="1341" t="s">
        <v>2241</v>
      </c>
      <c r="D1008" s="1310">
        <v>576.77142300000003</v>
      </c>
    </row>
    <row r="1009" spans="2:4" x14ac:dyDescent="0.2">
      <c r="B1009" s="1341">
        <v>1156</v>
      </c>
      <c r="C1009" s="1341" t="s">
        <v>2242</v>
      </c>
      <c r="D1009" s="1310">
        <v>613.40000199999997</v>
      </c>
    </row>
    <row r="1010" spans="2:4" x14ac:dyDescent="0.2">
      <c r="B1010" s="1341">
        <v>1157</v>
      </c>
      <c r="C1010" s="1341" t="s">
        <v>2243</v>
      </c>
      <c r="D1010" s="1310">
        <v>641.42856300000005</v>
      </c>
    </row>
    <row r="1011" spans="2:4" x14ac:dyDescent="0.2">
      <c r="B1011" s="1341">
        <v>1158</v>
      </c>
      <c r="C1011" s="1341" t="s">
        <v>2244</v>
      </c>
      <c r="D1011" s="1310">
        <v>700.42500299999995</v>
      </c>
    </row>
    <row r="1012" spans="2:4" x14ac:dyDescent="0.2">
      <c r="B1012" s="1341">
        <v>1159</v>
      </c>
      <c r="C1012" s="1341" t="s">
        <v>2245</v>
      </c>
      <c r="D1012" s="1310">
        <v>709.125</v>
      </c>
    </row>
    <row r="1013" spans="2:4" x14ac:dyDescent="0.2">
      <c r="B1013" s="1341">
        <v>1160</v>
      </c>
      <c r="C1013" s="1341" t="s">
        <v>2246</v>
      </c>
      <c r="D1013" s="1310">
        <v>672.30000299999995</v>
      </c>
    </row>
    <row r="1014" spans="2:4" x14ac:dyDescent="0.2">
      <c r="B1014" s="1341">
        <v>1161</v>
      </c>
      <c r="C1014" s="1341" t="s">
        <v>2247</v>
      </c>
      <c r="D1014" s="1310">
        <v>700</v>
      </c>
    </row>
    <row r="1015" spans="2:4" x14ac:dyDescent="0.2">
      <c r="B1015" s="1341">
        <v>1162</v>
      </c>
      <c r="C1015" s="1341" t="s">
        <v>2248</v>
      </c>
      <c r="D1015" s="1310">
        <v>648.06667100000004</v>
      </c>
    </row>
    <row r="1016" spans="2:4" x14ac:dyDescent="0.2">
      <c r="B1016" s="1341">
        <v>1163</v>
      </c>
      <c r="C1016" s="1341" t="s">
        <v>2249</v>
      </c>
      <c r="D1016" s="1310">
        <v>618.5</v>
      </c>
    </row>
    <row r="1017" spans="2:4" x14ac:dyDescent="0.2">
      <c r="B1017" s="1341">
        <v>1164</v>
      </c>
      <c r="C1017" s="1341" t="s">
        <v>1531</v>
      </c>
      <c r="D1017" s="1310">
        <v>587.5</v>
      </c>
    </row>
    <row r="1018" spans="2:4" x14ac:dyDescent="0.2">
      <c r="B1018" s="1341">
        <v>1165</v>
      </c>
      <c r="C1018" s="1341" t="s">
        <v>2250</v>
      </c>
      <c r="D1018" s="1310">
        <v>575.03334600000005</v>
      </c>
    </row>
    <row r="1019" spans="2:4" x14ac:dyDescent="0.2">
      <c r="B1019" s="1341">
        <v>1166</v>
      </c>
      <c r="C1019" s="1341" t="s">
        <v>2251</v>
      </c>
      <c r="D1019" s="1310">
        <v>577.09998800000005</v>
      </c>
    </row>
    <row r="1020" spans="2:4" x14ac:dyDescent="0.2">
      <c r="B1020" s="1341">
        <v>1167</v>
      </c>
      <c r="C1020" s="1341" t="s">
        <v>2252</v>
      </c>
      <c r="D1020" s="1310">
        <v>563.05000800000005</v>
      </c>
    </row>
    <row r="1021" spans="2:4" ht="15" x14ac:dyDescent="0.2">
      <c r="B1021" s="1353">
        <v>1168</v>
      </c>
      <c r="C1021" s="1341" t="s">
        <v>444</v>
      </c>
      <c r="D1021" s="1354">
        <v>533.63750500000003</v>
      </c>
    </row>
    <row r="1022" spans="2:4" ht="15" x14ac:dyDescent="0.2">
      <c r="B1022" s="1353">
        <v>1169</v>
      </c>
      <c r="C1022" s="1341" t="s">
        <v>2253</v>
      </c>
      <c r="D1022" s="1354">
        <v>544.46875</v>
      </c>
    </row>
    <row r="1023" spans="2:4" x14ac:dyDescent="0.2">
      <c r="B1023" s="1341">
        <v>1170</v>
      </c>
      <c r="C1023" s="1341" t="s">
        <v>2254</v>
      </c>
      <c r="D1023" s="1310">
        <v>595.21001000000001</v>
      </c>
    </row>
    <row r="1024" spans="2:4" x14ac:dyDescent="0.2">
      <c r="B1024" s="1341">
        <v>1171</v>
      </c>
      <c r="C1024" s="1341" t="s">
        <v>2255</v>
      </c>
      <c r="D1024" s="1310">
        <v>585.22500600000001</v>
      </c>
    </row>
    <row r="1025" spans="2:4" x14ac:dyDescent="0.2">
      <c r="B1025" s="1341">
        <v>1172</v>
      </c>
      <c r="C1025" s="1341" t="s">
        <v>2256</v>
      </c>
      <c r="D1025" s="1310">
        <v>622.15999799999997</v>
      </c>
    </row>
    <row r="1026" spans="2:4" x14ac:dyDescent="0.2">
      <c r="B1026" s="1341">
        <v>1173</v>
      </c>
      <c r="C1026" s="1341" t="s">
        <v>2257</v>
      </c>
      <c r="D1026" s="1310">
        <v>695.40002400000003</v>
      </c>
    </row>
    <row r="1027" spans="2:4" x14ac:dyDescent="0.2">
      <c r="B1027" s="1341">
        <v>1174</v>
      </c>
      <c r="C1027" s="1341" t="s">
        <v>2258</v>
      </c>
      <c r="D1027" s="1310">
        <v>726.40000399999997</v>
      </c>
    </row>
    <row r="1028" spans="2:4" x14ac:dyDescent="0.2">
      <c r="B1028" s="1341">
        <v>1175</v>
      </c>
      <c r="C1028" s="1341" t="s">
        <v>2259</v>
      </c>
      <c r="D1028" s="1310">
        <v>726.80000299999995</v>
      </c>
    </row>
    <row r="1029" spans="2:4" x14ac:dyDescent="0.2">
      <c r="B1029" s="1341">
        <v>1176</v>
      </c>
      <c r="C1029" s="1341" t="s">
        <v>2260</v>
      </c>
      <c r="D1029" s="1310">
        <v>647.25</v>
      </c>
    </row>
    <row r="1030" spans="2:4" x14ac:dyDescent="0.2">
      <c r="B1030" s="1341">
        <v>1177</v>
      </c>
      <c r="C1030" s="1341" t="s">
        <v>2261</v>
      </c>
      <c r="D1030" s="1310">
        <v>676.71999500000004</v>
      </c>
    </row>
    <row r="1031" spans="2:4" x14ac:dyDescent="0.2">
      <c r="B1031" s="1341">
        <v>1178</v>
      </c>
      <c r="C1031" s="1341" t="s">
        <v>2262</v>
      </c>
      <c r="D1031" s="1310">
        <v>653.866669</v>
      </c>
    </row>
    <row r="1032" spans="2:4" x14ac:dyDescent="0.2">
      <c r="B1032" s="1341">
        <v>1179</v>
      </c>
      <c r="C1032" s="1341" t="s">
        <v>2263</v>
      </c>
      <c r="D1032" s="1310">
        <v>660.09997599999997</v>
      </c>
    </row>
    <row r="1033" spans="2:4" ht="15" x14ac:dyDescent="0.2">
      <c r="B1033" s="1353">
        <v>1180</v>
      </c>
      <c r="C1033" s="1341" t="s">
        <v>2264</v>
      </c>
      <c r="D1033" s="1354">
        <v>548.65713900000003</v>
      </c>
    </row>
    <row r="1034" spans="2:4" ht="15" x14ac:dyDescent="0.2">
      <c r="B1034" s="1353">
        <v>1181</v>
      </c>
      <c r="C1034" s="1341" t="s">
        <v>2265</v>
      </c>
      <c r="D1034" s="1354">
        <v>543.03334600000005</v>
      </c>
    </row>
    <row r="1035" spans="2:4" ht="15" x14ac:dyDescent="0.2">
      <c r="B1035" s="1353">
        <v>1182</v>
      </c>
      <c r="C1035" s="1341" t="s">
        <v>2266</v>
      </c>
      <c r="D1035" s="1354">
        <v>545.9</v>
      </c>
    </row>
    <row r="1036" spans="2:4" ht="15" x14ac:dyDescent="0.2">
      <c r="B1036" s="1353">
        <v>1183</v>
      </c>
      <c r="C1036" s="1341" t="s">
        <v>2267</v>
      </c>
      <c r="D1036" s="1354">
        <v>537.29998799999998</v>
      </c>
    </row>
    <row r="1037" spans="2:4" x14ac:dyDescent="0.2">
      <c r="B1037" s="1341">
        <v>1184</v>
      </c>
      <c r="C1037" s="1341" t="s">
        <v>2268</v>
      </c>
      <c r="D1037" s="1310">
        <v>552.59167000000002</v>
      </c>
    </row>
    <row r="1038" spans="2:4" ht="15" x14ac:dyDescent="0.2">
      <c r="B1038" s="1353">
        <v>1185</v>
      </c>
      <c r="C1038" s="1341" t="s">
        <v>2269</v>
      </c>
      <c r="D1038" s="1354">
        <v>543.47500600000001</v>
      </c>
    </row>
    <row r="1039" spans="2:4" x14ac:dyDescent="0.2">
      <c r="B1039" s="1341">
        <v>1186</v>
      </c>
      <c r="C1039" s="1341" t="s">
        <v>2270</v>
      </c>
      <c r="D1039" s="1310">
        <v>634.61248799999998</v>
      </c>
    </row>
    <row r="1040" spans="2:4" x14ac:dyDescent="0.2">
      <c r="B1040" s="1341">
        <v>1187</v>
      </c>
      <c r="C1040" s="1341" t="s">
        <v>2271</v>
      </c>
      <c r="D1040" s="1310">
        <v>606.452178</v>
      </c>
    </row>
    <row r="1041" spans="2:4" x14ac:dyDescent="0.2">
      <c r="B1041" s="1341">
        <v>1188</v>
      </c>
      <c r="C1041" s="1341" t="s">
        <v>2272</v>
      </c>
      <c r="D1041" s="1310">
        <v>621.66666699999996</v>
      </c>
    </row>
    <row r="1042" spans="2:4" x14ac:dyDescent="0.2">
      <c r="B1042" s="1341">
        <v>1189</v>
      </c>
      <c r="C1042" s="1341" t="s">
        <v>2273</v>
      </c>
      <c r="D1042" s="1310">
        <v>644.52000699999996</v>
      </c>
    </row>
    <row r="1043" spans="2:4" x14ac:dyDescent="0.2">
      <c r="B1043" s="1341">
        <v>1190</v>
      </c>
      <c r="C1043" s="1341" t="s">
        <v>2274</v>
      </c>
      <c r="D1043" s="1310">
        <v>657.90002400000003</v>
      </c>
    </row>
    <row r="1044" spans="2:4" x14ac:dyDescent="0.2">
      <c r="B1044" s="1341">
        <v>1191</v>
      </c>
      <c r="C1044" s="1341" t="s">
        <v>2275</v>
      </c>
      <c r="D1044" s="1310">
        <v>647.82499700000005</v>
      </c>
    </row>
    <row r="1045" spans="2:4" x14ac:dyDescent="0.2">
      <c r="B1045" s="1341">
        <v>1192</v>
      </c>
      <c r="C1045" s="1341" t="s">
        <v>2276</v>
      </c>
      <c r="D1045" s="1310">
        <v>637.75</v>
      </c>
    </row>
    <row r="1046" spans="2:4" x14ac:dyDescent="0.2">
      <c r="B1046" s="1341">
        <v>1193</v>
      </c>
      <c r="C1046" s="1341" t="s">
        <v>2277</v>
      </c>
      <c r="D1046" s="1310">
        <v>656.08124499999997</v>
      </c>
    </row>
    <row r="1047" spans="2:4" x14ac:dyDescent="0.2">
      <c r="B1047" s="1341">
        <v>1194</v>
      </c>
      <c r="C1047" s="1341" t="s">
        <v>2278</v>
      </c>
      <c r="D1047" s="1310">
        <v>681.63749700000005</v>
      </c>
    </row>
    <row r="1048" spans="2:4" x14ac:dyDescent="0.2">
      <c r="B1048" s="1341">
        <v>1195</v>
      </c>
      <c r="C1048" s="1341" t="s">
        <v>2279</v>
      </c>
      <c r="D1048" s="1310">
        <v>716.43332899999996</v>
      </c>
    </row>
    <row r="1049" spans="2:4" x14ac:dyDescent="0.2">
      <c r="B1049" s="1341">
        <v>1196</v>
      </c>
      <c r="C1049" s="1341" t="s">
        <v>2280</v>
      </c>
      <c r="D1049" s="1310">
        <v>680.17501100000004</v>
      </c>
    </row>
    <row r="1050" spans="2:4" x14ac:dyDescent="0.2">
      <c r="B1050" s="1341">
        <v>1197</v>
      </c>
      <c r="C1050" s="1341" t="s">
        <v>2281</v>
      </c>
      <c r="D1050" s="1310">
        <v>671.05454299999997</v>
      </c>
    </row>
    <row r="1051" spans="2:4" x14ac:dyDescent="0.2">
      <c r="B1051" s="1341">
        <v>1198</v>
      </c>
      <c r="C1051" s="1341" t="s">
        <v>2282</v>
      </c>
      <c r="D1051" s="1310">
        <v>668.129999</v>
      </c>
    </row>
    <row r="1052" spans="2:4" x14ac:dyDescent="0.2">
      <c r="B1052" s="1341">
        <v>1199</v>
      </c>
      <c r="C1052" s="1341" t="s">
        <v>2283</v>
      </c>
      <c r="D1052" s="1310">
        <v>644.13334099999997</v>
      </c>
    </row>
    <row r="1053" spans="2:4" x14ac:dyDescent="0.2">
      <c r="B1053" s="1341">
        <v>1200</v>
      </c>
      <c r="C1053" s="1341" t="s">
        <v>2284</v>
      </c>
      <c r="D1053" s="1310">
        <v>645.29998799999998</v>
      </c>
    </row>
    <row r="1054" spans="2:4" x14ac:dyDescent="0.2">
      <c r="B1054" s="1341">
        <v>1201</v>
      </c>
      <c r="C1054" s="1341" t="s">
        <v>2285</v>
      </c>
      <c r="D1054" s="1310">
        <v>623.54998799999998</v>
      </c>
    </row>
    <row r="1055" spans="2:4" x14ac:dyDescent="0.2">
      <c r="B1055" s="1341">
        <v>1202</v>
      </c>
      <c r="C1055" s="1341" t="s">
        <v>2286</v>
      </c>
      <c r="D1055" s="1310">
        <v>635.16666699999996</v>
      </c>
    </row>
    <row r="1056" spans="2:4" ht="15" x14ac:dyDescent="0.2">
      <c r="B1056" s="1353">
        <v>1203</v>
      </c>
      <c r="C1056" s="1341" t="s">
        <v>2287</v>
      </c>
      <c r="D1056" s="1354">
        <v>523.26666299999999</v>
      </c>
    </row>
    <row r="1057" spans="2:4" ht="15" x14ac:dyDescent="0.2">
      <c r="B1057" s="1353">
        <v>1204</v>
      </c>
      <c r="C1057" s="1341" t="s">
        <v>2288</v>
      </c>
      <c r="D1057" s="1354">
        <v>525.30000299999995</v>
      </c>
    </row>
    <row r="1058" spans="2:4" ht="15" x14ac:dyDescent="0.2">
      <c r="B1058" s="1353">
        <v>1205</v>
      </c>
      <c r="C1058" s="1341" t="s">
        <v>2289</v>
      </c>
      <c r="D1058" s="1354">
        <v>538.50000999999997</v>
      </c>
    </row>
    <row r="1059" spans="2:4" x14ac:dyDescent="0.2">
      <c r="B1059" s="1341">
        <v>1206</v>
      </c>
      <c r="C1059" s="1341" t="s">
        <v>2290</v>
      </c>
      <c r="D1059" s="1310">
        <v>566.48461899999995</v>
      </c>
    </row>
    <row r="1060" spans="2:4" x14ac:dyDescent="0.2">
      <c r="B1060" s="1341">
        <v>1207</v>
      </c>
      <c r="C1060" s="1341" t="s">
        <v>2291</v>
      </c>
      <c r="D1060" s="1310">
        <v>612.27778499999999</v>
      </c>
    </row>
    <row r="1061" spans="2:4" x14ac:dyDescent="0.2">
      <c r="B1061" s="1341">
        <v>1208</v>
      </c>
      <c r="C1061" s="1341" t="s">
        <v>2292</v>
      </c>
      <c r="D1061" s="1310">
        <v>613.72000700000001</v>
      </c>
    </row>
    <row r="1062" spans="2:4" x14ac:dyDescent="0.2">
      <c r="B1062" s="1341">
        <v>1209</v>
      </c>
      <c r="C1062" s="1341" t="s">
        <v>2293</v>
      </c>
      <c r="D1062" s="1310">
        <v>622.29998799999998</v>
      </c>
    </row>
    <row r="1063" spans="2:4" x14ac:dyDescent="0.2">
      <c r="B1063" s="1341">
        <v>1210</v>
      </c>
      <c r="C1063" s="1341" t="s">
        <v>2294</v>
      </c>
      <c r="D1063" s="1310">
        <v>636.49997599999995</v>
      </c>
    </row>
    <row r="1064" spans="2:4" x14ac:dyDescent="0.2">
      <c r="B1064" s="1341">
        <v>1211</v>
      </c>
      <c r="C1064" s="1341" t="s">
        <v>2295</v>
      </c>
      <c r="D1064" s="1310">
        <v>638.61111100000005</v>
      </c>
    </row>
    <row r="1065" spans="2:4" x14ac:dyDescent="0.2">
      <c r="B1065" s="1341">
        <v>1212</v>
      </c>
      <c r="C1065" s="1341" t="s">
        <v>2296</v>
      </c>
      <c r="D1065" s="1310">
        <v>653</v>
      </c>
    </row>
    <row r="1066" spans="2:4" x14ac:dyDescent="0.2">
      <c r="B1066" s="1341">
        <v>1213</v>
      </c>
      <c r="C1066" s="1341" t="s">
        <v>2297</v>
      </c>
      <c r="D1066" s="1310">
        <v>651.29998799999998</v>
      </c>
    </row>
    <row r="1067" spans="2:4" x14ac:dyDescent="0.2">
      <c r="B1067" s="1341">
        <v>1214</v>
      </c>
      <c r="C1067" s="1341" t="s">
        <v>2298</v>
      </c>
      <c r="D1067" s="1310">
        <v>687.51428199999998</v>
      </c>
    </row>
    <row r="1068" spans="2:4" x14ac:dyDescent="0.2">
      <c r="B1068" s="1341">
        <v>1215</v>
      </c>
      <c r="C1068" s="1341" t="s">
        <v>2299</v>
      </c>
      <c r="D1068" s="1310">
        <v>670.57999299999994</v>
      </c>
    </row>
    <row r="1069" spans="2:4" x14ac:dyDescent="0.2">
      <c r="B1069" s="1341">
        <v>1216</v>
      </c>
      <c r="C1069" s="1341" t="s">
        <v>2300</v>
      </c>
      <c r="D1069" s="1310">
        <v>649.29998799999998</v>
      </c>
    </row>
    <row r="1070" spans="2:4" ht="15" x14ac:dyDescent="0.2">
      <c r="B1070" s="1353">
        <v>1217</v>
      </c>
      <c r="C1070" s="1341" t="s">
        <v>2301</v>
      </c>
      <c r="D1070" s="1354">
        <v>532.633331</v>
      </c>
    </row>
    <row r="1071" spans="2:4" ht="15" x14ac:dyDescent="0.2">
      <c r="B1071" s="1353">
        <v>1218</v>
      </c>
      <c r="C1071" s="1341" t="s">
        <v>2302</v>
      </c>
      <c r="D1071" s="1354">
        <v>541.81999499999995</v>
      </c>
    </row>
    <row r="1072" spans="2:4" x14ac:dyDescent="0.2">
      <c r="B1072" s="1341">
        <v>1219</v>
      </c>
      <c r="C1072" s="1341" t="s">
        <v>2303</v>
      </c>
      <c r="D1072" s="1310">
        <v>557.88334099999997</v>
      </c>
    </row>
    <row r="1073" spans="2:4" x14ac:dyDescent="0.2">
      <c r="B1073" s="1341">
        <v>1220</v>
      </c>
      <c r="C1073" s="1341" t="s">
        <v>2304</v>
      </c>
      <c r="D1073" s="1310">
        <v>567.22500600000001</v>
      </c>
    </row>
    <row r="1074" spans="2:4" x14ac:dyDescent="0.2">
      <c r="B1074" s="1341">
        <v>1221</v>
      </c>
      <c r="C1074" s="1341" t="s">
        <v>2305</v>
      </c>
      <c r="D1074" s="1310">
        <v>579.67999299999997</v>
      </c>
    </row>
    <row r="1075" spans="2:4" x14ac:dyDescent="0.2">
      <c r="B1075" s="1341">
        <v>1222</v>
      </c>
      <c r="C1075" s="1341" t="s">
        <v>2306</v>
      </c>
      <c r="D1075" s="1310">
        <v>607.22222199999999</v>
      </c>
    </row>
    <row r="1076" spans="2:4" x14ac:dyDescent="0.2">
      <c r="B1076" s="1341">
        <v>1223</v>
      </c>
      <c r="C1076" s="1341" t="s">
        <v>2307</v>
      </c>
      <c r="D1076" s="1310">
        <v>627.45455100000004</v>
      </c>
    </row>
    <row r="1077" spans="2:4" x14ac:dyDescent="0.2">
      <c r="B1077" s="1341">
        <v>1224</v>
      </c>
      <c r="C1077" s="1341" t="s">
        <v>2308</v>
      </c>
      <c r="D1077" s="1310">
        <v>641.37501499999996</v>
      </c>
    </row>
    <row r="1078" spans="2:4" x14ac:dyDescent="0.2">
      <c r="B1078" s="1341">
        <v>1225</v>
      </c>
      <c r="C1078" s="1341" t="s">
        <v>2309</v>
      </c>
      <c r="D1078" s="1310">
        <v>632.14999399999999</v>
      </c>
    </row>
    <row r="1079" spans="2:4" x14ac:dyDescent="0.2">
      <c r="B1079" s="1341">
        <v>1226</v>
      </c>
      <c r="C1079" s="1341" t="s">
        <v>2310</v>
      </c>
      <c r="D1079" s="1310">
        <v>636.47499100000005</v>
      </c>
    </row>
    <row r="1080" spans="2:4" x14ac:dyDescent="0.2">
      <c r="B1080" s="1341">
        <v>1227</v>
      </c>
      <c r="C1080" s="1341" t="s">
        <v>2311</v>
      </c>
      <c r="D1080" s="1310">
        <v>676.99999100000002</v>
      </c>
    </row>
    <row r="1081" spans="2:4" x14ac:dyDescent="0.2">
      <c r="B1081" s="1341">
        <v>1228</v>
      </c>
      <c r="C1081" s="1341" t="s">
        <v>2312</v>
      </c>
      <c r="D1081" s="1310">
        <v>684.46665399999995</v>
      </c>
    </row>
    <row r="1082" spans="2:4" x14ac:dyDescent="0.2">
      <c r="B1082" s="1341">
        <v>1229</v>
      </c>
      <c r="C1082" s="1341" t="s">
        <v>2167</v>
      </c>
      <c r="D1082" s="1310">
        <v>656.35000600000001</v>
      </c>
    </row>
    <row r="1083" spans="2:4" x14ac:dyDescent="0.2">
      <c r="B1083" s="1341">
        <v>1230</v>
      </c>
      <c r="C1083" s="1341" t="s">
        <v>2313</v>
      </c>
      <c r="D1083" s="1310">
        <v>561.79998799999998</v>
      </c>
    </row>
    <row r="1084" spans="2:4" x14ac:dyDescent="0.2">
      <c r="B1084" s="1341">
        <v>1231</v>
      </c>
      <c r="C1084" s="1341" t="s">
        <v>2314</v>
      </c>
      <c r="D1084" s="1310">
        <v>573.75</v>
      </c>
    </row>
    <row r="1085" spans="2:4" x14ac:dyDescent="0.2">
      <c r="B1085" s="1341">
        <v>1232</v>
      </c>
      <c r="C1085" s="1341" t="s">
        <v>2315</v>
      </c>
      <c r="D1085" s="1310">
        <v>562.639996</v>
      </c>
    </row>
    <row r="1086" spans="2:4" x14ac:dyDescent="0.2">
      <c r="B1086" s="1341">
        <v>1233</v>
      </c>
      <c r="C1086" s="1341" t="s">
        <v>2316</v>
      </c>
      <c r="D1086" s="1310">
        <v>575.94000200000005</v>
      </c>
    </row>
    <row r="1087" spans="2:4" x14ac:dyDescent="0.2">
      <c r="B1087" s="1341">
        <v>1234</v>
      </c>
      <c r="C1087" s="1341" t="s">
        <v>2317</v>
      </c>
      <c r="D1087" s="1310">
        <v>560.84000200000003</v>
      </c>
    </row>
    <row r="1088" spans="2:4" ht="15" x14ac:dyDescent="0.2">
      <c r="B1088" s="1353">
        <v>1235</v>
      </c>
      <c r="C1088" s="1341" t="s">
        <v>2318</v>
      </c>
      <c r="D1088" s="1354">
        <v>548.07501200000002</v>
      </c>
    </row>
    <row r="1089" spans="2:4" ht="15" x14ac:dyDescent="0.2">
      <c r="B1089" s="1353">
        <v>1236</v>
      </c>
      <c r="C1089" s="1341" t="s">
        <v>2319</v>
      </c>
      <c r="D1089" s="1354">
        <v>535.70001200000002</v>
      </c>
    </row>
    <row r="1090" spans="2:4" x14ac:dyDescent="0.2">
      <c r="B1090" s="1341">
        <v>1237</v>
      </c>
      <c r="C1090" s="1341" t="s">
        <v>2320</v>
      </c>
      <c r="D1090" s="1310">
        <v>563.63751200000002</v>
      </c>
    </row>
    <row r="1091" spans="2:4" x14ac:dyDescent="0.2">
      <c r="B1091" s="1341">
        <v>1238</v>
      </c>
      <c r="C1091" s="1341" t="s">
        <v>2321</v>
      </c>
      <c r="D1091" s="1310">
        <v>586.75</v>
      </c>
    </row>
    <row r="1092" spans="2:4" x14ac:dyDescent="0.2">
      <c r="B1092" s="1341">
        <v>1239</v>
      </c>
      <c r="C1092" s="1341" t="s">
        <v>2322</v>
      </c>
      <c r="D1092" s="1310">
        <v>604.13636399999996</v>
      </c>
    </row>
    <row r="1093" spans="2:4" x14ac:dyDescent="0.2">
      <c r="B1093" s="1341">
        <v>1240</v>
      </c>
      <c r="C1093" s="1341" t="s">
        <v>2323</v>
      </c>
      <c r="D1093" s="1310">
        <v>618.24999400000002</v>
      </c>
    </row>
    <row r="1094" spans="2:4" x14ac:dyDescent="0.2">
      <c r="B1094" s="1341">
        <v>1241</v>
      </c>
      <c r="C1094" s="1341" t="s">
        <v>2324</v>
      </c>
      <c r="D1094" s="1310">
        <v>630.76666299999999</v>
      </c>
    </row>
    <row r="1095" spans="2:4" x14ac:dyDescent="0.2">
      <c r="B1095" s="1341">
        <v>1242</v>
      </c>
      <c r="C1095" s="1341" t="s">
        <v>2325</v>
      </c>
      <c r="D1095" s="1310">
        <v>647.63332100000002</v>
      </c>
    </row>
    <row r="1096" spans="2:4" x14ac:dyDescent="0.2">
      <c r="B1096" s="1341">
        <v>1243</v>
      </c>
      <c r="C1096" s="1341" t="s">
        <v>2326</v>
      </c>
      <c r="D1096" s="1310">
        <v>635.31999900000005</v>
      </c>
    </row>
    <row r="1097" spans="2:4" x14ac:dyDescent="0.2">
      <c r="B1097" s="1341">
        <v>1244</v>
      </c>
      <c r="C1097" s="1341" t="s">
        <v>2327</v>
      </c>
      <c r="D1097" s="1310">
        <v>623.73333700000001</v>
      </c>
    </row>
    <row r="1098" spans="2:4" x14ac:dyDescent="0.2">
      <c r="B1098" s="1341">
        <v>1245</v>
      </c>
      <c r="C1098" s="1341" t="s">
        <v>2328</v>
      </c>
      <c r="D1098" s="1310">
        <v>631.56666099999995</v>
      </c>
    </row>
    <row r="1099" spans="2:4" x14ac:dyDescent="0.2">
      <c r="B1099" s="1341">
        <v>1246</v>
      </c>
      <c r="C1099" s="1341" t="s">
        <v>2329</v>
      </c>
      <c r="D1099" s="1310">
        <v>655.05001800000002</v>
      </c>
    </row>
    <row r="1100" spans="2:4" x14ac:dyDescent="0.2">
      <c r="B1100" s="1341">
        <v>1247</v>
      </c>
      <c r="C1100" s="1341" t="s">
        <v>2330</v>
      </c>
      <c r="D1100" s="1310">
        <v>633.79999999999995</v>
      </c>
    </row>
    <row r="1101" spans="2:4" x14ac:dyDescent="0.2">
      <c r="B1101" s="1341">
        <v>1248</v>
      </c>
      <c r="C1101" s="1341" t="s">
        <v>365</v>
      </c>
      <c r="D1101" s="1310">
        <v>627.55714599999999</v>
      </c>
    </row>
    <row r="1102" spans="2:4" x14ac:dyDescent="0.2">
      <c r="B1102" s="1341">
        <v>1249</v>
      </c>
      <c r="C1102" s="1341" t="s">
        <v>2331</v>
      </c>
      <c r="D1102" s="1310">
        <v>604.34286099999997</v>
      </c>
    </row>
    <row r="1103" spans="2:4" x14ac:dyDescent="0.2">
      <c r="B1103" s="1341">
        <v>1250</v>
      </c>
      <c r="C1103" s="1341" t="s">
        <v>2332</v>
      </c>
      <c r="D1103" s="1310">
        <v>579.54001500000004</v>
      </c>
    </row>
    <row r="1104" spans="2:4" x14ac:dyDescent="0.2">
      <c r="B1104" s="1341">
        <v>1251</v>
      </c>
      <c r="C1104" s="1341" t="s">
        <v>2333</v>
      </c>
      <c r="D1104" s="1310">
        <v>599.34286099999997</v>
      </c>
    </row>
    <row r="1105" spans="2:4" x14ac:dyDescent="0.2">
      <c r="B1105" s="1341">
        <v>1252</v>
      </c>
      <c r="C1105" s="1341" t="s">
        <v>2334</v>
      </c>
      <c r="D1105" s="1310">
        <v>627.54286000000002</v>
      </c>
    </row>
    <row r="1106" spans="2:4" x14ac:dyDescent="0.2">
      <c r="B1106" s="1341">
        <v>1253</v>
      </c>
      <c r="C1106" s="1341" t="s">
        <v>2335</v>
      </c>
      <c r="D1106" s="1310">
        <v>638.18181800000002</v>
      </c>
    </row>
    <row r="1107" spans="2:4" x14ac:dyDescent="0.2">
      <c r="B1107" s="1341">
        <v>1254</v>
      </c>
      <c r="C1107" s="1341" t="s">
        <v>2336</v>
      </c>
      <c r="D1107" s="1310">
        <v>619.47499800000003</v>
      </c>
    </row>
    <row r="1108" spans="2:4" x14ac:dyDescent="0.2">
      <c r="B1108" s="1341">
        <v>1255</v>
      </c>
      <c r="C1108" s="1341" t="s">
        <v>2337</v>
      </c>
      <c r="D1108" s="1310">
        <v>616.79998799999998</v>
      </c>
    </row>
    <row r="1109" spans="2:4" x14ac:dyDescent="0.2">
      <c r="B1109" s="1341">
        <v>1256</v>
      </c>
      <c r="C1109" s="1341" t="s">
        <v>2338</v>
      </c>
      <c r="D1109" s="1310">
        <v>661.67999299999997</v>
      </c>
    </row>
    <row r="1110" spans="2:4" x14ac:dyDescent="0.2">
      <c r="B1110" s="1341">
        <v>1301</v>
      </c>
      <c r="C1110" s="1341" t="s">
        <v>2339</v>
      </c>
      <c r="D1110" s="1310">
        <v>747.15715699999998</v>
      </c>
    </row>
    <row r="1111" spans="2:4" x14ac:dyDescent="0.2">
      <c r="B1111" s="1341">
        <v>1302</v>
      </c>
      <c r="C1111" s="1341" t="s">
        <v>2340</v>
      </c>
      <c r="D1111" s="1310">
        <v>679.74284999999998</v>
      </c>
    </row>
    <row r="1112" spans="2:4" x14ac:dyDescent="0.2">
      <c r="B1112" s="1341">
        <v>1303</v>
      </c>
      <c r="C1112" s="1341" t="s">
        <v>2341</v>
      </c>
      <c r="D1112" s="1310">
        <v>714.14999399999999</v>
      </c>
    </row>
    <row r="1113" spans="2:4" x14ac:dyDescent="0.2">
      <c r="B1113" s="1341">
        <v>1304</v>
      </c>
      <c r="C1113" s="1341" t="s">
        <v>2342</v>
      </c>
      <c r="D1113" s="1310">
        <v>633.65</v>
      </c>
    </row>
    <row r="1114" spans="2:4" x14ac:dyDescent="0.2">
      <c r="B1114" s="1341">
        <v>1305</v>
      </c>
      <c r="C1114" s="1341" t="s">
        <v>2343</v>
      </c>
      <c r="D1114" s="1310">
        <v>653.94166600000005</v>
      </c>
    </row>
    <row r="1115" spans="2:4" x14ac:dyDescent="0.2">
      <c r="B1115" s="1341">
        <v>1306</v>
      </c>
      <c r="C1115" s="1341" t="s">
        <v>2344</v>
      </c>
      <c r="D1115" s="1310">
        <v>612.40000399999997</v>
      </c>
    </row>
    <row r="1116" spans="2:4" x14ac:dyDescent="0.2">
      <c r="B1116" s="1341">
        <v>1307</v>
      </c>
      <c r="C1116" s="1341" t="s">
        <v>2345</v>
      </c>
      <c r="D1116" s="1310">
        <v>669.52857300000005</v>
      </c>
    </row>
    <row r="1117" spans="2:4" x14ac:dyDescent="0.2">
      <c r="B1117" s="1341">
        <v>1308</v>
      </c>
      <c r="C1117" s="1341" t="s">
        <v>2346</v>
      </c>
      <c r="D1117" s="1310">
        <v>634.34999100000005</v>
      </c>
    </row>
    <row r="1118" spans="2:4" x14ac:dyDescent="0.2">
      <c r="B1118" s="1341">
        <v>1309</v>
      </c>
      <c r="C1118" s="1341" t="s">
        <v>2347</v>
      </c>
      <c r="D1118" s="1310">
        <v>668.19999700000005</v>
      </c>
    </row>
    <row r="1119" spans="2:4" x14ac:dyDescent="0.2">
      <c r="B1119" s="1341">
        <v>1310</v>
      </c>
      <c r="C1119" s="1341" t="s">
        <v>2348</v>
      </c>
      <c r="D1119" s="1310">
        <v>710.10000600000001</v>
      </c>
    </row>
    <row r="1120" spans="2:4" x14ac:dyDescent="0.2">
      <c r="B1120" s="1341">
        <v>1311</v>
      </c>
      <c r="C1120" s="1341" t="s">
        <v>1967</v>
      </c>
      <c r="D1120" s="1310">
        <v>640.33332299999995</v>
      </c>
    </row>
    <row r="1121" spans="2:4" x14ac:dyDescent="0.2">
      <c r="B1121" s="1341">
        <v>1312</v>
      </c>
      <c r="C1121" s="1341" t="s">
        <v>2349</v>
      </c>
      <c r="D1121" s="1310">
        <v>646</v>
      </c>
    </row>
    <row r="1122" spans="2:4" x14ac:dyDescent="0.2">
      <c r="B1122" s="1341">
        <v>1313</v>
      </c>
      <c r="C1122" s="1341" t="s">
        <v>2350</v>
      </c>
      <c r="D1122" s="1310">
        <v>755.5</v>
      </c>
    </row>
    <row r="1123" spans="2:4" x14ac:dyDescent="0.2">
      <c r="B1123" s="1341">
        <v>1314</v>
      </c>
      <c r="C1123" s="1341" t="s">
        <v>2147</v>
      </c>
      <c r="D1123" s="1310">
        <v>630.56667100000004</v>
      </c>
    </row>
    <row r="1124" spans="2:4" x14ac:dyDescent="0.2">
      <c r="B1124" s="1341">
        <v>1315</v>
      </c>
      <c r="C1124" s="1341" t="s">
        <v>2351</v>
      </c>
      <c r="D1124" s="1310">
        <v>715.40000399999997</v>
      </c>
    </row>
    <row r="1125" spans="2:4" x14ac:dyDescent="0.2">
      <c r="B1125" s="1341">
        <v>1316</v>
      </c>
      <c r="C1125" s="1341" t="s">
        <v>2352</v>
      </c>
      <c r="D1125" s="1310">
        <v>719</v>
      </c>
    </row>
    <row r="1126" spans="2:4" x14ac:dyDescent="0.2">
      <c r="B1126" s="1341">
        <v>1317</v>
      </c>
      <c r="C1126" s="1341" t="s">
        <v>2353</v>
      </c>
      <c r="D1126" s="1310">
        <v>634.259998</v>
      </c>
    </row>
    <row r="1127" spans="2:4" x14ac:dyDescent="0.2">
      <c r="B1127" s="1341">
        <v>1318</v>
      </c>
      <c r="C1127" s="1341" t="s">
        <v>2354</v>
      </c>
      <c r="D1127" s="1310">
        <v>681.59997599999997</v>
      </c>
    </row>
    <row r="1128" spans="2:4" x14ac:dyDescent="0.2">
      <c r="B1128" s="1341">
        <v>1319</v>
      </c>
      <c r="C1128" s="1341" t="s">
        <v>2355</v>
      </c>
      <c r="D1128" s="1310">
        <v>645.75</v>
      </c>
    </row>
    <row r="1129" spans="2:4" x14ac:dyDescent="0.2">
      <c r="B1129" s="1341">
        <v>1320</v>
      </c>
      <c r="C1129" s="1341" t="s">
        <v>2356</v>
      </c>
      <c r="D1129" s="1310">
        <v>815.56664999999998</v>
      </c>
    </row>
    <row r="1130" spans="2:4" x14ac:dyDescent="0.2">
      <c r="B1130" s="1341">
        <v>1321</v>
      </c>
      <c r="C1130" s="1341" t="s">
        <v>2357</v>
      </c>
      <c r="D1130" s="1310">
        <v>851.29998799999998</v>
      </c>
    </row>
    <row r="1131" spans="2:4" x14ac:dyDescent="0.2">
      <c r="B1131" s="1341">
        <v>1322</v>
      </c>
      <c r="C1131" s="1341" t="s">
        <v>2358</v>
      </c>
      <c r="D1131" s="1310">
        <v>658.96364000000005</v>
      </c>
    </row>
    <row r="1132" spans="2:4" x14ac:dyDescent="0.2">
      <c r="B1132" s="1341">
        <v>1323</v>
      </c>
      <c r="C1132" s="1341" t="s">
        <v>2359</v>
      </c>
      <c r="D1132" s="1310">
        <v>602.09999100000005</v>
      </c>
    </row>
    <row r="1133" spans="2:4" x14ac:dyDescent="0.2">
      <c r="B1133" s="1341">
        <v>1324</v>
      </c>
      <c r="C1133" s="1341" t="s">
        <v>2360</v>
      </c>
      <c r="D1133" s="1310">
        <v>591.70001200000002</v>
      </c>
    </row>
    <row r="1134" spans="2:4" x14ac:dyDescent="0.2">
      <c r="B1134" s="1341">
        <v>1326</v>
      </c>
      <c r="C1134" s="1341" t="s">
        <v>2361</v>
      </c>
      <c r="D1134" s="1310">
        <v>654.60000600000001</v>
      </c>
    </row>
    <row r="1135" spans="2:4" x14ac:dyDescent="0.2">
      <c r="B1135" s="1341">
        <v>1327</v>
      </c>
      <c r="C1135" s="1341" t="s">
        <v>413</v>
      </c>
      <c r="D1135" s="1310">
        <v>694.69999900000005</v>
      </c>
    </row>
    <row r="1136" spans="2:4" x14ac:dyDescent="0.2">
      <c r="B1136" s="1341">
        <v>1328</v>
      </c>
      <c r="C1136" s="1341" t="s">
        <v>2362</v>
      </c>
      <c r="D1136" s="1310">
        <v>714.40002400000003</v>
      </c>
    </row>
    <row r="1137" spans="2:4" x14ac:dyDescent="0.2">
      <c r="B1137" s="1341">
        <v>1329</v>
      </c>
      <c r="C1137" s="1341" t="s">
        <v>2363</v>
      </c>
      <c r="D1137" s="1310">
        <v>721.90002400000003</v>
      </c>
    </row>
    <row r="1138" spans="2:4" x14ac:dyDescent="0.2">
      <c r="B1138" s="1341">
        <v>1330</v>
      </c>
      <c r="C1138" s="1341" t="s">
        <v>2364</v>
      </c>
      <c r="D1138" s="1310">
        <v>664.40002400000003</v>
      </c>
    </row>
    <row r="1139" spans="2:4" x14ac:dyDescent="0.2">
      <c r="B1139" s="1341">
        <v>1331</v>
      </c>
      <c r="C1139" s="1341" t="s">
        <v>2365</v>
      </c>
      <c r="D1139" s="1310">
        <v>675.90002400000003</v>
      </c>
    </row>
    <row r="1140" spans="2:4" x14ac:dyDescent="0.2">
      <c r="B1140" s="1341">
        <v>1332</v>
      </c>
      <c r="C1140" s="1341" t="s">
        <v>2366</v>
      </c>
      <c r="D1140" s="1310">
        <v>603.24285899999995</v>
      </c>
    </row>
    <row r="1141" spans="2:4" x14ac:dyDescent="0.2">
      <c r="B1141" s="1341">
        <v>1333</v>
      </c>
      <c r="C1141" s="1341" t="s">
        <v>2367</v>
      </c>
      <c r="D1141" s="1310">
        <v>706.13334099999997</v>
      </c>
    </row>
    <row r="1142" spans="2:4" x14ac:dyDescent="0.2">
      <c r="B1142" s="1341">
        <v>1334</v>
      </c>
      <c r="C1142" s="1341" t="s">
        <v>2368</v>
      </c>
      <c r="D1142" s="1310">
        <v>645.04998799999998</v>
      </c>
    </row>
    <row r="1143" spans="2:4" x14ac:dyDescent="0.2">
      <c r="B1143" s="1341">
        <v>1335</v>
      </c>
      <c r="C1143" s="1341" t="s">
        <v>2369</v>
      </c>
      <c r="D1143" s="1310">
        <v>608.11429299999998</v>
      </c>
    </row>
    <row r="1144" spans="2:4" x14ac:dyDescent="0.2">
      <c r="B1144" s="1341">
        <v>1336</v>
      </c>
      <c r="C1144" s="1341" t="s">
        <v>2370</v>
      </c>
      <c r="D1144" s="1310">
        <v>564.85000600000001</v>
      </c>
    </row>
    <row r="1145" spans="2:4" x14ac:dyDescent="0.2">
      <c r="B1145" s="1341">
        <v>1337</v>
      </c>
      <c r="C1145" s="1341" t="s">
        <v>2371</v>
      </c>
      <c r="D1145" s="1310">
        <v>733.375</v>
      </c>
    </row>
    <row r="1146" spans="2:4" x14ac:dyDescent="0.2">
      <c r="B1146" s="1341">
        <v>1338</v>
      </c>
      <c r="C1146" s="1341" t="s">
        <v>2372</v>
      </c>
      <c r="D1146" s="1310">
        <v>593.93001100000004</v>
      </c>
    </row>
    <row r="1147" spans="2:4" x14ac:dyDescent="0.2">
      <c r="B1147" s="1341">
        <v>1339</v>
      </c>
      <c r="C1147" s="1341" t="s">
        <v>2373</v>
      </c>
      <c r="D1147" s="1310">
        <v>660.51999499999999</v>
      </c>
    </row>
    <row r="1148" spans="2:4" x14ac:dyDescent="0.2">
      <c r="B1148" s="1341">
        <v>1340</v>
      </c>
      <c r="C1148" s="1341" t="s">
        <v>2374</v>
      </c>
      <c r="D1148" s="1310">
        <v>762.70001200000002</v>
      </c>
    </row>
    <row r="1149" spans="2:4" x14ac:dyDescent="0.2">
      <c r="B1149" s="1341">
        <v>1341</v>
      </c>
      <c r="C1149" s="1341" t="s">
        <v>2375</v>
      </c>
      <c r="D1149" s="1310">
        <v>597.03332499999999</v>
      </c>
    </row>
    <row r="1150" spans="2:4" x14ac:dyDescent="0.2">
      <c r="B1150" s="1341">
        <v>1342</v>
      </c>
      <c r="C1150" s="1341" t="s">
        <v>2376</v>
      </c>
      <c r="D1150" s="1310">
        <v>681.94998199999998</v>
      </c>
    </row>
    <row r="1151" spans="2:4" x14ac:dyDescent="0.2">
      <c r="B1151" s="1341">
        <v>1343</v>
      </c>
      <c r="C1151" s="1341" t="s">
        <v>2377</v>
      </c>
      <c r="D1151" s="1310">
        <v>637.72857699999997</v>
      </c>
    </row>
    <row r="1152" spans="2:4" x14ac:dyDescent="0.2">
      <c r="B1152" s="1341">
        <v>1344</v>
      </c>
      <c r="C1152" s="1341" t="s">
        <v>2378</v>
      </c>
      <c r="D1152" s="1310">
        <v>650.86665900000003</v>
      </c>
    </row>
    <row r="1153" spans="2:4" x14ac:dyDescent="0.2">
      <c r="B1153" s="1341">
        <v>1345</v>
      </c>
      <c r="C1153" s="1341" t="s">
        <v>2379</v>
      </c>
      <c r="D1153" s="1310">
        <v>717.06667100000004</v>
      </c>
    </row>
    <row r="1154" spans="2:4" x14ac:dyDescent="0.2">
      <c r="B1154" s="1341">
        <v>1346</v>
      </c>
      <c r="C1154" s="1341" t="s">
        <v>2380</v>
      </c>
      <c r="D1154" s="1310">
        <v>732.5</v>
      </c>
    </row>
    <row r="1155" spans="2:4" x14ac:dyDescent="0.2">
      <c r="B1155" s="1341">
        <v>1347</v>
      </c>
      <c r="C1155" s="1341" t="s">
        <v>2381</v>
      </c>
      <c r="D1155" s="1310">
        <v>788.23331700000006</v>
      </c>
    </row>
    <row r="1156" spans="2:4" x14ac:dyDescent="0.2">
      <c r="B1156" s="1341">
        <v>1348</v>
      </c>
      <c r="C1156" s="1341" t="s">
        <v>2382</v>
      </c>
      <c r="D1156" s="1310">
        <v>659.38182500000005</v>
      </c>
    </row>
    <row r="1157" spans="2:4" x14ac:dyDescent="0.2">
      <c r="B1157" s="1341">
        <v>1349</v>
      </c>
      <c r="C1157" s="1341" t="s">
        <v>2383</v>
      </c>
      <c r="D1157" s="1310">
        <v>736.16666699999996</v>
      </c>
    </row>
    <row r="1158" spans="2:4" x14ac:dyDescent="0.2">
      <c r="B1158" s="1341">
        <v>1350</v>
      </c>
      <c r="C1158" s="1341" t="s">
        <v>2384</v>
      </c>
      <c r="D1158" s="1310">
        <v>587.10000600000001</v>
      </c>
    </row>
    <row r="1159" spans="2:4" x14ac:dyDescent="0.2">
      <c r="B1159" s="1341">
        <v>1351</v>
      </c>
      <c r="C1159" s="1341" t="s">
        <v>2385</v>
      </c>
      <c r="D1159" s="1310">
        <v>668.70001200000002</v>
      </c>
    </row>
    <row r="1160" spans="2:4" x14ac:dyDescent="0.2">
      <c r="B1160" s="1341">
        <v>1352</v>
      </c>
      <c r="C1160" s="1341" t="s">
        <v>2386</v>
      </c>
      <c r="D1160" s="1310">
        <v>650.81667100000004</v>
      </c>
    </row>
    <row r="1161" spans="2:4" x14ac:dyDescent="0.2">
      <c r="B1161" s="1341">
        <v>1353</v>
      </c>
      <c r="C1161" s="1341" t="s">
        <v>2387</v>
      </c>
      <c r="D1161" s="1310">
        <v>698.06667100000004</v>
      </c>
    </row>
    <row r="1162" spans="2:4" x14ac:dyDescent="0.2">
      <c r="B1162" s="1341">
        <v>1354</v>
      </c>
      <c r="C1162" s="1341" t="s">
        <v>2388</v>
      </c>
      <c r="D1162" s="1310">
        <v>630.90833999999995</v>
      </c>
    </row>
    <row r="1163" spans="2:4" x14ac:dyDescent="0.2">
      <c r="B1163" s="1341">
        <v>1355</v>
      </c>
      <c r="C1163" s="1341" t="s">
        <v>2389</v>
      </c>
      <c r="D1163" s="1310">
        <v>742.66666699999996</v>
      </c>
    </row>
    <row r="1164" spans="2:4" x14ac:dyDescent="0.2">
      <c r="B1164" s="1341">
        <v>1356</v>
      </c>
      <c r="C1164" s="1341" t="s">
        <v>2390</v>
      </c>
      <c r="D1164" s="1310">
        <v>610.96666500000003</v>
      </c>
    </row>
    <row r="1165" spans="2:4" x14ac:dyDescent="0.2">
      <c r="B1165" s="1341">
        <v>1357</v>
      </c>
      <c r="C1165" s="1341" t="s">
        <v>2391</v>
      </c>
      <c r="D1165" s="1310">
        <v>730.89999</v>
      </c>
    </row>
    <row r="1166" spans="2:4" x14ac:dyDescent="0.2">
      <c r="B1166" s="1341">
        <v>1358</v>
      </c>
      <c r="C1166" s="1341" t="s">
        <v>2392</v>
      </c>
      <c r="D1166" s="1310">
        <v>598.63334099999997</v>
      </c>
    </row>
    <row r="1167" spans="2:4" ht="15" x14ac:dyDescent="0.2">
      <c r="B1167" s="1353">
        <v>1359</v>
      </c>
      <c r="C1167" s="1341" t="s">
        <v>2393</v>
      </c>
      <c r="D1167" s="1354">
        <v>521.54000199999996</v>
      </c>
    </row>
    <row r="1168" spans="2:4" x14ac:dyDescent="0.2">
      <c r="B1168" s="1341">
        <v>1360</v>
      </c>
      <c r="C1168" s="1341" t="s">
        <v>2394</v>
      </c>
      <c r="D1168" s="1310">
        <v>642.59997599999997</v>
      </c>
    </row>
    <row r="1169" spans="2:4" x14ac:dyDescent="0.2">
      <c r="B1169" s="1341">
        <v>1361</v>
      </c>
      <c r="C1169" s="1341" t="s">
        <v>2395</v>
      </c>
      <c r="D1169" s="1310">
        <v>740.48748799999998</v>
      </c>
    </row>
    <row r="1170" spans="2:4" x14ac:dyDescent="0.2">
      <c r="B1170" s="1341">
        <v>1362</v>
      </c>
      <c r="C1170" s="1341" t="s">
        <v>2396</v>
      </c>
      <c r="D1170" s="1310">
        <v>703.30000500000006</v>
      </c>
    </row>
    <row r="1171" spans="2:4" x14ac:dyDescent="0.2">
      <c r="B1171" s="1341">
        <v>1363</v>
      </c>
      <c r="C1171" s="1341" t="s">
        <v>2397</v>
      </c>
      <c r="D1171" s="1310">
        <v>614.67500299999995</v>
      </c>
    </row>
    <row r="1172" spans="2:4" x14ac:dyDescent="0.2">
      <c r="B1172" s="1341">
        <v>1364</v>
      </c>
      <c r="C1172" s="1341" t="s">
        <v>2398</v>
      </c>
      <c r="D1172" s="1310">
        <v>631.75</v>
      </c>
    </row>
    <row r="1173" spans="2:4" x14ac:dyDescent="0.2">
      <c r="B1173" s="1341">
        <v>1365</v>
      </c>
      <c r="C1173" s="1341" t="s">
        <v>2399</v>
      </c>
      <c r="D1173" s="1310">
        <v>681.10000600000001</v>
      </c>
    </row>
    <row r="1174" spans="2:4" x14ac:dyDescent="0.2">
      <c r="B1174" s="1341">
        <v>1366</v>
      </c>
      <c r="C1174" s="1341" t="s">
        <v>2400</v>
      </c>
      <c r="D1174" s="1310">
        <v>643.33333300000004</v>
      </c>
    </row>
    <row r="1175" spans="2:4" x14ac:dyDescent="0.2">
      <c r="B1175" s="1341">
        <v>1367</v>
      </c>
      <c r="C1175" s="1341" t="s">
        <v>2401</v>
      </c>
      <c r="D1175" s="1310">
        <v>715.13332100000002</v>
      </c>
    </row>
    <row r="1176" spans="2:4" x14ac:dyDescent="0.2">
      <c r="B1176" s="1341">
        <v>1368</v>
      </c>
      <c r="C1176" s="1341" t="s">
        <v>2402</v>
      </c>
      <c r="D1176" s="1310">
        <v>664.59999600000003</v>
      </c>
    </row>
    <row r="1177" spans="2:4" x14ac:dyDescent="0.2">
      <c r="B1177" s="1341">
        <v>1369</v>
      </c>
      <c r="C1177" s="1341" t="s">
        <v>2403</v>
      </c>
      <c r="D1177" s="1310">
        <v>651.59997599999997</v>
      </c>
    </row>
    <row r="1178" spans="2:4" x14ac:dyDescent="0.2">
      <c r="B1178" s="1341">
        <v>1370</v>
      </c>
      <c r="C1178" s="1341" t="s">
        <v>2404</v>
      </c>
      <c r="D1178" s="1310">
        <v>715.90002400000003</v>
      </c>
    </row>
    <row r="1179" spans="2:4" x14ac:dyDescent="0.2">
      <c r="B1179" s="1341">
        <v>1371</v>
      </c>
      <c r="C1179" s="1341" t="s">
        <v>2405</v>
      </c>
      <c r="D1179" s="1310">
        <v>605.09999600000003</v>
      </c>
    </row>
    <row r="1180" spans="2:4" x14ac:dyDescent="0.2">
      <c r="B1180" s="1341">
        <v>1372</v>
      </c>
      <c r="C1180" s="1341" t="s">
        <v>2406</v>
      </c>
      <c r="D1180" s="1310">
        <v>603.52220999999997</v>
      </c>
    </row>
    <row r="1181" spans="2:4" x14ac:dyDescent="0.2">
      <c r="B1181" s="1341">
        <v>1373</v>
      </c>
      <c r="C1181" s="1341" t="s">
        <v>2407</v>
      </c>
      <c r="D1181" s="1310">
        <v>688.62856599999998</v>
      </c>
    </row>
    <row r="1182" spans="2:4" x14ac:dyDescent="0.2">
      <c r="B1182" s="1341">
        <v>1374</v>
      </c>
      <c r="C1182" s="1341" t="s">
        <v>2408</v>
      </c>
      <c r="D1182" s="1310">
        <v>639.79998799999998</v>
      </c>
    </row>
    <row r="1183" spans="2:4" ht="15" x14ac:dyDescent="0.2">
      <c r="B1183" s="1353">
        <v>1375</v>
      </c>
      <c r="C1183" s="1341" t="s">
        <v>2409</v>
      </c>
      <c r="D1183" s="1354">
        <v>545.08000500000003</v>
      </c>
    </row>
    <row r="1184" spans="2:4" x14ac:dyDescent="0.2">
      <c r="B1184" s="1341">
        <v>1376</v>
      </c>
      <c r="C1184" s="1341" t="s">
        <v>2410</v>
      </c>
      <c r="D1184" s="1310">
        <v>613.95999800000004</v>
      </c>
    </row>
    <row r="1185" spans="2:4" x14ac:dyDescent="0.2">
      <c r="B1185" s="1341">
        <v>1377</v>
      </c>
      <c r="C1185" s="1341" t="s">
        <v>2411</v>
      </c>
      <c r="D1185" s="1310">
        <v>815.75</v>
      </c>
    </row>
    <row r="1186" spans="2:4" x14ac:dyDescent="0.2">
      <c r="B1186" s="1341">
        <v>1378</v>
      </c>
      <c r="C1186" s="1341" t="s">
        <v>2412</v>
      </c>
      <c r="D1186" s="1310">
        <v>716.20001200000002</v>
      </c>
    </row>
    <row r="1187" spans="2:4" x14ac:dyDescent="0.2">
      <c r="B1187" s="1341">
        <v>1379</v>
      </c>
      <c r="C1187" s="1341" t="s">
        <v>2413</v>
      </c>
      <c r="D1187" s="1310">
        <v>747.06664999999998</v>
      </c>
    </row>
    <row r="1188" spans="2:4" x14ac:dyDescent="0.2">
      <c r="B1188" s="1341">
        <v>1380</v>
      </c>
      <c r="C1188" s="1341" t="s">
        <v>2414</v>
      </c>
      <c r="D1188" s="1310">
        <v>615.29998799999998</v>
      </c>
    </row>
    <row r="1189" spans="2:4" x14ac:dyDescent="0.2">
      <c r="B1189" s="1341">
        <v>1381</v>
      </c>
      <c r="C1189" s="1341" t="s">
        <v>2415</v>
      </c>
      <c r="D1189" s="1310">
        <v>656.79999799999996</v>
      </c>
    </row>
    <row r="1190" spans="2:4" ht="15" x14ac:dyDescent="0.2">
      <c r="B1190" s="1353">
        <v>1382</v>
      </c>
      <c r="C1190" s="1341" t="s">
        <v>2416</v>
      </c>
      <c r="D1190" s="1354">
        <v>545.79998799999998</v>
      </c>
    </row>
    <row r="1191" spans="2:4" x14ac:dyDescent="0.2">
      <c r="B1191" s="1341">
        <v>1383</v>
      </c>
      <c r="C1191" s="1341" t="s">
        <v>2417</v>
      </c>
      <c r="D1191" s="1310">
        <v>736.75</v>
      </c>
    </row>
    <row r="1192" spans="2:4" x14ac:dyDescent="0.2">
      <c r="B1192" s="1341">
        <v>1384</v>
      </c>
      <c r="C1192" s="1341" t="s">
        <v>2418</v>
      </c>
      <c r="D1192" s="1310">
        <v>762.09999100000005</v>
      </c>
    </row>
    <row r="1193" spans="2:4" x14ac:dyDescent="0.2">
      <c r="B1193" s="1341">
        <v>1385</v>
      </c>
      <c r="C1193" s="1341" t="s">
        <v>2419</v>
      </c>
      <c r="D1193" s="1310">
        <v>674.14999399999999</v>
      </c>
    </row>
    <row r="1194" spans="2:4" x14ac:dyDescent="0.2">
      <c r="B1194" s="1341">
        <v>1386</v>
      </c>
      <c r="C1194" s="1341" t="s">
        <v>2420</v>
      </c>
      <c r="D1194" s="1310">
        <v>749.75</v>
      </c>
    </row>
    <row r="1195" spans="2:4" x14ac:dyDescent="0.2">
      <c r="B1195" s="1341">
        <v>1387</v>
      </c>
      <c r="C1195" s="1341" t="s">
        <v>2421</v>
      </c>
      <c r="D1195" s="1310">
        <v>668.30001800000002</v>
      </c>
    </row>
    <row r="1196" spans="2:4" x14ac:dyDescent="0.2">
      <c r="B1196" s="1341">
        <v>1388</v>
      </c>
      <c r="C1196" s="1341" t="s">
        <v>2422</v>
      </c>
      <c r="D1196" s="1310">
        <v>727.32501200000002</v>
      </c>
    </row>
    <row r="1197" spans="2:4" x14ac:dyDescent="0.2">
      <c r="B1197" s="1341">
        <v>1389</v>
      </c>
      <c r="C1197" s="1341" t="s">
        <v>2423</v>
      </c>
      <c r="D1197" s="1310">
        <v>649.22500600000001</v>
      </c>
    </row>
    <row r="1198" spans="2:4" x14ac:dyDescent="0.2">
      <c r="B1198" s="1341">
        <v>1390</v>
      </c>
      <c r="C1198" s="1341" t="s">
        <v>2424</v>
      </c>
      <c r="D1198" s="1310">
        <v>640.07142899999997</v>
      </c>
    </row>
    <row r="1199" spans="2:4" x14ac:dyDescent="0.2">
      <c r="B1199" s="1341">
        <v>1391</v>
      </c>
      <c r="C1199" s="1341" t="s">
        <v>2425</v>
      </c>
      <c r="D1199" s="1310">
        <v>678.09997599999997</v>
      </c>
    </row>
    <row r="1200" spans="2:4" x14ac:dyDescent="0.2">
      <c r="B1200" s="1341">
        <v>1392</v>
      </c>
      <c r="C1200" s="1341" t="s">
        <v>2426</v>
      </c>
      <c r="D1200" s="1310">
        <v>637.04998799999998</v>
      </c>
    </row>
    <row r="1201" spans="2:4" x14ac:dyDescent="0.2">
      <c r="B1201" s="1341">
        <v>1393</v>
      </c>
      <c r="C1201" s="1341" t="s">
        <v>2427</v>
      </c>
      <c r="D1201" s="1310">
        <v>602.96667500000001</v>
      </c>
    </row>
    <row r="1202" spans="2:4" x14ac:dyDescent="0.2">
      <c r="B1202" s="1341">
        <v>1394</v>
      </c>
      <c r="C1202" s="1341" t="s">
        <v>2428</v>
      </c>
      <c r="D1202" s="1310">
        <v>761.13748899999996</v>
      </c>
    </row>
    <row r="1203" spans="2:4" x14ac:dyDescent="0.2">
      <c r="B1203" s="1341">
        <v>1395</v>
      </c>
      <c r="C1203" s="1341" t="s">
        <v>2429</v>
      </c>
      <c r="D1203" s="1310">
        <v>686.43332899999996</v>
      </c>
    </row>
    <row r="1204" spans="2:4" x14ac:dyDescent="0.2">
      <c r="B1204" s="1341">
        <v>1396</v>
      </c>
      <c r="C1204" s="1341" t="s">
        <v>2430</v>
      </c>
      <c r="D1204" s="1310">
        <v>775.64999399999999</v>
      </c>
    </row>
    <row r="1205" spans="2:4" x14ac:dyDescent="0.2">
      <c r="B1205" s="1341">
        <v>1397</v>
      </c>
      <c r="C1205" s="1341" t="s">
        <v>2431</v>
      </c>
      <c r="D1205" s="1310">
        <v>559.90000399999997</v>
      </c>
    </row>
    <row r="1206" spans="2:4" x14ac:dyDescent="0.2">
      <c r="B1206" s="1341">
        <v>1398</v>
      </c>
      <c r="C1206" s="1341" t="s">
        <v>2432</v>
      </c>
      <c r="D1206" s="1310">
        <v>659.63333799999998</v>
      </c>
    </row>
    <row r="1207" spans="2:4" x14ac:dyDescent="0.2">
      <c r="B1207" s="1341">
        <v>1399</v>
      </c>
      <c r="C1207" s="1341" t="s">
        <v>2433</v>
      </c>
      <c r="D1207" s="1310">
        <v>745.54998799999998</v>
      </c>
    </row>
    <row r="1208" spans="2:4" x14ac:dyDescent="0.2">
      <c r="B1208" s="1341">
        <v>1400</v>
      </c>
      <c r="C1208" s="1341" t="s">
        <v>2434</v>
      </c>
      <c r="D1208" s="1310">
        <v>637.34999100000005</v>
      </c>
    </row>
    <row r="1209" spans="2:4" x14ac:dyDescent="0.2">
      <c r="B1209" s="1341">
        <v>1401</v>
      </c>
      <c r="C1209" s="1341" t="s">
        <v>2435</v>
      </c>
      <c r="D1209" s="1310">
        <v>681.80001800000002</v>
      </c>
    </row>
    <row r="1210" spans="2:4" x14ac:dyDescent="0.2">
      <c r="B1210" s="1341">
        <v>1402</v>
      </c>
      <c r="C1210" s="1341" t="s">
        <v>2436</v>
      </c>
      <c r="D1210" s="1310">
        <v>643.96666500000003</v>
      </c>
    </row>
    <row r="1211" spans="2:4" x14ac:dyDescent="0.2">
      <c r="B1211" s="1341">
        <v>1403</v>
      </c>
      <c r="C1211" s="1341" t="s">
        <v>418</v>
      </c>
      <c r="D1211" s="1310">
        <v>616.69167100000004</v>
      </c>
    </row>
    <row r="1212" spans="2:4" x14ac:dyDescent="0.2">
      <c r="B1212" s="1341">
        <v>1404</v>
      </c>
      <c r="C1212" s="1341" t="s">
        <v>2437</v>
      </c>
      <c r="D1212" s="1310">
        <v>695.10000600000001</v>
      </c>
    </row>
    <row r="1213" spans="2:4" x14ac:dyDescent="0.2">
      <c r="B1213" s="1341">
        <v>1405</v>
      </c>
      <c r="C1213" s="1341" t="s">
        <v>2438</v>
      </c>
      <c r="D1213" s="1310">
        <v>635.5</v>
      </c>
    </row>
    <row r="1214" spans="2:4" x14ac:dyDescent="0.2">
      <c r="B1214" s="1341">
        <v>1406</v>
      </c>
      <c r="C1214" s="1341" t="s">
        <v>2439</v>
      </c>
      <c r="D1214" s="1310">
        <v>655.59997599999997</v>
      </c>
    </row>
    <row r="1215" spans="2:4" x14ac:dyDescent="0.2">
      <c r="B1215" s="1341">
        <v>1407</v>
      </c>
      <c r="C1215" s="1341" t="s">
        <v>2440</v>
      </c>
      <c r="D1215" s="1310">
        <v>625.86667899999998</v>
      </c>
    </row>
    <row r="1216" spans="2:4" x14ac:dyDescent="0.2">
      <c r="B1216" s="1341">
        <v>1408</v>
      </c>
      <c r="C1216" s="1341" t="s">
        <v>2441</v>
      </c>
      <c r="D1216" s="1310">
        <v>632.23333700000001</v>
      </c>
    </row>
    <row r="1217" spans="2:4" x14ac:dyDescent="0.2">
      <c r="B1217" s="1341">
        <v>1409</v>
      </c>
      <c r="C1217" s="1341" t="s">
        <v>2442</v>
      </c>
      <c r="D1217" s="1310">
        <v>795.75</v>
      </c>
    </row>
    <row r="1218" spans="2:4" x14ac:dyDescent="0.2">
      <c r="B1218" s="1341">
        <v>1410</v>
      </c>
      <c r="C1218" s="1341" t="s">
        <v>2443</v>
      </c>
      <c r="D1218" s="1310">
        <v>663.44000900000003</v>
      </c>
    </row>
    <row r="1219" spans="2:4" x14ac:dyDescent="0.2">
      <c r="B1219" s="1341">
        <v>1411</v>
      </c>
      <c r="C1219" s="1341" t="s">
        <v>2444</v>
      </c>
      <c r="D1219" s="1310">
        <v>623.85000600000001</v>
      </c>
    </row>
    <row r="1220" spans="2:4" x14ac:dyDescent="0.2">
      <c r="B1220" s="1341">
        <v>1412</v>
      </c>
      <c r="C1220" s="1341" t="s">
        <v>2445</v>
      </c>
      <c r="D1220" s="1310">
        <v>652.70001200000002</v>
      </c>
    </row>
    <row r="1221" spans="2:4" x14ac:dyDescent="0.2">
      <c r="B1221" s="1341">
        <v>1413</v>
      </c>
      <c r="C1221" s="1341" t="s">
        <v>2446</v>
      </c>
      <c r="D1221" s="1310">
        <v>620.40002400000003</v>
      </c>
    </row>
    <row r="1222" spans="2:4" x14ac:dyDescent="0.2">
      <c r="B1222" s="1341">
        <v>1414</v>
      </c>
      <c r="C1222" s="1341" t="s">
        <v>2447</v>
      </c>
      <c r="D1222" s="1310">
        <v>601.68748500000004</v>
      </c>
    </row>
    <row r="1223" spans="2:4" x14ac:dyDescent="0.2">
      <c r="B1223" s="1341">
        <v>1415</v>
      </c>
      <c r="C1223" s="1341" t="s">
        <v>2448</v>
      </c>
      <c r="D1223" s="1310">
        <v>779.5</v>
      </c>
    </row>
    <row r="1224" spans="2:4" x14ac:dyDescent="0.2">
      <c r="B1224" s="1341">
        <v>1416</v>
      </c>
      <c r="C1224" s="1341" t="s">
        <v>2449</v>
      </c>
      <c r="D1224" s="1310">
        <v>616.35000600000001</v>
      </c>
    </row>
    <row r="1225" spans="2:4" x14ac:dyDescent="0.2">
      <c r="B1225" s="1341">
        <v>1417</v>
      </c>
      <c r="C1225" s="1341" t="s">
        <v>2450</v>
      </c>
      <c r="D1225" s="1310">
        <v>725.09999600000003</v>
      </c>
    </row>
    <row r="1226" spans="2:4" x14ac:dyDescent="0.2">
      <c r="B1226" s="1341">
        <v>1418</v>
      </c>
      <c r="C1226" s="1341" t="s">
        <v>2451</v>
      </c>
      <c r="D1226" s="1310">
        <v>705.20001200000002</v>
      </c>
    </row>
    <row r="1227" spans="2:4" x14ac:dyDescent="0.2">
      <c r="B1227" s="1341">
        <v>1419</v>
      </c>
      <c r="C1227" s="1341" t="s">
        <v>2452</v>
      </c>
      <c r="D1227" s="1310">
        <v>687.13332100000002</v>
      </c>
    </row>
    <row r="1228" spans="2:4" x14ac:dyDescent="0.2">
      <c r="B1228" s="1341">
        <v>1420</v>
      </c>
      <c r="C1228" s="1341" t="s">
        <v>2453</v>
      </c>
      <c r="D1228" s="1310">
        <v>683.64000199999998</v>
      </c>
    </row>
    <row r="1229" spans="2:4" x14ac:dyDescent="0.2">
      <c r="B1229" s="1341">
        <v>1421</v>
      </c>
      <c r="C1229" s="1341" t="s">
        <v>2454</v>
      </c>
      <c r="D1229" s="1310">
        <v>749.29999799999996</v>
      </c>
    </row>
    <row r="1230" spans="2:4" x14ac:dyDescent="0.2">
      <c r="B1230" s="1341">
        <v>1422</v>
      </c>
      <c r="C1230" s="1341" t="s">
        <v>2455</v>
      </c>
      <c r="D1230" s="1310">
        <v>681.66666699999996</v>
      </c>
    </row>
    <row r="1231" spans="2:4" x14ac:dyDescent="0.2">
      <c r="B1231" s="1341">
        <v>1423</v>
      </c>
      <c r="C1231" s="1341" t="s">
        <v>2456</v>
      </c>
      <c r="D1231" s="1310">
        <v>582.56666099999995</v>
      </c>
    </row>
    <row r="1232" spans="2:4" x14ac:dyDescent="0.2">
      <c r="B1232" s="1341">
        <v>1424</v>
      </c>
      <c r="C1232" s="1341" t="s">
        <v>2457</v>
      </c>
      <c r="D1232" s="1310">
        <v>636.80000299999995</v>
      </c>
    </row>
    <row r="1233" spans="2:4" x14ac:dyDescent="0.2">
      <c r="B1233" s="1341">
        <v>1425</v>
      </c>
      <c r="C1233" s="1341" t="s">
        <v>2458</v>
      </c>
      <c r="D1233" s="1310">
        <v>629.32501200000002</v>
      </c>
    </row>
    <row r="1234" spans="2:4" x14ac:dyDescent="0.2">
      <c r="B1234" s="1341">
        <v>1426</v>
      </c>
      <c r="C1234" s="1341" t="s">
        <v>2459</v>
      </c>
      <c r="D1234" s="1310">
        <v>652.16667700000005</v>
      </c>
    </row>
    <row r="1235" spans="2:4" x14ac:dyDescent="0.2">
      <c r="B1235" s="1341">
        <v>1427</v>
      </c>
      <c r="C1235" s="1341" t="s">
        <v>2460</v>
      </c>
      <c r="D1235" s="1310">
        <v>648.09998800000005</v>
      </c>
    </row>
    <row r="1236" spans="2:4" x14ac:dyDescent="0.2">
      <c r="B1236" s="1341">
        <v>1428</v>
      </c>
      <c r="C1236" s="1341" t="s">
        <v>2461</v>
      </c>
      <c r="D1236" s="1310">
        <v>785.94999700000005</v>
      </c>
    </row>
    <row r="1237" spans="2:4" x14ac:dyDescent="0.2">
      <c r="B1237" s="1341">
        <v>1429</v>
      </c>
      <c r="C1237" s="1341" t="s">
        <v>2325</v>
      </c>
      <c r="D1237" s="1310">
        <v>626.02500899999995</v>
      </c>
    </row>
    <row r="1238" spans="2:4" x14ac:dyDescent="0.2">
      <c r="B1238" s="1341">
        <v>1430</v>
      </c>
      <c r="C1238" s="1341" t="s">
        <v>2462</v>
      </c>
      <c r="D1238" s="1310">
        <v>691.5</v>
      </c>
    </row>
    <row r="1239" spans="2:4" x14ac:dyDescent="0.2">
      <c r="B1239" s="1341">
        <v>1431</v>
      </c>
      <c r="C1239" s="1341" t="s">
        <v>2463</v>
      </c>
      <c r="D1239" s="1310">
        <v>617.93998999999997</v>
      </c>
    </row>
    <row r="1240" spans="2:4" x14ac:dyDescent="0.2">
      <c r="B1240" s="1341">
        <v>1432</v>
      </c>
      <c r="C1240" s="1341" t="s">
        <v>2464</v>
      </c>
      <c r="D1240" s="1310">
        <v>641.30001800000002</v>
      </c>
    </row>
    <row r="1241" spans="2:4" x14ac:dyDescent="0.2">
      <c r="B1241" s="1341">
        <v>1433</v>
      </c>
      <c r="C1241" s="1341" t="s">
        <v>2465</v>
      </c>
      <c r="D1241" s="1310">
        <v>739.92856300000005</v>
      </c>
    </row>
    <row r="1242" spans="2:4" x14ac:dyDescent="0.2">
      <c r="B1242" s="1341">
        <v>1434</v>
      </c>
      <c r="C1242" s="1341" t="s">
        <v>2466</v>
      </c>
      <c r="D1242" s="1310">
        <v>821.05001800000002</v>
      </c>
    </row>
    <row r="1243" spans="2:4" x14ac:dyDescent="0.2">
      <c r="B1243" s="1341">
        <v>1435</v>
      </c>
      <c r="C1243" s="1341" t="s">
        <v>2467</v>
      </c>
      <c r="D1243" s="1310">
        <v>699.43335000000002</v>
      </c>
    </row>
    <row r="1244" spans="2:4" x14ac:dyDescent="0.2">
      <c r="B1244" s="1341">
        <v>1436</v>
      </c>
      <c r="C1244" s="1341" t="s">
        <v>2468</v>
      </c>
      <c r="D1244" s="1310">
        <v>670.73333700000001</v>
      </c>
    </row>
    <row r="1245" spans="2:4" x14ac:dyDescent="0.2">
      <c r="B1245" s="1341">
        <v>1437</v>
      </c>
      <c r="C1245" s="1341" t="s">
        <v>2469</v>
      </c>
      <c r="D1245" s="1310">
        <v>621.45001200000002</v>
      </c>
    </row>
    <row r="1246" spans="2:4" x14ac:dyDescent="0.2">
      <c r="B1246" s="1341">
        <v>1438</v>
      </c>
      <c r="C1246" s="1341" t="s">
        <v>2470</v>
      </c>
      <c r="D1246" s="1310">
        <v>628.59999600000003</v>
      </c>
    </row>
    <row r="1247" spans="2:4" x14ac:dyDescent="0.2">
      <c r="B1247" s="1341">
        <v>1439</v>
      </c>
      <c r="C1247" s="1341" t="s">
        <v>2471</v>
      </c>
      <c r="D1247" s="1310">
        <v>737.759998</v>
      </c>
    </row>
    <row r="1248" spans="2:4" x14ac:dyDescent="0.2">
      <c r="B1248" s="1341">
        <v>1440</v>
      </c>
      <c r="C1248" s="1341" t="s">
        <v>2472</v>
      </c>
      <c r="D1248" s="1310">
        <v>688.30000800000005</v>
      </c>
    </row>
    <row r="1249" spans="2:4" x14ac:dyDescent="0.2">
      <c r="B1249" s="1341">
        <v>1441</v>
      </c>
      <c r="C1249" s="1341" t="s">
        <v>2473</v>
      </c>
      <c r="D1249" s="1310">
        <v>714.13999000000001</v>
      </c>
    </row>
    <row r="1250" spans="2:4" x14ac:dyDescent="0.2">
      <c r="B1250" s="1341">
        <v>1442</v>
      </c>
      <c r="C1250" s="1341" t="s">
        <v>2474</v>
      </c>
      <c r="D1250" s="1310">
        <v>705.12498500000004</v>
      </c>
    </row>
    <row r="1251" spans="2:4" x14ac:dyDescent="0.2">
      <c r="B1251" s="1341">
        <v>1443</v>
      </c>
      <c r="C1251" s="1341" t="s">
        <v>2475</v>
      </c>
      <c r="D1251" s="1310">
        <v>634.84286099999997</v>
      </c>
    </row>
    <row r="1252" spans="2:4" x14ac:dyDescent="0.2">
      <c r="B1252" s="1341">
        <v>1444</v>
      </c>
      <c r="C1252" s="1341" t="s">
        <v>2476</v>
      </c>
      <c r="D1252" s="1310">
        <v>643.76668299999994</v>
      </c>
    </row>
    <row r="1253" spans="2:4" x14ac:dyDescent="0.2">
      <c r="B1253" s="1341">
        <v>1445</v>
      </c>
      <c r="C1253" s="1341" t="s">
        <v>2477</v>
      </c>
      <c r="D1253" s="1310">
        <v>707.44998199999998</v>
      </c>
    </row>
    <row r="1254" spans="2:4" x14ac:dyDescent="0.2">
      <c r="B1254" s="1341">
        <v>1446</v>
      </c>
      <c r="C1254" s="1341" t="s">
        <v>2478</v>
      </c>
      <c r="D1254" s="1310">
        <v>649.08000500000003</v>
      </c>
    </row>
    <row r="1255" spans="2:4" x14ac:dyDescent="0.2">
      <c r="B1255" s="1341">
        <v>1447</v>
      </c>
      <c r="C1255" s="1341" t="s">
        <v>2479</v>
      </c>
      <c r="D1255" s="1310">
        <v>730</v>
      </c>
    </row>
    <row r="1256" spans="2:4" x14ac:dyDescent="0.2">
      <c r="B1256" s="1341">
        <v>1448</v>
      </c>
      <c r="C1256" s="1341" t="s">
        <v>2480</v>
      </c>
      <c r="D1256" s="1310">
        <v>659.19999199999995</v>
      </c>
    </row>
    <row r="1257" spans="2:4" x14ac:dyDescent="0.2">
      <c r="B1257" s="1341">
        <v>1449</v>
      </c>
      <c r="C1257" s="1341" t="s">
        <v>2481</v>
      </c>
      <c r="D1257" s="1310">
        <v>677.375</v>
      </c>
    </row>
    <row r="1258" spans="2:4" x14ac:dyDescent="0.2">
      <c r="B1258" s="1341">
        <v>1450</v>
      </c>
      <c r="C1258" s="1341" t="s">
        <v>2482</v>
      </c>
      <c r="D1258" s="1310">
        <v>726.75454400000001</v>
      </c>
    </row>
    <row r="1259" spans="2:4" x14ac:dyDescent="0.2">
      <c r="B1259" s="1341">
        <v>1451</v>
      </c>
      <c r="C1259" s="1341" t="s">
        <v>2483</v>
      </c>
      <c r="D1259" s="1310">
        <v>736.04998799999998</v>
      </c>
    </row>
    <row r="1260" spans="2:4" x14ac:dyDescent="0.2">
      <c r="B1260" s="1341">
        <v>1452</v>
      </c>
      <c r="C1260" s="1341" t="s">
        <v>2484</v>
      </c>
      <c r="D1260" s="1310">
        <v>632.83998999999994</v>
      </c>
    </row>
    <row r="1261" spans="2:4" x14ac:dyDescent="0.2">
      <c r="B1261" s="1341">
        <v>1453</v>
      </c>
      <c r="C1261" s="1341" t="s">
        <v>2485</v>
      </c>
      <c r="D1261" s="1310">
        <v>630.31426999999996</v>
      </c>
    </row>
    <row r="1262" spans="2:4" x14ac:dyDescent="0.2">
      <c r="B1262" s="1341">
        <v>1454</v>
      </c>
      <c r="C1262" s="1341" t="s">
        <v>2486</v>
      </c>
      <c r="D1262" s="1310">
        <v>572.14999399999999</v>
      </c>
    </row>
    <row r="1263" spans="2:4" x14ac:dyDescent="0.2">
      <c r="B1263" s="1341">
        <v>1455</v>
      </c>
      <c r="C1263" s="1341" t="s">
        <v>2487</v>
      </c>
      <c r="D1263" s="1310">
        <v>655.536833</v>
      </c>
    </row>
    <row r="1264" spans="2:4" x14ac:dyDescent="0.2">
      <c r="B1264" s="1341">
        <v>1456</v>
      </c>
      <c r="C1264" s="1341" t="s">
        <v>2488</v>
      </c>
      <c r="D1264" s="1310">
        <v>714.5</v>
      </c>
    </row>
    <row r="1265" spans="2:4" x14ac:dyDescent="0.2">
      <c r="B1265" s="1341">
        <v>1457</v>
      </c>
      <c r="C1265" s="1341" t="s">
        <v>1776</v>
      </c>
      <c r="D1265" s="1310">
        <v>681.25</v>
      </c>
    </row>
    <row r="1266" spans="2:4" x14ac:dyDescent="0.2">
      <c r="B1266" s="1341">
        <v>1458</v>
      </c>
      <c r="C1266" s="1341" t="s">
        <v>2489</v>
      </c>
      <c r="D1266" s="1310">
        <v>560.57499700000005</v>
      </c>
    </row>
    <row r="1267" spans="2:4" x14ac:dyDescent="0.2">
      <c r="B1267" s="1341">
        <v>1459</v>
      </c>
      <c r="C1267" s="1341" t="s">
        <v>2490</v>
      </c>
      <c r="D1267" s="1310">
        <v>659.77000699999996</v>
      </c>
    </row>
    <row r="1268" spans="2:4" x14ac:dyDescent="0.2">
      <c r="B1268" s="1341">
        <v>1460</v>
      </c>
      <c r="C1268" s="1341" t="s">
        <v>432</v>
      </c>
      <c r="D1268" s="1310">
        <v>630.25</v>
      </c>
    </row>
    <row r="1269" spans="2:4" x14ac:dyDescent="0.2">
      <c r="B1269" s="1341">
        <v>1461</v>
      </c>
      <c r="C1269" s="1341" t="s">
        <v>2491</v>
      </c>
      <c r="D1269" s="1310">
        <v>636.60000600000001</v>
      </c>
    </row>
    <row r="1270" spans="2:4" x14ac:dyDescent="0.2">
      <c r="B1270" s="1341">
        <v>1462</v>
      </c>
      <c r="C1270" s="1341" t="s">
        <v>1766</v>
      </c>
      <c r="D1270" s="1310">
        <v>610.35000600000001</v>
      </c>
    </row>
    <row r="1271" spans="2:4" x14ac:dyDescent="0.2">
      <c r="B1271" s="1341">
        <v>1463</v>
      </c>
      <c r="C1271" s="1341" t="s">
        <v>2492</v>
      </c>
      <c r="D1271" s="1310">
        <v>718.86665900000003</v>
      </c>
    </row>
    <row r="1272" spans="2:4" x14ac:dyDescent="0.2">
      <c r="B1272" s="1341">
        <v>1464</v>
      </c>
      <c r="C1272" s="1341" t="s">
        <v>2493</v>
      </c>
      <c r="D1272" s="1310">
        <v>768.625</v>
      </c>
    </row>
    <row r="1273" spans="2:4" x14ac:dyDescent="0.2">
      <c r="B1273" s="1341">
        <v>1465</v>
      </c>
      <c r="C1273" s="1341" t="s">
        <v>2494</v>
      </c>
      <c r="D1273" s="1310">
        <v>792.61664800000005</v>
      </c>
    </row>
    <row r="1274" spans="2:4" x14ac:dyDescent="0.2">
      <c r="B1274" s="1341">
        <v>1466</v>
      </c>
      <c r="C1274" s="1341" t="s">
        <v>2495</v>
      </c>
      <c r="D1274" s="1310">
        <v>802</v>
      </c>
    </row>
    <row r="1275" spans="2:4" x14ac:dyDescent="0.2">
      <c r="B1275" s="1341">
        <v>1467</v>
      </c>
      <c r="C1275" s="1341" t="s">
        <v>2496</v>
      </c>
      <c r="D1275" s="1310">
        <v>652</v>
      </c>
    </row>
    <row r="1276" spans="2:4" x14ac:dyDescent="0.2">
      <c r="B1276" s="1341">
        <v>1468</v>
      </c>
      <c r="C1276" s="1341" t="s">
        <v>2497</v>
      </c>
      <c r="D1276" s="1310">
        <v>699.45001200000002</v>
      </c>
    </row>
    <row r="1277" spans="2:4" x14ac:dyDescent="0.2">
      <c r="B1277" s="1341">
        <v>1469</v>
      </c>
      <c r="C1277" s="1341" t="s">
        <v>2498</v>
      </c>
      <c r="D1277" s="1310">
        <v>629.07499700000005</v>
      </c>
    </row>
    <row r="1278" spans="2:4" x14ac:dyDescent="0.2">
      <c r="B1278" s="1341">
        <v>1470</v>
      </c>
      <c r="C1278" s="1341" t="s">
        <v>2499</v>
      </c>
      <c r="D1278" s="1310">
        <v>712.47999300000004</v>
      </c>
    </row>
    <row r="1279" spans="2:4" x14ac:dyDescent="0.2">
      <c r="B1279" s="1341">
        <v>1471</v>
      </c>
      <c r="C1279" s="1341" t="s">
        <v>2500</v>
      </c>
      <c r="D1279" s="1310">
        <v>611.6875</v>
      </c>
    </row>
    <row r="1280" spans="2:4" x14ac:dyDescent="0.2">
      <c r="B1280" s="1341">
        <v>1472</v>
      </c>
      <c r="C1280" s="1341" t="s">
        <v>2098</v>
      </c>
      <c r="D1280" s="1310">
        <v>575.69999700000005</v>
      </c>
    </row>
    <row r="1281" spans="2:4" x14ac:dyDescent="0.2">
      <c r="B1281" s="1341">
        <v>1473</v>
      </c>
      <c r="C1281" s="1341" t="s">
        <v>2501</v>
      </c>
      <c r="D1281" s="1310">
        <v>757.79998799999998</v>
      </c>
    </row>
    <row r="1282" spans="2:4" x14ac:dyDescent="0.2">
      <c r="B1282" s="1341">
        <v>1474</v>
      </c>
      <c r="C1282" s="1341" t="s">
        <v>2502</v>
      </c>
      <c r="D1282" s="1310">
        <v>562.26363300000003</v>
      </c>
    </row>
    <row r="1283" spans="2:4" x14ac:dyDescent="0.2">
      <c r="B1283" s="1341">
        <v>1475</v>
      </c>
      <c r="C1283" s="1341" t="s">
        <v>2503</v>
      </c>
      <c r="D1283" s="1310">
        <v>688.30000800000005</v>
      </c>
    </row>
    <row r="1284" spans="2:4" x14ac:dyDescent="0.2">
      <c r="B1284" s="1341">
        <v>1476</v>
      </c>
      <c r="C1284" s="1341" t="s">
        <v>2504</v>
      </c>
      <c r="D1284" s="1310">
        <v>735.96923400000003</v>
      </c>
    </row>
    <row r="1285" spans="2:4" x14ac:dyDescent="0.2">
      <c r="B1285" s="1341">
        <v>1477</v>
      </c>
      <c r="C1285" s="1341" t="s">
        <v>2505</v>
      </c>
      <c r="D1285" s="1310">
        <v>624.46667500000001</v>
      </c>
    </row>
    <row r="1286" spans="2:4" x14ac:dyDescent="0.2">
      <c r="B1286" s="1341">
        <v>1478</v>
      </c>
      <c r="C1286" s="1341" t="s">
        <v>2506</v>
      </c>
      <c r="D1286" s="1310">
        <v>695.5</v>
      </c>
    </row>
    <row r="1287" spans="2:4" x14ac:dyDescent="0.2">
      <c r="B1287" s="1341">
        <v>1479</v>
      </c>
      <c r="C1287" s="1341" t="s">
        <v>2507</v>
      </c>
      <c r="D1287" s="1310">
        <v>625.72941000000003</v>
      </c>
    </row>
    <row r="1288" spans="2:4" x14ac:dyDescent="0.2">
      <c r="B1288" s="1341">
        <v>1480</v>
      </c>
      <c r="C1288" s="1341" t="s">
        <v>2508</v>
      </c>
      <c r="D1288" s="1310">
        <v>616.63332100000002</v>
      </c>
    </row>
    <row r="1289" spans="2:4" x14ac:dyDescent="0.2">
      <c r="B1289" s="1341">
        <v>1481</v>
      </c>
      <c r="C1289" s="1341" t="s">
        <v>2509</v>
      </c>
      <c r="D1289" s="1310">
        <v>675.42857100000003</v>
      </c>
    </row>
    <row r="1290" spans="2:4" x14ac:dyDescent="0.2">
      <c r="B1290" s="1341">
        <v>1482</v>
      </c>
      <c r="C1290" s="1341" t="s">
        <v>2510</v>
      </c>
      <c r="D1290" s="1310">
        <v>726.79998799999998</v>
      </c>
    </row>
    <row r="1291" spans="2:4" x14ac:dyDescent="0.2">
      <c r="B1291" s="1341">
        <v>1483</v>
      </c>
      <c r="C1291" s="1341" t="s">
        <v>2511</v>
      </c>
      <c r="D1291" s="1310">
        <v>673.29998799999998</v>
      </c>
    </row>
    <row r="1292" spans="2:4" x14ac:dyDescent="0.2">
      <c r="B1292" s="1341">
        <v>1484</v>
      </c>
      <c r="C1292" s="1341" t="s">
        <v>2512</v>
      </c>
      <c r="D1292" s="1310">
        <v>674.70001200000002</v>
      </c>
    </row>
    <row r="1293" spans="2:4" x14ac:dyDescent="0.2">
      <c r="B1293" s="1341">
        <v>1485</v>
      </c>
      <c r="C1293" s="1341" t="s">
        <v>2513</v>
      </c>
      <c r="D1293" s="1310">
        <v>698.15002400000003</v>
      </c>
    </row>
    <row r="1294" spans="2:4" x14ac:dyDescent="0.2">
      <c r="B1294" s="1341">
        <v>1486</v>
      </c>
      <c r="C1294" s="1341" t="s">
        <v>2514</v>
      </c>
      <c r="D1294" s="1310">
        <v>562.03333499999997</v>
      </c>
    </row>
    <row r="1295" spans="2:4" x14ac:dyDescent="0.2">
      <c r="B1295" s="1341">
        <v>1487</v>
      </c>
      <c r="C1295" s="1341" t="s">
        <v>2515</v>
      </c>
      <c r="D1295" s="1310">
        <v>568.71250899999995</v>
      </c>
    </row>
    <row r="1296" spans="2:4" x14ac:dyDescent="0.2">
      <c r="B1296" s="1341">
        <v>1488</v>
      </c>
      <c r="C1296" s="1341" t="s">
        <v>1295</v>
      </c>
      <c r="D1296" s="1310">
        <v>643.62499200000002</v>
      </c>
    </row>
    <row r="1297" spans="2:4" x14ac:dyDescent="0.2">
      <c r="B1297" s="1341">
        <v>1489</v>
      </c>
      <c r="C1297" s="1341" t="s">
        <v>2516</v>
      </c>
      <c r="D1297" s="1310">
        <v>661.97500600000001</v>
      </c>
    </row>
    <row r="1298" spans="2:4" x14ac:dyDescent="0.2">
      <c r="B1298" s="1341">
        <v>1490</v>
      </c>
      <c r="C1298" s="1341" t="s">
        <v>2517</v>
      </c>
      <c r="D1298" s="1310">
        <v>695.20000500000003</v>
      </c>
    </row>
    <row r="1299" spans="2:4" x14ac:dyDescent="0.2">
      <c r="B1299" s="1341">
        <v>1491</v>
      </c>
      <c r="C1299" s="1341" t="s">
        <v>2518</v>
      </c>
      <c r="D1299" s="1310">
        <v>654.15000899999995</v>
      </c>
    </row>
    <row r="1300" spans="2:4" x14ac:dyDescent="0.2">
      <c r="B1300" s="1341">
        <v>1492</v>
      </c>
      <c r="C1300" s="1341" t="s">
        <v>1898</v>
      </c>
      <c r="D1300" s="1310">
        <v>633.25</v>
      </c>
    </row>
    <row r="1301" spans="2:4" x14ac:dyDescent="0.2">
      <c r="B1301" s="1341">
        <v>1494</v>
      </c>
      <c r="C1301" s="1341" t="s">
        <v>2519</v>
      </c>
      <c r="D1301" s="1310">
        <v>743.08000500000003</v>
      </c>
    </row>
    <row r="1302" spans="2:4" x14ac:dyDescent="0.2">
      <c r="B1302" s="1341">
        <v>1495</v>
      </c>
      <c r="C1302" s="1341" t="s">
        <v>2520</v>
      </c>
      <c r="D1302" s="1310">
        <v>727.38000499999998</v>
      </c>
    </row>
    <row r="1303" spans="2:4" x14ac:dyDescent="0.2">
      <c r="B1303" s="1341">
        <v>1496</v>
      </c>
      <c r="C1303" s="1341" t="s">
        <v>2521</v>
      </c>
      <c r="D1303" s="1310">
        <v>652.73333700000001</v>
      </c>
    </row>
    <row r="1304" spans="2:4" x14ac:dyDescent="0.2">
      <c r="B1304" s="1341">
        <v>1497</v>
      </c>
      <c r="C1304" s="1341" t="s">
        <v>2522</v>
      </c>
      <c r="D1304" s="1310">
        <v>788.97500600000001</v>
      </c>
    </row>
    <row r="1305" spans="2:4" x14ac:dyDescent="0.2">
      <c r="B1305" s="1341">
        <v>1498</v>
      </c>
      <c r="C1305" s="1341" t="s">
        <v>2523</v>
      </c>
      <c r="D1305" s="1310">
        <v>614.35999800000002</v>
      </c>
    </row>
    <row r="1306" spans="2:4" x14ac:dyDescent="0.2">
      <c r="B1306" s="1341">
        <v>1499</v>
      </c>
      <c r="C1306" s="1341" t="s">
        <v>2524</v>
      </c>
      <c r="D1306" s="1310">
        <v>645.32499700000005</v>
      </c>
    </row>
    <row r="1307" spans="2:4" x14ac:dyDescent="0.2">
      <c r="B1307" s="1341">
        <v>1500</v>
      </c>
      <c r="C1307" s="1341" t="s">
        <v>2525</v>
      </c>
      <c r="D1307" s="1310">
        <v>700.36922000000004</v>
      </c>
    </row>
    <row r="1308" spans="2:4" x14ac:dyDescent="0.2">
      <c r="B1308" s="1341">
        <v>1501</v>
      </c>
      <c r="C1308" s="1341" t="s">
        <v>2526</v>
      </c>
      <c r="D1308" s="1310">
        <v>599.09999100000005</v>
      </c>
    </row>
    <row r="1309" spans="2:4" x14ac:dyDescent="0.2">
      <c r="B1309" s="1341">
        <v>1502</v>
      </c>
      <c r="C1309" s="1341" t="s">
        <v>2527</v>
      </c>
      <c r="D1309" s="1310">
        <v>601.40002400000003</v>
      </c>
    </row>
    <row r="1310" spans="2:4" x14ac:dyDescent="0.2">
      <c r="B1310" s="1341">
        <v>1503</v>
      </c>
      <c r="C1310" s="1341" t="s">
        <v>2528</v>
      </c>
      <c r="D1310" s="1310">
        <v>618.39998400000002</v>
      </c>
    </row>
    <row r="1311" spans="2:4" x14ac:dyDescent="0.2">
      <c r="B1311" s="1341">
        <v>1504</v>
      </c>
      <c r="C1311" s="1341" t="s">
        <v>2529</v>
      </c>
      <c r="D1311" s="1310">
        <v>634.86667899999998</v>
      </c>
    </row>
    <row r="1312" spans="2:4" x14ac:dyDescent="0.2">
      <c r="B1312" s="1341">
        <v>1505</v>
      </c>
      <c r="C1312" s="1341" t="s">
        <v>2530</v>
      </c>
      <c r="D1312" s="1310">
        <v>642.03332499999999</v>
      </c>
    </row>
    <row r="1313" spans="2:4" x14ac:dyDescent="0.2">
      <c r="B1313" s="1341">
        <v>1506</v>
      </c>
      <c r="C1313" s="1341" t="s">
        <v>2531</v>
      </c>
      <c r="D1313" s="1310">
        <v>584.28332499999999</v>
      </c>
    </row>
    <row r="1314" spans="2:4" x14ac:dyDescent="0.2">
      <c r="B1314" s="1341">
        <v>1507</v>
      </c>
      <c r="C1314" s="1341" t="s">
        <v>2532</v>
      </c>
      <c r="D1314" s="1310">
        <v>625.97499100000005</v>
      </c>
    </row>
    <row r="1315" spans="2:4" x14ac:dyDescent="0.2">
      <c r="B1315" s="1341">
        <v>1508</v>
      </c>
      <c r="C1315" s="1341" t="s">
        <v>2533</v>
      </c>
      <c r="D1315" s="1310">
        <v>712.89999399999999</v>
      </c>
    </row>
    <row r="1316" spans="2:4" x14ac:dyDescent="0.2">
      <c r="B1316" s="1341">
        <v>1509</v>
      </c>
      <c r="C1316" s="1341" t="s">
        <v>2534</v>
      </c>
      <c r="D1316" s="1310">
        <v>659.20001200000002</v>
      </c>
    </row>
    <row r="1317" spans="2:4" x14ac:dyDescent="0.2">
      <c r="B1317" s="1341">
        <v>1510</v>
      </c>
      <c r="C1317" s="1341" t="s">
        <v>2535</v>
      </c>
      <c r="D1317" s="1310">
        <v>571.27499399999999</v>
      </c>
    </row>
    <row r="1318" spans="2:4" x14ac:dyDescent="0.2">
      <c r="B1318" s="1341">
        <v>1511</v>
      </c>
      <c r="C1318" s="1341" t="s">
        <v>2029</v>
      </c>
      <c r="D1318" s="1310">
        <v>649.5</v>
      </c>
    </row>
    <row r="1319" spans="2:4" x14ac:dyDescent="0.2">
      <c r="B1319" s="1341">
        <v>1512</v>
      </c>
      <c r="C1319" s="1341" t="s">
        <v>2536</v>
      </c>
      <c r="D1319" s="1310">
        <v>746.04998799999998</v>
      </c>
    </row>
    <row r="1320" spans="2:4" x14ac:dyDescent="0.2">
      <c r="B1320" s="1341">
        <v>1513</v>
      </c>
      <c r="C1320" s="1341" t="s">
        <v>2537</v>
      </c>
      <c r="D1320" s="1310">
        <v>651.90000899999995</v>
      </c>
    </row>
    <row r="1321" spans="2:4" x14ac:dyDescent="0.2">
      <c r="B1321" s="1341">
        <v>1514</v>
      </c>
      <c r="C1321" s="1341" t="s">
        <v>2538</v>
      </c>
      <c r="D1321" s="1310">
        <v>740.70001200000002</v>
      </c>
    </row>
    <row r="1322" spans="2:4" x14ac:dyDescent="0.2">
      <c r="B1322" s="1341">
        <v>1515</v>
      </c>
      <c r="C1322" s="1341" t="s">
        <v>2539</v>
      </c>
      <c r="D1322" s="1310">
        <v>718.90000399999997</v>
      </c>
    </row>
    <row r="1323" spans="2:4" x14ac:dyDescent="0.2">
      <c r="B1323" s="1341">
        <v>1516</v>
      </c>
      <c r="C1323" s="1341" t="s">
        <v>2540</v>
      </c>
      <c r="D1323" s="1310">
        <v>661.57499700000005</v>
      </c>
    </row>
    <row r="1324" spans="2:4" x14ac:dyDescent="0.2">
      <c r="B1324" s="1341">
        <v>1517</v>
      </c>
      <c r="C1324" s="1341" t="s">
        <v>2541</v>
      </c>
      <c r="D1324" s="1310">
        <v>796</v>
      </c>
    </row>
    <row r="1325" spans="2:4" x14ac:dyDescent="0.2">
      <c r="B1325" s="1341">
        <v>1518</v>
      </c>
      <c r="C1325" s="1341" t="s">
        <v>2542</v>
      </c>
      <c r="D1325" s="1310">
        <v>589.30001800000002</v>
      </c>
    </row>
    <row r="1326" spans="2:4" x14ac:dyDescent="0.2">
      <c r="B1326" s="1341">
        <v>1519</v>
      </c>
      <c r="C1326" s="1341" t="s">
        <v>2543</v>
      </c>
      <c r="D1326" s="1310">
        <v>707.64999399999999</v>
      </c>
    </row>
    <row r="1327" spans="2:4" x14ac:dyDescent="0.2">
      <c r="B1327" s="1341">
        <v>1520</v>
      </c>
      <c r="C1327" s="1341" t="s">
        <v>2544</v>
      </c>
      <c r="D1327" s="1310">
        <v>674.30667300000005</v>
      </c>
    </row>
    <row r="1328" spans="2:4" x14ac:dyDescent="0.2">
      <c r="B1328" s="1341">
        <v>1521</v>
      </c>
      <c r="C1328" s="1341" t="s">
        <v>2545</v>
      </c>
      <c r="D1328" s="1310">
        <v>656.5</v>
      </c>
    </row>
    <row r="1329" spans="2:4" x14ac:dyDescent="0.2">
      <c r="B1329" s="1341">
        <v>1522</v>
      </c>
      <c r="C1329" s="1341" t="s">
        <v>2546</v>
      </c>
      <c r="D1329" s="1310">
        <v>771</v>
      </c>
    </row>
    <row r="1330" spans="2:4" x14ac:dyDescent="0.2">
      <c r="B1330" s="1341">
        <v>1523</v>
      </c>
      <c r="C1330" s="1341" t="s">
        <v>2547</v>
      </c>
      <c r="D1330" s="1310">
        <v>743.94999700000005</v>
      </c>
    </row>
    <row r="1331" spans="2:4" x14ac:dyDescent="0.2">
      <c r="B1331" s="1341">
        <v>1524</v>
      </c>
      <c r="C1331" s="1341" t="s">
        <v>2548</v>
      </c>
      <c r="D1331" s="1310">
        <v>592.45001200000002</v>
      </c>
    </row>
    <row r="1332" spans="2:4" x14ac:dyDescent="0.2">
      <c r="B1332" s="1341">
        <v>1525</v>
      </c>
      <c r="C1332" s="1341" t="s">
        <v>1567</v>
      </c>
      <c r="D1332" s="1310">
        <v>598.49998000000005</v>
      </c>
    </row>
    <row r="1333" spans="2:4" x14ac:dyDescent="0.2">
      <c r="B1333" s="1341">
        <v>1526</v>
      </c>
      <c r="C1333" s="1341" t="s">
        <v>2549</v>
      </c>
      <c r="D1333" s="1310">
        <v>643.18001700000002</v>
      </c>
    </row>
    <row r="1334" spans="2:4" x14ac:dyDescent="0.2">
      <c r="B1334" s="1341">
        <v>1527</v>
      </c>
      <c r="C1334" s="1341" t="s">
        <v>2550</v>
      </c>
      <c r="D1334" s="1310">
        <v>744.20001200000002</v>
      </c>
    </row>
    <row r="1335" spans="2:4" x14ac:dyDescent="0.2">
      <c r="B1335" s="1341">
        <v>1528</v>
      </c>
      <c r="C1335" s="1341" t="s">
        <v>2551</v>
      </c>
      <c r="D1335" s="1310">
        <v>685.52499399999999</v>
      </c>
    </row>
    <row r="1336" spans="2:4" x14ac:dyDescent="0.2">
      <c r="B1336" s="1341">
        <v>1529</v>
      </c>
      <c r="C1336" s="1341" t="s">
        <v>2552</v>
      </c>
      <c r="D1336" s="1310">
        <v>725.35000600000001</v>
      </c>
    </row>
    <row r="1337" spans="2:4" x14ac:dyDescent="0.2">
      <c r="B1337" s="1341">
        <v>1530</v>
      </c>
      <c r="C1337" s="1341" t="s">
        <v>2553</v>
      </c>
      <c r="D1337" s="1310">
        <v>658.19999199999995</v>
      </c>
    </row>
    <row r="1338" spans="2:4" x14ac:dyDescent="0.2">
      <c r="B1338" s="1341">
        <v>1531</v>
      </c>
      <c r="C1338" s="1341" t="s">
        <v>2554</v>
      </c>
      <c r="D1338" s="1310">
        <v>639.18750799999998</v>
      </c>
    </row>
    <row r="1339" spans="2:4" x14ac:dyDescent="0.2">
      <c r="B1339" s="1341">
        <v>1532</v>
      </c>
      <c r="C1339" s="1341" t="s">
        <v>2555</v>
      </c>
      <c r="D1339" s="1310">
        <v>653.39999399999999</v>
      </c>
    </row>
    <row r="1340" spans="2:4" x14ac:dyDescent="0.2">
      <c r="B1340" s="1341">
        <v>1533</v>
      </c>
      <c r="C1340" s="1341" t="s">
        <v>2556</v>
      </c>
      <c r="D1340" s="1310">
        <v>725.43330900000001</v>
      </c>
    </row>
    <row r="1341" spans="2:4" x14ac:dyDescent="0.2">
      <c r="B1341" s="1341">
        <v>1534</v>
      </c>
      <c r="C1341" s="1341" t="s">
        <v>2557</v>
      </c>
      <c r="D1341" s="1310">
        <v>733.79998799999998</v>
      </c>
    </row>
    <row r="1342" spans="2:4" x14ac:dyDescent="0.2">
      <c r="B1342" s="1341">
        <v>1535</v>
      </c>
      <c r="C1342" s="1341" t="s">
        <v>2558</v>
      </c>
      <c r="D1342" s="1310">
        <v>667.79998799999998</v>
      </c>
    </row>
    <row r="1343" spans="2:4" x14ac:dyDescent="0.2">
      <c r="B1343" s="1341">
        <v>1536</v>
      </c>
      <c r="C1343" s="1341" t="s">
        <v>2559</v>
      </c>
      <c r="D1343" s="1310">
        <v>610.64999399999999</v>
      </c>
    </row>
    <row r="1344" spans="2:4" x14ac:dyDescent="0.2">
      <c r="B1344" s="1341">
        <v>1537</v>
      </c>
      <c r="C1344" s="1341" t="s">
        <v>2560</v>
      </c>
      <c r="D1344" s="1310">
        <v>643.90002400000003</v>
      </c>
    </row>
    <row r="1345" spans="2:4" x14ac:dyDescent="0.2">
      <c r="B1345" s="1341">
        <v>1551</v>
      </c>
      <c r="C1345" s="1341" t="s">
        <v>2561</v>
      </c>
      <c r="D1345" s="1310">
        <v>751.78333499999997</v>
      </c>
    </row>
    <row r="1346" spans="2:4" x14ac:dyDescent="0.2">
      <c r="B1346" s="1341">
        <v>1552</v>
      </c>
      <c r="C1346" s="1341" t="s">
        <v>2562</v>
      </c>
      <c r="D1346" s="1310">
        <v>787.81664999999998</v>
      </c>
    </row>
    <row r="1347" spans="2:4" x14ac:dyDescent="0.2">
      <c r="B1347" s="1341">
        <v>1553</v>
      </c>
      <c r="C1347" s="1341" t="s">
        <v>2374</v>
      </c>
      <c r="D1347" s="1310">
        <v>824.93570799999998</v>
      </c>
    </row>
    <row r="1348" spans="2:4" x14ac:dyDescent="0.2">
      <c r="B1348" s="1341">
        <v>1554</v>
      </c>
      <c r="C1348" s="1341" t="s">
        <v>2563</v>
      </c>
      <c r="D1348" s="1310">
        <v>840.53333499999997</v>
      </c>
    </row>
    <row r="1349" spans="2:4" x14ac:dyDescent="0.2">
      <c r="B1349" s="1341">
        <v>1555</v>
      </c>
      <c r="C1349" s="1341" t="s">
        <v>2068</v>
      </c>
      <c r="D1349" s="1310">
        <v>798.67500299999995</v>
      </c>
    </row>
    <row r="1350" spans="2:4" x14ac:dyDescent="0.2">
      <c r="B1350" s="1341">
        <v>1556</v>
      </c>
      <c r="C1350" s="1341" t="s">
        <v>2564</v>
      </c>
      <c r="D1350" s="1310">
        <v>910.39999799999998</v>
      </c>
    </row>
    <row r="1351" spans="2:4" x14ac:dyDescent="0.2">
      <c r="B1351" s="1341">
        <v>1557</v>
      </c>
      <c r="C1351" s="1341" t="s">
        <v>2565</v>
      </c>
      <c r="D1351" s="1310">
        <v>947.95000100000004</v>
      </c>
    </row>
    <row r="1352" spans="2:4" x14ac:dyDescent="0.2">
      <c r="B1352" s="1341">
        <v>1558</v>
      </c>
      <c r="C1352" s="1341" t="s">
        <v>2566</v>
      </c>
      <c r="D1352" s="1310">
        <v>925.32000700000003</v>
      </c>
    </row>
    <row r="1353" spans="2:4" x14ac:dyDescent="0.2">
      <c r="B1353" s="1341">
        <v>1559</v>
      </c>
      <c r="C1353" s="1341" t="s">
        <v>2567</v>
      </c>
      <c r="D1353" s="1310">
        <v>961.64445000000001</v>
      </c>
    </row>
    <row r="1354" spans="2:4" x14ac:dyDescent="0.2">
      <c r="B1354" s="1341">
        <v>1560</v>
      </c>
      <c r="C1354" s="1341" t="s">
        <v>2568</v>
      </c>
      <c r="D1354" s="1310">
        <v>927.16250600000001</v>
      </c>
    </row>
    <row r="1355" spans="2:4" x14ac:dyDescent="0.2">
      <c r="B1355" s="1341">
        <v>1561</v>
      </c>
      <c r="C1355" s="1341" t="s">
        <v>1789</v>
      </c>
      <c r="D1355" s="1310">
        <v>932.54999499999997</v>
      </c>
    </row>
    <row r="1356" spans="2:4" x14ac:dyDescent="0.2">
      <c r="B1356" s="1341">
        <v>1562</v>
      </c>
      <c r="C1356" s="1341" t="s">
        <v>2569</v>
      </c>
      <c r="D1356" s="1310">
        <v>914.08890099999996</v>
      </c>
    </row>
    <row r="1357" spans="2:4" x14ac:dyDescent="0.2">
      <c r="B1357" s="1341">
        <v>1563</v>
      </c>
      <c r="C1357" s="1341" t="s">
        <v>2570</v>
      </c>
      <c r="D1357" s="1310">
        <v>914.53333499999997</v>
      </c>
    </row>
    <row r="1358" spans="2:4" x14ac:dyDescent="0.2">
      <c r="B1358" s="1341">
        <v>1564</v>
      </c>
      <c r="C1358" s="1341" t="s">
        <v>2125</v>
      </c>
      <c r="D1358" s="1310">
        <v>917.31427900000006</v>
      </c>
    </row>
    <row r="1359" spans="2:4" x14ac:dyDescent="0.2">
      <c r="B1359" s="1341">
        <v>1565</v>
      </c>
      <c r="C1359" s="1341" t="s">
        <v>2571</v>
      </c>
      <c r="D1359" s="1310">
        <v>915.366669</v>
      </c>
    </row>
    <row r="1360" spans="2:4" x14ac:dyDescent="0.2">
      <c r="B1360" s="1341">
        <v>1566</v>
      </c>
      <c r="C1360" s="1341" t="s">
        <v>1460</v>
      </c>
      <c r="D1360" s="1310">
        <v>917.41111899999999</v>
      </c>
    </row>
    <row r="1361" spans="2:4" x14ac:dyDescent="0.2">
      <c r="B1361" s="1341">
        <v>1567</v>
      </c>
      <c r="C1361" s="1341" t="s">
        <v>2572</v>
      </c>
      <c r="D1361" s="1310">
        <v>894.01874199999997</v>
      </c>
    </row>
    <row r="1362" spans="2:4" x14ac:dyDescent="0.2">
      <c r="B1362" s="1341">
        <v>1568</v>
      </c>
      <c r="C1362" s="1341" t="s">
        <v>2573</v>
      </c>
      <c r="D1362" s="1310">
        <v>890.92500299999995</v>
      </c>
    </row>
    <row r="1363" spans="2:4" x14ac:dyDescent="0.2">
      <c r="B1363" s="1341">
        <v>1569</v>
      </c>
      <c r="C1363" s="1341" t="s">
        <v>2574</v>
      </c>
      <c r="D1363" s="1310">
        <v>908.10000300000002</v>
      </c>
    </row>
    <row r="1364" spans="2:4" x14ac:dyDescent="0.2">
      <c r="B1364" s="1341">
        <v>1570</v>
      </c>
      <c r="C1364" s="1341" t="s">
        <v>2575</v>
      </c>
      <c r="D1364" s="1310">
        <v>912.427775</v>
      </c>
    </row>
    <row r="1365" spans="2:4" x14ac:dyDescent="0.2">
      <c r="B1365" s="1341">
        <v>1571</v>
      </c>
      <c r="C1365" s="1341" t="s">
        <v>2576</v>
      </c>
      <c r="D1365" s="1310">
        <v>922.89999399999999</v>
      </c>
    </row>
    <row r="1366" spans="2:4" x14ac:dyDescent="0.2">
      <c r="B1366" s="1341">
        <v>1572</v>
      </c>
      <c r="C1366" s="1341" t="s">
        <v>2577</v>
      </c>
      <c r="D1366" s="1310">
        <v>957.009998</v>
      </c>
    </row>
    <row r="1367" spans="2:4" x14ac:dyDescent="0.2">
      <c r="B1367" s="1341">
        <v>1573</v>
      </c>
      <c r="C1367" s="1341" t="s">
        <v>2578</v>
      </c>
      <c r="D1367" s="1310">
        <v>960.93748500000004</v>
      </c>
    </row>
    <row r="1368" spans="2:4" x14ac:dyDescent="0.2">
      <c r="B1368" s="1341">
        <v>1574</v>
      </c>
      <c r="C1368" s="1341" t="s">
        <v>2579</v>
      </c>
      <c r="D1368" s="1310">
        <v>930.22500600000001</v>
      </c>
    </row>
    <row r="1369" spans="2:4" x14ac:dyDescent="0.2">
      <c r="B1369" s="1341">
        <v>1575</v>
      </c>
      <c r="C1369" s="1341" t="s">
        <v>2580</v>
      </c>
      <c r="D1369" s="1310">
        <v>894.27999299999999</v>
      </c>
    </row>
    <row r="1370" spans="2:4" x14ac:dyDescent="0.2">
      <c r="B1370" s="1341">
        <v>1576</v>
      </c>
      <c r="C1370" s="1341" t="s">
        <v>2581</v>
      </c>
      <c r="D1370" s="1310">
        <v>934.46667500000001</v>
      </c>
    </row>
    <row r="1371" spans="2:4" x14ac:dyDescent="0.2">
      <c r="B1371" s="1341">
        <v>1577</v>
      </c>
      <c r="C1371" s="1341" t="s">
        <v>2582</v>
      </c>
      <c r="D1371" s="1310">
        <v>943.89999399999999</v>
      </c>
    </row>
    <row r="1372" spans="2:4" x14ac:dyDescent="0.2">
      <c r="B1372" s="1341">
        <v>1578</v>
      </c>
      <c r="C1372" s="1341" t="s">
        <v>2583</v>
      </c>
      <c r="D1372" s="1310">
        <v>839.85000600000001</v>
      </c>
    </row>
    <row r="1373" spans="2:4" x14ac:dyDescent="0.2">
      <c r="B1373" s="1341">
        <v>1579</v>
      </c>
      <c r="C1373" s="1341" t="s">
        <v>2584</v>
      </c>
      <c r="D1373" s="1310">
        <v>886.0625</v>
      </c>
    </row>
    <row r="1374" spans="2:4" x14ac:dyDescent="0.2">
      <c r="B1374" s="1341">
        <v>1580</v>
      </c>
      <c r="C1374" s="1341" t="s">
        <v>2585</v>
      </c>
      <c r="D1374" s="1310">
        <v>840.66666699999996</v>
      </c>
    </row>
    <row r="1375" spans="2:4" x14ac:dyDescent="0.2">
      <c r="B1375" s="1341">
        <v>1581</v>
      </c>
      <c r="C1375" s="1341" t="s">
        <v>2586</v>
      </c>
      <c r="D1375" s="1310">
        <v>890.22666400000003</v>
      </c>
    </row>
    <row r="1376" spans="2:4" x14ac:dyDescent="0.2">
      <c r="B1376" s="1341">
        <v>1582</v>
      </c>
      <c r="C1376" s="1341" t="s">
        <v>2431</v>
      </c>
      <c r="D1376" s="1310">
        <v>851.616669</v>
      </c>
    </row>
    <row r="1377" spans="2:4" x14ac:dyDescent="0.2">
      <c r="B1377" s="1341">
        <v>1583</v>
      </c>
      <c r="C1377" s="1341" t="s">
        <v>2587</v>
      </c>
      <c r="D1377" s="1310">
        <v>818.90000399999997</v>
      </c>
    </row>
    <row r="1378" spans="2:4" x14ac:dyDescent="0.2">
      <c r="B1378" s="1341">
        <v>1584</v>
      </c>
      <c r="C1378" s="1341" t="s">
        <v>1985</v>
      </c>
      <c r="D1378" s="1310">
        <v>802.17143899999996</v>
      </c>
    </row>
    <row r="1379" spans="2:4" x14ac:dyDescent="0.2">
      <c r="B1379" s="1341">
        <v>1585</v>
      </c>
      <c r="C1379" s="1341" t="s">
        <v>2588</v>
      </c>
      <c r="D1379" s="1310">
        <v>892</v>
      </c>
    </row>
    <row r="1380" spans="2:4" x14ac:dyDescent="0.2">
      <c r="B1380" s="1341">
        <v>1586</v>
      </c>
      <c r="C1380" s="1341" t="s">
        <v>2589</v>
      </c>
      <c r="D1380" s="1310">
        <v>833.184617</v>
      </c>
    </row>
    <row r="1381" spans="2:4" x14ac:dyDescent="0.2">
      <c r="B1381" s="1341">
        <v>1587</v>
      </c>
      <c r="C1381" s="1341" t="s">
        <v>2590</v>
      </c>
      <c r="D1381" s="1310">
        <v>834.75</v>
      </c>
    </row>
    <row r="1382" spans="2:4" x14ac:dyDescent="0.2">
      <c r="B1382" s="1341">
        <v>1588</v>
      </c>
      <c r="C1382" s="1341" t="s">
        <v>2591</v>
      </c>
      <c r="D1382" s="1310">
        <v>825.116669</v>
      </c>
    </row>
    <row r="1383" spans="2:4" x14ac:dyDescent="0.2">
      <c r="B1383" s="1341">
        <v>1589</v>
      </c>
      <c r="C1383" s="1341" t="s">
        <v>2592</v>
      </c>
      <c r="D1383" s="1310">
        <v>871.33157500000004</v>
      </c>
    </row>
    <row r="1384" spans="2:4" x14ac:dyDescent="0.2">
      <c r="B1384" s="1341">
        <v>1590</v>
      </c>
      <c r="C1384" s="1341" t="s">
        <v>2593</v>
      </c>
      <c r="D1384" s="1310">
        <v>850.63334099999997</v>
      </c>
    </row>
    <row r="1385" spans="2:4" x14ac:dyDescent="0.2">
      <c r="B1385" s="1341">
        <v>1591</v>
      </c>
      <c r="C1385" s="1341" t="s">
        <v>2594</v>
      </c>
      <c r="D1385" s="1310">
        <v>856.27142800000001</v>
      </c>
    </row>
    <row r="1386" spans="2:4" x14ac:dyDescent="0.2">
      <c r="B1386" s="1341">
        <v>1592</v>
      </c>
      <c r="C1386" s="1341" t="s">
        <v>2595</v>
      </c>
      <c r="D1386" s="1310">
        <v>881.19999800000005</v>
      </c>
    </row>
    <row r="1387" spans="2:4" x14ac:dyDescent="0.2">
      <c r="B1387" s="1341">
        <v>1593</v>
      </c>
      <c r="C1387" s="1341" t="s">
        <v>2596</v>
      </c>
      <c r="D1387" s="1310">
        <v>884.05554900000004</v>
      </c>
    </row>
    <row r="1388" spans="2:4" x14ac:dyDescent="0.2">
      <c r="B1388" s="1341">
        <v>1594</v>
      </c>
      <c r="C1388" s="1341" t="s">
        <v>2597</v>
      </c>
      <c r="D1388" s="1310">
        <v>852.59000900000001</v>
      </c>
    </row>
    <row r="1389" spans="2:4" x14ac:dyDescent="0.2">
      <c r="B1389" s="1341">
        <v>1595</v>
      </c>
      <c r="C1389" s="1341" t="s">
        <v>2598</v>
      </c>
      <c r="D1389" s="1310">
        <v>865.15199500000006</v>
      </c>
    </row>
    <row r="1390" spans="2:4" x14ac:dyDescent="0.2">
      <c r="B1390" s="1341">
        <v>1596</v>
      </c>
      <c r="C1390" s="1341" t="s">
        <v>2599</v>
      </c>
      <c r="D1390" s="1310">
        <v>828.614284</v>
      </c>
    </row>
    <row r="1391" spans="2:4" x14ac:dyDescent="0.2">
      <c r="B1391" s="1341">
        <v>1597</v>
      </c>
      <c r="C1391" s="1341" t="s">
        <v>1304</v>
      </c>
      <c r="D1391" s="1310">
        <v>809.40000399999997</v>
      </c>
    </row>
    <row r="1392" spans="2:4" x14ac:dyDescent="0.2">
      <c r="B1392" s="1341">
        <v>1598</v>
      </c>
      <c r="C1392" s="1341" t="s">
        <v>2600</v>
      </c>
      <c r="D1392" s="1310">
        <v>835.45001200000002</v>
      </c>
    </row>
    <row r="1393" spans="2:4" x14ac:dyDescent="0.2">
      <c r="B1393" s="1341">
        <v>1599</v>
      </c>
      <c r="C1393" s="1341" t="s">
        <v>2248</v>
      </c>
      <c r="D1393" s="1310">
        <v>758.10000600000001</v>
      </c>
    </row>
    <row r="1394" spans="2:4" x14ac:dyDescent="0.2">
      <c r="B1394" s="1341">
        <v>1600</v>
      </c>
      <c r="C1394" s="1341" t="s">
        <v>2601</v>
      </c>
      <c r="D1394" s="1310">
        <v>790.78000499999996</v>
      </c>
    </row>
    <row r="1395" spans="2:4" x14ac:dyDescent="0.2">
      <c r="B1395" s="1341">
        <v>1601</v>
      </c>
      <c r="C1395" s="1341" t="s">
        <v>2602</v>
      </c>
      <c r="D1395" s="1310">
        <v>763</v>
      </c>
    </row>
    <row r="1396" spans="2:4" x14ac:dyDescent="0.2">
      <c r="B1396" s="1341">
        <v>1602</v>
      </c>
      <c r="C1396" s="1341" t="s">
        <v>2603</v>
      </c>
      <c r="D1396" s="1310">
        <v>738.5</v>
      </c>
    </row>
    <row r="1397" spans="2:4" x14ac:dyDescent="0.2">
      <c r="B1397" s="1341">
        <v>1603</v>
      </c>
      <c r="C1397" s="1341" t="s">
        <v>2604</v>
      </c>
      <c r="D1397" s="1310">
        <v>788.63749700000005</v>
      </c>
    </row>
    <row r="1398" spans="2:4" x14ac:dyDescent="0.2">
      <c r="B1398" s="1341">
        <v>1604</v>
      </c>
      <c r="C1398" s="1341" t="s">
        <v>2605</v>
      </c>
      <c r="D1398" s="1310">
        <v>736</v>
      </c>
    </row>
    <row r="1399" spans="2:4" x14ac:dyDescent="0.2">
      <c r="B1399" s="1341">
        <v>1605</v>
      </c>
      <c r="C1399" s="1341" t="s">
        <v>2606</v>
      </c>
      <c r="D1399" s="1310">
        <v>795.18749200000002</v>
      </c>
    </row>
    <row r="1400" spans="2:4" x14ac:dyDescent="0.2">
      <c r="B1400" s="1341">
        <v>1606</v>
      </c>
      <c r="C1400" s="1341" t="s">
        <v>2607</v>
      </c>
      <c r="D1400" s="1310">
        <v>782.29999799999996</v>
      </c>
    </row>
    <row r="1401" spans="2:4" x14ac:dyDescent="0.2">
      <c r="B1401" s="1341">
        <v>1607</v>
      </c>
      <c r="C1401" s="1341" t="s">
        <v>2608</v>
      </c>
      <c r="D1401" s="1310">
        <v>756.25</v>
      </c>
    </row>
    <row r="1402" spans="2:4" x14ac:dyDescent="0.2">
      <c r="B1402" s="1341">
        <v>1608</v>
      </c>
      <c r="C1402" s="1341" t="s">
        <v>2609</v>
      </c>
      <c r="D1402" s="1310">
        <v>802.29998799999998</v>
      </c>
    </row>
    <row r="1403" spans="2:4" x14ac:dyDescent="0.2">
      <c r="B1403" s="1341">
        <v>1609</v>
      </c>
      <c r="C1403" s="1341" t="s">
        <v>2610</v>
      </c>
      <c r="D1403" s="1310">
        <v>807.03332499999999</v>
      </c>
    </row>
    <row r="1404" spans="2:4" x14ac:dyDescent="0.2">
      <c r="B1404" s="1341">
        <v>1610</v>
      </c>
      <c r="C1404" s="1341" t="s">
        <v>2611</v>
      </c>
      <c r="D1404" s="1310">
        <v>837.60000600000001</v>
      </c>
    </row>
    <row r="1405" spans="2:4" x14ac:dyDescent="0.2">
      <c r="B1405" s="1341">
        <v>1611</v>
      </c>
      <c r="C1405" s="1341" t="s">
        <v>416</v>
      </c>
      <c r="D1405" s="1310">
        <v>763.10000600000001</v>
      </c>
    </row>
    <row r="1406" spans="2:4" x14ac:dyDescent="0.2">
      <c r="B1406" s="1341">
        <v>1612</v>
      </c>
      <c r="C1406" s="1341" t="s">
        <v>2612</v>
      </c>
      <c r="D1406" s="1310">
        <v>804.79998799999998</v>
      </c>
    </row>
    <row r="1407" spans="2:4" x14ac:dyDescent="0.2">
      <c r="B1407" s="1341">
        <v>1613</v>
      </c>
      <c r="C1407" s="1341" t="s">
        <v>2613</v>
      </c>
      <c r="D1407" s="1310">
        <v>836.5</v>
      </c>
    </row>
    <row r="1408" spans="2:4" x14ac:dyDescent="0.2">
      <c r="B1408" s="1341">
        <v>1614</v>
      </c>
      <c r="C1408" s="1341" t="s">
        <v>1948</v>
      </c>
      <c r="D1408" s="1310">
        <v>739.37501499999996</v>
      </c>
    </row>
    <row r="1409" spans="2:4" x14ac:dyDescent="0.2">
      <c r="B1409" s="1341">
        <v>1615</v>
      </c>
      <c r="C1409" s="1341" t="s">
        <v>2614</v>
      </c>
      <c r="D1409" s="1310">
        <v>757.75</v>
      </c>
    </row>
    <row r="1410" spans="2:4" x14ac:dyDescent="0.2">
      <c r="B1410" s="1341">
        <v>1616</v>
      </c>
      <c r="C1410" s="1341" t="s">
        <v>2615</v>
      </c>
      <c r="D1410" s="1310">
        <v>777.94998199999998</v>
      </c>
    </row>
    <row r="1411" spans="2:4" x14ac:dyDescent="0.2">
      <c r="B1411" s="1341">
        <v>1617</v>
      </c>
      <c r="C1411" s="1341" t="s">
        <v>2380</v>
      </c>
      <c r="D1411" s="1310">
        <v>772.82223199999999</v>
      </c>
    </row>
    <row r="1412" spans="2:4" x14ac:dyDescent="0.2">
      <c r="B1412" s="1341">
        <v>1618</v>
      </c>
      <c r="C1412" s="1341" t="s">
        <v>2616</v>
      </c>
      <c r="D1412" s="1310">
        <v>760.44000200000005</v>
      </c>
    </row>
    <row r="1413" spans="2:4" x14ac:dyDescent="0.2">
      <c r="B1413" s="1341">
        <v>1619</v>
      </c>
      <c r="C1413" s="1341" t="s">
        <v>2617</v>
      </c>
      <c r="D1413" s="1310">
        <v>915.23333700000001</v>
      </c>
    </row>
    <row r="1414" spans="2:4" x14ac:dyDescent="0.2">
      <c r="B1414" s="1341">
        <v>1620</v>
      </c>
      <c r="C1414" s="1341" t="s">
        <v>2618</v>
      </c>
      <c r="D1414" s="1310">
        <v>921.385716</v>
      </c>
    </row>
    <row r="1415" spans="2:4" x14ac:dyDescent="0.2">
      <c r="B1415" s="1341">
        <v>1621</v>
      </c>
      <c r="C1415" s="1341" t="s">
        <v>2619</v>
      </c>
      <c r="D1415" s="1310">
        <v>893.34000200000003</v>
      </c>
    </row>
    <row r="1416" spans="2:4" x14ac:dyDescent="0.2">
      <c r="B1416" s="1341">
        <v>1622</v>
      </c>
      <c r="C1416" s="1341" t="s">
        <v>2620</v>
      </c>
      <c r="D1416" s="1310">
        <v>859.86818300000004</v>
      </c>
    </row>
    <row r="1417" spans="2:4" x14ac:dyDescent="0.2">
      <c r="B1417" s="1341">
        <v>1623</v>
      </c>
      <c r="C1417" s="1341" t="s">
        <v>2621</v>
      </c>
      <c r="D1417" s="1310">
        <v>869.08571099999995</v>
      </c>
    </row>
    <row r="1418" spans="2:4" x14ac:dyDescent="0.2">
      <c r="B1418" s="1341">
        <v>1624</v>
      </c>
      <c r="C1418" s="1341" t="s">
        <v>2622</v>
      </c>
      <c r="D1418" s="1310">
        <v>920.41666699999996</v>
      </c>
    </row>
    <row r="1419" spans="2:4" x14ac:dyDescent="0.2">
      <c r="B1419" s="1341">
        <v>1625</v>
      </c>
      <c r="C1419" s="1341" t="s">
        <v>2623</v>
      </c>
      <c r="D1419" s="1310">
        <v>858.74165900000003</v>
      </c>
    </row>
    <row r="1420" spans="2:4" x14ac:dyDescent="0.2">
      <c r="B1420" s="1341">
        <v>1626</v>
      </c>
      <c r="C1420" s="1341" t="s">
        <v>2624</v>
      </c>
      <c r="D1420" s="1310">
        <v>744.73333700000001</v>
      </c>
    </row>
    <row r="1421" spans="2:4" x14ac:dyDescent="0.2">
      <c r="B1421" s="1341">
        <v>1627</v>
      </c>
      <c r="C1421" s="1341" t="s">
        <v>2625</v>
      </c>
      <c r="D1421" s="1310">
        <v>776.46001000000001</v>
      </c>
    </row>
    <row r="1422" spans="2:4" x14ac:dyDescent="0.2">
      <c r="B1422" s="1341">
        <v>1628</v>
      </c>
      <c r="C1422" s="1341" t="s">
        <v>2626</v>
      </c>
      <c r="D1422" s="1310">
        <v>775.06667100000004</v>
      </c>
    </row>
    <row r="1423" spans="2:4" x14ac:dyDescent="0.2">
      <c r="B1423" s="1341">
        <v>1629</v>
      </c>
      <c r="C1423" s="1341" t="s">
        <v>2627</v>
      </c>
      <c r="D1423" s="1310">
        <v>807.71999500000004</v>
      </c>
    </row>
    <row r="1424" spans="2:4" x14ac:dyDescent="0.2">
      <c r="B1424" s="1341">
        <v>1630</v>
      </c>
      <c r="C1424" s="1341" t="s">
        <v>2628</v>
      </c>
      <c r="D1424" s="1310">
        <v>706.02500899999995</v>
      </c>
    </row>
    <row r="1425" spans="2:4" x14ac:dyDescent="0.2">
      <c r="B1425" s="1341">
        <v>1631</v>
      </c>
      <c r="C1425" s="1341" t="s">
        <v>2325</v>
      </c>
      <c r="D1425" s="1310">
        <v>700.66666699999996</v>
      </c>
    </row>
    <row r="1426" spans="2:4" x14ac:dyDescent="0.2">
      <c r="B1426" s="1341">
        <v>1632</v>
      </c>
      <c r="C1426" s="1341" t="s">
        <v>2629</v>
      </c>
      <c r="D1426" s="1310">
        <v>686.09997599999997</v>
      </c>
    </row>
    <row r="1427" spans="2:4" x14ac:dyDescent="0.2">
      <c r="B1427" s="1341">
        <v>1633</v>
      </c>
      <c r="C1427" s="1341" t="s">
        <v>2630</v>
      </c>
      <c r="D1427" s="1310">
        <v>727.62498500000004</v>
      </c>
    </row>
    <row r="1428" spans="2:4" x14ac:dyDescent="0.2">
      <c r="B1428" s="1341">
        <v>1634</v>
      </c>
      <c r="C1428" s="1341" t="s">
        <v>2416</v>
      </c>
      <c r="D1428" s="1310">
        <v>736.00001699999996</v>
      </c>
    </row>
    <row r="1429" spans="2:4" x14ac:dyDescent="0.2">
      <c r="B1429" s="1341">
        <v>1635</v>
      </c>
      <c r="C1429" s="1341" t="s">
        <v>2631</v>
      </c>
      <c r="D1429" s="1310">
        <v>782.23333700000001</v>
      </c>
    </row>
    <row r="1430" spans="2:4" x14ac:dyDescent="0.2">
      <c r="B1430" s="1341">
        <v>1636</v>
      </c>
      <c r="C1430" s="1341" t="s">
        <v>2632</v>
      </c>
      <c r="D1430" s="1310">
        <v>686.90002400000003</v>
      </c>
    </row>
    <row r="1431" spans="2:4" x14ac:dyDescent="0.2">
      <c r="B1431" s="1341">
        <v>1637</v>
      </c>
      <c r="C1431" s="1341" t="s">
        <v>2633</v>
      </c>
      <c r="D1431" s="1310">
        <v>720.63334099999997</v>
      </c>
    </row>
    <row r="1432" spans="2:4" x14ac:dyDescent="0.2">
      <c r="B1432" s="1341">
        <v>1638</v>
      </c>
      <c r="C1432" s="1341" t="s">
        <v>2634</v>
      </c>
      <c r="D1432" s="1310">
        <v>742.5</v>
      </c>
    </row>
    <row r="1433" spans="2:4" x14ac:dyDescent="0.2">
      <c r="B1433" s="1341">
        <v>1639</v>
      </c>
      <c r="C1433" s="1341" t="s">
        <v>2635</v>
      </c>
      <c r="D1433" s="1310">
        <v>688.43335000000002</v>
      </c>
    </row>
    <row r="1434" spans="2:4" x14ac:dyDescent="0.2">
      <c r="B1434" s="1341">
        <v>1640</v>
      </c>
      <c r="C1434" s="1341" t="s">
        <v>2636</v>
      </c>
      <c r="D1434" s="1310">
        <v>666.76666299999999</v>
      </c>
    </row>
    <row r="1435" spans="2:4" x14ac:dyDescent="0.2">
      <c r="B1435" s="1341">
        <v>1641</v>
      </c>
      <c r="C1435" s="1341" t="s">
        <v>2637</v>
      </c>
      <c r="D1435" s="1310">
        <v>691.90000399999997</v>
      </c>
    </row>
    <row r="1436" spans="2:4" x14ac:dyDescent="0.2">
      <c r="B1436" s="1341">
        <v>1642</v>
      </c>
      <c r="C1436" s="1341" t="s">
        <v>2638</v>
      </c>
      <c r="D1436" s="1310">
        <v>776.7</v>
      </c>
    </row>
    <row r="1437" spans="2:4" x14ac:dyDescent="0.2">
      <c r="B1437" s="1341">
        <v>1643</v>
      </c>
      <c r="C1437" s="1341" t="s">
        <v>2639</v>
      </c>
      <c r="D1437" s="1310">
        <v>747.54999799999996</v>
      </c>
    </row>
    <row r="1438" spans="2:4" x14ac:dyDescent="0.2">
      <c r="B1438" s="1341">
        <v>1644</v>
      </c>
      <c r="C1438" s="1341" t="s">
        <v>2640</v>
      </c>
      <c r="D1438" s="1310">
        <v>696</v>
      </c>
    </row>
    <row r="1439" spans="2:4" x14ac:dyDescent="0.2">
      <c r="B1439" s="1341">
        <v>1645</v>
      </c>
      <c r="C1439" s="1341" t="s">
        <v>2641</v>
      </c>
      <c r="D1439" s="1310">
        <v>679.73333700000001</v>
      </c>
    </row>
    <row r="1440" spans="2:4" x14ac:dyDescent="0.2">
      <c r="B1440" s="1341">
        <v>1646</v>
      </c>
      <c r="C1440" s="1341" t="s">
        <v>2642</v>
      </c>
      <c r="D1440" s="1310">
        <v>688.80001800000002</v>
      </c>
    </row>
    <row r="1441" spans="2:4" x14ac:dyDescent="0.2">
      <c r="B1441" s="1341">
        <v>1647</v>
      </c>
      <c r="C1441" s="1341" t="s">
        <v>2643</v>
      </c>
      <c r="D1441" s="1310">
        <v>649.67500299999995</v>
      </c>
    </row>
    <row r="1442" spans="2:4" x14ac:dyDescent="0.2">
      <c r="B1442" s="1341">
        <v>1648</v>
      </c>
      <c r="C1442" s="1341" t="s">
        <v>2644</v>
      </c>
      <c r="D1442" s="1310">
        <v>675.59999600000003</v>
      </c>
    </row>
    <row r="1443" spans="2:4" x14ac:dyDescent="0.2">
      <c r="B1443" s="1341">
        <v>1649</v>
      </c>
      <c r="C1443" s="1341" t="s">
        <v>2645</v>
      </c>
      <c r="D1443" s="1310">
        <v>697.47999300000004</v>
      </c>
    </row>
    <row r="1444" spans="2:4" x14ac:dyDescent="0.2">
      <c r="B1444" s="1341">
        <v>1650</v>
      </c>
      <c r="C1444" s="1341" t="s">
        <v>1982</v>
      </c>
      <c r="D1444" s="1310">
        <v>734.43998999999997</v>
      </c>
    </row>
    <row r="1445" spans="2:4" x14ac:dyDescent="0.2">
      <c r="B1445" s="1341">
        <v>1651</v>
      </c>
      <c r="C1445" s="1341" t="s">
        <v>2646</v>
      </c>
      <c r="D1445" s="1310">
        <v>824.20001200000002</v>
      </c>
    </row>
    <row r="1446" spans="2:4" x14ac:dyDescent="0.2">
      <c r="B1446" s="1341">
        <v>1652</v>
      </c>
      <c r="C1446" s="1341" t="s">
        <v>2647</v>
      </c>
      <c r="D1446" s="1310">
        <v>692.35000600000001</v>
      </c>
    </row>
    <row r="1447" spans="2:4" x14ac:dyDescent="0.2">
      <c r="B1447" s="1341">
        <v>1653</v>
      </c>
      <c r="C1447" s="1341" t="s">
        <v>2648</v>
      </c>
      <c r="D1447" s="1310">
        <v>759.10000600000001</v>
      </c>
    </row>
    <row r="1448" spans="2:4" x14ac:dyDescent="0.2">
      <c r="B1448" s="1341">
        <v>1654</v>
      </c>
      <c r="C1448" s="1341" t="s">
        <v>1691</v>
      </c>
      <c r="D1448" s="1310">
        <v>721.24286800000004</v>
      </c>
    </row>
    <row r="1449" spans="2:4" x14ac:dyDescent="0.2">
      <c r="B1449" s="1341">
        <v>1655</v>
      </c>
      <c r="C1449" s="1341" t="s">
        <v>2649</v>
      </c>
      <c r="D1449" s="1310">
        <v>731.40000399999997</v>
      </c>
    </row>
    <row r="1450" spans="2:4" x14ac:dyDescent="0.2">
      <c r="B1450" s="1341">
        <v>1656</v>
      </c>
      <c r="C1450" s="1341" t="s">
        <v>2650</v>
      </c>
      <c r="D1450" s="1310">
        <v>759.02000699999996</v>
      </c>
    </row>
    <row r="1451" spans="2:4" x14ac:dyDescent="0.2">
      <c r="B1451" s="1341">
        <v>1657</v>
      </c>
      <c r="C1451" s="1341" t="s">
        <v>2651</v>
      </c>
      <c r="D1451" s="1310">
        <v>758.44286199999999</v>
      </c>
    </row>
    <row r="1452" spans="2:4" x14ac:dyDescent="0.2">
      <c r="B1452" s="1341">
        <v>1701</v>
      </c>
      <c r="C1452" s="1341" t="s">
        <v>1460</v>
      </c>
      <c r="D1452" s="1310">
        <v>906.13749700000005</v>
      </c>
    </row>
    <row r="1453" spans="2:4" x14ac:dyDescent="0.2">
      <c r="B1453" s="1341">
        <v>1702</v>
      </c>
      <c r="C1453" s="1341" t="s">
        <v>2652</v>
      </c>
      <c r="D1453" s="1310">
        <v>871.29998799999998</v>
      </c>
    </row>
    <row r="1454" spans="2:4" x14ac:dyDescent="0.2">
      <c r="B1454" s="1341">
        <v>1703</v>
      </c>
      <c r="C1454" s="1341" t="s">
        <v>2653</v>
      </c>
      <c r="D1454" s="1310">
        <v>871.17000700000006</v>
      </c>
    </row>
    <row r="1455" spans="2:4" x14ac:dyDescent="0.2">
      <c r="B1455" s="1341">
        <v>1704</v>
      </c>
      <c r="C1455" s="1341" t="s">
        <v>2654</v>
      </c>
      <c r="D1455" s="1310">
        <v>987.09997599999997</v>
      </c>
    </row>
    <row r="1456" spans="2:4" x14ac:dyDescent="0.2">
      <c r="B1456" s="1341">
        <v>1705</v>
      </c>
      <c r="C1456" s="1341" t="s">
        <v>2655</v>
      </c>
      <c r="D1456" s="1310">
        <v>893.26250500000003</v>
      </c>
    </row>
    <row r="1457" spans="2:4" x14ac:dyDescent="0.2">
      <c r="B1457" s="1341">
        <v>1706</v>
      </c>
      <c r="C1457" s="1341" t="s">
        <v>2656</v>
      </c>
      <c r="D1457" s="1310">
        <v>923.44999700000005</v>
      </c>
    </row>
    <row r="1458" spans="2:4" x14ac:dyDescent="0.2">
      <c r="B1458" s="1341">
        <v>1707</v>
      </c>
      <c r="C1458" s="1341" t="s">
        <v>2657</v>
      </c>
      <c r="D1458" s="1310">
        <v>908.25</v>
      </c>
    </row>
    <row r="1459" spans="2:4" x14ac:dyDescent="0.2">
      <c r="B1459" s="1341">
        <v>1708</v>
      </c>
      <c r="C1459" s="1341" t="s">
        <v>2658</v>
      </c>
      <c r="D1459" s="1310">
        <v>880.20001200000002</v>
      </c>
    </row>
    <row r="1460" spans="2:4" x14ac:dyDescent="0.2">
      <c r="B1460" s="1341">
        <v>1709</v>
      </c>
      <c r="C1460" s="1341" t="s">
        <v>2659</v>
      </c>
      <c r="D1460" s="1310">
        <v>841.41665599999999</v>
      </c>
    </row>
    <row r="1461" spans="2:4" x14ac:dyDescent="0.2">
      <c r="B1461" s="1341">
        <v>1710</v>
      </c>
      <c r="C1461" s="1341" t="s">
        <v>2660</v>
      </c>
      <c r="D1461" s="1310">
        <v>879.66666699999996</v>
      </c>
    </row>
    <row r="1462" spans="2:4" x14ac:dyDescent="0.2">
      <c r="B1462" s="1341">
        <v>1711</v>
      </c>
      <c r="C1462" s="1341" t="s">
        <v>2661</v>
      </c>
      <c r="D1462" s="1310">
        <v>806.76666599999999</v>
      </c>
    </row>
    <row r="1463" spans="2:4" x14ac:dyDescent="0.2">
      <c r="B1463" s="1341">
        <v>1712</v>
      </c>
      <c r="C1463" s="1341" t="s">
        <v>2662</v>
      </c>
      <c r="D1463" s="1310">
        <v>865.94444099999998</v>
      </c>
    </row>
    <row r="1464" spans="2:4" x14ac:dyDescent="0.2">
      <c r="B1464" s="1341">
        <v>1713</v>
      </c>
      <c r="C1464" s="1341" t="s">
        <v>2663</v>
      </c>
      <c r="D1464" s="1310">
        <v>751.28333499999997</v>
      </c>
    </row>
    <row r="1465" spans="2:4" x14ac:dyDescent="0.2">
      <c r="B1465" s="1341">
        <v>1714</v>
      </c>
      <c r="C1465" s="1341" t="s">
        <v>2664</v>
      </c>
      <c r="D1465" s="1310">
        <v>792.46665399999995</v>
      </c>
    </row>
    <row r="1466" spans="2:4" x14ac:dyDescent="0.2">
      <c r="B1466" s="1341">
        <v>1715</v>
      </c>
      <c r="C1466" s="1341" t="s">
        <v>2665</v>
      </c>
      <c r="D1466" s="1310">
        <v>836.46665399999995</v>
      </c>
    </row>
    <row r="1467" spans="2:4" x14ac:dyDescent="0.2">
      <c r="B1467" s="1341">
        <v>1716</v>
      </c>
      <c r="C1467" s="1341" t="s">
        <v>2666</v>
      </c>
      <c r="D1467" s="1310">
        <v>778.59285599999998</v>
      </c>
    </row>
    <row r="1468" spans="2:4" x14ac:dyDescent="0.2">
      <c r="B1468" s="1341">
        <v>1717</v>
      </c>
      <c r="C1468" s="1341" t="s">
        <v>2614</v>
      </c>
      <c r="D1468" s="1310">
        <v>871.70001200000002</v>
      </c>
    </row>
    <row r="1469" spans="2:4" x14ac:dyDescent="0.2">
      <c r="B1469" s="1341">
        <v>1718</v>
      </c>
      <c r="C1469" s="1341" t="s">
        <v>2667</v>
      </c>
      <c r="D1469" s="1310">
        <v>850.15999799999997</v>
      </c>
    </row>
    <row r="1470" spans="2:4" x14ac:dyDescent="0.2">
      <c r="B1470" s="1341">
        <v>1719</v>
      </c>
      <c r="C1470" s="1341" t="s">
        <v>2668</v>
      </c>
      <c r="D1470" s="1310">
        <v>867.32499700000005</v>
      </c>
    </row>
    <row r="1471" spans="2:4" x14ac:dyDescent="0.2">
      <c r="B1471" s="1341">
        <v>1720</v>
      </c>
      <c r="C1471" s="1341" t="s">
        <v>2669</v>
      </c>
      <c r="D1471" s="1310">
        <v>875.70001200000002</v>
      </c>
    </row>
    <row r="1472" spans="2:4" x14ac:dyDescent="0.2">
      <c r="B1472" s="1341">
        <v>1721</v>
      </c>
      <c r="C1472" s="1341" t="s">
        <v>2670</v>
      </c>
      <c r="D1472" s="1310">
        <v>885.63334099999997</v>
      </c>
    </row>
    <row r="1473" spans="2:4" x14ac:dyDescent="0.2">
      <c r="B1473" s="1341">
        <v>1722</v>
      </c>
      <c r="C1473" s="1341" t="s">
        <v>2671</v>
      </c>
      <c r="D1473" s="1310">
        <v>889.15002400000003</v>
      </c>
    </row>
    <row r="1474" spans="2:4" x14ac:dyDescent="0.2">
      <c r="B1474" s="1341">
        <v>1723</v>
      </c>
      <c r="C1474" s="1341" t="s">
        <v>2672</v>
      </c>
      <c r="D1474" s="1310">
        <v>906</v>
      </c>
    </row>
    <row r="1475" spans="2:4" x14ac:dyDescent="0.2">
      <c r="B1475" s="1341">
        <v>1724</v>
      </c>
      <c r="C1475" s="1341" t="s">
        <v>2673</v>
      </c>
      <c r="D1475" s="1310">
        <v>863.09997599999997</v>
      </c>
    </row>
    <row r="1476" spans="2:4" x14ac:dyDescent="0.2">
      <c r="B1476" s="1341">
        <v>1725</v>
      </c>
      <c r="C1476" s="1341" t="s">
        <v>2674</v>
      </c>
      <c r="D1476" s="1310">
        <v>813.35000600000001</v>
      </c>
    </row>
    <row r="1477" spans="2:4" x14ac:dyDescent="0.2">
      <c r="B1477" s="1341">
        <v>1726</v>
      </c>
      <c r="C1477" s="1341" t="s">
        <v>2459</v>
      </c>
      <c r="D1477" s="1310">
        <v>835.83333300000004</v>
      </c>
    </row>
    <row r="1478" spans="2:4" x14ac:dyDescent="0.2">
      <c r="B1478" s="1341">
        <v>1727</v>
      </c>
      <c r="C1478" s="1341" t="s">
        <v>2675</v>
      </c>
      <c r="D1478" s="1310">
        <v>846.92500299999995</v>
      </c>
    </row>
    <row r="1479" spans="2:4" x14ac:dyDescent="0.2">
      <c r="B1479" s="1341">
        <v>1728</v>
      </c>
      <c r="C1479" s="1341" t="s">
        <v>2676</v>
      </c>
      <c r="D1479" s="1310">
        <v>823.36154899999997</v>
      </c>
    </row>
    <row r="1480" spans="2:4" x14ac:dyDescent="0.2">
      <c r="B1480" s="1341">
        <v>1729</v>
      </c>
      <c r="C1480" s="1341" t="s">
        <v>2677</v>
      </c>
      <c r="D1480" s="1310">
        <v>839.59997599999997</v>
      </c>
    </row>
    <row r="1481" spans="2:4" x14ac:dyDescent="0.2">
      <c r="B1481" s="1341">
        <v>1730</v>
      </c>
      <c r="C1481" s="1341" t="s">
        <v>2678</v>
      </c>
      <c r="D1481" s="1310">
        <v>842.59998800000005</v>
      </c>
    </row>
    <row r="1482" spans="2:4" x14ac:dyDescent="0.2">
      <c r="B1482" s="1341">
        <v>1731</v>
      </c>
      <c r="C1482" s="1341" t="s">
        <v>2679</v>
      </c>
      <c r="D1482" s="1310">
        <v>728.740002</v>
      </c>
    </row>
    <row r="1483" spans="2:4" x14ac:dyDescent="0.2">
      <c r="B1483" s="1341">
        <v>1732</v>
      </c>
      <c r="C1483" s="1341" t="s">
        <v>2680</v>
      </c>
      <c r="D1483" s="1310">
        <v>690.25998500000003</v>
      </c>
    </row>
    <row r="1484" spans="2:4" x14ac:dyDescent="0.2">
      <c r="B1484" s="1341">
        <v>1733</v>
      </c>
      <c r="C1484" s="1341" t="s">
        <v>2681</v>
      </c>
      <c r="D1484" s="1310">
        <v>658.30001800000002</v>
      </c>
    </row>
    <row r="1485" spans="2:4" x14ac:dyDescent="0.2">
      <c r="B1485" s="1341">
        <v>1734</v>
      </c>
      <c r="C1485" s="1341" t="s">
        <v>2682</v>
      </c>
      <c r="D1485" s="1310">
        <v>650.02499399999999</v>
      </c>
    </row>
    <row r="1486" spans="2:4" x14ac:dyDescent="0.2">
      <c r="B1486" s="1341">
        <v>1735</v>
      </c>
      <c r="C1486" s="1341" t="s">
        <v>2683</v>
      </c>
      <c r="D1486" s="1310">
        <v>630.67999299999997</v>
      </c>
    </row>
    <row r="1487" spans="2:4" x14ac:dyDescent="0.2">
      <c r="B1487" s="1341">
        <v>1736</v>
      </c>
      <c r="C1487" s="1341" t="s">
        <v>2684</v>
      </c>
      <c r="D1487" s="1310">
        <v>627.09997599999997</v>
      </c>
    </row>
    <row r="1488" spans="2:4" x14ac:dyDescent="0.2">
      <c r="B1488" s="1341">
        <v>1737</v>
      </c>
      <c r="C1488" s="1341" t="s">
        <v>2685</v>
      </c>
      <c r="D1488" s="1310">
        <v>642.76666299999999</v>
      </c>
    </row>
    <row r="1489" spans="2:4" x14ac:dyDescent="0.2">
      <c r="B1489" s="1341">
        <v>1738</v>
      </c>
      <c r="C1489" s="1341" t="s">
        <v>2686</v>
      </c>
      <c r="D1489" s="1310">
        <v>630.63332100000002</v>
      </c>
    </row>
    <row r="1490" spans="2:4" x14ac:dyDescent="0.2">
      <c r="B1490" s="1341">
        <v>1739</v>
      </c>
      <c r="C1490" s="1341" t="s">
        <v>2687</v>
      </c>
      <c r="D1490" s="1310">
        <v>611.95999800000004</v>
      </c>
    </row>
    <row r="1491" spans="2:4" x14ac:dyDescent="0.2">
      <c r="B1491" s="1341">
        <v>1740</v>
      </c>
      <c r="C1491" s="1341" t="s">
        <v>2608</v>
      </c>
      <c r="D1491" s="1310">
        <v>694.79998799999998</v>
      </c>
    </row>
    <row r="1492" spans="2:4" x14ac:dyDescent="0.2">
      <c r="B1492" s="1341">
        <v>1741</v>
      </c>
      <c r="C1492" s="1341" t="s">
        <v>2688</v>
      </c>
      <c r="D1492" s="1310">
        <v>678.98332700000003</v>
      </c>
    </row>
    <row r="1493" spans="2:4" x14ac:dyDescent="0.2">
      <c r="B1493" s="1341">
        <v>1742</v>
      </c>
      <c r="C1493" s="1341" t="s">
        <v>2689</v>
      </c>
      <c r="D1493" s="1310">
        <v>684.5</v>
      </c>
    </row>
    <row r="1494" spans="2:4" x14ac:dyDescent="0.2">
      <c r="B1494" s="1341">
        <v>1743</v>
      </c>
      <c r="C1494" s="1341" t="s">
        <v>2690</v>
      </c>
      <c r="D1494" s="1310">
        <v>667.240002</v>
      </c>
    </row>
    <row r="1495" spans="2:4" x14ac:dyDescent="0.2">
      <c r="B1495" s="1341">
        <v>1744</v>
      </c>
      <c r="C1495" s="1341" t="s">
        <v>2691</v>
      </c>
      <c r="D1495" s="1310">
        <v>764.01667299999997</v>
      </c>
    </row>
    <row r="1496" spans="2:4" x14ac:dyDescent="0.2">
      <c r="B1496" s="1341">
        <v>1745</v>
      </c>
      <c r="C1496" s="1341" t="s">
        <v>2692</v>
      </c>
      <c r="D1496" s="1310">
        <v>736.17999299999997</v>
      </c>
    </row>
    <row r="1497" spans="2:4" x14ac:dyDescent="0.2">
      <c r="B1497" s="1341">
        <v>1746</v>
      </c>
      <c r="C1497" s="1341" t="s">
        <v>2693</v>
      </c>
      <c r="D1497" s="1310">
        <v>770.77691200000004</v>
      </c>
    </row>
    <row r="1498" spans="2:4" x14ac:dyDescent="0.2">
      <c r="B1498" s="1341">
        <v>1747</v>
      </c>
      <c r="C1498" s="1341" t="s">
        <v>2694</v>
      </c>
      <c r="D1498" s="1310">
        <v>740.18331899999998</v>
      </c>
    </row>
    <row r="1499" spans="2:4" x14ac:dyDescent="0.2">
      <c r="B1499" s="1341">
        <v>1748</v>
      </c>
      <c r="C1499" s="1341" t="s">
        <v>2695</v>
      </c>
      <c r="D1499" s="1310">
        <v>744.96666500000003</v>
      </c>
    </row>
    <row r="1500" spans="2:4" x14ac:dyDescent="0.2">
      <c r="B1500" s="1341">
        <v>1749</v>
      </c>
      <c r="C1500" s="1341" t="s">
        <v>2696</v>
      </c>
      <c r="D1500" s="1310">
        <v>676.96667500000001</v>
      </c>
    </row>
    <row r="1501" spans="2:4" x14ac:dyDescent="0.2">
      <c r="B1501" s="1341">
        <v>1750</v>
      </c>
      <c r="C1501" s="1341" t="s">
        <v>2697</v>
      </c>
      <c r="D1501" s="1310">
        <v>618.37999300000001</v>
      </c>
    </row>
    <row r="1502" spans="2:4" x14ac:dyDescent="0.2">
      <c r="B1502" s="1341">
        <v>1751</v>
      </c>
      <c r="C1502" s="1341" t="s">
        <v>2698</v>
      </c>
      <c r="D1502" s="1310">
        <v>639.53332499999999</v>
      </c>
    </row>
    <row r="1503" spans="2:4" x14ac:dyDescent="0.2">
      <c r="B1503" s="1341">
        <v>1752</v>
      </c>
      <c r="C1503" s="1341" t="s">
        <v>2699</v>
      </c>
      <c r="D1503" s="1310">
        <v>723.6</v>
      </c>
    </row>
    <row r="1504" spans="2:4" x14ac:dyDescent="0.2">
      <c r="B1504" s="1341">
        <v>1753</v>
      </c>
      <c r="C1504" s="1341" t="s">
        <v>2700</v>
      </c>
      <c r="D1504" s="1310">
        <v>695.26668299999994</v>
      </c>
    </row>
    <row r="1505" spans="2:4" x14ac:dyDescent="0.2">
      <c r="B1505" s="1341">
        <v>1754</v>
      </c>
      <c r="C1505" s="1341" t="s">
        <v>417</v>
      </c>
      <c r="D1505" s="1310">
        <v>657.17999299999997</v>
      </c>
    </row>
    <row r="1506" spans="2:4" x14ac:dyDescent="0.2">
      <c r="B1506" s="1341">
        <v>1755</v>
      </c>
      <c r="C1506" s="1341" t="s">
        <v>2701</v>
      </c>
      <c r="D1506" s="1310">
        <v>612.59998800000005</v>
      </c>
    </row>
    <row r="1507" spans="2:4" x14ac:dyDescent="0.2">
      <c r="B1507" s="1341">
        <v>1756</v>
      </c>
      <c r="C1507" s="1341" t="s">
        <v>2702</v>
      </c>
      <c r="D1507" s="1310">
        <v>657.54998799999998</v>
      </c>
    </row>
    <row r="1508" spans="2:4" x14ac:dyDescent="0.2">
      <c r="B1508" s="1341">
        <v>1757</v>
      </c>
      <c r="C1508" s="1341" t="s">
        <v>2703</v>
      </c>
      <c r="D1508" s="1310">
        <v>730.23331700000006</v>
      </c>
    </row>
    <row r="1509" spans="2:4" x14ac:dyDescent="0.2">
      <c r="B1509" s="1341">
        <v>1758</v>
      </c>
      <c r="C1509" s="1341" t="s">
        <v>2704</v>
      </c>
      <c r="D1509" s="1310">
        <v>643.16666699999996</v>
      </c>
    </row>
    <row r="1510" spans="2:4" x14ac:dyDescent="0.2">
      <c r="B1510" s="1341">
        <v>1759</v>
      </c>
      <c r="C1510" s="1341" t="s">
        <v>2705</v>
      </c>
      <c r="D1510" s="1310">
        <v>643.88571999999999</v>
      </c>
    </row>
    <row r="1511" spans="2:4" x14ac:dyDescent="0.2">
      <c r="B1511" s="1341">
        <v>1760</v>
      </c>
      <c r="C1511" s="1341" t="s">
        <v>2706</v>
      </c>
      <c r="D1511" s="1310">
        <v>749.60909200000003</v>
      </c>
    </row>
    <row r="1512" spans="2:4" x14ac:dyDescent="0.2">
      <c r="B1512" s="1341">
        <v>1761</v>
      </c>
      <c r="C1512" s="1341" t="s">
        <v>2707</v>
      </c>
      <c r="D1512" s="1310">
        <v>826.71539299999995</v>
      </c>
    </row>
    <row r="1513" spans="2:4" x14ac:dyDescent="0.2">
      <c r="B1513" s="1341">
        <v>1762</v>
      </c>
      <c r="C1513" s="1341" t="s">
        <v>2708</v>
      </c>
      <c r="D1513" s="1310">
        <v>849.65000599999996</v>
      </c>
    </row>
    <row r="1514" spans="2:4" x14ac:dyDescent="0.2">
      <c r="B1514" s="1341">
        <v>1763</v>
      </c>
      <c r="C1514" s="1341" t="s">
        <v>2709</v>
      </c>
      <c r="D1514" s="1310">
        <v>756.23334799999998</v>
      </c>
    </row>
    <row r="1515" spans="2:4" x14ac:dyDescent="0.2">
      <c r="B1515" s="1341">
        <v>1764</v>
      </c>
      <c r="C1515" s="1341" t="s">
        <v>2710</v>
      </c>
      <c r="D1515" s="1310">
        <v>732.25</v>
      </c>
    </row>
    <row r="1516" spans="2:4" x14ac:dyDescent="0.2">
      <c r="B1516" s="1341">
        <v>1765</v>
      </c>
      <c r="C1516" s="1341" t="s">
        <v>2711</v>
      </c>
      <c r="D1516" s="1310">
        <v>769.47647300000006</v>
      </c>
    </row>
    <row r="1517" spans="2:4" x14ac:dyDescent="0.2">
      <c r="B1517" s="1341">
        <v>1766</v>
      </c>
      <c r="C1517" s="1341" t="s">
        <v>2712</v>
      </c>
      <c r="D1517" s="1310">
        <v>769.86665900000003</v>
      </c>
    </row>
    <row r="1518" spans="2:4" x14ac:dyDescent="0.2">
      <c r="B1518" s="1341">
        <v>1767</v>
      </c>
      <c r="C1518" s="1341" t="s">
        <v>2713</v>
      </c>
      <c r="D1518" s="1310">
        <v>683.32499700000005</v>
      </c>
    </row>
    <row r="1519" spans="2:4" x14ac:dyDescent="0.2">
      <c r="B1519" s="1341">
        <v>1768</v>
      </c>
      <c r="C1519" s="1341" t="s">
        <v>2714</v>
      </c>
      <c r="D1519" s="1310">
        <v>731.89000199999998</v>
      </c>
    </row>
    <row r="1520" spans="2:4" x14ac:dyDescent="0.2">
      <c r="B1520" s="1341">
        <v>1769</v>
      </c>
      <c r="C1520" s="1341" t="s">
        <v>2715</v>
      </c>
      <c r="D1520" s="1310">
        <v>727.6</v>
      </c>
    </row>
    <row r="1521" spans="2:4" x14ac:dyDescent="0.2">
      <c r="B1521" s="1341">
        <v>1770</v>
      </c>
      <c r="C1521" s="1341" t="s">
        <v>2716</v>
      </c>
      <c r="D1521" s="1310">
        <v>748.01249700000005</v>
      </c>
    </row>
    <row r="1522" spans="2:4" x14ac:dyDescent="0.2">
      <c r="B1522" s="1341">
        <v>1771</v>
      </c>
      <c r="C1522" s="1341" t="s">
        <v>2717</v>
      </c>
      <c r="D1522" s="1310">
        <v>754.50000599999998</v>
      </c>
    </row>
    <row r="1523" spans="2:4" x14ac:dyDescent="0.2">
      <c r="B1523" s="1341">
        <v>1772</v>
      </c>
      <c r="C1523" s="1341" t="s">
        <v>2597</v>
      </c>
      <c r="D1523" s="1310">
        <v>845.55454299999997</v>
      </c>
    </row>
    <row r="1524" spans="2:4" x14ac:dyDescent="0.2">
      <c r="B1524" s="1341">
        <v>1773</v>
      </c>
      <c r="C1524" s="1341" t="s">
        <v>2718</v>
      </c>
      <c r="D1524" s="1310">
        <v>799.16666699999996</v>
      </c>
    </row>
    <row r="1525" spans="2:4" x14ac:dyDescent="0.2">
      <c r="B1525" s="1341">
        <v>1774</v>
      </c>
      <c r="C1525" s="1341" t="s">
        <v>2719</v>
      </c>
      <c r="D1525" s="1310">
        <v>864.90002400000003</v>
      </c>
    </row>
    <row r="1526" spans="2:4" x14ac:dyDescent="0.2">
      <c r="B1526" s="1341">
        <v>1775</v>
      </c>
      <c r="C1526" s="1341" t="s">
        <v>2720</v>
      </c>
      <c r="D1526" s="1310">
        <v>844.97776999999996</v>
      </c>
    </row>
    <row r="1527" spans="2:4" x14ac:dyDescent="0.2">
      <c r="B1527" s="1341">
        <v>1776</v>
      </c>
      <c r="C1527" s="1341" t="s">
        <v>2721</v>
      </c>
      <c r="D1527" s="1310">
        <v>850.13999000000001</v>
      </c>
    </row>
    <row r="1528" spans="2:4" x14ac:dyDescent="0.2">
      <c r="B1528" s="1341">
        <v>1777</v>
      </c>
      <c r="C1528" s="1341" t="s">
        <v>2722</v>
      </c>
      <c r="D1528" s="1310">
        <v>798.25001499999996</v>
      </c>
    </row>
    <row r="1529" spans="2:4" x14ac:dyDescent="0.2">
      <c r="B1529" s="1341">
        <v>1778</v>
      </c>
      <c r="C1529" s="1341" t="s">
        <v>2723</v>
      </c>
      <c r="D1529" s="1310">
        <v>724.00001199999997</v>
      </c>
    </row>
    <row r="1530" spans="2:4" x14ac:dyDescent="0.2">
      <c r="B1530" s="1341">
        <v>1779</v>
      </c>
      <c r="C1530" s="1341" t="s">
        <v>2724</v>
      </c>
      <c r="D1530" s="1310">
        <v>762.41665599999999</v>
      </c>
    </row>
    <row r="1531" spans="2:4" x14ac:dyDescent="0.2">
      <c r="B1531" s="1341">
        <v>1780</v>
      </c>
      <c r="C1531" s="1341" t="s">
        <v>2725</v>
      </c>
      <c r="D1531" s="1310">
        <v>742.19999900000005</v>
      </c>
    </row>
    <row r="1532" spans="2:4" x14ac:dyDescent="0.2">
      <c r="B1532" s="1341">
        <v>1781</v>
      </c>
      <c r="C1532" s="1341" t="s">
        <v>2726</v>
      </c>
      <c r="D1532" s="1310">
        <v>676.57499700000005</v>
      </c>
    </row>
    <row r="1533" spans="2:4" x14ac:dyDescent="0.2">
      <c r="B1533" s="1341">
        <v>1782</v>
      </c>
      <c r="C1533" s="1341" t="s">
        <v>2727</v>
      </c>
      <c r="D1533" s="1310">
        <v>693.79998799999998</v>
      </c>
    </row>
    <row r="1534" spans="2:4" x14ac:dyDescent="0.2">
      <c r="B1534" s="1341">
        <v>1783</v>
      </c>
      <c r="C1534" s="1341" t="s">
        <v>2728</v>
      </c>
      <c r="D1534" s="1310">
        <v>673.80000800000005</v>
      </c>
    </row>
    <row r="1535" spans="2:4" x14ac:dyDescent="0.2">
      <c r="B1535" s="1341">
        <v>1784</v>
      </c>
      <c r="C1535" s="1341" t="s">
        <v>2729</v>
      </c>
      <c r="D1535" s="1310">
        <v>767.72499600000003</v>
      </c>
    </row>
    <row r="1536" spans="2:4" x14ac:dyDescent="0.2">
      <c r="B1536" s="1341">
        <v>1785</v>
      </c>
      <c r="C1536" s="1341" t="s">
        <v>2730</v>
      </c>
      <c r="D1536" s="1310">
        <v>740.177775</v>
      </c>
    </row>
    <row r="1537" spans="2:4" x14ac:dyDescent="0.2">
      <c r="B1537" s="1341">
        <v>1786</v>
      </c>
      <c r="C1537" s="1341" t="s">
        <v>2731</v>
      </c>
      <c r="D1537" s="1310">
        <v>688.29998799999998</v>
      </c>
    </row>
    <row r="1538" spans="2:4" x14ac:dyDescent="0.2">
      <c r="B1538" s="1341">
        <v>1787</v>
      </c>
      <c r="C1538" s="1341" t="s">
        <v>2732</v>
      </c>
      <c r="D1538" s="1310">
        <v>749.86922500000003</v>
      </c>
    </row>
    <row r="1539" spans="2:4" x14ac:dyDescent="0.2">
      <c r="B1539" s="1341">
        <v>1788</v>
      </c>
      <c r="C1539" s="1341" t="s">
        <v>2733</v>
      </c>
      <c r="D1539" s="1310">
        <v>761.06152799999995</v>
      </c>
    </row>
    <row r="1540" spans="2:4" x14ac:dyDescent="0.2">
      <c r="B1540" s="1341">
        <v>1789</v>
      </c>
      <c r="C1540" s="1341" t="s">
        <v>2734</v>
      </c>
      <c r="D1540" s="1310">
        <v>782.84375399999999</v>
      </c>
    </row>
    <row r="1541" spans="2:4" x14ac:dyDescent="0.2">
      <c r="B1541" s="1341">
        <v>1790</v>
      </c>
      <c r="C1541" s="1341" t="s">
        <v>2735</v>
      </c>
      <c r="D1541" s="1310">
        <v>666.31250799999998</v>
      </c>
    </row>
    <row r="1542" spans="2:4" x14ac:dyDescent="0.2">
      <c r="B1542" s="1341">
        <v>1791</v>
      </c>
      <c r="C1542" s="1341" t="s">
        <v>2736</v>
      </c>
      <c r="D1542" s="1310">
        <v>696.81667100000004</v>
      </c>
    </row>
    <row r="1543" spans="2:4" x14ac:dyDescent="0.2">
      <c r="B1543" s="1341">
        <v>1792</v>
      </c>
      <c r="C1543" s="1341" t="s">
        <v>2737</v>
      </c>
      <c r="D1543" s="1310">
        <v>752</v>
      </c>
    </row>
    <row r="1544" spans="2:4" x14ac:dyDescent="0.2">
      <c r="B1544" s="1341">
        <v>1793</v>
      </c>
      <c r="C1544" s="1341" t="s">
        <v>2738</v>
      </c>
      <c r="D1544" s="1310">
        <v>725.41667700000005</v>
      </c>
    </row>
    <row r="1545" spans="2:4" x14ac:dyDescent="0.2">
      <c r="B1545" s="1341">
        <v>1794</v>
      </c>
      <c r="C1545" s="1341" t="s">
        <v>2739</v>
      </c>
      <c r="D1545" s="1310">
        <v>668.95001200000002</v>
      </c>
    </row>
    <row r="1546" spans="2:4" x14ac:dyDescent="0.2">
      <c r="B1546" s="1341">
        <v>1795</v>
      </c>
      <c r="C1546" s="1341" t="s">
        <v>2740</v>
      </c>
      <c r="D1546" s="1310">
        <v>676.09997599999997</v>
      </c>
    </row>
    <row r="1547" spans="2:4" x14ac:dyDescent="0.2">
      <c r="B1547" s="1341">
        <v>1796</v>
      </c>
      <c r="C1547" s="1341" t="s">
        <v>2741</v>
      </c>
      <c r="D1547" s="1310">
        <v>639.45001200000002</v>
      </c>
    </row>
    <row r="1548" spans="2:4" x14ac:dyDescent="0.2">
      <c r="B1548" s="1341">
        <v>1797</v>
      </c>
      <c r="C1548" s="1341" t="s">
        <v>2742</v>
      </c>
      <c r="D1548" s="1310">
        <v>733.14999399999999</v>
      </c>
    </row>
    <row r="1549" spans="2:4" x14ac:dyDescent="0.2">
      <c r="B1549" s="1341">
        <v>1798</v>
      </c>
      <c r="C1549" s="1341" t="s">
        <v>2743</v>
      </c>
      <c r="D1549" s="1310">
        <v>745.80000500000006</v>
      </c>
    </row>
    <row r="1550" spans="2:4" x14ac:dyDescent="0.2">
      <c r="B1550" s="1341">
        <v>1799</v>
      </c>
      <c r="C1550" s="1341" t="s">
        <v>2744</v>
      </c>
      <c r="D1550" s="1310">
        <v>748.67334000000005</v>
      </c>
    </row>
    <row r="1551" spans="2:4" x14ac:dyDescent="0.2">
      <c r="B1551" s="1341">
        <v>1800</v>
      </c>
      <c r="C1551" s="1341" t="s">
        <v>2745</v>
      </c>
      <c r="D1551" s="1310">
        <v>652.27499899999998</v>
      </c>
    </row>
    <row r="1552" spans="2:4" x14ac:dyDescent="0.2">
      <c r="B1552" s="1341">
        <v>1801</v>
      </c>
      <c r="C1552" s="1341" t="s">
        <v>2746</v>
      </c>
      <c r="D1552" s="1310">
        <v>628.32499700000005</v>
      </c>
    </row>
    <row r="1553" spans="2:4" x14ac:dyDescent="0.2">
      <c r="B1553" s="1341">
        <v>1802</v>
      </c>
      <c r="C1553" s="1341" t="s">
        <v>2747</v>
      </c>
      <c r="D1553" s="1310">
        <v>591.79998799999998</v>
      </c>
    </row>
    <row r="1554" spans="2:4" x14ac:dyDescent="0.2">
      <c r="B1554" s="1341">
        <v>1803</v>
      </c>
      <c r="C1554" s="1341" t="s">
        <v>2748</v>
      </c>
      <c r="D1554" s="1310">
        <v>635.43333900000005</v>
      </c>
    </row>
    <row r="1555" spans="2:4" x14ac:dyDescent="0.2">
      <c r="B1555" s="1341">
        <v>1804</v>
      </c>
      <c r="C1555" s="1341" t="s">
        <v>2749</v>
      </c>
      <c r="D1555" s="1310">
        <v>607.14999399999999</v>
      </c>
    </row>
    <row r="1556" spans="2:4" x14ac:dyDescent="0.2">
      <c r="B1556" s="1341">
        <v>1805</v>
      </c>
      <c r="C1556" s="1341" t="s">
        <v>2750</v>
      </c>
      <c r="D1556" s="1310">
        <v>667.46666100000004</v>
      </c>
    </row>
    <row r="1557" spans="2:4" x14ac:dyDescent="0.2">
      <c r="B1557" s="1341">
        <v>1806</v>
      </c>
      <c r="C1557" s="1341" t="s">
        <v>2751</v>
      </c>
      <c r="D1557" s="1310">
        <v>609.69999199999995</v>
      </c>
    </row>
    <row r="1558" spans="2:4" x14ac:dyDescent="0.2">
      <c r="B1558" s="1341">
        <v>1807</v>
      </c>
      <c r="C1558" s="1341" t="s">
        <v>2752</v>
      </c>
      <c r="D1558" s="1310">
        <v>599.74545000000001</v>
      </c>
    </row>
    <row r="1559" spans="2:4" x14ac:dyDescent="0.2">
      <c r="B1559" s="1341">
        <v>1808</v>
      </c>
      <c r="C1559" s="1341" t="s">
        <v>2753</v>
      </c>
      <c r="D1559" s="1310">
        <v>712.26000999999997</v>
      </c>
    </row>
    <row r="1560" spans="2:4" x14ac:dyDescent="0.2">
      <c r="B1560" s="1341">
        <v>1809</v>
      </c>
      <c r="C1560" s="1341" t="s">
        <v>2754</v>
      </c>
      <c r="D1560" s="1310">
        <v>710.83998999999994</v>
      </c>
    </row>
    <row r="1561" spans="2:4" x14ac:dyDescent="0.2">
      <c r="B1561" s="1341">
        <v>1810</v>
      </c>
      <c r="C1561" s="1341" t="s">
        <v>2755</v>
      </c>
      <c r="D1561" s="1310">
        <v>704.16667700000005</v>
      </c>
    </row>
    <row r="1562" spans="2:4" x14ac:dyDescent="0.2">
      <c r="B1562" s="1341">
        <v>1811</v>
      </c>
      <c r="C1562" s="1341" t="s">
        <v>2756</v>
      </c>
      <c r="D1562" s="1310">
        <v>626.14999399999999</v>
      </c>
    </row>
    <row r="1563" spans="2:4" x14ac:dyDescent="0.2">
      <c r="B1563" s="1341">
        <v>1812</v>
      </c>
      <c r="C1563" s="1341" t="s">
        <v>2757</v>
      </c>
      <c r="D1563" s="1310">
        <v>648.79998799999998</v>
      </c>
    </row>
    <row r="1564" spans="2:4" x14ac:dyDescent="0.2">
      <c r="B1564" s="1341">
        <v>1813</v>
      </c>
      <c r="C1564" s="1341" t="s">
        <v>2758</v>
      </c>
      <c r="D1564" s="1310">
        <v>653.41999499999997</v>
      </c>
    </row>
    <row r="1565" spans="2:4" x14ac:dyDescent="0.2">
      <c r="B1565" s="1341">
        <v>1814</v>
      </c>
      <c r="C1565" s="1341" t="s">
        <v>2759</v>
      </c>
      <c r="D1565" s="1310">
        <v>650.60000600000001</v>
      </c>
    </row>
    <row r="1566" spans="2:4" x14ac:dyDescent="0.2">
      <c r="B1566" s="1341">
        <v>1815</v>
      </c>
      <c r="C1566" s="1341" t="s">
        <v>2760</v>
      </c>
      <c r="D1566" s="1310">
        <v>653.88748899999996</v>
      </c>
    </row>
    <row r="1567" spans="2:4" x14ac:dyDescent="0.2">
      <c r="B1567" s="1341">
        <v>1816</v>
      </c>
      <c r="C1567" s="1341" t="s">
        <v>2761</v>
      </c>
      <c r="D1567" s="1310">
        <v>647.20000000000005</v>
      </c>
    </row>
    <row r="1568" spans="2:4" x14ac:dyDescent="0.2">
      <c r="B1568" s="1341">
        <v>1817</v>
      </c>
      <c r="C1568" s="1341" t="s">
        <v>2762</v>
      </c>
      <c r="D1568" s="1310">
        <v>653.75</v>
      </c>
    </row>
    <row r="1569" spans="2:4" x14ac:dyDescent="0.2">
      <c r="B1569" s="1341">
        <v>1818</v>
      </c>
      <c r="C1569" s="1341" t="s">
        <v>2763</v>
      </c>
      <c r="D1569" s="1310">
        <v>650.83998999999994</v>
      </c>
    </row>
    <row r="1570" spans="2:4" x14ac:dyDescent="0.2">
      <c r="B1570" s="1341">
        <v>1819</v>
      </c>
      <c r="C1570" s="1341" t="s">
        <v>2764</v>
      </c>
      <c r="D1570" s="1310">
        <v>723.65998500000001</v>
      </c>
    </row>
    <row r="1571" spans="2:4" x14ac:dyDescent="0.2">
      <c r="B1571" s="1341">
        <v>1820</v>
      </c>
      <c r="C1571" s="1341" t="s">
        <v>2765</v>
      </c>
      <c r="D1571" s="1310">
        <v>639.79999499999997</v>
      </c>
    </row>
    <row r="1572" spans="2:4" x14ac:dyDescent="0.2">
      <c r="B1572" s="1341">
        <v>1821</v>
      </c>
      <c r="C1572" s="1341" t="s">
        <v>2766</v>
      </c>
      <c r="D1572" s="1310">
        <v>636.16666699999996</v>
      </c>
    </row>
    <row r="1573" spans="2:4" x14ac:dyDescent="0.2">
      <c r="B1573" s="1341">
        <v>1822</v>
      </c>
      <c r="C1573" s="1341" t="s">
        <v>2767</v>
      </c>
      <c r="D1573" s="1310">
        <v>707.40625</v>
      </c>
    </row>
    <row r="1574" spans="2:4" x14ac:dyDescent="0.2">
      <c r="B1574" s="1341">
        <v>1823</v>
      </c>
      <c r="C1574" s="1341" t="s">
        <v>2768</v>
      </c>
      <c r="D1574" s="1310">
        <v>734.60001</v>
      </c>
    </row>
    <row r="1575" spans="2:4" x14ac:dyDescent="0.2">
      <c r="B1575" s="1341">
        <v>1824</v>
      </c>
      <c r="C1575" s="1341" t="s">
        <v>2769</v>
      </c>
      <c r="D1575" s="1310">
        <v>726.81666600000005</v>
      </c>
    </row>
    <row r="1576" spans="2:4" x14ac:dyDescent="0.2">
      <c r="B1576" s="1341">
        <v>1825</v>
      </c>
      <c r="C1576" s="1341" t="s">
        <v>2770</v>
      </c>
      <c r="D1576" s="1310">
        <v>753.5</v>
      </c>
    </row>
    <row r="1577" spans="2:4" x14ac:dyDescent="0.2">
      <c r="B1577" s="1341">
        <v>1826</v>
      </c>
      <c r="C1577" s="1341" t="s">
        <v>2771</v>
      </c>
      <c r="D1577" s="1310">
        <v>735.70001200000002</v>
      </c>
    </row>
    <row r="1578" spans="2:4" x14ac:dyDescent="0.2">
      <c r="B1578" s="1341">
        <v>1827</v>
      </c>
      <c r="C1578" s="1341" t="s">
        <v>2772</v>
      </c>
      <c r="D1578" s="1310">
        <v>760.46363399999996</v>
      </c>
    </row>
    <row r="1579" spans="2:4" x14ac:dyDescent="0.2">
      <c r="B1579" s="1341">
        <v>1828</v>
      </c>
      <c r="C1579" s="1341" t="s">
        <v>2204</v>
      </c>
      <c r="D1579" s="1310">
        <v>780.97272799999996</v>
      </c>
    </row>
    <row r="1580" spans="2:4" x14ac:dyDescent="0.2">
      <c r="B1580" s="1341">
        <v>1829</v>
      </c>
      <c r="C1580" s="1341" t="s">
        <v>2080</v>
      </c>
      <c r="D1580" s="1310">
        <v>731.92500299999995</v>
      </c>
    </row>
    <row r="1581" spans="2:4" x14ac:dyDescent="0.2">
      <c r="B1581" s="1341">
        <v>1830</v>
      </c>
      <c r="C1581" s="1341" t="s">
        <v>2773</v>
      </c>
      <c r="D1581" s="1310">
        <v>749.12856599999998</v>
      </c>
    </row>
    <row r="1582" spans="2:4" x14ac:dyDescent="0.2">
      <c r="B1582" s="1341">
        <v>1831</v>
      </c>
      <c r="C1582" s="1341" t="s">
        <v>2774</v>
      </c>
      <c r="D1582" s="1310">
        <v>749.26667299999997</v>
      </c>
    </row>
    <row r="1583" spans="2:4" x14ac:dyDescent="0.2">
      <c r="B1583" s="1341">
        <v>1832</v>
      </c>
      <c r="C1583" s="1341" t="s">
        <v>2775</v>
      </c>
      <c r="D1583" s="1310">
        <v>737.35000600000001</v>
      </c>
    </row>
    <row r="1584" spans="2:4" x14ac:dyDescent="0.2">
      <c r="B1584" s="1341">
        <v>1833</v>
      </c>
      <c r="C1584" s="1341" t="s">
        <v>2776</v>
      </c>
      <c r="D1584" s="1310">
        <v>761.69999199999995</v>
      </c>
    </row>
    <row r="1585" spans="2:4" x14ac:dyDescent="0.2">
      <c r="B1585" s="1341">
        <v>1834</v>
      </c>
      <c r="C1585" s="1341" t="s">
        <v>2777</v>
      </c>
      <c r="D1585" s="1310">
        <v>746.80000299999995</v>
      </c>
    </row>
    <row r="1586" spans="2:4" x14ac:dyDescent="0.2">
      <c r="B1586" s="1341">
        <v>1837</v>
      </c>
      <c r="C1586" s="1341" t="s">
        <v>2778</v>
      </c>
      <c r="D1586" s="1310">
        <v>612.79998799999998</v>
      </c>
    </row>
    <row r="1587" spans="2:4" x14ac:dyDescent="0.2">
      <c r="B1587" s="1341">
        <v>1851</v>
      </c>
      <c r="C1587" s="1341" t="s">
        <v>2779</v>
      </c>
      <c r="D1587" s="1310">
        <v>908.94000200000005</v>
      </c>
    </row>
    <row r="1588" spans="2:4" x14ac:dyDescent="0.2">
      <c r="B1588" s="1341">
        <v>1852</v>
      </c>
      <c r="C1588" s="1341" t="s">
        <v>2780</v>
      </c>
      <c r="D1588" s="1310">
        <v>851.59997599999997</v>
      </c>
    </row>
    <row r="1589" spans="2:4" x14ac:dyDescent="0.2">
      <c r="B1589" s="1341">
        <v>1853</v>
      </c>
      <c r="C1589" s="1341" t="s">
        <v>2781</v>
      </c>
      <c r="D1589" s="1310">
        <v>920.2</v>
      </c>
    </row>
    <row r="1590" spans="2:4" x14ac:dyDescent="0.2">
      <c r="B1590" s="1341">
        <v>1854</v>
      </c>
      <c r="C1590" s="1341" t="s">
        <v>2782</v>
      </c>
      <c r="D1590" s="1310">
        <v>885.96001000000001</v>
      </c>
    </row>
    <row r="1591" spans="2:4" x14ac:dyDescent="0.2">
      <c r="B1591" s="1341">
        <v>1855</v>
      </c>
      <c r="C1591" s="1341" t="s">
        <v>2783</v>
      </c>
      <c r="D1591" s="1310">
        <v>812.34286099999997</v>
      </c>
    </row>
    <row r="1592" spans="2:4" x14ac:dyDescent="0.2">
      <c r="B1592" s="1341">
        <v>1856</v>
      </c>
      <c r="C1592" s="1341" t="s">
        <v>2784</v>
      </c>
      <c r="D1592" s="1310">
        <v>815.883331</v>
      </c>
    </row>
    <row r="1593" spans="2:4" x14ac:dyDescent="0.2">
      <c r="B1593" s="1341">
        <v>1857</v>
      </c>
      <c r="C1593" s="1341" t="s">
        <v>2785</v>
      </c>
      <c r="D1593" s="1310">
        <v>834.21999500000004</v>
      </c>
    </row>
    <row r="1594" spans="2:4" x14ac:dyDescent="0.2">
      <c r="B1594" s="1341">
        <v>1858</v>
      </c>
      <c r="C1594" s="1341" t="s">
        <v>2786</v>
      </c>
      <c r="D1594" s="1310">
        <v>869.31667100000004</v>
      </c>
    </row>
    <row r="1595" spans="2:4" x14ac:dyDescent="0.2">
      <c r="B1595" s="1341">
        <v>1859</v>
      </c>
      <c r="C1595" s="1341" t="s">
        <v>2787</v>
      </c>
      <c r="D1595" s="1310">
        <v>818.13334099999997</v>
      </c>
    </row>
    <row r="1596" spans="2:4" x14ac:dyDescent="0.2">
      <c r="B1596" s="1341">
        <v>1860</v>
      </c>
      <c r="C1596" s="1341" t="s">
        <v>2788</v>
      </c>
      <c r="D1596" s="1310">
        <v>720.86666500000001</v>
      </c>
    </row>
    <row r="1597" spans="2:4" x14ac:dyDescent="0.2">
      <c r="B1597" s="1341">
        <v>1861</v>
      </c>
      <c r="C1597" s="1341" t="s">
        <v>2789</v>
      </c>
      <c r="D1597" s="1310">
        <v>750.54285500000003</v>
      </c>
    </row>
    <row r="1598" spans="2:4" x14ac:dyDescent="0.2">
      <c r="B1598" s="1341">
        <v>1862</v>
      </c>
      <c r="C1598" s="1341" t="s">
        <v>2790</v>
      </c>
      <c r="D1598" s="1310">
        <v>707.31667100000004</v>
      </c>
    </row>
    <row r="1599" spans="2:4" x14ac:dyDescent="0.2">
      <c r="B1599" s="1341">
        <v>1863</v>
      </c>
      <c r="C1599" s="1341" t="s">
        <v>2791</v>
      </c>
      <c r="D1599" s="1310">
        <v>713.40002400000003</v>
      </c>
    </row>
    <row r="1600" spans="2:4" x14ac:dyDescent="0.2">
      <c r="B1600" s="1341">
        <v>1864</v>
      </c>
      <c r="C1600" s="1341" t="s">
        <v>2792</v>
      </c>
      <c r="D1600" s="1310">
        <v>759.60001199999999</v>
      </c>
    </row>
    <row r="1601" spans="2:4" x14ac:dyDescent="0.2">
      <c r="B1601" s="1341">
        <v>1865</v>
      </c>
      <c r="C1601" s="1341" t="s">
        <v>2793</v>
      </c>
      <c r="D1601" s="1310">
        <v>758.21667500000001</v>
      </c>
    </row>
    <row r="1602" spans="2:4" x14ac:dyDescent="0.2">
      <c r="B1602" s="1341">
        <v>1866</v>
      </c>
      <c r="C1602" s="1341" t="s">
        <v>2794</v>
      </c>
      <c r="D1602" s="1310">
        <v>755.85998500000005</v>
      </c>
    </row>
    <row r="1603" spans="2:4" x14ac:dyDescent="0.2">
      <c r="B1603" s="1341">
        <v>1867</v>
      </c>
      <c r="C1603" s="1341" t="s">
        <v>2795</v>
      </c>
      <c r="D1603" s="1310">
        <v>716.94999700000005</v>
      </c>
    </row>
    <row r="1604" spans="2:4" x14ac:dyDescent="0.2">
      <c r="B1604" s="1341">
        <v>1868</v>
      </c>
      <c r="C1604" s="1341" t="s">
        <v>2796</v>
      </c>
      <c r="D1604" s="1310">
        <v>691.15000899999995</v>
      </c>
    </row>
    <row r="1605" spans="2:4" x14ac:dyDescent="0.2">
      <c r="B1605" s="1341">
        <v>1869</v>
      </c>
      <c r="C1605" s="1341" t="s">
        <v>2797</v>
      </c>
      <c r="D1605" s="1310">
        <v>653.67500299999995</v>
      </c>
    </row>
    <row r="1606" spans="2:4" x14ac:dyDescent="0.2">
      <c r="B1606" s="1341">
        <v>1870</v>
      </c>
      <c r="C1606" s="1341" t="s">
        <v>2798</v>
      </c>
      <c r="D1606" s="1310">
        <v>739.19999199999995</v>
      </c>
    </row>
    <row r="1607" spans="2:4" x14ac:dyDescent="0.2">
      <c r="B1607" s="1341">
        <v>1871</v>
      </c>
      <c r="C1607" s="1341" t="s">
        <v>2799</v>
      </c>
      <c r="D1607" s="1310">
        <v>695.69999199999995</v>
      </c>
    </row>
    <row r="1608" spans="2:4" x14ac:dyDescent="0.2">
      <c r="B1608" s="1341">
        <v>1872</v>
      </c>
      <c r="C1608" s="1341" t="s">
        <v>2800</v>
      </c>
      <c r="D1608" s="1310">
        <v>736.61999500000002</v>
      </c>
    </row>
    <row r="1609" spans="2:4" x14ac:dyDescent="0.2">
      <c r="B1609" s="1341">
        <v>1873</v>
      </c>
      <c r="C1609" s="1341" t="s">
        <v>2801</v>
      </c>
      <c r="D1609" s="1310">
        <v>760.15000899999995</v>
      </c>
    </row>
    <row r="1610" spans="2:4" x14ac:dyDescent="0.2">
      <c r="B1610" s="1341">
        <v>1874</v>
      </c>
      <c r="C1610" s="1341" t="s">
        <v>2802</v>
      </c>
      <c r="D1610" s="1310">
        <v>699.78666599999997</v>
      </c>
    </row>
    <row r="1611" spans="2:4" x14ac:dyDescent="0.2">
      <c r="B1611" s="1341">
        <v>1875</v>
      </c>
      <c r="C1611" s="1341" t="s">
        <v>2803</v>
      </c>
      <c r="D1611" s="1310">
        <v>755.59997599999997</v>
      </c>
    </row>
    <row r="1612" spans="2:4" x14ac:dyDescent="0.2">
      <c r="B1612" s="1341">
        <v>1876</v>
      </c>
      <c r="C1612" s="1341" t="s">
        <v>2804</v>
      </c>
      <c r="D1612" s="1310">
        <v>668.59000200000003</v>
      </c>
    </row>
    <row r="1613" spans="2:4" x14ac:dyDescent="0.2">
      <c r="B1613" s="1341">
        <v>1877</v>
      </c>
      <c r="C1613" s="1341" t="s">
        <v>2805</v>
      </c>
      <c r="D1613" s="1310">
        <v>660.30001800000002</v>
      </c>
    </row>
    <row r="1614" spans="2:4" x14ac:dyDescent="0.2">
      <c r="B1614" s="1341">
        <v>1878</v>
      </c>
      <c r="C1614" s="1341" t="s">
        <v>2806</v>
      </c>
      <c r="D1614" s="1310">
        <v>666.02000699999996</v>
      </c>
    </row>
    <row r="1615" spans="2:4" x14ac:dyDescent="0.2">
      <c r="B1615" s="1341">
        <v>1879</v>
      </c>
      <c r="C1615" s="1341" t="s">
        <v>2807</v>
      </c>
      <c r="D1615" s="1310">
        <v>660.67142200000001</v>
      </c>
    </row>
    <row r="1616" spans="2:4" x14ac:dyDescent="0.2">
      <c r="B1616" s="1341">
        <v>1880</v>
      </c>
      <c r="C1616" s="1341" t="s">
        <v>2808</v>
      </c>
      <c r="D1616" s="1310">
        <v>688.11999500000002</v>
      </c>
    </row>
    <row r="1617" spans="2:4" x14ac:dyDescent="0.2">
      <c r="B1617" s="1341">
        <v>1881</v>
      </c>
      <c r="C1617" s="1341" t="s">
        <v>2809</v>
      </c>
      <c r="D1617" s="1310">
        <v>661.91333399999996</v>
      </c>
    </row>
    <row r="1618" spans="2:4" x14ac:dyDescent="0.2">
      <c r="B1618" s="1341">
        <v>1882</v>
      </c>
      <c r="C1618" s="1341" t="s">
        <v>2810</v>
      </c>
      <c r="D1618" s="1310">
        <v>659.04000199999996</v>
      </c>
    </row>
    <row r="1619" spans="2:4" x14ac:dyDescent="0.2">
      <c r="B1619" s="1341">
        <v>1883</v>
      </c>
      <c r="C1619" s="1341" t="s">
        <v>2811</v>
      </c>
      <c r="D1619" s="1310">
        <v>687.54999199999997</v>
      </c>
    </row>
    <row r="1620" spans="2:4" x14ac:dyDescent="0.2">
      <c r="B1620" s="1341">
        <v>1884</v>
      </c>
      <c r="C1620" s="1341" t="s">
        <v>2812</v>
      </c>
      <c r="D1620" s="1310">
        <v>689.5</v>
      </c>
    </row>
    <row r="1621" spans="2:4" x14ac:dyDescent="0.2">
      <c r="B1621" s="1341">
        <v>1885</v>
      </c>
      <c r="C1621" s="1341" t="s">
        <v>2813</v>
      </c>
      <c r="D1621" s="1310">
        <v>674.19000200000005</v>
      </c>
    </row>
    <row r="1622" spans="2:4" x14ac:dyDescent="0.2">
      <c r="B1622" s="1341">
        <v>1886</v>
      </c>
      <c r="C1622" s="1341" t="s">
        <v>2239</v>
      </c>
      <c r="D1622" s="1310">
        <v>677.01000399999998</v>
      </c>
    </row>
    <row r="1623" spans="2:4" x14ac:dyDescent="0.2">
      <c r="B1623" s="1341">
        <v>1887</v>
      </c>
      <c r="C1623" s="1341" t="s">
        <v>414</v>
      </c>
      <c r="D1623" s="1310">
        <v>646.17999899999995</v>
      </c>
    </row>
    <row r="1624" spans="2:4" x14ac:dyDescent="0.2">
      <c r="B1624" s="1341">
        <v>1888</v>
      </c>
      <c r="C1624" s="1341" t="s">
        <v>2814</v>
      </c>
      <c r="D1624" s="1310">
        <v>643.05714599999999</v>
      </c>
    </row>
    <row r="1625" spans="2:4" x14ac:dyDescent="0.2">
      <c r="B1625" s="1341">
        <v>1889</v>
      </c>
      <c r="C1625" s="1341" t="s">
        <v>2815</v>
      </c>
      <c r="D1625" s="1310">
        <v>641.29998799999998</v>
      </c>
    </row>
    <row r="1626" spans="2:4" x14ac:dyDescent="0.2">
      <c r="B1626" s="1341">
        <v>1890</v>
      </c>
      <c r="C1626" s="1341" t="s">
        <v>2816</v>
      </c>
      <c r="D1626" s="1310">
        <v>646.05713800000001</v>
      </c>
    </row>
    <row r="1627" spans="2:4" x14ac:dyDescent="0.2">
      <c r="B1627" s="1341">
        <v>1891</v>
      </c>
      <c r="C1627" s="1341" t="s">
        <v>2817</v>
      </c>
      <c r="D1627" s="1310">
        <v>680.76428199999998</v>
      </c>
    </row>
    <row r="1628" spans="2:4" x14ac:dyDescent="0.2">
      <c r="B1628" s="1341">
        <v>1892</v>
      </c>
      <c r="C1628" s="1341" t="s">
        <v>2818</v>
      </c>
      <c r="D1628" s="1310">
        <v>746.46364000000005</v>
      </c>
    </row>
    <row r="1629" spans="2:4" x14ac:dyDescent="0.2">
      <c r="B1629" s="1341">
        <v>1893</v>
      </c>
      <c r="C1629" s="1341" t="s">
        <v>2819</v>
      </c>
      <c r="D1629" s="1310">
        <v>675.71112100000005</v>
      </c>
    </row>
    <row r="1630" spans="2:4" x14ac:dyDescent="0.2">
      <c r="B1630" s="1341">
        <v>1894</v>
      </c>
      <c r="C1630" s="1341" t="s">
        <v>2820</v>
      </c>
      <c r="D1630" s="1310">
        <v>728.84286099999997</v>
      </c>
    </row>
    <row r="1631" spans="2:4" x14ac:dyDescent="0.2">
      <c r="B1631" s="1341">
        <v>1895</v>
      </c>
      <c r="C1631" s="1341" t="s">
        <v>2821</v>
      </c>
      <c r="D1631" s="1310">
        <v>733.79091000000005</v>
      </c>
    </row>
    <row r="1632" spans="2:4" x14ac:dyDescent="0.2">
      <c r="B1632" s="1341">
        <v>1896</v>
      </c>
      <c r="C1632" s="1341" t="s">
        <v>2822</v>
      </c>
      <c r="D1632" s="1310">
        <v>744.91666699999996</v>
      </c>
    </row>
    <row r="1633" spans="2:4" x14ac:dyDescent="0.2">
      <c r="B1633" s="1341">
        <v>1897</v>
      </c>
      <c r="C1633" s="1341" t="s">
        <v>2823</v>
      </c>
      <c r="D1633" s="1310">
        <v>773.33571500000005</v>
      </c>
    </row>
    <row r="1634" spans="2:4" x14ac:dyDescent="0.2">
      <c r="B1634" s="1341">
        <v>1898</v>
      </c>
      <c r="C1634" s="1341" t="s">
        <v>2824</v>
      </c>
      <c r="D1634" s="1310">
        <v>820.67500299999995</v>
      </c>
    </row>
    <row r="1635" spans="2:4" x14ac:dyDescent="0.2">
      <c r="B1635" s="1341">
        <v>1899</v>
      </c>
      <c r="C1635" s="1341" t="s">
        <v>2825</v>
      </c>
      <c r="D1635" s="1310">
        <v>859.61999500000002</v>
      </c>
    </row>
    <row r="1636" spans="2:4" x14ac:dyDescent="0.2">
      <c r="B1636" s="1341">
        <v>1900</v>
      </c>
      <c r="C1636" s="1341" t="s">
        <v>2826</v>
      </c>
      <c r="D1636" s="1310">
        <v>857.34001499999999</v>
      </c>
    </row>
    <row r="1637" spans="2:4" x14ac:dyDescent="0.2">
      <c r="B1637" s="1341">
        <v>1901</v>
      </c>
      <c r="C1637" s="1341" t="s">
        <v>2827</v>
      </c>
      <c r="D1637" s="1310">
        <v>844.771432</v>
      </c>
    </row>
    <row r="1638" spans="2:4" x14ac:dyDescent="0.2">
      <c r="B1638" s="1341">
        <v>1902</v>
      </c>
      <c r="C1638" s="1341" t="s">
        <v>2828</v>
      </c>
      <c r="D1638" s="1310">
        <v>874.42499499999997</v>
      </c>
    </row>
    <row r="1639" spans="2:4" x14ac:dyDescent="0.2">
      <c r="B1639" s="1341">
        <v>1903</v>
      </c>
      <c r="C1639" s="1341" t="s">
        <v>2829</v>
      </c>
      <c r="D1639" s="1310">
        <v>901.20001200000002</v>
      </c>
    </row>
    <row r="1640" spans="2:4" x14ac:dyDescent="0.2">
      <c r="B1640" s="1341">
        <v>1904</v>
      </c>
      <c r="C1640" s="1341" t="s">
        <v>2830</v>
      </c>
      <c r="D1640" s="1310">
        <v>886.28462100000002</v>
      </c>
    </row>
    <row r="1641" spans="2:4" x14ac:dyDescent="0.2">
      <c r="B1641" s="1341">
        <v>1905</v>
      </c>
      <c r="C1641" s="1341" t="s">
        <v>2831</v>
      </c>
      <c r="D1641" s="1310">
        <v>866.06154200000003</v>
      </c>
    </row>
    <row r="1642" spans="2:4" x14ac:dyDescent="0.2">
      <c r="B1642" s="1341">
        <v>1906</v>
      </c>
      <c r="C1642" s="1341" t="s">
        <v>2832</v>
      </c>
      <c r="D1642" s="1310">
        <v>759.366669</v>
      </c>
    </row>
    <row r="1643" spans="2:4" x14ac:dyDescent="0.2">
      <c r="B1643" s="1341">
        <v>1907</v>
      </c>
      <c r="C1643" s="1341" t="s">
        <v>2833</v>
      </c>
      <c r="D1643" s="1310">
        <v>775.26668299999994</v>
      </c>
    </row>
    <row r="1644" spans="2:4" x14ac:dyDescent="0.2">
      <c r="B1644" s="1341">
        <v>1908</v>
      </c>
      <c r="C1644" s="1341" t="s">
        <v>2834</v>
      </c>
      <c r="D1644" s="1310">
        <v>786.39999399999999</v>
      </c>
    </row>
    <row r="1645" spans="2:4" x14ac:dyDescent="0.2">
      <c r="B1645" s="1341">
        <v>1909</v>
      </c>
      <c r="C1645" s="1341" t="s">
        <v>2835</v>
      </c>
      <c r="D1645" s="1310">
        <v>763.29999299999997</v>
      </c>
    </row>
    <row r="1646" spans="2:4" x14ac:dyDescent="0.2">
      <c r="B1646" s="1341">
        <v>1910</v>
      </c>
      <c r="C1646" s="1341" t="s">
        <v>2836</v>
      </c>
      <c r="D1646" s="1310">
        <v>775.90000399999997</v>
      </c>
    </row>
    <row r="1647" spans="2:4" x14ac:dyDescent="0.2">
      <c r="B1647" s="1341">
        <v>1911</v>
      </c>
      <c r="C1647" s="1341" t="s">
        <v>2837</v>
      </c>
      <c r="D1647" s="1310">
        <v>775.63334099999997</v>
      </c>
    </row>
    <row r="1648" spans="2:4" x14ac:dyDescent="0.2">
      <c r="B1648" s="1341">
        <v>1912</v>
      </c>
      <c r="C1648" s="1341" t="s">
        <v>2838</v>
      </c>
      <c r="D1648" s="1310">
        <v>796.64544699999999</v>
      </c>
    </row>
    <row r="1649" spans="2:4" x14ac:dyDescent="0.2">
      <c r="B1649" s="1341">
        <v>1913</v>
      </c>
      <c r="C1649" s="1341" t="s">
        <v>2839</v>
      </c>
      <c r="D1649" s="1310">
        <v>748.7</v>
      </c>
    </row>
    <row r="1650" spans="2:4" x14ac:dyDescent="0.2">
      <c r="B1650" s="1341">
        <v>1914</v>
      </c>
      <c r="C1650" s="1341" t="s">
        <v>2840</v>
      </c>
      <c r="D1650" s="1310">
        <v>830.92858000000001</v>
      </c>
    </row>
    <row r="1651" spans="2:4" x14ac:dyDescent="0.2">
      <c r="B1651" s="1341">
        <v>1915</v>
      </c>
      <c r="C1651" s="1341" t="s">
        <v>2841</v>
      </c>
      <c r="D1651" s="1310">
        <v>879.15000899999995</v>
      </c>
    </row>
    <row r="1652" spans="2:4" x14ac:dyDescent="0.2">
      <c r="B1652" s="1341">
        <v>1916</v>
      </c>
      <c r="C1652" s="1341" t="s">
        <v>2842</v>
      </c>
      <c r="D1652" s="1310">
        <v>826.29999799999996</v>
      </c>
    </row>
    <row r="1653" spans="2:4" x14ac:dyDescent="0.2">
      <c r="B1653" s="1341">
        <v>1917</v>
      </c>
      <c r="C1653" s="1341" t="s">
        <v>2843</v>
      </c>
      <c r="D1653" s="1310">
        <v>881.580017</v>
      </c>
    </row>
    <row r="1654" spans="2:4" x14ac:dyDescent="0.2">
      <c r="B1654" s="1341">
        <v>1918</v>
      </c>
      <c r="C1654" s="1341" t="s">
        <v>2844</v>
      </c>
      <c r="D1654" s="1310">
        <v>863.92498799999998</v>
      </c>
    </row>
    <row r="1655" spans="2:4" x14ac:dyDescent="0.2">
      <c r="B1655" s="1341">
        <v>1919</v>
      </c>
      <c r="C1655" s="1341" t="s">
        <v>2845</v>
      </c>
      <c r="D1655" s="1310">
        <v>866.96665399999995</v>
      </c>
    </row>
    <row r="1656" spans="2:4" x14ac:dyDescent="0.2">
      <c r="B1656" s="1341">
        <v>1920</v>
      </c>
      <c r="C1656" s="1341" t="s">
        <v>2846</v>
      </c>
      <c r="D1656" s="1310">
        <v>892.54998799999998</v>
      </c>
    </row>
    <row r="1657" spans="2:4" x14ac:dyDescent="0.2">
      <c r="B1657" s="1341">
        <v>1921</v>
      </c>
      <c r="C1657" s="1341" t="s">
        <v>2847</v>
      </c>
      <c r="D1657" s="1310">
        <v>864</v>
      </c>
    </row>
    <row r="1658" spans="2:4" x14ac:dyDescent="0.2">
      <c r="B1658" s="1341">
        <v>1922</v>
      </c>
      <c r="C1658" s="1341" t="s">
        <v>2848</v>
      </c>
      <c r="D1658" s="1310">
        <v>896.95001200000002</v>
      </c>
    </row>
    <row r="1659" spans="2:4" x14ac:dyDescent="0.2">
      <c r="B1659" s="1341">
        <v>1923</v>
      </c>
      <c r="C1659" s="1341" t="s">
        <v>2849</v>
      </c>
      <c r="D1659" s="1310">
        <v>909.39999399999999</v>
      </c>
    </row>
    <row r="1660" spans="2:4" x14ac:dyDescent="0.2">
      <c r="B1660" s="1341">
        <v>1924</v>
      </c>
      <c r="C1660" s="1341" t="s">
        <v>2850</v>
      </c>
      <c r="D1660" s="1310">
        <v>891.04999799999996</v>
      </c>
    </row>
    <row r="1661" spans="2:4" x14ac:dyDescent="0.2">
      <c r="B1661" s="1341">
        <v>1925</v>
      </c>
      <c r="C1661" s="1341" t="s">
        <v>2851</v>
      </c>
      <c r="D1661" s="1310">
        <v>894.46666500000003</v>
      </c>
    </row>
    <row r="1662" spans="2:4" x14ac:dyDescent="0.2">
      <c r="B1662" s="1341">
        <v>1926</v>
      </c>
      <c r="C1662" s="1341" t="s">
        <v>2852</v>
      </c>
      <c r="D1662" s="1310">
        <v>885.04286400000001</v>
      </c>
    </row>
    <row r="1663" spans="2:4" x14ac:dyDescent="0.2">
      <c r="B1663" s="1341">
        <v>1927</v>
      </c>
      <c r="C1663" s="1341" t="s">
        <v>2853</v>
      </c>
      <c r="D1663" s="1310">
        <v>875.19998199999998</v>
      </c>
    </row>
    <row r="1664" spans="2:4" x14ac:dyDescent="0.2">
      <c r="B1664" s="1341">
        <v>1928</v>
      </c>
      <c r="C1664" s="1341" t="s">
        <v>2854</v>
      </c>
      <c r="D1664" s="1310">
        <v>901.59997599999997</v>
      </c>
    </row>
    <row r="1665" spans="2:4" x14ac:dyDescent="0.2">
      <c r="B1665" s="1341">
        <v>1929</v>
      </c>
      <c r="C1665" s="1341" t="s">
        <v>2855</v>
      </c>
      <c r="D1665" s="1310">
        <v>801.5</v>
      </c>
    </row>
    <row r="1666" spans="2:4" x14ac:dyDescent="0.2">
      <c r="B1666" s="1341">
        <v>1930</v>
      </c>
      <c r="C1666" s="1341" t="s">
        <v>2856</v>
      </c>
      <c r="D1666" s="1310">
        <v>810.41999499999997</v>
      </c>
    </row>
    <row r="1667" spans="2:4" x14ac:dyDescent="0.2">
      <c r="B1667" s="1341">
        <v>1931</v>
      </c>
      <c r="C1667" s="1341" t="s">
        <v>2857</v>
      </c>
      <c r="D1667" s="1310">
        <v>795.43332899999996</v>
      </c>
    </row>
    <row r="1668" spans="2:4" x14ac:dyDescent="0.2">
      <c r="B1668" s="1341">
        <v>1932</v>
      </c>
      <c r="C1668" s="1341" t="s">
        <v>2204</v>
      </c>
      <c r="D1668" s="1310">
        <v>801.21818399999995</v>
      </c>
    </row>
    <row r="1669" spans="2:4" x14ac:dyDescent="0.2">
      <c r="B1669" s="1341">
        <v>1933</v>
      </c>
      <c r="C1669" s="1341" t="s">
        <v>2858</v>
      </c>
      <c r="D1669" s="1310">
        <v>844.96667500000001</v>
      </c>
    </row>
    <row r="1670" spans="2:4" x14ac:dyDescent="0.2">
      <c r="B1670" s="1341">
        <v>1934</v>
      </c>
      <c r="C1670" s="1341" t="s">
        <v>2859</v>
      </c>
      <c r="D1670" s="1310">
        <v>783.92498799999998</v>
      </c>
    </row>
    <row r="1671" spans="2:4" x14ac:dyDescent="0.2">
      <c r="B1671" s="1341">
        <v>1935</v>
      </c>
      <c r="C1671" s="1341" t="s">
        <v>2860</v>
      </c>
      <c r="D1671" s="1310">
        <v>765.30000800000005</v>
      </c>
    </row>
    <row r="1672" spans="2:4" x14ac:dyDescent="0.2">
      <c r="B1672" s="1341">
        <v>1936</v>
      </c>
      <c r="C1672" s="1341" t="s">
        <v>2861</v>
      </c>
      <c r="D1672" s="1310">
        <v>835.06250799999998</v>
      </c>
    </row>
    <row r="1673" spans="2:4" x14ac:dyDescent="0.2">
      <c r="B1673" s="1341">
        <v>1937</v>
      </c>
      <c r="C1673" s="1341" t="s">
        <v>2862</v>
      </c>
      <c r="D1673" s="1310">
        <v>811.23500100000001</v>
      </c>
    </row>
    <row r="1674" spans="2:4" x14ac:dyDescent="0.2">
      <c r="B1674" s="1341">
        <v>1938</v>
      </c>
      <c r="C1674" s="1341" t="s">
        <v>2863</v>
      </c>
      <c r="D1674" s="1310">
        <v>774.06667100000004</v>
      </c>
    </row>
    <row r="1675" spans="2:4" x14ac:dyDescent="0.2">
      <c r="B1675" s="1341">
        <v>1939</v>
      </c>
      <c r="C1675" s="1341" t="s">
        <v>2864</v>
      </c>
      <c r="D1675" s="1310">
        <v>780.76999499999999</v>
      </c>
    </row>
    <row r="1676" spans="2:4" x14ac:dyDescent="0.2">
      <c r="B1676" s="1341">
        <v>1940</v>
      </c>
      <c r="C1676" s="1341" t="s">
        <v>2865</v>
      </c>
      <c r="D1676" s="1310">
        <v>860.85000600000001</v>
      </c>
    </row>
    <row r="1677" spans="2:4" x14ac:dyDescent="0.2">
      <c r="B1677" s="1341">
        <v>1941</v>
      </c>
      <c r="C1677" s="1341" t="s">
        <v>2866</v>
      </c>
      <c r="D1677" s="1310">
        <v>823.93500100000006</v>
      </c>
    </row>
    <row r="1678" spans="2:4" x14ac:dyDescent="0.2">
      <c r="B1678" s="1341">
        <v>1942</v>
      </c>
      <c r="C1678" s="1341" t="s">
        <v>2867</v>
      </c>
      <c r="D1678" s="1310">
        <v>856.27500899999995</v>
      </c>
    </row>
    <row r="1679" spans="2:4" x14ac:dyDescent="0.2">
      <c r="B1679" s="1341">
        <v>1943</v>
      </c>
      <c r="C1679" s="1341" t="s">
        <v>2868</v>
      </c>
      <c r="D1679" s="1310">
        <v>869.36998900000003</v>
      </c>
    </row>
    <row r="1680" spans="2:4" x14ac:dyDescent="0.2">
      <c r="B1680" s="1341">
        <v>1944</v>
      </c>
      <c r="C1680" s="1341" t="s">
        <v>2869</v>
      </c>
      <c r="D1680" s="1310">
        <v>816.67142999999999</v>
      </c>
    </row>
    <row r="1681" spans="2:4" x14ac:dyDescent="0.2">
      <c r="B1681" s="1341">
        <v>1945</v>
      </c>
      <c r="C1681" s="1341" t="s">
        <v>2870</v>
      </c>
      <c r="D1681" s="1310">
        <v>845.71250199999997</v>
      </c>
    </row>
    <row r="1682" spans="2:4" x14ac:dyDescent="0.2">
      <c r="B1682" s="1341">
        <v>1946</v>
      </c>
      <c r="C1682" s="1341" t="s">
        <v>2871</v>
      </c>
      <c r="D1682" s="1310">
        <v>793.64999399999999</v>
      </c>
    </row>
    <row r="1683" spans="2:4" x14ac:dyDescent="0.2">
      <c r="B1683" s="1341">
        <v>1947</v>
      </c>
      <c r="C1683" s="1341" t="s">
        <v>2872</v>
      </c>
      <c r="D1683" s="1310">
        <v>839.16666699999996</v>
      </c>
    </row>
    <row r="1684" spans="2:4" x14ac:dyDescent="0.2">
      <c r="B1684" s="1341">
        <v>1948</v>
      </c>
      <c r="C1684" s="1341" t="s">
        <v>2873</v>
      </c>
      <c r="D1684" s="1310">
        <v>823.03333199999997</v>
      </c>
    </row>
    <row r="1685" spans="2:4" x14ac:dyDescent="0.2">
      <c r="B1685" s="1341">
        <v>1949</v>
      </c>
      <c r="C1685" s="1341" t="s">
        <v>2874</v>
      </c>
      <c r="D1685" s="1310">
        <v>778.58333300000004</v>
      </c>
    </row>
    <row r="1686" spans="2:4" x14ac:dyDescent="0.2">
      <c r="B1686" s="1341">
        <v>1950</v>
      </c>
      <c r="C1686" s="1341" t="s">
        <v>2875</v>
      </c>
      <c r="D1686" s="1310">
        <v>804.09999300000004</v>
      </c>
    </row>
    <row r="1687" spans="2:4" x14ac:dyDescent="0.2">
      <c r="B1687" s="1341">
        <v>1951</v>
      </c>
      <c r="C1687" s="1341" t="s">
        <v>2876</v>
      </c>
      <c r="D1687" s="1310">
        <v>771.83635400000003</v>
      </c>
    </row>
    <row r="1688" spans="2:4" x14ac:dyDescent="0.2">
      <c r="B1688" s="1341">
        <v>1952</v>
      </c>
      <c r="C1688" s="1341" t="s">
        <v>2877</v>
      </c>
      <c r="D1688" s="1310">
        <v>751.19998799999996</v>
      </c>
    </row>
    <row r="1689" spans="2:4" x14ac:dyDescent="0.2">
      <c r="B1689" s="1341">
        <v>1953</v>
      </c>
      <c r="C1689" s="1341" t="s">
        <v>2878</v>
      </c>
      <c r="D1689" s="1310">
        <v>743.66668700000002</v>
      </c>
    </row>
    <row r="1690" spans="2:4" x14ac:dyDescent="0.2">
      <c r="B1690" s="1341">
        <v>1954</v>
      </c>
      <c r="C1690" s="1341" t="s">
        <v>2879</v>
      </c>
      <c r="D1690" s="1310">
        <v>756.93330900000001</v>
      </c>
    </row>
    <row r="1691" spans="2:4" x14ac:dyDescent="0.2">
      <c r="B1691" s="1341">
        <v>1955</v>
      </c>
      <c r="C1691" s="1341" t="s">
        <v>2880</v>
      </c>
      <c r="D1691" s="1310">
        <v>722.88888899999995</v>
      </c>
    </row>
    <row r="1692" spans="2:4" x14ac:dyDescent="0.2">
      <c r="B1692" s="1341">
        <v>1956</v>
      </c>
      <c r="C1692" s="1341" t="s">
        <v>2881</v>
      </c>
      <c r="D1692" s="1310">
        <v>767.30713800000001</v>
      </c>
    </row>
    <row r="1693" spans="2:4" x14ac:dyDescent="0.2">
      <c r="B1693" s="1341">
        <v>1957</v>
      </c>
      <c r="C1693" s="1341" t="s">
        <v>2882</v>
      </c>
      <c r="D1693" s="1310">
        <v>691.46000400000003</v>
      </c>
    </row>
    <row r="1694" spans="2:4" x14ac:dyDescent="0.2">
      <c r="B1694" s="1341">
        <v>1958</v>
      </c>
      <c r="C1694" s="1341" t="s">
        <v>2883</v>
      </c>
      <c r="D1694" s="1310">
        <v>704.06000400000005</v>
      </c>
    </row>
    <row r="1695" spans="2:4" x14ac:dyDescent="0.2">
      <c r="B1695" s="1341">
        <v>1959</v>
      </c>
      <c r="C1695" s="1341" t="s">
        <v>2884</v>
      </c>
      <c r="D1695" s="1310">
        <v>694.14999399999999</v>
      </c>
    </row>
    <row r="1696" spans="2:4" x14ac:dyDescent="0.2">
      <c r="B1696" s="1341">
        <v>1960</v>
      </c>
      <c r="C1696" s="1341" t="s">
        <v>2885</v>
      </c>
      <c r="D1696" s="1310">
        <v>705.57999299999994</v>
      </c>
    </row>
    <row r="1697" spans="2:4" x14ac:dyDescent="0.2">
      <c r="B1697" s="1341">
        <v>1961</v>
      </c>
      <c r="C1697" s="1341" t="s">
        <v>2886</v>
      </c>
      <c r="D1697" s="1310">
        <v>717.77500199999997</v>
      </c>
    </row>
    <row r="1698" spans="2:4" x14ac:dyDescent="0.2">
      <c r="B1698" s="1341">
        <v>1962</v>
      </c>
      <c r="C1698" s="1341" t="s">
        <v>2887</v>
      </c>
      <c r="D1698" s="1310">
        <v>822.66666699999996</v>
      </c>
    </row>
    <row r="1699" spans="2:4" x14ac:dyDescent="0.2">
      <c r="B1699" s="1341">
        <v>1963</v>
      </c>
      <c r="C1699" s="1341" t="s">
        <v>2888</v>
      </c>
      <c r="D1699" s="1310">
        <v>659.13332100000002</v>
      </c>
    </row>
    <row r="1700" spans="2:4" x14ac:dyDescent="0.2">
      <c r="B1700" s="1341">
        <v>1964</v>
      </c>
      <c r="C1700" s="1341" t="s">
        <v>2889</v>
      </c>
      <c r="D1700" s="1310">
        <v>695</v>
      </c>
    </row>
    <row r="1701" spans="2:4" x14ac:dyDescent="0.2">
      <c r="B1701" s="1341">
        <v>1965</v>
      </c>
      <c r="C1701" s="1341" t="s">
        <v>2890</v>
      </c>
      <c r="D1701" s="1310">
        <v>672.61764700000003</v>
      </c>
    </row>
    <row r="1702" spans="2:4" x14ac:dyDescent="0.2">
      <c r="B1702" s="1341">
        <v>1966</v>
      </c>
      <c r="C1702" s="1341" t="s">
        <v>2891</v>
      </c>
      <c r="D1702" s="1310">
        <v>772.01249700000005</v>
      </c>
    </row>
    <row r="1703" spans="2:4" x14ac:dyDescent="0.2">
      <c r="B1703" s="1341">
        <v>1967</v>
      </c>
      <c r="C1703" s="1341" t="s">
        <v>2892</v>
      </c>
      <c r="D1703" s="1310">
        <v>683.47142699999995</v>
      </c>
    </row>
    <row r="1704" spans="2:4" x14ac:dyDescent="0.2">
      <c r="B1704" s="1341">
        <v>1968</v>
      </c>
      <c r="C1704" s="1341" t="s">
        <v>2893</v>
      </c>
      <c r="D1704" s="1310">
        <v>678.70001200000002</v>
      </c>
    </row>
    <row r="1705" spans="2:4" x14ac:dyDescent="0.2">
      <c r="B1705" s="1341">
        <v>1969</v>
      </c>
      <c r="C1705" s="1341" t="s">
        <v>2894</v>
      </c>
      <c r="D1705" s="1310">
        <v>708.73333700000001</v>
      </c>
    </row>
    <row r="1706" spans="2:4" x14ac:dyDescent="0.2">
      <c r="B1706" s="1341">
        <v>1970</v>
      </c>
      <c r="C1706" s="1341" t="s">
        <v>2895</v>
      </c>
      <c r="D1706" s="1310">
        <v>676.18823199999997</v>
      </c>
    </row>
    <row r="1707" spans="2:4" x14ac:dyDescent="0.2">
      <c r="B1707" s="1341">
        <v>1971</v>
      </c>
      <c r="C1707" s="1341" t="s">
        <v>2896</v>
      </c>
      <c r="D1707" s="1310">
        <v>681.10000300000002</v>
      </c>
    </row>
    <row r="1708" spans="2:4" x14ac:dyDescent="0.2">
      <c r="B1708" s="1341">
        <v>1972</v>
      </c>
      <c r="C1708" s="1341" t="s">
        <v>2897</v>
      </c>
      <c r="D1708" s="1310">
        <v>711.63334099999997</v>
      </c>
    </row>
    <row r="1709" spans="2:4" x14ac:dyDescent="0.2">
      <c r="B1709" s="1341">
        <v>1973</v>
      </c>
      <c r="C1709" s="1341" t="s">
        <v>2898</v>
      </c>
      <c r="D1709" s="1310">
        <v>687.29000499999995</v>
      </c>
    </row>
    <row r="1710" spans="2:4" x14ac:dyDescent="0.2">
      <c r="B1710" s="1341">
        <v>1974</v>
      </c>
      <c r="C1710" s="1341" t="s">
        <v>2899</v>
      </c>
      <c r="D1710" s="1310">
        <v>671.43333900000005</v>
      </c>
    </row>
    <row r="1711" spans="2:4" x14ac:dyDescent="0.2">
      <c r="B1711" s="1341">
        <v>1975</v>
      </c>
      <c r="C1711" s="1341" t="s">
        <v>2900</v>
      </c>
      <c r="D1711" s="1310">
        <v>654.19999700000005</v>
      </c>
    </row>
    <row r="1712" spans="2:4" x14ac:dyDescent="0.2">
      <c r="B1712" s="1341">
        <v>1976</v>
      </c>
      <c r="C1712" s="1341" t="s">
        <v>2901</v>
      </c>
      <c r="D1712" s="1310">
        <v>656.5</v>
      </c>
    </row>
    <row r="1713" spans="2:4" x14ac:dyDescent="0.2">
      <c r="B1713" s="1341">
        <v>1977</v>
      </c>
      <c r="C1713" s="1341" t="s">
        <v>2902</v>
      </c>
      <c r="D1713" s="1310">
        <v>679.36666500000001</v>
      </c>
    </row>
    <row r="1714" spans="2:4" x14ac:dyDescent="0.2">
      <c r="B1714" s="1341">
        <v>1978</v>
      </c>
      <c r="C1714" s="1341" t="s">
        <v>2903</v>
      </c>
      <c r="D1714" s="1310">
        <v>689.00769500000001</v>
      </c>
    </row>
    <row r="1715" spans="2:4" x14ac:dyDescent="0.2">
      <c r="B1715" s="1341">
        <v>1979</v>
      </c>
      <c r="C1715" s="1341" t="s">
        <v>2904</v>
      </c>
      <c r="D1715" s="1310">
        <v>688.06001000000003</v>
      </c>
    </row>
    <row r="1716" spans="2:4" x14ac:dyDescent="0.2">
      <c r="B1716" s="1341">
        <v>1980</v>
      </c>
      <c r="C1716" s="1341" t="s">
        <v>2905</v>
      </c>
      <c r="D1716" s="1310">
        <v>685.77499399999999</v>
      </c>
    </row>
    <row r="1717" spans="2:4" x14ac:dyDescent="0.2">
      <c r="B1717" s="1341">
        <v>1981</v>
      </c>
      <c r="C1717" s="1341" t="s">
        <v>2906</v>
      </c>
      <c r="D1717" s="1310">
        <v>703.17498799999998</v>
      </c>
    </row>
    <row r="1718" spans="2:4" x14ac:dyDescent="0.2">
      <c r="B1718" s="1341">
        <v>1982</v>
      </c>
      <c r="C1718" s="1341" t="s">
        <v>2907</v>
      </c>
      <c r="D1718" s="1310">
        <v>691.46667500000001</v>
      </c>
    </row>
    <row r="1719" spans="2:4" x14ac:dyDescent="0.2">
      <c r="B1719" s="1341">
        <v>1983</v>
      </c>
      <c r="C1719" s="1341" t="s">
        <v>2908</v>
      </c>
      <c r="D1719" s="1310">
        <v>663.625</v>
      </c>
    </row>
    <row r="1720" spans="2:4" x14ac:dyDescent="0.2">
      <c r="B1720" s="1341">
        <v>1984</v>
      </c>
      <c r="C1720" s="1341" t="s">
        <v>2909</v>
      </c>
      <c r="D1720" s="1310">
        <v>910.60001199999999</v>
      </c>
    </row>
    <row r="1721" spans="2:4" x14ac:dyDescent="0.2">
      <c r="B1721" s="1341">
        <v>1985</v>
      </c>
      <c r="C1721" s="1341" t="s">
        <v>2910</v>
      </c>
      <c r="D1721" s="1310">
        <v>887.54499499999997</v>
      </c>
    </row>
    <row r="1722" spans="2:4" x14ac:dyDescent="0.2">
      <c r="B1722" s="1341">
        <v>1986</v>
      </c>
      <c r="C1722" s="1341" t="s">
        <v>2911</v>
      </c>
      <c r="D1722" s="1310">
        <v>879.48333200000002</v>
      </c>
    </row>
    <row r="1723" spans="2:4" x14ac:dyDescent="0.2">
      <c r="B1723" s="1341">
        <v>2001</v>
      </c>
      <c r="C1723" s="1341" t="s">
        <v>2912</v>
      </c>
      <c r="D1723" s="1310">
        <v>701.76153599999998</v>
      </c>
    </row>
    <row r="1724" spans="2:4" x14ac:dyDescent="0.2">
      <c r="B1724" s="1341">
        <v>2002</v>
      </c>
      <c r="C1724" s="1341" t="s">
        <v>2913</v>
      </c>
      <c r="D1724" s="1310">
        <v>675.71110699999997</v>
      </c>
    </row>
    <row r="1725" spans="2:4" x14ac:dyDescent="0.2">
      <c r="B1725" s="1341">
        <v>2003</v>
      </c>
      <c r="C1725" s="1341" t="s">
        <v>2570</v>
      </c>
      <c r="D1725" s="1310">
        <v>695.59997599999997</v>
      </c>
    </row>
    <row r="1726" spans="2:4" x14ac:dyDescent="0.2">
      <c r="B1726" s="1341">
        <v>2004</v>
      </c>
      <c r="C1726" s="1341" t="s">
        <v>2914</v>
      </c>
      <c r="D1726" s="1310">
        <v>694.32857000000001</v>
      </c>
    </row>
    <row r="1727" spans="2:4" x14ac:dyDescent="0.2">
      <c r="B1727" s="1341">
        <v>2005</v>
      </c>
      <c r="C1727" s="1341" t="s">
        <v>2915</v>
      </c>
      <c r="D1727" s="1310">
        <v>681.33333300000004</v>
      </c>
    </row>
    <row r="1728" spans="2:4" x14ac:dyDescent="0.2">
      <c r="B1728" s="1341">
        <v>2006</v>
      </c>
      <c r="C1728" s="1341" t="s">
        <v>2916</v>
      </c>
      <c r="D1728" s="1310">
        <v>675.22000700000001</v>
      </c>
    </row>
    <row r="1729" spans="2:4" x14ac:dyDescent="0.2">
      <c r="B1729" s="1341">
        <v>2007</v>
      </c>
      <c r="C1729" s="1341" t="s">
        <v>1368</v>
      </c>
      <c r="D1729" s="1310">
        <v>708.35000600000001</v>
      </c>
    </row>
    <row r="1730" spans="2:4" x14ac:dyDescent="0.2">
      <c r="B1730" s="1341">
        <v>2008</v>
      </c>
      <c r="C1730" s="1341" t="s">
        <v>2917</v>
      </c>
      <c r="D1730" s="1310">
        <v>660.81667100000004</v>
      </c>
    </row>
    <row r="1731" spans="2:4" x14ac:dyDescent="0.2">
      <c r="B1731" s="1341">
        <v>2009</v>
      </c>
      <c r="C1731" s="1341" t="s">
        <v>2918</v>
      </c>
      <c r="D1731" s="1310">
        <v>704.32499700000005</v>
      </c>
    </row>
    <row r="1732" spans="2:4" x14ac:dyDescent="0.2">
      <c r="B1732" s="1341">
        <v>2010</v>
      </c>
      <c r="C1732" s="1341" t="s">
        <v>2919</v>
      </c>
      <c r="D1732" s="1310">
        <v>685.40002400000003</v>
      </c>
    </row>
    <row r="1733" spans="2:4" x14ac:dyDescent="0.2">
      <c r="B1733" s="1341">
        <v>2011</v>
      </c>
      <c r="C1733" s="1341" t="s">
        <v>2920</v>
      </c>
      <c r="D1733" s="1310">
        <v>723.30001800000002</v>
      </c>
    </row>
    <row r="1734" spans="2:4" x14ac:dyDescent="0.2">
      <c r="B1734" s="1341">
        <v>2012</v>
      </c>
      <c r="C1734" s="1341" t="s">
        <v>2830</v>
      </c>
      <c r="D1734" s="1310">
        <v>683.40000399999997</v>
      </c>
    </row>
    <row r="1735" spans="2:4" x14ac:dyDescent="0.2">
      <c r="B1735" s="1341">
        <v>2013</v>
      </c>
      <c r="C1735" s="1341" t="s">
        <v>2921</v>
      </c>
      <c r="D1735" s="1310">
        <v>665.45715299999995</v>
      </c>
    </row>
    <row r="1736" spans="2:4" x14ac:dyDescent="0.2">
      <c r="B1736" s="1341">
        <v>2014</v>
      </c>
      <c r="C1736" s="1341" t="s">
        <v>2922</v>
      </c>
      <c r="D1736" s="1310">
        <v>729.52499399999999</v>
      </c>
    </row>
    <row r="1737" spans="2:4" x14ac:dyDescent="0.2">
      <c r="B1737" s="1341">
        <v>2015</v>
      </c>
      <c r="C1737" s="1341" t="s">
        <v>2923</v>
      </c>
      <c r="D1737" s="1310">
        <v>721.77500899999995</v>
      </c>
    </row>
    <row r="1738" spans="2:4" x14ac:dyDescent="0.2">
      <c r="B1738" s="1341">
        <v>2016</v>
      </c>
      <c r="C1738" s="1341" t="s">
        <v>2821</v>
      </c>
      <c r="D1738" s="1310">
        <v>620.10000600000001</v>
      </c>
    </row>
    <row r="1739" spans="2:4" x14ac:dyDescent="0.2">
      <c r="B1739" s="1341">
        <v>2017</v>
      </c>
      <c r="C1739" s="1341" t="s">
        <v>2924</v>
      </c>
      <c r="D1739" s="1310">
        <v>738.20001200000002</v>
      </c>
    </row>
    <row r="1740" spans="2:4" x14ac:dyDescent="0.2">
      <c r="B1740" s="1341">
        <v>2018</v>
      </c>
      <c r="C1740" s="1341" t="s">
        <v>2925</v>
      </c>
      <c r="D1740" s="1310">
        <v>723.36665900000003</v>
      </c>
    </row>
    <row r="1741" spans="2:4" x14ac:dyDescent="0.2">
      <c r="B1741" s="1341">
        <v>2019</v>
      </c>
      <c r="C1741" s="1341" t="s">
        <v>2926</v>
      </c>
      <c r="D1741" s="1310">
        <v>717.22500600000001</v>
      </c>
    </row>
    <row r="1742" spans="2:4" x14ac:dyDescent="0.2">
      <c r="B1742" s="1341">
        <v>2020</v>
      </c>
      <c r="C1742" s="1341" t="s">
        <v>2927</v>
      </c>
      <c r="D1742" s="1310">
        <v>794.26667299999997</v>
      </c>
    </row>
    <row r="1743" spans="2:4" x14ac:dyDescent="0.2">
      <c r="B1743" s="1341">
        <v>2021</v>
      </c>
      <c r="C1743" s="1341" t="s">
        <v>2928</v>
      </c>
      <c r="D1743" s="1310">
        <v>734.14000199999998</v>
      </c>
    </row>
    <row r="1744" spans="2:4" x14ac:dyDescent="0.2">
      <c r="B1744" s="1341">
        <v>2022</v>
      </c>
      <c r="C1744" s="1341" t="s">
        <v>2929</v>
      </c>
      <c r="D1744" s="1310">
        <v>729.07500500000003</v>
      </c>
    </row>
    <row r="1745" spans="2:4" x14ac:dyDescent="0.2">
      <c r="B1745" s="1341">
        <v>2023</v>
      </c>
      <c r="C1745" s="1341" t="s">
        <v>2930</v>
      </c>
      <c r="D1745" s="1310">
        <v>807.17500299999995</v>
      </c>
    </row>
    <row r="1746" spans="2:4" x14ac:dyDescent="0.2">
      <c r="B1746" s="1341">
        <v>2024</v>
      </c>
      <c r="C1746" s="1341" t="s">
        <v>2931</v>
      </c>
      <c r="D1746" s="1310">
        <v>777.66665999999998</v>
      </c>
    </row>
    <row r="1747" spans="2:4" x14ac:dyDescent="0.2">
      <c r="B1747" s="1341">
        <v>2025</v>
      </c>
      <c r="C1747" s="1341" t="s">
        <v>2932</v>
      </c>
      <c r="D1747" s="1310">
        <v>848.88000499999998</v>
      </c>
    </row>
    <row r="1748" spans="2:4" x14ac:dyDescent="0.2">
      <c r="B1748" s="1341">
        <v>2027</v>
      </c>
      <c r="C1748" s="1341" t="s">
        <v>2933</v>
      </c>
      <c r="D1748" s="1310">
        <v>663.26316399999996</v>
      </c>
    </row>
    <row r="1749" spans="2:4" x14ac:dyDescent="0.2">
      <c r="B1749" s="1341">
        <v>2028</v>
      </c>
      <c r="C1749" s="1341" t="s">
        <v>2934</v>
      </c>
      <c r="D1749" s="1310">
        <v>630.50666100000001</v>
      </c>
    </row>
    <row r="1750" spans="2:4" x14ac:dyDescent="0.2">
      <c r="B1750" s="1341">
        <v>2029</v>
      </c>
      <c r="C1750" s="1341" t="s">
        <v>2935</v>
      </c>
      <c r="D1750" s="1310">
        <v>639.64998800000001</v>
      </c>
    </row>
    <row r="1751" spans="2:4" x14ac:dyDescent="0.2">
      <c r="B1751" s="1341">
        <v>2030</v>
      </c>
      <c r="C1751" s="1341" t="s">
        <v>2936</v>
      </c>
      <c r="D1751" s="1310">
        <v>916.15000899999995</v>
      </c>
    </row>
    <row r="1752" spans="2:4" x14ac:dyDescent="0.2">
      <c r="B1752" s="1341">
        <v>2031</v>
      </c>
      <c r="C1752" s="1341" t="s">
        <v>2937</v>
      </c>
      <c r="D1752" s="1310">
        <v>715.52856399999996</v>
      </c>
    </row>
    <row r="1753" spans="2:4" x14ac:dyDescent="0.2">
      <c r="B1753" s="1341">
        <v>2032</v>
      </c>
      <c r="C1753" s="1341" t="s">
        <v>2938</v>
      </c>
      <c r="D1753" s="1310">
        <v>703.17776800000001</v>
      </c>
    </row>
    <row r="1754" spans="2:4" x14ac:dyDescent="0.2">
      <c r="B1754" s="1341">
        <v>2033</v>
      </c>
      <c r="C1754" s="1341" t="s">
        <v>2939</v>
      </c>
      <c r="D1754" s="1310">
        <v>677.50000399999999</v>
      </c>
    </row>
    <row r="1755" spans="2:4" x14ac:dyDescent="0.2">
      <c r="B1755" s="1341">
        <v>2034</v>
      </c>
      <c r="C1755" s="1341" t="s">
        <v>2940</v>
      </c>
      <c r="D1755" s="1310">
        <v>729.04375800000003</v>
      </c>
    </row>
    <row r="1756" spans="2:4" x14ac:dyDescent="0.2">
      <c r="B1756" s="1341">
        <v>2035</v>
      </c>
      <c r="C1756" s="1341" t="s">
        <v>2941</v>
      </c>
      <c r="D1756" s="1310">
        <v>643.95001200000002</v>
      </c>
    </row>
    <row r="1757" spans="2:4" x14ac:dyDescent="0.2">
      <c r="B1757" s="1341">
        <v>2036</v>
      </c>
      <c r="C1757" s="1341" t="s">
        <v>2942</v>
      </c>
      <c r="D1757" s="1310">
        <v>662.20001200000002</v>
      </c>
    </row>
    <row r="1758" spans="2:4" x14ac:dyDescent="0.2">
      <c r="B1758" s="1341">
        <v>2037</v>
      </c>
      <c r="C1758" s="1341" t="s">
        <v>2943</v>
      </c>
      <c r="D1758" s="1310">
        <v>637.40002400000003</v>
      </c>
    </row>
    <row r="1759" spans="2:4" x14ac:dyDescent="0.2">
      <c r="B1759" s="1341">
        <v>2038</v>
      </c>
      <c r="C1759" s="1341" t="s">
        <v>2944</v>
      </c>
      <c r="D1759" s="1310">
        <v>673.19166099999995</v>
      </c>
    </row>
    <row r="1760" spans="2:4" x14ac:dyDescent="0.2">
      <c r="B1760" s="1341">
        <v>2039</v>
      </c>
      <c r="C1760" s="1341" t="s">
        <v>2945</v>
      </c>
      <c r="D1760" s="1310">
        <v>632.86665900000003</v>
      </c>
    </row>
    <row r="1761" spans="2:4" x14ac:dyDescent="0.2">
      <c r="B1761" s="1341">
        <v>2040</v>
      </c>
      <c r="C1761" s="1341" t="s">
        <v>2946</v>
      </c>
      <c r="D1761" s="1310">
        <v>611.79998799999998</v>
      </c>
    </row>
    <row r="1762" spans="2:4" x14ac:dyDescent="0.2">
      <c r="B1762" s="1341">
        <v>2041</v>
      </c>
      <c r="C1762" s="1341" t="s">
        <v>2947</v>
      </c>
      <c r="D1762" s="1310">
        <v>563.70001200000002</v>
      </c>
    </row>
    <row r="1763" spans="2:4" x14ac:dyDescent="0.2">
      <c r="B1763" s="1341">
        <v>2042</v>
      </c>
      <c r="C1763" s="1341" t="s">
        <v>2948</v>
      </c>
      <c r="D1763" s="1310">
        <v>563.42501800000002</v>
      </c>
    </row>
    <row r="1764" spans="2:4" x14ac:dyDescent="0.2">
      <c r="B1764" s="1341">
        <v>2043</v>
      </c>
      <c r="C1764" s="1341" t="s">
        <v>2949</v>
      </c>
      <c r="D1764" s="1310">
        <v>637.06666099999995</v>
      </c>
    </row>
    <row r="1765" spans="2:4" x14ac:dyDescent="0.2">
      <c r="B1765" s="1341">
        <v>2044</v>
      </c>
      <c r="C1765" s="1341" t="s">
        <v>2950</v>
      </c>
      <c r="D1765" s="1310">
        <v>677.32000700000003</v>
      </c>
    </row>
    <row r="1766" spans="2:4" x14ac:dyDescent="0.2">
      <c r="B1766" s="1341">
        <v>2045</v>
      </c>
      <c r="C1766" s="1341" t="s">
        <v>2951</v>
      </c>
      <c r="D1766" s="1310">
        <v>648.50588500000003</v>
      </c>
    </row>
    <row r="1767" spans="2:4" x14ac:dyDescent="0.2">
      <c r="B1767" s="1341">
        <v>2046</v>
      </c>
      <c r="C1767" s="1341" t="s">
        <v>2952</v>
      </c>
      <c r="D1767" s="1310">
        <v>912.01304000000005</v>
      </c>
    </row>
    <row r="1768" spans="2:4" x14ac:dyDescent="0.2">
      <c r="B1768" s="1341">
        <v>2047</v>
      </c>
      <c r="C1768" s="1341" t="s">
        <v>2953</v>
      </c>
      <c r="D1768" s="1310">
        <v>935.71111399999995</v>
      </c>
    </row>
    <row r="1769" spans="2:4" x14ac:dyDescent="0.2">
      <c r="B1769" s="1341">
        <v>2048</v>
      </c>
      <c r="C1769" s="1341" t="s">
        <v>2954</v>
      </c>
      <c r="D1769" s="1310">
        <v>902.66000399999996</v>
      </c>
    </row>
    <row r="1770" spans="2:4" x14ac:dyDescent="0.2">
      <c r="B1770" s="1341">
        <v>2049</v>
      </c>
      <c r="C1770" s="1341" t="s">
        <v>2955</v>
      </c>
      <c r="D1770" s="1310">
        <v>775.49998800000003</v>
      </c>
    </row>
    <row r="1771" spans="2:4" x14ac:dyDescent="0.2">
      <c r="B1771" s="1341">
        <v>2050</v>
      </c>
      <c r="C1771" s="1341" t="s">
        <v>2956</v>
      </c>
      <c r="D1771" s="1310">
        <v>840.59997599999997</v>
      </c>
    </row>
    <row r="1772" spans="2:4" x14ac:dyDescent="0.2">
      <c r="B1772" s="1341">
        <v>2051</v>
      </c>
      <c r="C1772" s="1341" t="s">
        <v>2957</v>
      </c>
      <c r="D1772" s="1310">
        <v>787.49998000000005</v>
      </c>
    </row>
    <row r="1773" spans="2:4" x14ac:dyDescent="0.2">
      <c r="B1773" s="1341">
        <v>2052</v>
      </c>
      <c r="C1773" s="1341" t="s">
        <v>2958</v>
      </c>
      <c r="D1773" s="1310">
        <v>809.85833200000002</v>
      </c>
    </row>
    <row r="1774" spans="2:4" x14ac:dyDescent="0.2">
      <c r="B1774" s="1341">
        <v>2053</v>
      </c>
      <c r="C1774" s="1341" t="s">
        <v>2959</v>
      </c>
      <c r="D1774" s="1310">
        <v>688.32857000000001</v>
      </c>
    </row>
    <row r="1775" spans="2:4" x14ac:dyDescent="0.2">
      <c r="B1775" s="1341">
        <v>2054</v>
      </c>
      <c r="C1775" s="1341" t="s">
        <v>2960</v>
      </c>
      <c r="D1775" s="1310">
        <v>701.82999299999994</v>
      </c>
    </row>
    <row r="1776" spans="2:4" x14ac:dyDescent="0.2">
      <c r="B1776" s="1341">
        <v>2055</v>
      </c>
      <c r="C1776" s="1341" t="s">
        <v>2961</v>
      </c>
      <c r="D1776" s="1310">
        <v>658.13334099999997</v>
      </c>
    </row>
    <row r="1777" spans="2:4" x14ac:dyDescent="0.2">
      <c r="B1777" s="1341">
        <v>2056</v>
      </c>
      <c r="C1777" s="1341" t="s">
        <v>2962</v>
      </c>
      <c r="D1777" s="1310">
        <v>1069.392857</v>
      </c>
    </row>
    <row r="1778" spans="2:4" x14ac:dyDescent="0.2">
      <c r="B1778" s="1341">
        <v>2057</v>
      </c>
      <c r="C1778" s="1341" t="s">
        <v>2963</v>
      </c>
      <c r="D1778" s="1310">
        <v>1031.5500179999999</v>
      </c>
    </row>
    <row r="1779" spans="2:4" x14ac:dyDescent="0.2">
      <c r="B1779" s="1341">
        <v>2058</v>
      </c>
      <c r="C1779" s="1341" t="s">
        <v>2964</v>
      </c>
      <c r="D1779" s="1310">
        <v>1031.355564</v>
      </c>
    </row>
    <row r="1780" spans="2:4" x14ac:dyDescent="0.2">
      <c r="B1780" s="1341">
        <v>2059</v>
      </c>
      <c r="C1780" s="1341" t="s">
        <v>2965</v>
      </c>
      <c r="D1780" s="1310">
        <v>1067.500041</v>
      </c>
    </row>
    <row r="1781" spans="2:4" x14ac:dyDescent="0.2">
      <c r="B1781" s="1341">
        <v>2060</v>
      </c>
      <c r="C1781" s="1341" t="s">
        <v>2966</v>
      </c>
      <c r="D1781" s="1310">
        <v>959.17332799999997</v>
      </c>
    </row>
    <row r="1782" spans="2:4" x14ac:dyDescent="0.2">
      <c r="B1782" s="1341">
        <v>2061</v>
      </c>
      <c r="C1782" s="1341" t="s">
        <v>2967</v>
      </c>
      <c r="D1782" s="1310">
        <v>909.53636600000004</v>
      </c>
    </row>
    <row r="1783" spans="2:4" x14ac:dyDescent="0.2">
      <c r="B1783" s="1341">
        <v>2062</v>
      </c>
      <c r="C1783" s="1341" t="s">
        <v>2968</v>
      </c>
      <c r="D1783" s="1310">
        <v>924.75</v>
      </c>
    </row>
    <row r="1784" spans="2:4" x14ac:dyDescent="0.2">
      <c r="B1784" s="1341">
        <v>2063</v>
      </c>
      <c r="C1784" s="1341" t="s">
        <v>2969</v>
      </c>
      <c r="D1784" s="1310">
        <v>848.64443000000006</v>
      </c>
    </row>
    <row r="1785" spans="2:4" x14ac:dyDescent="0.2">
      <c r="B1785" s="1341">
        <v>2064</v>
      </c>
      <c r="C1785" s="1341" t="s">
        <v>2970</v>
      </c>
      <c r="D1785" s="1310">
        <v>927.52500899999995</v>
      </c>
    </row>
    <row r="1786" spans="2:4" x14ac:dyDescent="0.2">
      <c r="B1786" s="1341">
        <v>2065</v>
      </c>
      <c r="C1786" s="1341" t="s">
        <v>2971</v>
      </c>
      <c r="D1786" s="1310">
        <v>755.88748899999996</v>
      </c>
    </row>
    <row r="1787" spans="2:4" x14ac:dyDescent="0.2">
      <c r="B1787" s="1341">
        <v>2066</v>
      </c>
      <c r="C1787" s="1341" t="s">
        <v>2634</v>
      </c>
      <c r="D1787" s="1310">
        <v>785.67500299999995</v>
      </c>
    </row>
    <row r="1788" spans="2:4" x14ac:dyDescent="0.2">
      <c r="B1788" s="1341">
        <v>2067</v>
      </c>
      <c r="C1788" s="1341" t="s">
        <v>2972</v>
      </c>
      <c r="D1788" s="1310">
        <v>851.18000500000005</v>
      </c>
    </row>
    <row r="1789" spans="2:4" x14ac:dyDescent="0.2">
      <c r="B1789" s="1341">
        <v>2068</v>
      </c>
      <c r="C1789" s="1341" t="s">
        <v>2973</v>
      </c>
      <c r="D1789" s="1310">
        <v>789.43572099999994</v>
      </c>
    </row>
    <row r="1790" spans="2:4" x14ac:dyDescent="0.2">
      <c r="B1790" s="1341">
        <v>2069</v>
      </c>
      <c r="C1790" s="1341" t="s">
        <v>2974</v>
      </c>
      <c r="D1790" s="1310">
        <v>740.10000400000001</v>
      </c>
    </row>
    <row r="1791" spans="2:4" x14ac:dyDescent="0.2">
      <c r="B1791" s="1341">
        <v>2070</v>
      </c>
      <c r="C1791" s="1341" t="s">
        <v>2975</v>
      </c>
      <c r="D1791" s="1310">
        <v>738.411112</v>
      </c>
    </row>
    <row r="1792" spans="2:4" x14ac:dyDescent="0.2">
      <c r="B1792" s="1341">
        <v>2071</v>
      </c>
      <c r="C1792" s="1341" t="s">
        <v>2098</v>
      </c>
      <c r="D1792" s="1310">
        <v>818.50001999999995</v>
      </c>
    </row>
    <row r="1793" spans="2:4" x14ac:dyDescent="0.2">
      <c r="B1793" s="1341">
        <v>2072</v>
      </c>
      <c r="C1793" s="1341" t="s">
        <v>2976</v>
      </c>
      <c r="D1793" s="1310">
        <v>662.59997599999997</v>
      </c>
    </row>
    <row r="1794" spans="2:4" x14ac:dyDescent="0.2">
      <c r="B1794" s="1341">
        <v>2073</v>
      </c>
      <c r="C1794" s="1341" t="s">
        <v>2977</v>
      </c>
      <c r="D1794" s="1310">
        <v>653</v>
      </c>
    </row>
    <row r="1795" spans="2:4" x14ac:dyDescent="0.2">
      <c r="B1795" s="1341">
        <v>2074</v>
      </c>
      <c r="C1795" s="1341" t="s">
        <v>2978</v>
      </c>
      <c r="D1795" s="1310">
        <v>606.73333700000001</v>
      </c>
    </row>
    <row r="1796" spans="2:4" x14ac:dyDescent="0.2">
      <c r="B1796" s="1341">
        <v>2075</v>
      </c>
      <c r="C1796" s="1341" t="s">
        <v>2979</v>
      </c>
      <c r="D1796" s="1310">
        <v>673.38334099999997</v>
      </c>
    </row>
    <row r="1797" spans="2:4" x14ac:dyDescent="0.2">
      <c r="B1797" s="1341">
        <v>2076</v>
      </c>
      <c r="C1797" s="1341" t="s">
        <v>2980</v>
      </c>
      <c r="D1797" s="1310">
        <v>660.26249700000005</v>
      </c>
    </row>
    <row r="1798" spans="2:4" x14ac:dyDescent="0.2">
      <c r="B1798" s="1341">
        <v>2077</v>
      </c>
      <c r="C1798" s="1341" t="s">
        <v>2981</v>
      </c>
      <c r="D1798" s="1310">
        <v>668.54999499999997</v>
      </c>
    </row>
    <row r="1799" spans="2:4" x14ac:dyDescent="0.2">
      <c r="B1799" s="1341">
        <v>2078</v>
      </c>
      <c r="C1799" s="1341" t="s">
        <v>2982</v>
      </c>
      <c r="D1799" s="1310">
        <v>730.240002</v>
      </c>
    </row>
    <row r="1800" spans="2:4" x14ac:dyDescent="0.2">
      <c r="B1800" s="1341">
        <v>2079</v>
      </c>
      <c r="C1800" s="1341" t="s">
        <v>2983</v>
      </c>
      <c r="D1800" s="1310">
        <v>715.13334099999997</v>
      </c>
    </row>
    <row r="1801" spans="2:4" x14ac:dyDescent="0.2">
      <c r="B1801" s="1341">
        <v>2080</v>
      </c>
      <c r="C1801" s="1341" t="s">
        <v>2984</v>
      </c>
      <c r="D1801" s="1310">
        <v>694.36667899999998</v>
      </c>
    </row>
    <row r="1802" spans="2:4" x14ac:dyDescent="0.2">
      <c r="B1802" s="1341">
        <v>2081</v>
      </c>
      <c r="C1802" s="1341" t="s">
        <v>2985</v>
      </c>
      <c r="D1802" s="1310">
        <v>742.19999199999995</v>
      </c>
    </row>
    <row r="1803" spans="2:4" x14ac:dyDescent="0.2">
      <c r="B1803" s="1341">
        <v>2082</v>
      </c>
      <c r="C1803" s="1341" t="s">
        <v>2986</v>
      </c>
      <c r="D1803" s="1310">
        <v>739.90002400000003</v>
      </c>
    </row>
    <row r="1804" spans="2:4" x14ac:dyDescent="0.2">
      <c r="B1804" s="1341">
        <v>2083</v>
      </c>
      <c r="C1804" s="1341" t="s">
        <v>2987</v>
      </c>
      <c r="D1804" s="1310">
        <v>729.70000300000004</v>
      </c>
    </row>
    <row r="1805" spans="2:4" x14ac:dyDescent="0.2">
      <c r="B1805" s="1341">
        <v>2084</v>
      </c>
      <c r="C1805" s="1341" t="s">
        <v>2988</v>
      </c>
      <c r="D1805" s="1310">
        <v>732.177775</v>
      </c>
    </row>
    <row r="1806" spans="2:4" x14ac:dyDescent="0.2">
      <c r="B1806" s="1341">
        <v>2085</v>
      </c>
      <c r="C1806" s="1341" t="s">
        <v>2989</v>
      </c>
      <c r="D1806" s="1310">
        <v>691.40002400000003</v>
      </c>
    </row>
    <row r="1807" spans="2:4" x14ac:dyDescent="0.2">
      <c r="B1807" s="1341">
        <v>2087</v>
      </c>
      <c r="C1807" s="1341" t="s">
        <v>2990</v>
      </c>
      <c r="D1807" s="1310">
        <v>769.5</v>
      </c>
    </row>
    <row r="1808" spans="2:4" x14ac:dyDescent="0.2">
      <c r="B1808" s="1341">
        <v>2088</v>
      </c>
      <c r="C1808" s="1341" t="s">
        <v>2991</v>
      </c>
      <c r="D1808" s="1310">
        <v>714.57499700000005</v>
      </c>
    </row>
    <row r="1809" spans="2:4" x14ac:dyDescent="0.2">
      <c r="B1809" s="1341">
        <v>2096</v>
      </c>
      <c r="C1809" s="1341" t="s">
        <v>2992</v>
      </c>
      <c r="D1809" s="1310">
        <v>668.59997599999997</v>
      </c>
    </row>
    <row r="1810" spans="2:4" x14ac:dyDescent="0.2">
      <c r="B1810" s="1341">
        <v>2101</v>
      </c>
      <c r="C1810" s="1341" t="s">
        <v>2993</v>
      </c>
      <c r="D1810" s="1310">
        <v>664.80000800000005</v>
      </c>
    </row>
    <row r="1811" spans="2:4" x14ac:dyDescent="0.2">
      <c r="B1811" s="1341">
        <v>2102</v>
      </c>
      <c r="C1811" s="1341" t="s">
        <v>2994</v>
      </c>
      <c r="D1811" s="1310">
        <v>630.55000299999995</v>
      </c>
    </row>
    <row r="1812" spans="2:4" x14ac:dyDescent="0.2">
      <c r="B1812" s="1341">
        <v>2103</v>
      </c>
      <c r="C1812" s="1341" t="s">
        <v>2995</v>
      </c>
      <c r="D1812" s="1310">
        <v>628.99998500000004</v>
      </c>
    </row>
    <row r="1813" spans="2:4" x14ac:dyDescent="0.2">
      <c r="B1813" s="1341">
        <v>2104</v>
      </c>
      <c r="C1813" s="1341" t="s">
        <v>2996</v>
      </c>
      <c r="D1813" s="1310">
        <v>694.14999399999999</v>
      </c>
    </row>
    <row r="1814" spans="2:4" x14ac:dyDescent="0.2">
      <c r="B1814" s="1341">
        <v>2105</v>
      </c>
      <c r="C1814" s="1341" t="s">
        <v>2997</v>
      </c>
      <c r="D1814" s="1310">
        <v>615.03332499999999</v>
      </c>
    </row>
    <row r="1815" spans="2:4" x14ac:dyDescent="0.2">
      <c r="B1815" s="1341">
        <v>2106</v>
      </c>
      <c r="C1815" s="1341" t="s">
        <v>2998</v>
      </c>
      <c r="D1815" s="1310">
        <v>627.20000600000003</v>
      </c>
    </row>
    <row r="1816" spans="2:4" x14ac:dyDescent="0.2">
      <c r="B1816" s="1341">
        <v>2107</v>
      </c>
      <c r="C1816" s="1341" t="s">
        <v>2999</v>
      </c>
      <c r="D1816" s="1310">
        <v>643.02500899999995</v>
      </c>
    </row>
    <row r="1817" spans="2:4" x14ac:dyDescent="0.2">
      <c r="B1817" s="1341">
        <v>2108</v>
      </c>
      <c r="C1817" s="1341" t="s">
        <v>3000</v>
      </c>
      <c r="D1817" s="1310">
        <v>641.9375</v>
      </c>
    </row>
    <row r="1818" spans="2:4" x14ac:dyDescent="0.2">
      <c r="B1818" s="1341">
        <v>2109</v>
      </c>
      <c r="C1818" s="1341" t="s">
        <v>411</v>
      </c>
      <c r="D1818" s="1310">
        <v>616.475864</v>
      </c>
    </row>
    <row r="1819" spans="2:4" x14ac:dyDescent="0.2">
      <c r="B1819" s="1341">
        <v>2110</v>
      </c>
      <c r="C1819" s="1341" t="s">
        <v>3001</v>
      </c>
      <c r="D1819" s="1310">
        <v>622.54545499999995</v>
      </c>
    </row>
    <row r="1820" spans="2:4" x14ac:dyDescent="0.2">
      <c r="B1820" s="1341">
        <v>2111</v>
      </c>
      <c r="C1820" s="1341" t="s">
        <v>1967</v>
      </c>
      <c r="D1820" s="1310">
        <v>620.63332600000001</v>
      </c>
    </row>
    <row r="1821" spans="2:4" x14ac:dyDescent="0.2">
      <c r="B1821" s="1341">
        <v>2112</v>
      </c>
      <c r="C1821" s="1341" t="s">
        <v>3002</v>
      </c>
      <c r="D1821" s="1310">
        <v>641</v>
      </c>
    </row>
    <row r="1822" spans="2:4" x14ac:dyDescent="0.2">
      <c r="B1822" s="1341">
        <v>2113</v>
      </c>
      <c r="C1822" s="1341" t="s">
        <v>1802</v>
      </c>
      <c r="D1822" s="1310">
        <v>640.91666699999996</v>
      </c>
    </row>
    <row r="1823" spans="2:4" x14ac:dyDescent="0.2">
      <c r="B1823" s="1341">
        <v>2114</v>
      </c>
      <c r="C1823" s="1341" t="s">
        <v>3003</v>
      </c>
      <c r="D1823" s="1310">
        <v>627.76248899999996</v>
      </c>
    </row>
    <row r="1824" spans="2:4" x14ac:dyDescent="0.2">
      <c r="B1824" s="1341">
        <v>2115</v>
      </c>
      <c r="C1824" s="1341" t="s">
        <v>3004</v>
      </c>
      <c r="D1824" s="1310">
        <v>632.66665999999998</v>
      </c>
    </row>
    <row r="1825" spans="2:4" x14ac:dyDescent="0.2">
      <c r="B1825" s="1341">
        <v>2116</v>
      </c>
      <c r="C1825" s="1341" t="s">
        <v>3005</v>
      </c>
      <c r="D1825" s="1310">
        <v>768.49999100000002</v>
      </c>
    </row>
    <row r="1826" spans="2:4" x14ac:dyDescent="0.2">
      <c r="B1826" s="1341">
        <v>2117</v>
      </c>
      <c r="C1826" s="1341" t="s">
        <v>3006</v>
      </c>
      <c r="D1826" s="1310">
        <v>690.60001599999998</v>
      </c>
    </row>
    <row r="1827" spans="2:4" x14ac:dyDescent="0.2">
      <c r="B1827" s="1341">
        <v>2118</v>
      </c>
      <c r="C1827" s="1341" t="s">
        <v>3007</v>
      </c>
      <c r="D1827" s="1310">
        <v>714.20999800000004</v>
      </c>
    </row>
    <row r="1828" spans="2:4" x14ac:dyDescent="0.2">
      <c r="B1828" s="1341">
        <v>2119</v>
      </c>
      <c r="C1828" s="1341" t="s">
        <v>3008</v>
      </c>
      <c r="D1828" s="1310">
        <v>613.88750500000003</v>
      </c>
    </row>
    <row r="1829" spans="2:4" x14ac:dyDescent="0.2">
      <c r="B1829" s="1341">
        <v>2120</v>
      </c>
      <c r="C1829" s="1341" t="s">
        <v>1477</v>
      </c>
      <c r="D1829" s="1310">
        <v>605.38572499999998</v>
      </c>
    </row>
    <row r="1830" spans="2:4" x14ac:dyDescent="0.2">
      <c r="B1830" s="1341">
        <v>2121</v>
      </c>
      <c r="C1830" s="1341" t="s">
        <v>3009</v>
      </c>
      <c r="D1830" s="1310">
        <v>652.14000199999998</v>
      </c>
    </row>
    <row r="1831" spans="2:4" x14ac:dyDescent="0.2">
      <c r="B1831" s="1341">
        <v>2122</v>
      </c>
      <c r="C1831" s="1341" t="s">
        <v>3010</v>
      </c>
      <c r="D1831" s="1310">
        <v>821.34001499999999</v>
      </c>
    </row>
    <row r="1832" spans="2:4" x14ac:dyDescent="0.2">
      <c r="B1832" s="1341">
        <v>2123</v>
      </c>
      <c r="C1832" s="1341" t="s">
        <v>1939</v>
      </c>
      <c r="D1832" s="1310">
        <v>723.78235199999995</v>
      </c>
    </row>
    <row r="1833" spans="2:4" x14ac:dyDescent="0.2">
      <c r="B1833" s="1341">
        <v>2124</v>
      </c>
      <c r="C1833" s="1341" t="s">
        <v>2878</v>
      </c>
      <c r="D1833" s="1310">
        <v>625.70001200000002</v>
      </c>
    </row>
    <row r="1834" spans="2:4" x14ac:dyDescent="0.2">
      <c r="B1834" s="1341">
        <v>2125</v>
      </c>
      <c r="C1834" s="1341" t="s">
        <v>3011</v>
      </c>
      <c r="D1834" s="1310">
        <v>624.63124500000004</v>
      </c>
    </row>
    <row r="1835" spans="2:4" x14ac:dyDescent="0.2">
      <c r="B1835" s="1341">
        <v>2126</v>
      </c>
      <c r="C1835" s="1341" t="s">
        <v>3012</v>
      </c>
      <c r="D1835" s="1310">
        <v>636.32000700000003</v>
      </c>
    </row>
    <row r="1836" spans="2:4" x14ac:dyDescent="0.2">
      <c r="B1836" s="1341">
        <v>2127</v>
      </c>
      <c r="C1836" s="1341" t="s">
        <v>2248</v>
      </c>
      <c r="D1836" s="1310">
        <v>805.89999399999999</v>
      </c>
    </row>
    <row r="1837" spans="2:4" x14ac:dyDescent="0.2">
      <c r="B1837" s="1341">
        <v>2128</v>
      </c>
      <c r="C1837" s="1341" t="s">
        <v>3013</v>
      </c>
      <c r="D1837" s="1310">
        <v>685.89999399999999</v>
      </c>
    </row>
    <row r="1838" spans="2:4" x14ac:dyDescent="0.2">
      <c r="B1838" s="1341">
        <v>2129</v>
      </c>
      <c r="C1838" s="1341" t="s">
        <v>3014</v>
      </c>
      <c r="D1838" s="1310">
        <v>747.9</v>
      </c>
    </row>
    <row r="1839" spans="2:4" x14ac:dyDescent="0.2">
      <c r="B1839" s="1341">
        <v>2130</v>
      </c>
      <c r="C1839" s="1341" t="s">
        <v>3015</v>
      </c>
      <c r="D1839" s="1310">
        <v>657.03571399999998</v>
      </c>
    </row>
    <row r="1840" spans="2:4" x14ac:dyDescent="0.2">
      <c r="B1840" s="1341">
        <v>2131</v>
      </c>
      <c r="C1840" s="1341" t="s">
        <v>3016</v>
      </c>
      <c r="D1840" s="1310">
        <v>583.25</v>
      </c>
    </row>
    <row r="1841" spans="2:4" x14ac:dyDescent="0.2">
      <c r="B1841" s="1341">
        <v>2132</v>
      </c>
      <c r="C1841" s="1341" t="s">
        <v>3017</v>
      </c>
      <c r="D1841" s="1310">
        <v>666.02856399999996</v>
      </c>
    </row>
    <row r="1842" spans="2:4" x14ac:dyDescent="0.2">
      <c r="B1842" s="1341">
        <v>2133</v>
      </c>
      <c r="C1842" s="1341" t="s">
        <v>3018</v>
      </c>
      <c r="D1842" s="1310">
        <v>637.09997599999997</v>
      </c>
    </row>
    <row r="1843" spans="2:4" x14ac:dyDescent="0.2">
      <c r="B1843" s="1341">
        <v>2134</v>
      </c>
      <c r="C1843" s="1341" t="s">
        <v>3019</v>
      </c>
      <c r="D1843" s="1310">
        <v>683.85999800000002</v>
      </c>
    </row>
    <row r="1844" spans="2:4" x14ac:dyDescent="0.2">
      <c r="B1844" s="1341">
        <v>2135</v>
      </c>
      <c r="C1844" s="1341" t="s">
        <v>3020</v>
      </c>
      <c r="D1844" s="1310">
        <v>649.20001200000002</v>
      </c>
    </row>
    <row r="1845" spans="2:4" x14ac:dyDescent="0.2">
      <c r="B1845" s="1341">
        <v>2136</v>
      </c>
      <c r="C1845" s="1341" t="s">
        <v>3021</v>
      </c>
      <c r="D1845" s="1310">
        <v>650.54998799999998</v>
      </c>
    </row>
    <row r="1846" spans="2:4" x14ac:dyDescent="0.2">
      <c r="B1846" s="1341">
        <v>2137</v>
      </c>
      <c r="C1846" s="1341" t="s">
        <v>3022</v>
      </c>
      <c r="D1846" s="1310">
        <v>635.5</v>
      </c>
    </row>
    <row r="1847" spans="2:4" x14ac:dyDescent="0.2">
      <c r="B1847" s="1341">
        <v>2138</v>
      </c>
      <c r="C1847" s="1341" t="s">
        <v>3023</v>
      </c>
      <c r="D1847" s="1310">
        <v>638.74284999999998</v>
      </c>
    </row>
    <row r="1848" spans="2:4" x14ac:dyDescent="0.2">
      <c r="B1848" s="1341">
        <v>2139</v>
      </c>
      <c r="C1848" s="1341" t="s">
        <v>3024</v>
      </c>
      <c r="D1848" s="1310">
        <v>595.09997599999997</v>
      </c>
    </row>
    <row r="1849" spans="2:4" x14ac:dyDescent="0.2">
      <c r="B1849" s="1341">
        <v>2140</v>
      </c>
      <c r="C1849" s="1341" t="s">
        <v>3025</v>
      </c>
      <c r="D1849" s="1310">
        <v>768.55000299999995</v>
      </c>
    </row>
    <row r="1850" spans="2:4" x14ac:dyDescent="0.2">
      <c r="B1850" s="1341">
        <v>2141</v>
      </c>
      <c r="C1850" s="1341" t="s">
        <v>3026</v>
      </c>
      <c r="D1850" s="1310">
        <v>691.70001200000002</v>
      </c>
    </row>
    <row r="1851" spans="2:4" x14ac:dyDescent="0.2">
      <c r="B1851" s="1341">
        <v>2142</v>
      </c>
      <c r="C1851" s="1341" t="s">
        <v>3027</v>
      </c>
      <c r="D1851" s="1310">
        <v>677.30000800000005</v>
      </c>
    </row>
    <row r="1852" spans="2:4" x14ac:dyDescent="0.2">
      <c r="B1852" s="1341">
        <v>2143</v>
      </c>
      <c r="C1852" s="1341" t="s">
        <v>3028</v>
      </c>
      <c r="D1852" s="1310">
        <v>631.64999399999999</v>
      </c>
    </row>
    <row r="1853" spans="2:4" x14ac:dyDescent="0.2">
      <c r="B1853" s="1341">
        <v>2144</v>
      </c>
      <c r="C1853" s="1341" t="s">
        <v>3029</v>
      </c>
      <c r="D1853" s="1310">
        <v>613.06664999999998</v>
      </c>
    </row>
    <row r="1854" spans="2:4" x14ac:dyDescent="0.2">
      <c r="B1854" s="1341">
        <v>2145</v>
      </c>
      <c r="C1854" s="1341" t="s">
        <v>3030</v>
      </c>
      <c r="D1854" s="1310">
        <v>596.04999499999997</v>
      </c>
    </row>
    <row r="1855" spans="2:4" x14ac:dyDescent="0.2">
      <c r="B1855" s="1341">
        <v>2146</v>
      </c>
      <c r="C1855" s="1341" t="s">
        <v>3031</v>
      </c>
      <c r="D1855" s="1310">
        <v>602.883331</v>
      </c>
    </row>
    <row r="1856" spans="2:4" x14ac:dyDescent="0.2">
      <c r="B1856" s="1341">
        <v>2147</v>
      </c>
      <c r="C1856" s="1341" t="s">
        <v>3032</v>
      </c>
      <c r="D1856" s="1310">
        <v>731.74054000000001</v>
      </c>
    </row>
    <row r="1857" spans="2:4" x14ac:dyDescent="0.2">
      <c r="B1857" s="1341">
        <v>2148</v>
      </c>
      <c r="C1857" s="1341" t="s">
        <v>2059</v>
      </c>
      <c r="D1857" s="1310">
        <v>653.30000299999995</v>
      </c>
    </row>
    <row r="1858" spans="2:4" x14ac:dyDescent="0.2">
      <c r="B1858" s="1341">
        <v>2149</v>
      </c>
      <c r="C1858" s="1341" t="s">
        <v>3033</v>
      </c>
      <c r="D1858" s="1310">
        <v>643.95001200000002</v>
      </c>
    </row>
    <row r="1859" spans="2:4" x14ac:dyDescent="0.2">
      <c r="B1859" s="1341">
        <v>2150</v>
      </c>
      <c r="C1859" s="1341" t="s">
        <v>3034</v>
      </c>
      <c r="D1859" s="1310">
        <v>667.63332100000002</v>
      </c>
    </row>
    <row r="1860" spans="2:4" x14ac:dyDescent="0.2">
      <c r="B1860" s="1341">
        <v>2151</v>
      </c>
      <c r="C1860" s="1341" t="s">
        <v>3035</v>
      </c>
      <c r="D1860" s="1310">
        <v>612.59999600000003</v>
      </c>
    </row>
    <row r="1861" spans="2:4" x14ac:dyDescent="0.2">
      <c r="B1861" s="1341">
        <v>2152</v>
      </c>
      <c r="C1861" s="1341" t="s">
        <v>3036</v>
      </c>
      <c r="D1861" s="1310">
        <v>740.37999300000001</v>
      </c>
    </row>
    <row r="1862" spans="2:4" x14ac:dyDescent="0.2">
      <c r="B1862" s="1341">
        <v>2153</v>
      </c>
      <c r="C1862" s="1341" t="s">
        <v>3037</v>
      </c>
      <c r="D1862" s="1310">
        <v>613.99285899999995</v>
      </c>
    </row>
    <row r="1863" spans="2:4" x14ac:dyDescent="0.2">
      <c r="B1863" s="1341">
        <v>2154</v>
      </c>
      <c r="C1863" s="1341" t="s">
        <v>1894</v>
      </c>
      <c r="D1863" s="1310">
        <v>621.60001599999998</v>
      </c>
    </row>
    <row r="1864" spans="2:4" x14ac:dyDescent="0.2">
      <c r="B1864" s="1341">
        <v>2155</v>
      </c>
      <c r="C1864" s="1341" t="s">
        <v>3038</v>
      </c>
      <c r="D1864" s="1310">
        <v>633.32501200000002</v>
      </c>
    </row>
    <row r="1865" spans="2:4" x14ac:dyDescent="0.2">
      <c r="B1865" s="1341">
        <v>2156</v>
      </c>
      <c r="C1865" s="1341" t="s">
        <v>3039</v>
      </c>
      <c r="D1865" s="1310">
        <v>634.02000099999998</v>
      </c>
    </row>
    <row r="1866" spans="2:4" x14ac:dyDescent="0.2">
      <c r="B1866" s="1341">
        <v>2157</v>
      </c>
      <c r="C1866" s="1341" t="s">
        <v>3040</v>
      </c>
      <c r="D1866" s="1310">
        <v>609.4</v>
      </c>
    </row>
    <row r="1867" spans="2:4" x14ac:dyDescent="0.2">
      <c r="B1867" s="1341">
        <v>2158</v>
      </c>
      <c r="C1867" s="1341" t="s">
        <v>2380</v>
      </c>
      <c r="D1867" s="1310">
        <v>605.39998800000001</v>
      </c>
    </row>
    <row r="1868" spans="2:4" x14ac:dyDescent="0.2">
      <c r="B1868" s="1341">
        <v>2159</v>
      </c>
      <c r="C1868" s="1341" t="s">
        <v>3041</v>
      </c>
      <c r="D1868" s="1310">
        <v>799.23333700000001</v>
      </c>
    </row>
    <row r="1869" spans="2:4" x14ac:dyDescent="0.2">
      <c r="B1869" s="1341">
        <v>2160</v>
      </c>
      <c r="C1869" s="1341" t="s">
        <v>3042</v>
      </c>
      <c r="D1869" s="1310">
        <v>626.163635</v>
      </c>
    </row>
    <row r="1870" spans="2:4" x14ac:dyDescent="0.2">
      <c r="B1870" s="1341">
        <v>2161</v>
      </c>
      <c r="C1870" s="1341" t="s">
        <v>2607</v>
      </c>
      <c r="D1870" s="1310">
        <v>655.44000200000005</v>
      </c>
    </row>
    <row r="1871" spans="2:4" x14ac:dyDescent="0.2">
      <c r="B1871" s="1341">
        <v>2162</v>
      </c>
      <c r="C1871" s="1341" t="s">
        <v>3043</v>
      </c>
      <c r="D1871" s="1310">
        <v>627.89998400000002</v>
      </c>
    </row>
    <row r="1872" spans="2:4" x14ac:dyDescent="0.2">
      <c r="B1872" s="1341">
        <v>2163</v>
      </c>
      <c r="C1872" s="1341" t="s">
        <v>3044</v>
      </c>
      <c r="D1872" s="1310">
        <v>784.74444600000004</v>
      </c>
    </row>
    <row r="1873" spans="2:4" x14ac:dyDescent="0.2">
      <c r="B1873" s="1341">
        <v>2164</v>
      </c>
      <c r="C1873" s="1341" t="s">
        <v>3045</v>
      </c>
      <c r="D1873" s="1310">
        <v>652.27999299999999</v>
      </c>
    </row>
    <row r="1874" spans="2:4" x14ac:dyDescent="0.2">
      <c r="B1874" s="1341">
        <v>2165</v>
      </c>
      <c r="C1874" s="1341" t="s">
        <v>3046</v>
      </c>
      <c r="D1874" s="1310">
        <v>638.58333300000004</v>
      </c>
    </row>
    <row r="1875" spans="2:4" x14ac:dyDescent="0.2">
      <c r="B1875" s="1341">
        <v>2166</v>
      </c>
      <c r="C1875" s="1341" t="s">
        <v>3047</v>
      </c>
      <c r="D1875" s="1310">
        <v>659.20001200000002</v>
      </c>
    </row>
    <row r="1876" spans="2:4" x14ac:dyDescent="0.2">
      <c r="B1876" s="1341">
        <v>2167</v>
      </c>
      <c r="C1876" s="1341" t="s">
        <v>3048</v>
      </c>
      <c r="D1876" s="1310">
        <v>617.3125</v>
      </c>
    </row>
    <row r="1877" spans="2:4" x14ac:dyDescent="0.2">
      <c r="B1877" s="1341">
        <v>2168</v>
      </c>
      <c r="C1877" s="1341" t="s">
        <v>3049</v>
      </c>
      <c r="D1877" s="1310">
        <v>766.57501200000002</v>
      </c>
    </row>
    <row r="1878" spans="2:4" x14ac:dyDescent="0.2">
      <c r="B1878" s="1341">
        <v>2169</v>
      </c>
      <c r="C1878" s="1341" t="s">
        <v>3050</v>
      </c>
      <c r="D1878" s="1310">
        <v>613.03332499999999</v>
      </c>
    </row>
    <row r="1879" spans="2:4" x14ac:dyDescent="0.2">
      <c r="B1879" s="1341">
        <v>2170</v>
      </c>
      <c r="C1879" s="1341" t="s">
        <v>3051</v>
      </c>
      <c r="D1879" s="1310">
        <v>700.21999500000004</v>
      </c>
    </row>
    <row r="1880" spans="2:4" x14ac:dyDescent="0.2">
      <c r="B1880" s="1341">
        <v>2171</v>
      </c>
      <c r="C1880" s="1341" t="s">
        <v>3052</v>
      </c>
      <c r="D1880" s="1310">
        <v>748.85000600000001</v>
      </c>
    </row>
    <row r="1881" spans="2:4" x14ac:dyDescent="0.2">
      <c r="B1881" s="1341">
        <v>2172</v>
      </c>
      <c r="C1881" s="1341" t="s">
        <v>3053</v>
      </c>
      <c r="D1881" s="1310">
        <v>666.5</v>
      </c>
    </row>
    <row r="1882" spans="2:4" x14ac:dyDescent="0.2">
      <c r="B1882" s="1341">
        <v>2173</v>
      </c>
      <c r="C1882" s="1341" t="s">
        <v>3054</v>
      </c>
      <c r="D1882" s="1310">
        <v>641.72500600000001</v>
      </c>
    </row>
    <row r="1883" spans="2:4" x14ac:dyDescent="0.2">
      <c r="B1883" s="1341">
        <v>2174</v>
      </c>
      <c r="C1883" s="1341" t="s">
        <v>3055</v>
      </c>
      <c r="D1883" s="1310">
        <v>629.14445000000001</v>
      </c>
    </row>
    <row r="1884" spans="2:4" x14ac:dyDescent="0.2">
      <c r="B1884" s="1341">
        <v>2175</v>
      </c>
      <c r="C1884" s="1341" t="s">
        <v>3056</v>
      </c>
      <c r="D1884" s="1310">
        <v>611.10000600000001</v>
      </c>
    </row>
    <row r="1885" spans="2:4" x14ac:dyDescent="0.2">
      <c r="B1885" s="1341">
        <v>2176</v>
      </c>
      <c r="C1885" s="1341" t="s">
        <v>3057</v>
      </c>
      <c r="D1885" s="1310">
        <v>709.41999499999997</v>
      </c>
    </row>
    <row r="1886" spans="2:4" x14ac:dyDescent="0.2">
      <c r="B1886" s="1341">
        <v>2177</v>
      </c>
      <c r="C1886" s="1341" t="s">
        <v>3058</v>
      </c>
      <c r="D1886" s="1310">
        <v>651.90000399999997</v>
      </c>
    </row>
    <row r="1887" spans="2:4" x14ac:dyDescent="0.2">
      <c r="B1887" s="1341">
        <v>2178</v>
      </c>
      <c r="C1887" s="1341" t="s">
        <v>3059</v>
      </c>
      <c r="D1887" s="1310">
        <v>659.40000399999997</v>
      </c>
    </row>
    <row r="1888" spans="2:4" x14ac:dyDescent="0.2">
      <c r="B1888" s="1341">
        <v>2179</v>
      </c>
      <c r="C1888" s="1341" t="s">
        <v>3060</v>
      </c>
      <c r="D1888" s="1310">
        <v>600.49285499999996</v>
      </c>
    </row>
    <row r="1889" spans="2:4" x14ac:dyDescent="0.2">
      <c r="B1889" s="1341">
        <v>2180</v>
      </c>
      <c r="C1889" s="1341" t="s">
        <v>3061</v>
      </c>
      <c r="D1889" s="1310">
        <v>652.63334099999997</v>
      </c>
    </row>
    <row r="1890" spans="2:4" x14ac:dyDescent="0.2">
      <c r="B1890" s="1341">
        <v>2181</v>
      </c>
      <c r="C1890" s="1341" t="s">
        <v>3062</v>
      </c>
      <c r="D1890" s="1310">
        <v>677.30000500000006</v>
      </c>
    </row>
    <row r="1891" spans="2:4" x14ac:dyDescent="0.2">
      <c r="B1891" s="1341">
        <v>2182</v>
      </c>
      <c r="C1891" s="1341" t="s">
        <v>3063</v>
      </c>
      <c r="D1891" s="1310">
        <v>687.31429600000001</v>
      </c>
    </row>
    <row r="1892" spans="2:4" x14ac:dyDescent="0.2">
      <c r="B1892" s="1341">
        <v>2183</v>
      </c>
      <c r="C1892" s="1341" t="s">
        <v>3064</v>
      </c>
      <c r="D1892" s="1310">
        <v>648.79998799999998</v>
      </c>
    </row>
    <row r="1893" spans="2:4" x14ac:dyDescent="0.2">
      <c r="B1893" s="1341">
        <v>2184</v>
      </c>
      <c r="C1893" s="1341" t="s">
        <v>3065</v>
      </c>
      <c r="D1893" s="1310">
        <v>630.76428699999997</v>
      </c>
    </row>
    <row r="1894" spans="2:4" x14ac:dyDescent="0.2">
      <c r="B1894" s="1341">
        <v>2185</v>
      </c>
      <c r="C1894" s="1341" t="s">
        <v>3066</v>
      </c>
      <c r="D1894" s="1310">
        <v>876.85000600000001</v>
      </c>
    </row>
    <row r="1895" spans="2:4" x14ac:dyDescent="0.2">
      <c r="B1895" s="1341">
        <v>2186</v>
      </c>
      <c r="C1895" s="1341" t="s">
        <v>3067</v>
      </c>
      <c r="D1895" s="1310">
        <v>611.14210600000001</v>
      </c>
    </row>
    <row r="1896" spans="2:4" x14ac:dyDescent="0.2">
      <c r="B1896" s="1341">
        <v>2187</v>
      </c>
      <c r="C1896" s="1341" t="s">
        <v>3068</v>
      </c>
      <c r="D1896" s="1310">
        <v>853.77999299999999</v>
      </c>
    </row>
    <row r="1897" spans="2:4" x14ac:dyDescent="0.2">
      <c r="B1897" s="1341">
        <v>2188</v>
      </c>
      <c r="C1897" s="1341" t="s">
        <v>3069</v>
      </c>
      <c r="D1897" s="1310">
        <v>623.97500600000001</v>
      </c>
    </row>
    <row r="1898" spans="2:4" x14ac:dyDescent="0.2">
      <c r="B1898" s="1341">
        <v>2189</v>
      </c>
      <c r="C1898" s="1341" t="s">
        <v>3070</v>
      </c>
      <c r="D1898" s="1310">
        <v>633.52222400000005</v>
      </c>
    </row>
    <row r="1899" spans="2:4" x14ac:dyDescent="0.2">
      <c r="B1899" s="1341">
        <v>2190</v>
      </c>
      <c r="C1899" s="1341" t="s">
        <v>3071</v>
      </c>
      <c r="D1899" s="1310">
        <v>616.49999400000002</v>
      </c>
    </row>
    <row r="1900" spans="2:4" x14ac:dyDescent="0.2">
      <c r="B1900" s="1341">
        <v>2191</v>
      </c>
      <c r="C1900" s="1341" t="s">
        <v>3072</v>
      </c>
      <c r="D1900" s="1310">
        <v>629.16666699999996</v>
      </c>
    </row>
    <row r="1901" spans="2:4" x14ac:dyDescent="0.2">
      <c r="B1901" s="1341">
        <v>2192</v>
      </c>
      <c r="C1901" s="1341" t="s">
        <v>3073</v>
      </c>
      <c r="D1901" s="1310">
        <v>623.81999499999995</v>
      </c>
    </row>
    <row r="1902" spans="2:4" x14ac:dyDescent="0.2">
      <c r="B1902" s="1341">
        <v>2193</v>
      </c>
      <c r="C1902" s="1341" t="s">
        <v>3074</v>
      </c>
      <c r="D1902" s="1310">
        <v>783.61429299999998</v>
      </c>
    </row>
    <row r="1903" spans="2:4" x14ac:dyDescent="0.2">
      <c r="B1903" s="1341">
        <v>2194</v>
      </c>
      <c r="C1903" s="1341" t="s">
        <v>3075</v>
      </c>
      <c r="D1903" s="1310">
        <v>663.71667500000001</v>
      </c>
    </row>
    <row r="1904" spans="2:4" x14ac:dyDescent="0.2">
      <c r="B1904" s="1341">
        <v>2195</v>
      </c>
      <c r="C1904" s="1341" t="s">
        <v>3076</v>
      </c>
      <c r="D1904" s="1310">
        <v>801.22499800000003</v>
      </c>
    </row>
    <row r="1905" spans="2:4" x14ac:dyDescent="0.2">
      <c r="B1905" s="1341">
        <v>2196</v>
      </c>
      <c r="C1905" s="1341" t="s">
        <v>3077</v>
      </c>
      <c r="D1905" s="1310">
        <v>809.5</v>
      </c>
    </row>
    <row r="1906" spans="2:4" x14ac:dyDescent="0.2">
      <c r="B1906" s="1341">
        <v>2197</v>
      </c>
      <c r="C1906" s="1341" t="s">
        <v>3078</v>
      </c>
      <c r="D1906" s="1310">
        <v>708.75</v>
      </c>
    </row>
    <row r="1907" spans="2:4" x14ac:dyDescent="0.2">
      <c r="B1907" s="1341">
        <v>2198</v>
      </c>
      <c r="C1907" s="1341" t="s">
        <v>3079</v>
      </c>
      <c r="D1907" s="1310">
        <v>586.96667500000001</v>
      </c>
    </row>
    <row r="1908" spans="2:4" x14ac:dyDescent="0.2">
      <c r="B1908" s="1341">
        <v>2199</v>
      </c>
      <c r="C1908" s="1341" t="s">
        <v>3080</v>
      </c>
      <c r="D1908" s="1310">
        <v>896.83333300000004</v>
      </c>
    </row>
    <row r="1909" spans="2:4" x14ac:dyDescent="0.2">
      <c r="B1909" s="1341">
        <v>2200</v>
      </c>
      <c r="C1909" s="1341" t="s">
        <v>3081</v>
      </c>
      <c r="D1909" s="1310">
        <v>604.51110800000004</v>
      </c>
    </row>
    <row r="1910" spans="2:4" x14ac:dyDescent="0.2">
      <c r="B1910" s="1341">
        <v>2201</v>
      </c>
      <c r="C1910" s="1341" t="s">
        <v>2419</v>
      </c>
      <c r="D1910" s="1310">
        <v>717.07499700000005</v>
      </c>
    </row>
    <row r="1911" spans="2:4" x14ac:dyDescent="0.2">
      <c r="B1911" s="1341">
        <v>2202</v>
      </c>
      <c r="C1911" s="1341" t="s">
        <v>3082</v>
      </c>
      <c r="D1911" s="1310">
        <v>652.39999399999999</v>
      </c>
    </row>
    <row r="1912" spans="2:4" x14ac:dyDescent="0.2">
      <c r="B1912" s="1341">
        <v>2203</v>
      </c>
      <c r="C1912" s="1341" t="s">
        <v>3083</v>
      </c>
      <c r="D1912" s="1310">
        <v>803.26666299999999</v>
      </c>
    </row>
    <row r="1913" spans="2:4" x14ac:dyDescent="0.2">
      <c r="B1913" s="1341">
        <v>2204</v>
      </c>
      <c r="C1913" s="1341" t="s">
        <v>3084</v>
      </c>
      <c r="D1913" s="1310">
        <v>646.38888899999995</v>
      </c>
    </row>
    <row r="1914" spans="2:4" x14ac:dyDescent="0.2">
      <c r="B1914" s="1341">
        <v>2205</v>
      </c>
      <c r="C1914" s="1341" t="s">
        <v>3085</v>
      </c>
      <c r="D1914" s="1310">
        <v>642.32498199999998</v>
      </c>
    </row>
    <row r="1915" spans="2:4" x14ac:dyDescent="0.2">
      <c r="B1915" s="1341">
        <v>2206</v>
      </c>
      <c r="C1915" s="1341" t="s">
        <v>3086</v>
      </c>
      <c r="D1915" s="1310">
        <v>583.54000199999996</v>
      </c>
    </row>
    <row r="1916" spans="2:4" x14ac:dyDescent="0.2">
      <c r="B1916" s="1341">
        <v>2207</v>
      </c>
      <c r="C1916" s="1341" t="s">
        <v>3087</v>
      </c>
      <c r="D1916" s="1310">
        <v>678.53333499999997</v>
      </c>
    </row>
    <row r="1917" spans="2:4" x14ac:dyDescent="0.2">
      <c r="B1917" s="1341">
        <v>2208</v>
      </c>
      <c r="C1917" s="1341" t="s">
        <v>3088</v>
      </c>
      <c r="D1917" s="1310">
        <v>620.740002</v>
      </c>
    </row>
    <row r="1918" spans="2:4" x14ac:dyDescent="0.2">
      <c r="B1918" s="1341">
        <v>2209</v>
      </c>
      <c r="C1918" s="1341" t="s">
        <v>3089</v>
      </c>
      <c r="D1918" s="1310">
        <v>645.11250299999995</v>
      </c>
    </row>
    <row r="1919" spans="2:4" x14ac:dyDescent="0.2">
      <c r="B1919" s="1341">
        <v>2210</v>
      </c>
      <c r="C1919" s="1341" t="s">
        <v>1469</v>
      </c>
      <c r="D1919" s="1310">
        <v>643.4</v>
      </c>
    </row>
    <row r="1920" spans="2:4" x14ac:dyDescent="0.2">
      <c r="B1920" s="1341">
        <v>2211</v>
      </c>
      <c r="C1920" s="1341" t="s">
        <v>3090</v>
      </c>
      <c r="D1920" s="1310">
        <v>614.09997599999997</v>
      </c>
    </row>
    <row r="1921" spans="2:4" x14ac:dyDescent="0.2">
      <c r="B1921" s="1341">
        <v>2212</v>
      </c>
      <c r="C1921" s="1341" t="s">
        <v>3091</v>
      </c>
      <c r="D1921" s="1310">
        <v>668.05555600000002</v>
      </c>
    </row>
    <row r="1922" spans="2:4" x14ac:dyDescent="0.2">
      <c r="B1922" s="1341">
        <v>2213</v>
      </c>
      <c r="C1922" s="1341" t="s">
        <v>2141</v>
      </c>
      <c r="D1922" s="1310">
        <v>839.05001800000002</v>
      </c>
    </row>
    <row r="1923" spans="2:4" x14ac:dyDescent="0.2">
      <c r="B1923" s="1341">
        <v>2214</v>
      </c>
      <c r="C1923" s="1341" t="s">
        <v>3092</v>
      </c>
      <c r="D1923" s="1310">
        <v>633.69998199999998</v>
      </c>
    </row>
    <row r="1924" spans="2:4" x14ac:dyDescent="0.2">
      <c r="B1924" s="1341">
        <v>2215</v>
      </c>
      <c r="C1924" s="1341" t="s">
        <v>3093</v>
      </c>
      <c r="D1924" s="1310">
        <v>673.17500299999995</v>
      </c>
    </row>
    <row r="1925" spans="2:4" x14ac:dyDescent="0.2">
      <c r="B1925" s="1341">
        <v>2216</v>
      </c>
      <c r="C1925" s="1341" t="s">
        <v>3094</v>
      </c>
      <c r="D1925" s="1310">
        <v>686.61998300000005</v>
      </c>
    </row>
    <row r="1926" spans="2:4" x14ac:dyDescent="0.2">
      <c r="B1926" s="1341">
        <v>2217</v>
      </c>
      <c r="C1926" s="1341" t="s">
        <v>3095</v>
      </c>
      <c r="D1926" s="1310">
        <v>751</v>
      </c>
    </row>
    <row r="1927" spans="2:4" x14ac:dyDescent="0.2">
      <c r="B1927" s="1341">
        <v>2218</v>
      </c>
      <c r="C1927" s="1341" t="s">
        <v>3096</v>
      </c>
      <c r="D1927" s="1310">
        <v>574.55000299999995</v>
      </c>
    </row>
    <row r="1928" spans="2:4" x14ac:dyDescent="0.2">
      <c r="B1928" s="1341">
        <v>2219</v>
      </c>
      <c r="C1928" s="1341" t="s">
        <v>3097</v>
      </c>
      <c r="D1928" s="1310">
        <v>620.80001800000002</v>
      </c>
    </row>
    <row r="1929" spans="2:4" x14ac:dyDescent="0.2">
      <c r="B1929" s="1341">
        <v>2220</v>
      </c>
      <c r="C1929" s="1341" t="s">
        <v>3098</v>
      </c>
      <c r="D1929" s="1310">
        <v>760.65713100000005</v>
      </c>
    </row>
    <row r="1930" spans="2:4" x14ac:dyDescent="0.2">
      <c r="B1930" s="1341">
        <v>2221</v>
      </c>
      <c r="C1930" s="1341" t="s">
        <v>3099</v>
      </c>
      <c r="D1930" s="1310">
        <v>709.69999499999994</v>
      </c>
    </row>
    <row r="1931" spans="2:4" x14ac:dyDescent="0.2">
      <c r="B1931" s="1341">
        <v>2222</v>
      </c>
      <c r="C1931" s="1341" t="s">
        <v>3100</v>
      </c>
      <c r="D1931" s="1310">
        <v>593.64999399999999</v>
      </c>
    </row>
    <row r="1932" spans="2:4" x14ac:dyDescent="0.2">
      <c r="B1932" s="1341">
        <v>2223</v>
      </c>
      <c r="C1932" s="1341" t="s">
        <v>3101</v>
      </c>
      <c r="D1932" s="1310">
        <v>637.76666299999999</v>
      </c>
    </row>
    <row r="1933" spans="2:4" x14ac:dyDescent="0.2">
      <c r="B1933" s="1341">
        <v>2224</v>
      </c>
      <c r="C1933" s="1341" t="s">
        <v>3102</v>
      </c>
      <c r="D1933" s="1310">
        <v>607.87999300000001</v>
      </c>
    </row>
    <row r="1934" spans="2:4" x14ac:dyDescent="0.2">
      <c r="B1934" s="1341">
        <v>2225</v>
      </c>
      <c r="C1934" s="1341" t="s">
        <v>3103</v>
      </c>
      <c r="D1934" s="1310">
        <v>645.69999700000005</v>
      </c>
    </row>
    <row r="1935" spans="2:4" x14ac:dyDescent="0.2">
      <c r="B1935" s="1341">
        <v>2226</v>
      </c>
      <c r="C1935" s="1341" t="s">
        <v>2701</v>
      </c>
      <c r="D1935" s="1310">
        <v>729.56667100000004</v>
      </c>
    </row>
    <row r="1936" spans="2:4" x14ac:dyDescent="0.2">
      <c r="B1936" s="1341">
        <v>2227</v>
      </c>
      <c r="C1936" s="1341" t="s">
        <v>3104</v>
      </c>
      <c r="D1936" s="1310">
        <v>614.60001199999999</v>
      </c>
    </row>
    <row r="1937" spans="2:4" x14ac:dyDescent="0.2">
      <c r="B1937" s="1341">
        <v>2228</v>
      </c>
      <c r="C1937" s="1341" t="s">
        <v>3105</v>
      </c>
      <c r="D1937" s="1310">
        <v>580.71666500000003</v>
      </c>
    </row>
    <row r="1938" spans="2:4" x14ac:dyDescent="0.2">
      <c r="B1938" s="1341">
        <v>2229</v>
      </c>
      <c r="C1938" s="1341" t="s">
        <v>3106</v>
      </c>
      <c r="D1938" s="1310">
        <v>639.15715699999998</v>
      </c>
    </row>
    <row r="1939" spans="2:4" x14ac:dyDescent="0.2">
      <c r="B1939" s="1341">
        <v>2230</v>
      </c>
      <c r="C1939" s="1341" t="s">
        <v>3107</v>
      </c>
      <c r="D1939" s="1310">
        <v>682</v>
      </c>
    </row>
    <row r="1940" spans="2:4" x14ac:dyDescent="0.2">
      <c r="B1940" s="1341">
        <v>2231</v>
      </c>
      <c r="C1940" s="1341" t="s">
        <v>3108</v>
      </c>
      <c r="D1940" s="1310">
        <v>643.10000300000002</v>
      </c>
    </row>
    <row r="1941" spans="2:4" x14ac:dyDescent="0.2">
      <c r="B1941" s="1341">
        <v>2232</v>
      </c>
      <c r="C1941" s="1341" t="s">
        <v>3109</v>
      </c>
      <c r="D1941" s="1310">
        <v>643.06665499999997</v>
      </c>
    </row>
    <row r="1942" spans="2:4" x14ac:dyDescent="0.2">
      <c r="B1942" s="1341">
        <v>2233</v>
      </c>
      <c r="C1942" s="1341" t="s">
        <v>3110</v>
      </c>
      <c r="D1942" s="1310">
        <v>637.16001000000006</v>
      </c>
    </row>
    <row r="1943" spans="2:4" x14ac:dyDescent="0.2">
      <c r="B1943" s="1341">
        <v>2234</v>
      </c>
      <c r="C1943" s="1341" t="s">
        <v>3111</v>
      </c>
      <c r="D1943" s="1310">
        <v>628.13333499999999</v>
      </c>
    </row>
    <row r="1944" spans="2:4" x14ac:dyDescent="0.2">
      <c r="B1944" s="1341">
        <v>2235</v>
      </c>
      <c r="C1944" s="1341" t="s">
        <v>3112</v>
      </c>
      <c r="D1944" s="1310">
        <v>661.5</v>
      </c>
    </row>
    <row r="1945" spans="2:4" x14ac:dyDescent="0.2">
      <c r="B1945" s="1341">
        <v>2236</v>
      </c>
      <c r="C1945" s="1341" t="s">
        <v>3113</v>
      </c>
      <c r="D1945" s="1310">
        <v>805.23999000000003</v>
      </c>
    </row>
    <row r="1946" spans="2:4" x14ac:dyDescent="0.2">
      <c r="B1946" s="1341">
        <v>2237</v>
      </c>
      <c r="C1946" s="1341" t="s">
        <v>3114</v>
      </c>
      <c r="D1946" s="1310">
        <v>747.29998799999998</v>
      </c>
    </row>
    <row r="1947" spans="2:4" x14ac:dyDescent="0.2">
      <c r="B1947" s="1341">
        <v>2238</v>
      </c>
      <c r="C1947" s="1341" t="s">
        <v>2204</v>
      </c>
      <c r="D1947" s="1310">
        <v>835.96665399999995</v>
      </c>
    </row>
    <row r="1948" spans="2:4" x14ac:dyDescent="0.2">
      <c r="B1948" s="1341">
        <v>2239</v>
      </c>
      <c r="C1948" s="1341" t="s">
        <v>2892</v>
      </c>
      <c r="D1948" s="1310">
        <v>669.2</v>
      </c>
    </row>
    <row r="1949" spans="2:4" x14ac:dyDescent="0.2">
      <c r="B1949" s="1341">
        <v>2240</v>
      </c>
      <c r="C1949" s="1341" t="s">
        <v>3115</v>
      </c>
      <c r="D1949" s="1310">
        <v>654.89999399999999</v>
      </c>
    </row>
    <row r="1950" spans="2:4" x14ac:dyDescent="0.2">
      <c r="B1950" s="1341">
        <v>2241</v>
      </c>
      <c r="C1950" s="1341" t="s">
        <v>3116</v>
      </c>
      <c r="D1950" s="1310">
        <v>613.69090700000004</v>
      </c>
    </row>
    <row r="1951" spans="2:4" x14ac:dyDescent="0.2">
      <c r="B1951" s="1341">
        <v>2242</v>
      </c>
      <c r="C1951" s="1341" t="s">
        <v>3117</v>
      </c>
      <c r="D1951" s="1310">
        <v>617.32858699999997</v>
      </c>
    </row>
    <row r="1952" spans="2:4" x14ac:dyDescent="0.2">
      <c r="B1952" s="1341">
        <v>2243</v>
      </c>
      <c r="C1952" s="1341" t="s">
        <v>3118</v>
      </c>
      <c r="D1952" s="1310">
        <v>627.45000600000003</v>
      </c>
    </row>
    <row r="1953" spans="2:4" x14ac:dyDescent="0.2">
      <c r="B1953" s="1341">
        <v>2244</v>
      </c>
      <c r="C1953" s="1341" t="s">
        <v>3119</v>
      </c>
      <c r="D1953" s="1310">
        <v>828.60000200000002</v>
      </c>
    </row>
    <row r="1954" spans="2:4" x14ac:dyDescent="0.2">
      <c r="B1954" s="1341">
        <v>2245</v>
      </c>
      <c r="C1954" s="1341" t="s">
        <v>3120</v>
      </c>
      <c r="D1954" s="1310">
        <v>639.52499399999999</v>
      </c>
    </row>
    <row r="1955" spans="2:4" x14ac:dyDescent="0.2">
      <c r="B1955" s="1341">
        <v>2246</v>
      </c>
      <c r="C1955" s="1341" t="s">
        <v>3121</v>
      </c>
      <c r="D1955" s="1310">
        <v>596.33331299999998</v>
      </c>
    </row>
    <row r="1956" spans="2:4" x14ac:dyDescent="0.2">
      <c r="B1956" s="1341">
        <v>2247</v>
      </c>
      <c r="C1956" s="1341" t="s">
        <v>3122</v>
      </c>
      <c r="D1956" s="1310">
        <v>862.27499399999999</v>
      </c>
    </row>
    <row r="1957" spans="2:4" x14ac:dyDescent="0.2">
      <c r="B1957" s="1341">
        <v>2248</v>
      </c>
      <c r="C1957" s="1341" t="s">
        <v>1794</v>
      </c>
      <c r="D1957" s="1310">
        <v>607.88000499999998</v>
      </c>
    </row>
    <row r="1958" spans="2:4" x14ac:dyDescent="0.2">
      <c r="B1958" s="1341">
        <v>2249</v>
      </c>
      <c r="C1958" s="1341" t="s">
        <v>3123</v>
      </c>
      <c r="D1958" s="1310">
        <v>652.29998799999998</v>
      </c>
    </row>
    <row r="1959" spans="2:4" x14ac:dyDescent="0.2">
      <c r="B1959" s="1341">
        <v>2250</v>
      </c>
      <c r="C1959" s="1341" t="s">
        <v>2040</v>
      </c>
      <c r="D1959" s="1310">
        <v>630.45999099999995</v>
      </c>
    </row>
    <row r="1960" spans="2:4" x14ac:dyDescent="0.2">
      <c r="B1960" s="1341">
        <v>2251</v>
      </c>
      <c r="C1960" s="1341" t="s">
        <v>3124</v>
      </c>
      <c r="D1960" s="1310">
        <v>689.81428700000004</v>
      </c>
    </row>
    <row r="1961" spans="2:4" x14ac:dyDescent="0.2">
      <c r="B1961" s="1341">
        <v>2252</v>
      </c>
      <c r="C1961" s="1341" t="s">
        <v>2764</v>
      </c>
      <c r="D1961" s="1310">
        <v>595.64999399999999</v>
      </c>
    </row>
    <row r="1962" spans="2:4" x14ac:dyDescent="0.2">
      <c r="B1962" s="1341">
        <v>2253</v>
      </c>
      <c r="C1962" s="1341" t="s">
        <v>3125</v>
      </c>
      <c r="D1962" s="1310">
        <v>600.52499399999999</v>
      </c>
    </row>
    <row r="1963" spans="2:4" x14ac:dyDescent="0.2">
      <c r="B1963" s="1341">
        <v>2254</v>
      </c>
      <c r="C1963" s="1341" t="s">
        <v>3126</v>
      </c>
      <c r="D1963" s="1310">
        <v>654.45001200000002</v>
      </c>
    </row>
    <row r="1964" spans="2:4" x14ac:dyDescent="0.2">
      <c r="B1964" s="1341">
        <v>2255</v>
      </c>
      <c r="C1964" s="1341" t="s">
        <v>3127</v>
      </c>
      <c r="D1964" s="1310">
        <v>595.15455199999997</v>
      </c>
    </row>
    <row r="1965" spans="2:4" x14ac:dyDescent="0.2">
      <c r="B1965" s="1341">
        <v>2256</v>
      </c>
      <c r="C1965" s="1341" t="s">
        <v>3128</v>
      </c>
      <c r="D1965" s="1310">
        <v>803.19166600000005</v>
      </c>
    </row>
    <row r="1966" spans="2:4" x14ac:dyDescent="0.2">
      <c r="B1966" s="1341">
        <v>2257</v>
      </c>
      <c r="C1966" s="1341" t="s">
        <v>3129</v>
      </c>
      <c r="D1966" s="1310">
        <v>669.95001200000002</v>
      </c>
    </row>
    <row r="1967" spans="2:4" x14ac:dyDescent="0.2">
      <c r="B1967" s="1341">
        <v>2258</v>
      </c>
      <c r="C1967" s="1341" t="s">
        <v>3130</v>
      </c>
      <c r="D1967" s="1310">
        <v>642.38000499999998</v>
      </c>
    </row>
    <row r="1968" spans="2:4" x14ac:dyDescent="0.2">
      <c r="B1968" s="1341">
        <v>2259</v>
      </c>
      <c r="C1968" s="1341" t="s">
        <v>3131</v>
      </c>
      <c r="D1968" s="1310">
        <v>655.52499399999999</v>
      </c>
    </row>
    <row r="1969" spans="2:4" x14ac:dyDescent="0.2">
      <c r="B1969" s="1341">
        <v>2260</v>
      </c>
      <c r="C1969" s="1341" t="s">
        <v>3132</v>
      </c>
      <c r="D1969" s="1310">
        <v>611.35454200000004</v>
      </c>
    </row>
    <row r="1970" spans="2:4" x14ac:dyDescent="0.2">
      <c r="B1970" s="1341">
        <v>2261</v>
      </c>
      <c r="C1970" s="1341" t="s">
        <v>3133</v>
      </c>
      <c r="D1970" s="1310">
        <v>626.51428199999998</v>
      </c>
    </row>
    <row r="1971" spans="2:4" x14ac:dyDescent="0.2">
      <c r="B1971" s="1341">
        <v>2262</v>
      </c>
      <c r="C1971" s="1341" t="s">
        <v>3134</v>
      </c>
      <c r="D1971" s="1310">
        <v>641.68001700000002</v>
      </c>
    </row>
    <row r="1972" spans="2:4" x14ac:dyDescent="0.2">
      <c r="B1972" s="1341">
        <v>2263</v>
      </c>
      <c r="C1972" s="1341" t="s">
        <v>3135</v>
      </c>
      <c r="D1972" s="1310">
        <v>627.85000600000001</v>
      </c>
    </row>
    <row r="1973" spans="2:4" x14ac:dyDescent="0.2">
      <c r="B1973" s="1341">
        <v>2264</v>
      </c>
      <c r="C1973" s="1341" t="s">
        <v>3136</v>
      </c>
      <c r="D1973" s="1310">
        <v>641.01666299999999</v>
      </c>
    </row>
    <row r="1974" spans="2:4" x14ac:dyDescent="0.2">
      <c r="B1974" s="1341">
        <v>2265</v>
      </c>
      <c r="C1974" s="1341" t="s">
        <v>3137</v>
      </c>
      <c r="D1974" s="1310">
        <v>616.44000200000005</v>
      </c>
    </row>
    <row r="1975" spans="2:4" x14ac:dyDescent="0.2">
      <c r="B1975" s="1341">
        <v>2266</v>
      </c>
      <c r="C1975" s="1341" t="s">
        <v>3138</v>
      </c>
      <c r="D1975" s="1310">
        <v>669.30001800000002</v>
      </c>
    </row>
    <row r="1976" spans="2:4" x14ac:dyDescent="0.2">
      <c r="B1976" s="1341">
        <v>2267</v>
      </c>
      <c r="C1976" s="1341" t="s">
        <v>2486</v>
      </c>
      <c r="D1976" s="1310">
        <v>648.389996</v>
      </c>
    </row>
    <row r="1977" spans="2:4" x14ac:dyDescent="0.2">
      <c r="B1977" s="1341">
        <v>2268</v>
      </c>
      <c r="C1977" s="1341" t="s">
        <v>3139</v>
      </c>
      <c r="D1977" s="1310">
        <v>642.20001200000002</v>
      </c>
    </row>
    <row r="1978" spans="2:4" x14ac:dyDescent="0.2">
      <c r="B1978" s="1341">
        <v>2269</v>
      </c>
      <c r="C1978" s="1341" t="s">
        <v>3140</v>
      </c>
      <c r="D1978" s="1310">
        <v>623.29998799999998</v>
      </c>
    </row>
    <row r="1979" spans="2:4" x14ac:dyDescent="0.2">
      <c r="B1979" s="1341">
        <v>2270</v>
      </c>
      <c r="C1979" s="1341" t="s">
        <v>3141</v>
      </c>
      <c r="D1979" s="1310">
        <v>623.32000700000003</v>
      </c>
    </row>
    <row r="1980" spans="2:4" x14ac:dyDescent="0.2">
      <c r="B1980" s="1341">
        <v>2271</v>
      </c>
      <c r="C1980" s="1341" t="s">
        <v>3142</v>
      </c>
      <c r="D1980" s="1310">
        <v>715.01999499999999</v>
      </c>
    </row>
    <row r="1981" spans="2:4" x14ac:dyDescent="0.2">
      <c r="B1981" s="1341">
        <v>2272</v>
      </c>
      <c r="C1981" s="1341" t="s">
        <v>3143</v>
      </c>
      <c r="D1981" s="1310">
        <v>616.93335000000002</v>
      </c>
    </row>
    <row r="1982" spans="2:4" x14ac:dyDescent="0.2">
      <c r="B1982" s="1341">
        <v>2273</v>
      </c>
      <c r="C1982" s="1341" t="s">
        <v>3144</v>
      </c>
      <c r="D1982" s="1310">
        <v>645.20000300000004</v>
      </c>
    </row>
    <row r="1983" spans="2:4" x14ac:dyDescent="0.2">
      <c r="B1983" s="1341">
        <v>2274</v>
      </c>
      <c r="C1983" s="1341" t="s">
        <v>3145</v>
      </c>
      <c r="D1983" s="1310">
        <v>644.25</v>
      </c>
    </row>
    <row r="1984" spans="2:4" x14ac:dyDescent="0.2">
      <c r="B1984" s="1341">
        <v>2275</v>
      </c>
      <c r="C1984" s="1341" t="s">
        <v>3146</v>
      </c>
      <c r="D1984" s="1310">
        <v>603.10000200000002</v>
      </c>
    </row>
    <row r="1985" spans="2:4" x14ac:dyDescent="0.2">
      <c r="B1985" s="1341">
        <v>2276</v>
      </c>
      <c r="C1985" s="1341" t="s">
        <v>3147</v>
      </c>
      <c r="D1985" s="1310">
        <v>618.75</v>
      </c>
    </row>
    <row r="1986" spans="2:4" x14ac:dyDescent="0.2">
      <c r="B1986" s="1341">
        <v>2277</v>
      </c>
      <c r="C1986" s="1341" t="s">
        <v>3148</v>
      </c>
      <c r="D1986" s="1310">
        <v>666.90000399999997</v>
      </c>
    </row>
    <row r="1987" spans="2:4" x14ac:dyDescent="0.2">
      <c r="B1987" s="1341">
        <v>2278</v>
      </c>
      <c r="C1987" s="1341" t="s">
        <v>3149</v>
      </c>
      <c r="D1987" s="1310">
        <v>681.84997599999997</v>
      </c>
    </row>
    <row r="1988" spans="2:4" x14ac:dyDescent="0.2">
      <c r="B1988" s="1341">
        <v>2279</v>
      </c>
      <c r="C1988" s="1341" t="s">
        <v>3150</v>
      </c>
      <c r="D1988" s="1310">
        <v>752.44286199999999</v>
      </c>
    </row>
    <row r="1989" spans="2:4" x14ac:dyDescent="0.2">
      <c r="B1989" s="1341">
        <v>2280</v>
      </c>
      <c r="C1989" s="1341" t="s">
        <v>3151</v>
      </c>
      <c r="D1989" s="1310">
        <v>622.01667299999997</v>
      </c>
    </row>
    <row r="1990" spans="2:4" x14ac:dyDescent="0.2">
      <c r="B1990" s="1341">
        <v>2281</v>
      </c>
      <c r="C1990" s="1341" t="s">
        <v>3152</v>
      </c>
      <c r="D1990" s="1310">
        <v>658.29999499999997</v>
      </c>
    </row>
    <row r="1991" spans="2:4" x14ac:dyDescent="0.2">
      <c r="B1991" s="1341">
        <v>2282</v>
      </c>
      <c r="C1991" s="1341" t="s">
        <v>3153</v>
      </c>
      <c r="D1991" s="1310">
        <v>639.61764700000003</v>
      </c>
    </row>
    <row r="1992" spans="2:4" x14ac:dyDescent="0.2">
      <c r="B1992" s="1341">
        <v>2283</v>
      </c>
      <c r="C1992" s="1341" t="s">
        <v>3154</v>
      </c>
      <c r="D1992" s="1310">
        <v>654.20001200000002</v>
      </c>
    </row>
    <row r="1993" spans="2:4" x14ac:dyDescent="0.2">
      <c r="B1993" s="1341">
        <v>2284</v>
      </c>
      <c r="C1993" s="1341" t="s">
        <v>3155</v>
      </c>
      <c r="D1993" s="1310">
        <v>644.14999399999999</v>
      </c>
    </row>
    <row r="1994" spans="2:4" x14ac:dyDescent="0.2">
      <c r="B1994" s="1341">
        <v>2285</v>
      </c>
      <c r="C1994" s="1341" t="s">
        <v>3156</v>
      </c>
      <c r="D1994" s="1310">
        <v>664.25</v>
      </c>
    </row>
    <row r="1995" spans="2:4" x14ac:dyDescent="0.2">
      <c r="B1995" s="1341">
        <v>2286</v>
      </c>
      <c r="C1995" s="1341" t="s">
        <v>1770</v>
      </c>
      <c r="D1995" s="1310">
        <v>617.19999199999995</v>
      </c>
    </row>
    <row r="1996" spans="2:4" x14ac:dyDescent="0.2">
      <c r="B1996" s="1341">
        <v>2287</v>
      </c>
      <c r="C1996" s="1341" t="s">
        <v>3157</v>
      </c>
      <c r="D1996" s="1310">
        <v>633.22500600000001</v>
      </c>
    </row>
    <row r="1997" spans="2:4" x14ac:dyDescent="0.2">
      <c r="B1997" s="1341">
        <v>2288</v>
      </c>
      <c r="C1997" s="1341" t="s">
        <v>3158</v>
      </c>
      <c r="D1997" s="1310">
        <v>821.09999400000004</v>
      </c>
    </row>
    <row r="1998" spans="2:4" x14ac:dyDescent="0.2">
      <c r="B1998" s="1341">
        <v>2289</v>
      </c>
      <c r="C1998" s="1341" t="s">
        <v>3159</v>
      </c>
      <c r="D1998" s="1310">
        <v>726.93332899999996</v>
      </c>
    </row>
    <row r="1999" spans="2:4" x14ac:dyDescent="0.2">
      <c r="B1999" s="1341">
        <v>2290</v>
      </c>
      <c r="C1999" s="1341" t="s">
        <v>1786</v>
      </c>
      <c r="D1999" s="1310">
        <v>746.74999200000002</v>
      </c>
    </row>
    <row r="2000" spans="2:4" x14ac:dyDescent="0.2">
      <c r="B2000" s="1341">
        <v>2291</v>
      </c>
      <c r="C2000" s="1341" t="s">
        <v>3160</v>
      </c>
      <c r="D2000" s="1310">
        <v>601.24286800000004</v>
      </c>
    </row>
    <row r="2001" spans="2:4" x14ac:dyDescent="0.2">
      <c r="B2001" s="1341">
        <v>2292</v>
      </c>
      <c r="C2001" s="1341" t="s">
        <v>3161</v>
      </c>
      <c r="D2001" s="1310">
        <v>636.94000200000005</v>
      </c>
    </row>
    <row r="2002" spans="2:4" x14ac:dyDescent="0.2">
      <c r="B2002" s="1341">
        <v>2293</v>
      </c>
      <c r="C2002" s="1341" t="s">
        <v>3162</v>
      </c>
      <c r="D2002" s="1310">
        <v>636.79999699999996</v>
      </c>
    </row>
    <row r="2003" spans="2:4" x14ac:dyDescent="0.2">
      <c r="B2003" s="1341">
        <v>2294</v>
      </c>
      <c r="C2003" s="1341" t="s">
        <v>1775</v>
      </c>
      <c r="D2003" s="1310">
        <v>774.20833300000004</v>
      </c>
    </row>
    <row r="2004" spans="2:4" x14ac:dyDescent="0.2">
      <c r="B2004" s="1341">
        <v>2295</v>
      </c>
      <c r="C2004" s="1341" t="s">
        <v>3163</v>
      </c>
      <c r="D2004" s="1310">
        <v>634.70001200000002</v>
      </c>
    </row>
    <row r="2005" spans="2:4" x14ac:dyDescent="0.2">
      <c r="B2005" s="1341">
        <v>2296</v>
      </c>
      <c r="C2005" s="1341" t="s">
        <v>3164</v>
      </c>
      <c r="D2005" s="1310">
        <v>611.03333899999996</v>
      </c>
    </row>
    <row r="2006" spans="2:4" x14ac:dyDescent="0.2">
      <c r="B2006" s="1341">
        <v>2297</v>
      </c>
      <c r="C2006" s="1341" t="s">
        <v>3165</v>
      </c>
      <c r="D2006" s="1310">
        <v>668.15001400000006</v>
      </c>
    </row>
    <row r="2007" spans="2:4" x14ac:dyDescent="0.2">
      <c r="B2007" s="1341">
        <v>2298</v>
      </c>
      <c r="C2007" s="1341" t="s">
        <v>3166</v>
      </c>
      <c r="D2007" s="1310">
        <v>614.30000800000005</v>
      </c>
    </row>
    <row r="2008" spans="2:4" x14ac:dyDescent="0.2">
      <c r="B2008" s="1341">
        <v>2299</v>
      </c>
      <c r="C2008" s="1341" t="s">
        <v>3167</v>
      </c>
      <c r="D2008" s="1310">
        <v>617.75454400000001</v>
      </c>
    </row>
    <row r="2009" spans="2:4" x14ac:dyDescent="0.2">
      <c r="B2009" s="1341">
        <v>2300</v>
      </c>
      <c r="C2009" s="1341" t="s">
        <v>3168</v>
      </c>
      <c r="D2009" s="1310">
        <v>682.89999399999999</v>
      </c>
    </row>
    <row r="2010" spans="2:4" x14ac:dyDescent="0.2">
      <c r="B2010" s="1341">
        <v>2301</v>
      </c>
      <c r="C2010" s="1341" t="s">
        <v>3169</v>
      </c>
      <c r="D2010" s="1310">
        <v>851.68333900000005</v>
      </c>
    </row>
    <row r="2011" spans="2:4" x14ac:dyDescent="0.2">
      <c r="B2011" s="1341">
        <v>2302</v>
      </c>
      <c r="C2011" s="1341" t="s">
        <v>3170</v>
      </c>
      <c r="D2011" s="1310">
        <v>865.42498799999998</v>
      </c>
    </row>
    <row r="2012" spans="2:4" x14ac:dyDescent="0.2">
      <c r="B2012" s="1341">
        <v>2303</v>
      </c>
      <c r="C2012" s="1341" t="s">
        <v>3171</v>
      </c>
      <c r="D2012" s="1310">
        <v>623.870001</v>
      </c>
    </row>
    <row r="2013" spans="2:4" x14ac:dyDescent="0.2">
      <c r="B2013" s="1341">
        <v>2304</v>
      </c>
      <c r="C2013" s="1341" t="s">
        <v>3172</v>
      </c>
      <c r="D2013" s="1310">
        <v>812.29999699999996</v>
      </c>
    </row>
    <row r="2014" spans="2:4" x14ac:dyDescent="0.2">
      <c r="B2014" s="1341">
        <v>2305</v>
      </c>
      <c r="C2014" s="1341" t="s">
        <v>3173</v>
      </c>
      <c r="D2014" s="1310">
        <v>810.78000499999996</v>
      </c>
    </row>
    <row r="2015" spans="2:4" x14ac:dyDescent="0.2">
      <c r="B2015" s="1341">
        <v>2306</v>
      </c>
      <c r="C2015" s="1341" t="s">
        <v>3174</v>
      </c>
      <c r="D2015" s="1310">
        <v>846.92498799999998</v>
      </c>
    </row>
    <row r="2016" spans="2:4" x14ac:dyDescent="0.2">
      <c r="B2016" s="1341">
        <v>2307</v>
      </c>
      <c r="C2016" s="1341" t="s">
        <v>3175</v>
      </c>
      <c r="D2016" s="1310">
        <v>641.02499399999999</v>
      </c>
    </row>
    <row r="2017" spans="2:4" x14ac:dyDescent="0.2">
      <c r="B2017" s="1341">
        <v>2308</v>
      </c>
      <c r="C2017" s="1341" t="s">
        <v>2677</v>
      </c>
      <c r="D2017" s="1310">
        <v>853.90001199999995</v>
      </c>
    </row>
    <row r="2018" spans="2:4" x14ac:dyDescent="0.2">
      <c r="B2018" s="1341">
        <v>2309</v>
      </c>
      <c r="C2018" s="1341" t="s">
        <v>3176</v>
      </c>
      <c r="D2018" s="1310">
        <v>604.94999700000005</v>
      </c>
    </row>
    <row r="2019" spans="2:4" x14ac:dyDescent="0.2">
      <c r="B2019" s="1341">
        <v>2310</v>
      </c>
      <c r="C2019" s="1341" t="s">
        <v>3177</v>
      </c>
      <c r="D2019" s="1310">
        <v>638.36000999999999</v>
      </c>
    </row>
    <row r="2020" spans="2:4" x14ac:dyDescent="0.2">
      <c r="B2020" s="1341">
        <v>2311</v>
      </c>
      <c r="C2020" s="1341" t="s">
        <v>3178</v>
      </c>
      <c r="D2020" s="1310">
        <v>768.35000600000001</v>
      </c>
    </row>
    <row r="2021" spans="2:4" x14ac:dyDescent="0.2">
      <c r="B2021" s="1341">
        <v>2312</v>
      </c>
      <c r="C2021" s="1341" t="s">
        <v>3179</v>
      </c>
      <c r="D2021" s="1310">
        <v>621.92500299999995</v>
      </c>
    </row>
    <row r="2022" spans="2:4" x14ac:dyDescent="0.2">
      <c r="B2022" s="1341">
        <v>2313</v>
      </c>
      <c r="C2022" s="1341" t="s">
        <v>3180</v>
      </c>
      <c r="D2022" s="1310">
        <v>625.05714599999999</v>
      </c>
    </row>
    <row r="2023" spans="2:4" x14ac:dyDescent="0.2">
      <c r="B2023" s="1341">
        <v>2314</v>
      </c>
      <c r="C2023" s="1341" t="s">
        <v>3181</v>
      </c>
      <c r="D2023" s="1310">
        <v>658.19998199999998</v>
      </c>
    </row>
    <row r="2024" spans="2:4" x14ac:dyDescent="0.2">
      <c r="B2024" s="1341">
        <v>2315</v>
      </c>
      <c r="C2024" s="1341" t="s">
        <v>3182</v>
      </c>
      <c r="D2024" s="1310">
        <v>612.0625</v>
      </c>
    </row>
    <row r="2025" spans="2:4" x14ac:dyDescent="0.2">
      <c r="B2025" s="1341">
        <v>2316</v>
      </c>
      <c r="C2025" s="1341" t="s">
        <v>3183</v>
      </c>
      <c r="D2025" s="1310">
        <v>603.55000299999995</v>
      </c>
    </row>
    <row r="2026" spans="2:4" x14ac:dyDescent="0.2">
      <c r="B2026" s="1341">
        <v>2317</v>
      </c>
      <c r="C2026" s="1341" t="s">
        <v>3184</v>
      </c>
      <c r="D2026" s="1310">
        <v>636.69999199999995</v>
      </c>
    </row>
    <row r="2027" spans="2:4" x14ac:dyDescent="0.2">
      <c r="B2027" s="1341">
        <v>2318</v>
      </c>
      <c r="C2027" s="1341" t="s">
        <v>3185</v>
      </c>
      <c r="D2027" s="1310">
        <v>610.74998500000004</v>
      </c>
    </row>
    <row r="2028" spans="2:4" x14ac:dyDescent="0.2">
      <c r="B2028" s="1341">
        <v>2319</v>
      </c>
      <c r="C2028" s="1341" t="s">
        <v>2531</v>
      </c>
      <c r="D2028" s="1310">
        <v>613.03333499999997</v>
      </c>
    </row>
    <row r="2029" spans="2:4" x14ac:dyDescent="0.2">
      <c r="B2029" s="1341">
        <v>2320</v>
      </c>
      <c r="C2029" s="1341" t="s">
        <v>3186</v>
      </c>
      <c r="D2029" s="1310">
        <v>624.09999100000005</v>
      </c>
    </row>
    <row r="2030" spans="2:4" x14ac:dyDescent="0.2">
      <c r="B2030" s="1341">
        <v>2321</v>
      </c>
      <c r="C2030" s="1341" t="s">
        <v>3187</v>
      </c>
      <c r="D2030" s="1310">
        <v>610.875</v>
      </c>
    </row>
    <row r="2031" spans="2:4" x14ac:dyDescent="0.2">
      <c r="B2031" s="1341">
        <v>2322</v>
      </c>
      <c r="C2031" s="1341" t="s">
        <v>2706</v>
      </c>
      <c r="D2031" s="1310">
        <v>663.75713699999994</v>
      </c>
    </row>
    <row r="2032" spans="2:4" x14ac:dyDescent="0.2">
      <c r="B2032" s="1341">
        <v>2323</v>
      </c>
      <c r="C2032" s="1341" t="s">
        <v>3188</v>
      </c>
      <c r="D2032" s="1310">
        <v>678.66667700000005</v>
      </c>
    </row>
    <row r="2033" spans="2:4" x14ac:dyDescent="0.2">
      <c r="B2033" s="1341">
        <v>2324</v>
      </c>
      <c r="C2033" s="1341" t="s">
        <v>3189</v>
      </c>
      <c r="D2033" s="1310">
        <v>619.13750500000003</v>
      </c>
    </row>
    <row r="2034" spans="2:4" x14ac:dyDescent="0.2">
      <c r="B2034" s="1341">
        <v>2325</v>
      </c>
      <c r="C2034" s="1341" t="s">
        <v>3190</v>
      </c>
      <c r="D2034" s="1310">
        <v>609.59999600000003</v>
      </c>
    </row>
    <row r="2035" spans="2:4" x14ac:dyDescent="0.2">
      <c r="B2035" s="1341">
        <v>2326</v>
      </c>
      <c r="C2035" s="1341" t="s">
        <v>3191</v>
      </c>
      <c r="D2035" s="1310">
        <v>778.56666099999995</v>
      </c>
    </row>
    <row r="2036" spans="2:4" x14ac:dyDescent="0.2">
      <c r="B2036" s="1341">
        <v>2327</v>
      </c>
      <c r="C2036" s="1341" t="s">
        <v>3192</v>
      </c>
      <c r="D2036" s="1310">
        <v>624.385716</v>
      </c>
    </row>
    <row r="2037" spans="2:4" x14ac:dyDescent="0.2">
      <c r="B2037" s="1341">
        <v>2328</v>
      </c>
      <c r="C2037" s="1341" t="s">
        <v>3193</v>
      </c>
      <c r="D2037" s="1310">
        <v>645.90002400000003</v>
      </c>
    </row>
    <row r="2038" spans="2:4" x14ac:dyDescent="0.2">
      <c r="B2038" s="1341">
        <v>2329</v>
      </c>
      <c r="C2038" s="1341" t="s">
        <v>3194</v>
      </c>
      <c r="D2038" s="1310">
        <v>640.46250199999997</v>
      </c>
    </row>
    <row r="2039" spans="2:4" x14ac:dyDescent="0.2">
      <c r="B2039" s="1341">
        <v>2330</v>
      </c>
      <c r="C2039" s="1341" t="s">
        <v>3195</v>
      </c>
      <c r="D2039" s="1310">
        <v>636.21999500000004</v>
      </c>
    </row>
    <row r="2040" spans="2:4" x14ac:dyDescent="0.2">
      <c r="B2040" s="1341">
        <v>2331</v>
      </c>
      <c r="C2040" s="1341" t="s">
        <v>3196</v>
      </c>
      <c r="D2040" s="1310">
        <v>763.29999899999996</v>
      </c>
    </row>
    <row r="2041" spans="2:4" x14ac:dyDescent="0.2">
      <c r="B2041" s="1341">
        <v>2332</v>
      </c>
      <c r="C2041" s="1341" t="s">
        <v>3197</v>
      </c>
      <c r="D2041" s="1310">
        <v>625.25</v>
      </c>
    </row>
    <row r="2042" spans="2:4" x14ac:dyDescent="0.2">
      <c r="B2042" s="1341">
        <v>2333</v>
      </c>
      <c r="C2042" s="1341" t="s">
        <v>3198</v>
      </c>
      <c r="D2042" s="1310">
        <v>726.52000699999996</v>
      </c>
    </row>
    <row r="2043" spans="2:4" x14ac:dyDescent="0.2">
      <c r="B2043" s="1341">
        <v>2334</v>
      </c>
      <c r="C2043" s="1341" t="s">
        <v>2649</v>
      </c>
      <c r="D2043" s="1310">
        <v>722.59997599999997</v>
      </c>
    </row>
    <row r="2044" spans="2:4" x14ac:dyDescent="0.2">
      <c r="B2044" s="1341">
        <v>2335</v>
      </c>
      <c r="C2044" s="1341" t="s">
        <v>3199</v>
      </c>
      <c r="D2044" s="1310">
        <v>673.23331700000006</v>
      </c>
    </row>
    <row r="2045" spans="2:4" x14ac:dyDescent="0.2">
      <c r="B2045" s="1341">
        <v>2336</v>
      </c>
      <c r="C2045" s="1341" t="s">
        <v>3200</v>
      </c>
      <c r="D2045" s="1310">
        <v>612.39998400000002</v>
      </c>
    </row>
    <row r="2046" spans="2:4" x14ac:dyDescent="0.2">
      <c r="B2046" s="1341">
        <v>2337</v>
      </c>
      <c r="C2046" s="1341" t="s">
        <v>3201</v>
      </c>
      <c r="D2046" s="1310">
        <v>632.65999799999997</v>
      </c>
    </row>
    <row r="2047" spans="2:4" x14ac:dyDescent="0.2">
      <c r="B2047" s="1341">
        <v>2338</v>
      </c>
      <c r="C2047" s="1341" t="s">
        <v>3202</v>
      </c>
      <c r="D2047" s="1310">
        <v>645.46667500000001</v>
      </c>
    </row>
    <row r="2048" spans="2:4" x14ac:dyDescent="0.2">
      <c r="B2048" s="1341">
        <v>2339</v>
      </c>
      <c r="C2048" s="1341" t="s">
        <v>3203</v>
      </c>
      <c r="D2048" s="1310">
        <v>664.85000600000001</v>
      </c>
    </row>
    <row r="2049" spans="2:4" x14ac:dyDescent="0.2">
      <c r="B2049" s="1341">
        <v>2340</v>
      </c>
      <c r="C2049" s="1341" t="s">
        <v>3204</v>
      </c>
      <c r="D2049" s="1310">
        <v>751.81999499999995</v>
      </c>
    </row>
    <row r="2050" spans="2:4" x14ac:dyDescent="0.2">
      <c r="B2050" s="1341">
        <v>2341</v>
      </c>
      <c r="C2050" s="1341" t="s">
        <v>3205</v>
      </c>
      <c r="D2050" s="1310">
        <v>714.13751200000002</v>
      </c>
    </row>
    <row r="2051" spans="2:4" x14ac:dyDescent="0.2">
      <c r="B2051" s="1341">
        <v>2342</v>
      </c>
      <c r="C2051" s="1341" t="s">
        <v>3206</v>
      </c>
      <c r="D2051" s="1310">
        <v>677.90002400000003</v>
      </c>
    </row>
    <row r="2052" spans="2:4" x14ac:dyDescent="0.2">
      <c r="B2052" s="1341">
        <v>2343</v>
      </c>
      <c r="C2052" s="1341" t="s">
        <v>3207</v>
      </c>
      <c r="D2052" s="1310">
        <v>626.04000199999996</v>
      </c>
    </row>
    <row r="2053" spans="2:4" x14ac:dyDescent="0.2">
      <c r="B2053" s="1341">
        <v>2344</v>
      </c>
      <c r="C2053" s="1341" t="s">
        <v>3208</v>
      </c>
      <c r="D2053" s="1310">
        <v>659.56667100000004</v>
      </c>
    </row>
    <row r="2054" spans="2:4" x14ac:dyDescent="0.2">
      <c r="B2054" s="1341">
        <v>2345</v>
      </c>
      <c r="C2054" s="1341" t="s">
        <v>3209</v>
      </c>
      <c r="D2054" s="1310">
        <v>757.90000399999997</v>
      </c>
    </row>
    <row r="2055" spans="2:4" x14ac:dyDescent="0.2">
      <c r="B2055" s="1341">
        <v>2346</v>
      </c>
      <c r="C2055" s="1341" t="s">
        <v>3210</v>
      </c>
      <c r="D2055" s="1310">
        <v>652.125</v>
      </c>
    </row>
    <row r="2056" spans="2:4" x14ac:dyDescent="0.2">
      <c r="B2056" s="1341">
        <v>2347</v>
      </c>
      <c r="C2056" s="1341" t="s">
        <v>3211</v>
      </c>
      <c r="D2056" s="1310">
        <v>673.03333499999997</v>
      </c>
    </row>
    <row r="2057" spans="2:4" x14ac:dyDescent="0.2">
      <c r="B2057" s="1341">
        <v>2348</v>
      </c>
      <c r="C2057" s="1341" t="s">
        <v>3212</v>
      </c>
      <c r="D2057" s="1310">
        <v>886.61999500000002</v>
      </c>
    </row>
    <row r="2058" spans="2:4" x14ac:dyDescent="0.2">
      <c r="B2058" s="1341">
        <v>2349</v>
      </c>
      <c r="C2058" s="1341" t="s">
        <v>3213</v>
      </c>
      <c r="D2058" s="1310">
        <v>636.31999499999995</v>
      </c>
    </row>
    <row r="2059" spans="2:4" x14ac:dyDescent="0.2">
      <c r="B2059" s="1341">
        <v>2350</v>
      </c>
      <c r="C2059" s="1341" t="s">
        <v>3214</v>
      </c>
      <c r="D2059" s="1310">
        <v>634.53334600000005</v>
      </c>
    </row>
    <row r="2060" spans="2:4" x14ac:dyDescent="0.2">
      <c r="B2060" s="1341">
        <v>2351</v>
      </c>
      <c r="C2060" s="1341" t="s">
        <v>3215</v>
      </c>
      <c r="D2060" s="1310">
        <v>867.02499399999999</v>
      </c>
    </row>
    <row r="2061" spans="2:4" x14ac:dyDescent="0.2">
      <c r="B2061" s="1341">
        <v>2352</v>
      </c>
      <c r="C2061" s="1341" t="s">
        <v>2559</v>
      </c>
      <c r="D2061" s="1310">
        <v>821.77499399999999</v>
      </c>
    </row>
    <row r="2062" spans="2:4" x14ac:dyDescent="0.2">
      <c r="B2062" s="1341">
        <v>2353</v>
      </c>
      <c r="C2062" s="1341" t="s">
        <v>3216</v>
      </c>
      <c r="D2062" s="1310">
        <v>874.05000800000005</v>
      </c>
    </row>
    <row r="2063" spans="2:4" x14ac:dyDescent="0.2">
      <c r="B2063" s="1341">
        <v>2354</v>
      </c>
      <c r="C2063" s="1341" t="s">
        <v>3217</v>
      </c>
      <c r="D2063" s="1310">
        <v>809.44998199999998</v>
      </c>
    </row>
    <row r="2064" spans="2:4" x14ac:dyDescent="0.2">
      <c r="B2064" s="1341">
        <v>2355</v>
      </c>
      <c r="C2064" s="1341" t="s">
        <v>3218</v>
      </c>
      <c r="D2064" s="1310">
        <v>831.77999299999999</v>
      </c>
    </row>
    <row r="2065" spans="2:4" x14ac:dyDescent="0.2">
      <c r="B2065" s="1341">
        <v>2356</v>
      </c>
      <c r="C2065" s="1341" t="s">
        <v>3219</v>
      </c>
      <c r="D2065" s="1310">
        <v>847.47500600000001</v>
      </c>
    </row>
    <row r="2066" spans="2:4" x14ac:dyDescent="0.2">
      <c r="B2066" s="1341">
        <v>2357</v>
      </c>
      <c r="C2066" s="1341" t="s">
        <v>3220</v>
      </c>
      <c r="D2066" s="1310">
        <v>900.40000399999997</v>
      </c>
    </row>
    <row r="2067" spans="2:4" x14ac:dyDescent="0.2">
      <c r="B2067" s="1341">
        <v>2358</v>
      </c>
      <c r="C2067" s="1341" t="s">
        <v>3221</v>
      </c>
      <c r="D2067" s="1310">
        <v>869.88572499999998</v>
      </c>
    </row>
    <row r="2068" spans="2:4" x14ac:dyDescent="0.2">
      <c r="B2068" s="1341">
        <v>2359</v>
      </c>
      <c r="C2068" s="1341" t="s">
        <v>3222</v>
      </c>
      <c r="D2068" s="1310">
        <v>839.09999600000003</v>
      </c>
    </row>
    <row r="2069" spans="2:4" x14ac:dyDescent="0.2">
      <c r="B2069" s="1341">
        <v>2360</v>
      </c>
      <c r="C2069" s="1341" t="s">
        <v>3223</v>
      </c>
      <c r="D2069" s="1310">
        <v>901.41817400000002</v>
      </c>
    </row>
    <row r="2070" spans="2:4" x14ac:dyDescent="0.2">
      <c r="B2070" s="1341">
        <v>2361</v>
      </c>
      <c r="C2070" s="1341" t="s">
        <v>3224</v>
      </c>
      <c r="D2070" s="1310">
        <v>866.10000600000001</v>
      </c>
    </row>
    <row r="2071" spans="2:4" x14ac:dyDescent="0.2">
      <c r="B2071" s="1341">
        <v>2362</v>
      </c>
      <c r="C2071" s="1341" t="s">
        <v>3225</v>
      </c>
      <c r="D2071" s="1310">
        <v>869.94286199999999</v>
      </c>
    </row>
    <row r="2072" spans="2:4" x14ac:dyDescent="0.2">
      <c r="B2072" s="1341">
        <v>2363</v>
      </c>
      <c r="C2072" s="1341" t="s">
        <v>3226</v>
      </c>
      <c r="D2072" s="1310">
        <v>804.99999300000002</v>
      </c>
    </row>
    <row r="2073" spans="2:4" x14ac:dyDescent="0.2">
      <c r="B2073" s="1341">
        <v>2364</v>
      </c>
      <c r="C2073" s="1341" t="s">
        <v>3227</v>
      </c>
      <c r="D2073" s="1310">
        <v>852.56001000000003</v>
      </c>
    </row>
    <row r="2074" spans="2:4" x14ac:dyDescent="0.2">
      <c r="B2074" s="1341">
        <v>2365</v>
      </c>
      <c r="C2074" s="1341" t="s">
        <v>3228</v>
      </c>
      <c r="D2074" s="1310">
        <v>765.06664999999998</v>
      </c>
    </row>
    <row r="2075" spans="2:4" x14ac:dyDescent="0.2">
      <c r="B2075" s="1341">
        <v>2366</v>
      </c>
      <c r="C2075" s="1341" t="s">
        <v>2204</v>
      </c>
      <c r="D2075" s="1310">
        <v>794.53332499999999</v>
      </c>
    </row>
    <row r="2076" spans="2:4" x14ac:dyDescent="0.2">
      <c r="B2076" s="1341">
        <v>2367</v>
      </c>
      <c r="C2076" s="1341" t="s">
        <v>3229</v>
      </c>
      <c r="D2076" s="1310">
        <v>836.29998799999998</v>
      </c>
    </row>
    <row r="2077" spans="2:4" x14ac:dyDescent="0.2">
      <c r="B2077" s="1341">
        <v>2368</v>
      </c>
      <c r="C2077" s="1341" t="s">
        <v>3230</v>
      </c>
      <c r="D2077" s="1310">
        <v>909.20001200000002</v>
      </c>
    </row>
    <row r="2078" spans="2:4" x14ac:dyDescent="0.2">
      <c r="B2078" s="1341">
        <v>2369</v>
      </c>
      <c r="C2078" s="1341" t="s">
        <v>3231</v>
      </c>
      <c r="D2078" s="1310">
        <v>951.94999700000005</v>
      </c>
    </row>
    <row r="2079" spans="2:4" x14ac:dyDescent="0.2">
      <c r="B2079" s="1341">
        <v>2370</v>
      </c>
      <c r="C2079" s="1341" t="s">
        <v>3232</v>
      </c>
      <c r="D2079" s="1310">
        <v>1010.274979</v>
      </c>
    </row>
    <row r="2080" spans="2:4" x14ac:dyDescent="0.2">
      <c r="B2080" s="1341">
        <v>2371</v>
      </c>
      <c r="C2080" s="1341" t="s">
        <v>3233</v>
      </c>
      <c r="D2080" s="1310">
        <v>1037.034623</v>
      </c>
    </row>
    <row r="2081" spans="2:4" x14ac:dyDescent="0.2">
      <c r="B2081" s="1341">
        <v>2372</v>
      </c>
      <c r="C2081" s="1341" t="s">
        <v>3234</v>
      </c>
      <c r="D2081" s="1310">
        <v>1097.128575</v>
      </c>
    </row>
    <row r="2082" spans="2:4" x14ac:dyDescent="0.2">
      <c r="B2082" s="1341">
        <v>2373</v>
      </c>
      <c r="C2082" s="1341" t="s">
        <v>3235</v>
      </c>
      <c r="D2082" s="1310">
        <v>771.22000100000002</v>
      </c>
    </row>
    <row r="2083" spans="2:4" x14ac:dyDescent="0.2">
      <c r="B2083" s="1341">
        <v>2374</v>
      </c>
      <c r="C2083" s="1341" t="s">
        <v>3236</v>
      </c>
      <c r="D2083" s="1310">
        <v>737.87999300000001</v>
      </c>
    </row>
    <row r="2084" spans="2:4" x14ac:dyDescent="0.2">
      <c r="B2084" s="1341">
        <v>2375</v>
      </c>
      <c r="C2084" s="1341" t="s">
        <v>3237</v>
      </c>
      <c r="D2084" s="1310">
        <v>697.5</v>
      </c>
    </row>
    <row r="2085" spans="2:4" x14ac:dyDescent="0.2">
      <c r="B2085" s="1341">
        <v>2376</v>
      </c>
      <c r="C2085" s="1341" t="s">
        <v>3238</v>
      </c>
      <c r="D2085" s="1310">
        <v>710.08181999999999</v>
      </c>
    </row>
    <row r="2086" spans="2:4" x14ac:dyDescent="0.2">
      <c r="B2086" s="1341">
        <v>2377</v>
      </c>
      <c r="C2086" s="1341" t="s">
        <v>3239</v>
      </c>
      <c r="D2086" s="1310">
        <v>740.54999299999997</v>
      </c>
    </row>
    <row r="2087" spans="2:4" x14ac:dyDescent="0.2">
      <c r="B2087" s="1341">
        <v>2378</v>
      </c>
      <c r="C2087" s="1341" t="s">
        <v>3240</v>
      </c>
      <c r="D2087" s="1310">
        <v>779.90000399999997</v>
      </c>
    </row>
    <row r="2088" spans="2:4" x14ac:dyDescent="0.2">
      <c r="B2088" s="1341">
        <v>2379</v>
      </c>
      <c r="C2088" s="1341" t="s">
        <v>3241</v>
      </c>
      <c r="D2088" s="1310">
        <v>896.72499100000005</v>
      </c>
    </row>
    <row r="2089" spans="2:4" x14ac:dyDescent="0.2">
      <c r="B2089" s="1341">
        <v>2380</v>
      </c>
      <c r="C2089" s="1341" t="s">
        <v>3242</v>
      </c>
      <c r="D2089" s="1310">
        <v>821.5</v>
      </c>
    </row>
    <row r="2090" spans="2:4" x14ac:dyDescent="0.2">
      <c r="B2090" s="1341">
        <v>2381</v>
      </c>
      <c r="C2090" s="1341" t="s">
        <v>3243</v>
      </c>
      <c r="D2090" s="1310">
        <v>782.29999699999996</v>
      </c>
    </row>
    <row r="2091" spans="2:4" x14ac:dyDescent="0.2">
      <c r="B2091" s="1341">
        <v>2382</v>
      </c>
      <c r="C2091" s="1341" t="s">
        <v>3244</v>
      </c>
      <c r="D2091" s="1310">
        <v>825.78000499999996</v>
      </c>
    </row>
    <row r="2092" spans="2:4" x14ac:dyDescent="0.2">
      <c r="B2092" s="1341">
        <v>2383</v>
      </c>
      <c r="C2092" s="1341" t="s">
        <v>3245</v>
      </c>
      <c r="D2092" s="1310">
        <v>1049.819045</v>
      </c>
    </row>
    <row r="2093" spans="2:4" x14ac:dyDescent="0.2">
      <c r="B2093" s="1341">
        <v>2384</v>
      </c>
      <c r="C2093" s="1341" t="s">
        <v>3246</v>
      </c>
      <c r="D2093" s="1310">
        <v>1064.9666540000001</v>
      </c>
    </row>
    <row r="2094" spans="2:4" x14ac:dyDescent="0.2">
      <c r="B2094" s="1341">
        <v>2385</v>
      </c>
      <c r="C2094" s="1341" t="s">
        <v>3247</v>
      </c>
      <c r="D2094" s="1310">
        <v>1044.566691</v>
      </c>
    </row>
    <row r="2095" spans="2:4" x14ac:dyDescent="0.2">
      <c r="B2095" s="1341">
        <v>2386</v>
      </c>
      <c r="C2095" s="1341" t="s">
        <v>3248</v>
      </c>
      <c r="D2095" s="1310">
        <v>1056.179993</v>
      </c>
    </row>
    <row r="2096" spans="2:4" x14ac:dyDescent="0.2">
      <c r="B2096" s="1341">
        <v>2387</v>
      </c>
      <c r="C2096" s="1341" t="s">
        <v>3249</v>
      </c>
      <c r="D2096" s="1310">
        <v>1104.6999510000001</v>
      </c>
    </row>
    <row r="2097" spans="2:4" x14ac:dyDescent="0.2">
      <c r="B2097" s="1341">
        <v>2388</v>
      </c>
      <c r="C2097" s="1341" t="s">
        <v>3250</v>
      </c>
      <c r="D2097" s="1310">
        <v>1039.3071379999999</v>
      </c>
    </row>
    <row r="2098" spans="2:4" x14ac:dyDescent="0.2">
      <c r="B2098" s="1341">
        <v>2389</v>
      </c>
      <c r="C2098" s="1341" t="s">
        <v>3251</v>
      </c>
      <c r="D2098" s="1310">
        <v>1040.599976</v>
      </c>
    </row>
    <row r="2099" spans="2:4" x14ac:dyDescent="0.2">
      <c r="B2099" s="1341">
        <v>2390</v>
      </c>
      <c r="C2099" s="1341" t="s">
        <v>3252</v>
      </c>
      <c r="D2099" s="1310">
        <v>958.30909299999996</v>
      </c>
    </row>
    <row r="2100" spans="2:4" x14ac:dyDescent="0.2">
      <c r="B2100" s="1341">
        <v>2391</v>
      </c>
      <c r="C2100" s="1341" t="s">
        <v>3253</v>
      </c>
      <c r="D2100" s="1310">
        <v>738.25714100000005</v>
      </c>
    </row>
    <row r="2101" spans="2:4" x14ac:dyDescent="0.2">
      <c r="B2101" s="1341">
        <v>2392</v>
      </c>
      <c r="C2101" s="1341" t="s">
        <v>3254</v>
      </c>
      <c r="D2101" s="1310">
        <v>746.73750299999995</v>
      </c>
    </row>
    <row r="2102" spans="2:4" x14ac:dyDescent="0.2">
      <c r="B2102" s="1341">
        <v>2393</v>
      </c>
      <c r="C2102" s="1341" t="s">
        <v>3255</v>
      </c>
      <c r="D2102" s="1310">
        <v>735.16666699999996</v>
      </c>
    </row>
    <row r="2103" spans="2:4" x14ac:dyDescent="0.2">
      <c r="B2103" s="1341">
        <v>2394</v>
      </c>
      <c r="C2103" s="1341" t="s">
        <v>3256</v>
      </c>
      <c r="D2103" s="1310">
        <v>733.375</v>
      </c>
    </row>
    <row r="2104" spans="2:4" x14ac:dyDescent="0.2">
      <c r="B2104" s="1341">
        <v>2395</v>
      </c>
      <c r="C2104" s="1341" t="s">
        <v>3257</v>
      </c>
      <c r="D2104" s="1310">
        <v>721.77500899999995</v>
      </c>
    </row>
    <row r="2105" spans="2:4" x14ac:dyDescent="0.2">
      <c r="B2105" s="1341">
        <v>2396</v>
      </c>
      <c r="C2105" s="1341" t="s">
        <v>3258</v>
      </c>
      <c r="D2105" s="1310">
        <v>724.50713699999994</v>
      </c>
    </row>
    <row r="2106" spans="2:4" x14ac:dyDescent="0.2">
      <c r="B2106" s="1341">
        <v>2397</v>
      </c>
      <c r="C2106" s="1341" t="s">
        <v>3259</v>
      </c>
      <c r="D2106" s="1310">
        <v>757.67333599999995</v>
      </c>
    </row>
    <row r="2107" spans="2:4" x14ac:dyDescent="0.2">
      <c r="B2107" s="1341">
        <v>2398</v>
      </c>
      <c r="C2107" s="1341" t="s">
        <v>3260</v>
      </c>
      <c r="D2107" s="1310">
        <v>760.64286600000003</v>
      </c>
    </row>
    <row r="2108" spans="2:4" x14ac:dyDescent="0.2">
      <c r="B2108" s="1341">
        <v>2399</v>
      </c>
      <c r="C2108" s="1341" t="s">
        <v>3177</v>
      </c>
      <c r="D2108" s="1310">
        <v>707.82000700000003</v>
      </c>
    </row>
    <row r="2109" spans="2:4" x14ac:dyDescent="0.2">
      <c r="B2109" s="1341">
        <v>2400</v>
      </c>
      <c r="C2109" s="1341" t="s">
        <v>3261</v>
      </c>
      <c r="D2109" s="1310">
        <v>720.81667100000004</v>
      </c>
    </row>
    <row r="2110" spans="2:4" x14ac:dyDescent="0.2">
      <c r="B2110" s="1341">
        <v>2401</v>
      </c>
      <c r="C2110" s="1341" t="s">
        <v>3262</v>
      </c>
      <c r="D2110" s="1310">
        <v>753.64000199999998</v>
      </c>
    </row>
    <row r="2111" spans="2:4" x14ac:dyDescent="0.2">
      <c r="B2111" s="1341">
        <v>2402</v>
      </c>
      <c r="C2111" s="1341" t="s">
        <v>2833</v>
      </c>
      <c r="D2111" s="1310">
        <v>773.25000999999997</v>
      </c>
    </row>
    <row r="2112" spans="2:4" x14ac:dyDescent="0.2">
      <c r="B2112" s="1341">
        <v>2403</v>
      </c>
      <c r="C2112" s="1341" t="s">
        <v>3263</v>
      </c>
      <c r="D2112" s="1310">
        <v>790.72221500000001</v>
      </c>
    </row>
    <row r="2113" spans="2:4" x14ac:dyDescent="0.2">
      <c r="B2113" s="1341">
        <v>2404</v>
      </c>
      <c r="C2113" s="1341" t="s">
        <v>3264</v>
      </c>
      <c r="D2113" s="1310">
        <v>761.17776800000001</v>
      </c>
    </row>
    <row r="2114" spans="2:4" x14ac:dyDescent="0.2">
      <c r="B2114" s="1341">
        <v>2405</v>
      </c>
      <c r="C2114" s="1341" t="s">
        <v>3265</v>
      </c>
      <c r="D2114" s="1310">
        <v>772</v>
      </c>
    </row>
    <row r="2115" spans="2:4" x14ac:dyDescent="0.2">
      <c r="B2115" s="1341">
        <v>2406</v>
      </c>
      <c r="C2115" s="1341" t="s">
        <v>3266</v>
      </c>
      <c r="D2115" s="1310">
        <v>733.84000200000003</v>
      </c>
    </row>
    <row r="2116" spans="2:4" x14ac:dyDescent="0.2">
      <c r="B2116" s="1341">
        <v>2407</v>
      </c>
      <c r="C2116" s="1341" t="s">
        <v>3267</v>
      </c>
      <c r="D2116" s="1310">
        <v>700.67499499999997</v>
      </c>
    </row>
    <row r="2117" spans="2:4" x14ac:dyDescent="0.2">
      <c r="B2117" s="1341">
        <v>2408</v>
      </c>
      <c r="C2117" s="1341" t="s">
        <v>3268</v>
      </c>
      <c r="D2117" s="1310">
        <v>697.53998999999999</v>
      </c>
    </row>
    <row r="2118" spans="2:4" x14ac:dyDescent="0.2">
      <c r="B2118" s="1341">
        <v>2409</v>
      </c>
      <c r="C2118" s="1341" t="s">
        <v>3269</v>
      </c>
      <c r="D2118" s="1310">
        <v>732.375</v>
      </c>
    </row>
    <row r="2119" spans="2:4" x14ac:dyDescent="0.2">
      <c r="B2119" s="1341">
        <v>2410</v>
      </c>
      <c r="C2119" s="1341" t="s">
        <v>3270</v>
      </c>
      <c r="D2119" s="1310">
        <v>758.14999399999999</v>
      </c>
    </row>
    <row r="2120" spans="2:4" x14ac:dyDescent="0.2">
      <c r="B2120" s="1341">
        <v>2411</v>
      </c>
      <c r="C2120" s="1341" t="s">
        <v>3271</v>
      </c>
      <c r="D2120" s="1310">
        <v>699.57999299999994</v>
      </c>
    </row>
    <row r="2121" spans="2:4" x14ac:dyDescent="0.2">
      <c r="B2121" s="1341">
        <v>2412</v>
      </c>
      <c r="C2121" s="1341" t="s">
        <v>3272</v>
      </c>
      <c r="D2121" s="1310">
        <v>723.70001200000002</v>
      </c>
    </row>
    <row r="2122" spans="2:4" x14ac:dyDescent="0.2">
      <c r="B2122" s="1341">
        <v>2413</v>
      </c>
      <c r="C2122" s="1341" t="s">
        <v>3273</v>
      </c>
      <c r="D2122" s="1310">
        <v>719.271432</v>
      </c>
    </row>
    <row r="2123" spans="2:4" x14ac:dyDescent="0.2">
      <c r="B2123" s="1341">
        <v>2414</v>
      </c>
      <c r="C2123" s="1341" t="s">
        <v>3274</v>
      </c>
      <c r="D2123" s="1310">
        <v>748.81999499999995</v>
      </c>
    </row>
    <row r="2124" spans="2:4" x14ac:dyDescent="0.2">
      <c r="B2124" s="1341">
        <v>2415</v>
      </c>
      <c r="C2124" s="1341" t="s">
        <v>3275</v>
      </c>
      <c r="D2124" s="1310">
        <v>753.16664600000001</v>
      </c>
    </row>
    <row r="2125" spans="2:4" x14ac:dyDescent="0.2">
      <c r="B2125" s="1341">
        <v>2416</v>
      </c>
      <c r="C2125" s="1341" t="s">
        <v>3276</v>
      </c>
      <c r="D2125" s="1310">
        <v>736.82499700000005</v>
      </c>
    </row>
    <row r="2126" spans="2:4" x14ac:dyDescent="0.2">
      <c r="B2126" s="1341">
        <v>2417</v>
      </c>
      <c r="C2126" s="1341" t="s">
        <v>3277</v>
      </c>
      <c r="D2126" s="1310">
        <v>684.47777599999995</v>
      </c>
    </row>
    <row r="2127" spans="2:4" x14ac:dyDescent="0.2">
      <c r="B2127" s="1341">
        <v>2418</v>
      </c>
      <c r="C2127" s="1341" t="s">
        <v>3278</v>
      </c>
      <c r="D2127" s="1310">
        <v>744.10999800000002</v>
      </c>
    </row>
    <row r="2128" spans="2:4" x14ac:dyDescent="0.2">
      <c r="B2128" s="1341">
        <v>2419</v>
      </c>
      <c r="C2128" s="1341" t="s">
        <v>3279</v>
      </c>
      <c r="D2128" s="1310">
        <v>717.6</v>
      </c>
    </row>
    <row r="2129" spans="2:4" x14ac:dyDescent="0.2">
      <c r="B2129" s="1341">
        <v>2420</v>
      </c>
      <c r="C2129" s="1341" t="s">
        <v>3280</v>
      </c>
      <c r="D2129" s="1310">
        <v>708.77499399999999</v>
      </c>
    </row>
    <row r="2130" spans="2:4" x14ac:dyDescent="0.2">
      <c r="B2130" s="1341">
        <v>2421</v>
      </c>
      <c r="C2130" s="1341" t="s">
        <v>3281</v>
      </c>
      <c r="D2130" s="1310">
        <v>675.60000600000001</v>
      </c>
    </row>
    <row r="2131" spans="2:4" x14ac:dyDescent="0.2">
      <c r="B2131" s="1341">
        <v>2422</v>
      </c>
      <c r="C2131" s="1341" t="s">
        <v>3282</v>
      </c>
      <c r="D2131" s="1310">
        <v>695.22857699999997</v>
      </c>
    </row>
    <row r="2132" spans="2:4" x14ac:dyDescent="0.2">
      <c r="B2132" s="1341">
        <v>2423</v>
      </c>
      <c r="C2132" s="1341" t="s">
        <v>3283</v>
      </c>
      <c r="D2132" s="1310">
        <v>668.728568</v>
      </c>
    </row>
    <row r="2133" spans="2:4" x14ac:dyDescent="0.2">
      <c r="B2133" s="1341">
        <v>2424</v>
      </c>
      <c r="C2133" s="1341" t="s">
        <v>3284</v>
      </c>
      <c r="D2133" s="1310">
        <v>685.75714100000005</v>
      </c>
    </row>
    <row r="2134" spans="2:4" x14ac:dyDescent="0.2">
      <c r="B2134" s="1341">
        <v>2425</v>
      </c>
      <c r="C2134" s="1341" t="s">
        <v>3285</v>
      </c>
      <c r="D2134" s="1310">
        <v>618.53334600000005</v>
      </c>
    </row>
    <row r="2135" spans="2:4" x14ac:dyDescent="0.2">
      <c r="B2135" s="1341">
        <v>2426</v>
      </c>
      <c r="C2135" s="1341" t="s">
        <v>3286</v>
      </c>
      <c r="D2135" s="1310">
        <v>645.66001000000006</v>
      </c>
    </row>
    <row r="2136" spans="2:4" x14ac:dyDescent="0.2">
      <c r="B2136" s="1341">
        <v>2427</v>
      </c>
      <c r="C2136" s="1341" t="s">
        <v>3287</v>
      </c>
      <c r="D2136" s="1310">
        <v>644.63332100000002</v>
      </c>
    </row>
    <row r="2137" spans="2:4" x14ac:dyDescent="0.2">
      <c r="B2137" s="1341">
        <v>2428</v>
      </c>
      <c r="C2137" s="1341" t="s">
        <v>2653</v>
      </c>
      <c r="D2137" s="1310">
        <v>638.64999399999999</v>
      </c>
    </row>
    <row r="2138" spans="2:4" x14ac:dyDescent="0.2">
      <c r="B2138" s="1341">
        <v>2429</v>
      </c>
      <c r="C2138" s="1341" t="s">
        <v>3288</v>
      </c>
      <c r="D2138" s="1310">
        <v>750.57999299999994</v>
      </c>
    </row>
    <row r="2139" spans="2:4" x14ac:dyDescent="0.2">
      <c r="B2139" s="1341">
        <v>2430</v>
      </c>
      <c r="C2139" s="1341" t="s">
        <v>3289</v>
      </c>
      <c r="D2139" s="1310">
        <v>680.46666500000003</v>
      </c>
    </row>
    <row r="2140" spans="2:4" x14ac:dyDescent="0.2">
      <c r="B2140" s="1341">
        <v>2431</v>
      </c>
      <c r="C2140" s="1341" t="s">
        <v>412</v>
      </c>
      <c r="D2140" s="1310">
        <v>666.96896700000002</v>
      </c>
    </row>
    <row r="2141" spans="2:4" x14ac:dyDescent="0.2">
      <c r="B2141" s="1341">
        <v>2432</v>
      </c>
      <c r="C2141" s="1341" t="s">
        <v>3290</v>
      </c>
      <c r="D2141" s="1310">
        <v>675.19998199999998</v>
      </c>
    </row>
    <row r="2142" spans="2:4" x14ac:dyDescent="0.2">
      <c r="B2142" s="1341">
        <v>2433</v>
      </c>
      <c r="C2142" s="1341" t="s">
        <v>3291</v>
      </c>
      <c r="D2142" s="1310">
        <v>667.89999399999999</v>
      </c>
    </row>
    <row r="2143" spans="2:4" x14ac:dyDescent="0.2">
      <c r="B2143" s="1341">
        <v>2434</v>
      </c>
      <c r="C2143" s="1341" t="s">
        <v>3292</v>
      </c>
      <c r="D2143" s="1310">
        <v>677.29998799999998</v>
      </c>
    </row>
    <row r="2144" spans="2:4" x14ac:dyDescent="0.2">
      <c r="B2144" s="1341">
        <v>2435</v>
      </c>
      <c r="C2144" s="1341" t="s">
        <v>2880</v>
      </c>
      <c r="D2144" s="1310">
        <v>754.77499399999999</v>
      </c>
    </row>
    <row r="2145" spans="2:4" x14ac:dyDescent="0.2">
      <c r="B2145" s="1341">
        <v>2436</v>
      </c>
      <c r="C2145" s="1341" t="s">
        <v>3293</v>
      </c>
      <c r="D2145" s="1310">
        <v>669.70001200000002</v>
      </c>
    </row>
    <row r="2146" spans="2:4" x14ac:dyDescent="0.2">
      <c r="B2146" s="1341">
        <v>2437</v>
      </c>
      <c r="C2146" s="1341" t="s">
        <v>3294</v>
      </c>
      <c r="D2146" s="1310">
        <v>705.771432</v>
      </c>
    </row>
    <row r="2147" spans="2:4" x14ac:dyDescent="0.2">
      <c r="B2147" s="1341">
        <v>2438</v>
      </c>
      <c r="C2147" s="1341" t="s">
        <v>3295</v>
      </c>
      <c r="D2147" s="1310">
        <v>701.885716</v>
      </c>
    </row>
    <row r="2148" spans="2:4" x14ac:dyDescent="0.2">
      <c r="B2148" s="1341">
        <v>2439</v>
      </c>
      <c r="C2148" s="1341" t="s">
        <v>3296</v>
      </c>
      <c r="D2148" s="1310">
        <v>701.62857499999996</v>
      </c>
    </row>
    <row r="2149" spans="2:4" x14ac:dyDescent="0.2">
      <c r="B2149" s="1341">
        <v>2440</v>
      </c>
      <c r="C2149" s="1341" t="s">
        <v>3297</v>
      </c>
      <c r="D2149" s="1310">
        <v>723.55000299999995</v>
      </c>
    </row>
    <row r="2150" spans="2:4" x14ac:dyDescent="0.2">
      <c r="B2150" s="1341">
        <v>2441</v>
      </c>
      <c r="C2150" s="1341" t="s">
        <v>3298</v>
      </c>
      <c r="D2150" s="1310">
        <v>730.5</v>
      </c>
    </row>
    <row r="2151" spans="2:4" x14ac:dyDescent="0.2">
      <c r="B2151" s="1341">
        <v>2442</v>
      </c>
      <c r="C2151" s="1341" t="s">
        <v>3299</v>
      </c>
      <c r="D2151" s="1310">
        <v>685</v>
      </c>
    </row>
    <row r="2152" spans="2:4" x14ac:dyDescent="0.2">
      <c r="B2152" s="1341">
        <v>2443</v>
      </c>
      <c r="C2152" s="1341" t="s">
        <v>3300</v>
      </c>
      <c r="D2152" s="1310">
        <v>701.42667200000005</v>
      </c>
    </row>
    <row r="2153" spans="2:4" x14ac:dyDescent="0.2">
      <c r="B2153" s="1341">
        <v>2444</v>
      </c>
      <c r="C2153" s="1341" t="s">
        <v>2706</v>
      </c>
      <c r="D2153" s="1310">
        <v>789.84000200000003</v>
      </c>
    </row>
    <row r="2154" spans="2:4" x14ac:dyDescent="0.2">
      <c r="B2154" s="1341">
        <v>2445</v>
      </c>
      <c r="C2154" s="1341" t="s">
        <v>2900</v>
      </c>
      <c r="D2154" s="1310">
        <v>759.39998800000001</v>
      </c>
    </row>
    <row r="2155" spans="2:4" x14ac:dyDescent="0.2">
      <c r="B2155" s="1341">
        <v>2446</v>
      </c>
      <c r="C2155" s="1341" t="s">
        <v>3301</v>
      </c>
      <c r="D2155" s="1310">
        <v>784.19999900000005</v>
      </c>
    </row>
    <row r="2156" spans="2:4" x14ac:dyDescent="0.2">
      <c r="B2156" s="1341">
        <v>2447</v>
      </c>
      <c r="C2156" s="1341" t="s">
        <v>3302</v>
      </c>
      <c r="D2156" s="1310">
        <v>886.95001200000002</v>
      </c>
    </row>
    <row r="2157" spans="2:4" x14ac:dyDescent="0.2">
      <c r="B2157" s="1341">
        <v>2448</v>
      </c>
      <c r="C2157" s="1341" t="s">
        <v>3303</v>
      </c>
      <c r="D2157" s="1310">
        <v>815.55000299999995</v>
      </c>
    </row>
    <row r="2158" spans="2:4" x14ac:dyDescent="0.2">
      <c r="B2158" s="1341">
        <v>2449</v>
      </c>
      <c r="C2158" s="1341" t="s">
        <v>3304</v>
      </c>
      <c r="D2158" s="1310">
        <v>765.15000199999997</v>
      </c>
    </row>
    <row r="2159" spans="2:4" x14ac:dyDescent="0.2">
      <c r="B2159" s="1341">
        <v>2450</v>
      </c>
      <c r="C2159" s="1341" t="s">
        <v>3305</v>
      </c>
      <c r="D2159" s="1310">
        <v>842.07501200000002</v>
      </c>
    </row>
    <row r="2160" spans="2:4" x14ac:dyDescent="0.2">
      <c r="B2160" s="1341">
        <v>2451</v>
      </c>
      <c r="C2160" s="1341" t="s">
        <v>3306</v>
      </c>
      <c r="D2160" s="1310">
        <v>698.86667899999998</v>
      </c>
    </row>
    <row r="2161" spans="2:4" x14ac:dyDescent="0.2">
      <c r="B2161" s="1341">
        <v>2452</v>
      </c>
      <c r="C2161" s="1341" t="s">
        <v>3307</v>
      </c>
      <c r="D2161" s="1310">
        <v>752.67778199999998</v>
      </c>
    </row>
    <row r="2162" spans="2:4" x14ac:dyDescent="0.2">
      <c r="B2162" s="1341">
        <v>2453</v>
      </c>
      <c r="C2162" s="1341" t="s">
        <v>2380</v>
      </c>
      <c r="D2162" s="1310">
        <v>797.23333700000001</v>
      </c>
    </row>
    <row r="2163" spans="2:4" x14ac:dyDescent="0.2">
      <c r="B2163" s="1341">
        <v>2454</v>
      </c>
      <c r="C2163" s="1341" t="s">
        <v>3308</v>
      </c>
      <c r="D2163" s="1310">
        <v>739.84000200000003</v>
      </c>
    </row>
    <row r="2164" spans="2:4" x14ac:dyDescent="0.2">
      <c r="B2164" s="1341">
        <v>2455</v>
      </c>
      <c r="C2164" s="1341" t="s">
        <v>3309</v>
      </c>
      <c r="D2164" s="1310">
        <v>879.94999199999995</v>
      </c>
    </row>
    <row r="2165" spans="2:4" x14ac:dyDescent="0.2">
      <c r="B2165" s="1341">
        <v>2456</v>
      </c>
      <c r="C2165" s="1341" t="s">
        <v>3310</v>
      </c>
      <c r="D2165" s="1310">
        <v>848.33748600000001</v>
      </c>
    </row>
    <row r="2166" spans="2:4" x14ac:dyDescent="0.2">
      <c r="B2166" s="1341">
        <v>2457</v>
      </c>
      <c r="C2166" s="1341" t="s">
        <v>3311</v>
      </c>
      <c r="D2166" s="1310">
        <v>799.75</v>
      </c>
    </row>
    <row r="2167" spans="2:4" x14ac:dyDescent="0.2">
      <c r="B2167" s="1341">
        <v>2458</v>
      </c>
      <c r="C2167" s="1341" t="s">
        <v>3312</v>
      </c>
      <c r="D2167" s="1310">
        <v>790.86665900000003</v>
      </c>
    </row>
    <row r="2168" spans="2:4" x14ac:dyDescent="0.2">
      <c r="B2168" s="1341">
        <v>2459</v>
      </c>
      <c r="C2168" s="1341" t="s">
        <v>3313</v>
      </c>
      <c r="D2168" s="1310">
        <v>738.52500199999997</v>
      </c>
    </row>
    <row r="2169" spans="2:4" x14ac:dyDescent="0.2">
      <c r="B2169" s="1341">
        <v>2460</v>
      </c>
      <c r="C2169" s="1341" t="s">
        <v>3314</v>
      </c>
      <c r="D2169" s="1310">
        <v>1025.8461589999999</v>
      </c>
    </row>
    <row r="2170" spans="2:4" x14ac:dyDescent="0.2">
      <c r="B2170" s="1341">
        <v>2461</v>
      </c>
      <c r="C2170" s="1341" t="s">
        <v>3315</v>
      </c>
      <c r="D2170" s="1310">
        <v>1091.9999760000001</v>
      </c>
    </row>
    <row r="2171" spans="2:4" x14ac:dyDescent="0.2">
      <c r="B2171" s="1341">
        <v>2462</v>
      </c>
      <c r="C2171" s="1341" t="s">
        <v>3316</v>
      </c>
      <c r="D2171" s="1310">
        <v>695.06667100000004</v>
      </c>
    </row>
    <row r="2172" spans="2:4" x14ac:dyDescent="0.2">
      <c r="B2172" s="1341">
        <v>2463</v>
      </c>
      <c r="C2172" s="1341" t="s">
        <v>3317</v>
      </c>
      <c r="D2172" s="1310">
        <v>703.18001700000002</v>
      </c>
    </row>
    <row r="2173" spans="2:4" x14ac:dyDescent="0.2">
      <c r="B2173" s="1341">
        <v>2464</v>
      </c>
      <c r="C2173" s="1341" t="s">
        <v>3318</v>
      </c>
      <c r="D2173" s="1310">
        <v>729.02857300000005</v>
      </c>
    </row>
    <row r="2174" spans="2:4" x14ac:dyDescent="0.2">
      <c r="B2174" s="1341">
        <v>2465</v>
      </c>
      <c r="C2174" s="1341" t="s">
        <v>3319</v>
      </c>
      <c r="D2174" s="1310">
        <v>724.56664999999998</v>
      </c>
    </row>
    <row r="2175" spans="2:4" x14ac:dyDescent="0.2">
      <c r="B2175" s="1341">
        <v>2466</v>
      </c>
      <c r="C2175" s="1341" t="s">
        <v>3320</v>
      </c>
      <c r="D2175" s="1310">
        <v>714.95001200000002</v>
      </c>
    </row>
    <row r="2176" spans="2:4" x14ac:dyDescent="0.2">
      <c r="B2176" s="1341">
        <v>2467</v>
      </c>
      <c r="C2176" s="1341" t="s">
        <v>3321</v>
      </c>
      <c r="D2176" s="1310">
        <v>745.12221999999997</v>
      </c>
    </row>
    <row r="2177" spans="2:4" x14ac:dyDescent="0.2">
      <c r="B2177" s="1341">
        <v>2468</v>
      </c>
      <c r="C2177" s="1341" t="s">
        <v>3322</v>
      </c>
      <c r="D2177" s="1310">
        <v>758.05000800000005</v>
      </c>
    </row>
    <row r="2178" spans="2:4" x14ac:dyDescent="0.2">
      <c r="B2178" s="1341">
        <v>2469</v>
      </c>
      <c r="C2178" s="1341" t="s">
        <v>3323</v>
      </c>
      <c r="D2178" s="1310">
        <v>707.5</v>
      </c>
    </row>
    <row r="2179" spans="2:4" x14ac:dyDescent="0.2">
      <c r="B2179" s="1341">
        <v>2470</v>
      </c>
      <c r="C2179" s="1341" t="s">
        <v>3324</v>
      </c>
      <c r="D2179" s="1310">
        <v>725.27500899999995</v>
      </c>
    </row>
    <row r="2180" spans="2:4" x14ac:dyDescent="0.2">
      <c r="B2180" s="1341">
        <v>2471</v>
      </c>
      <c r="C2180" s="1341" t="s">
        <v>3325</v>
      </c>
      <c r="D2180" s="1310">
        <v>771.34443499999998</v>
      </c>
    </row>
    <row r="2181" spans="2:4" x14ac:dyDescent="0.2">
      <c r="B2181" s="1341">
        <v>2472</v>
      </c>
      <c r="C2181" s="1341" t="s">
        <v>3326</v>
      </c>
      <c r="D2181" s="1310">
        <v>731.13334099999997</v>
      </c>
    </row>
    <row r="2182" spans="2:4" x14ac:dyDescent="0.2">
      <c r="B2182" s="1341">
        <v>2473</v>
      </c>
      <c r="C2182" s="1341" t="s">
        <v>3327</v>
      </c>
      <c r="D2182" s="1310">
        <v>712.259998</v>
      </c>
    </row>
    <row r="2183" spans="2:4" x14ac:dyDescent="0.2">
      <c r="B2183" s="1341">
        <v>2474</v>
      </c>
      <c r="C2183" s="1341" t="s">
        <v>3328</v>
      </c>
      <c r="D2183" s="1310">
        <v>709.57499700000005</v>
      </c>
    </row>
    <row r="2184" spans="2:4" x14ac:dyDescent="0.2">
      <c r="B2184" s="1341">
        <v>2475</v>
      </c>
      <c r="C2184" s="1341" t="s">
        <v>3329</v>
      </c>
      <c r="D2184" s="1310">
        <v>707.51249700000005</v>
      </c>
    </row>
    <row r="2185" spans="2:4" x14ac:dyDescent="0.2">
      <c r="B2185" s="1341">
        <v>2476</v>
      </c>
      <c r="C2185" s="1341" t="s">
        <v>3330</v>
      </c>
      <c r="D2185" s="1310">
        <v>780.14999399999999</v>
      </c>
    </row>
    <row r="2186" spans="2:4" x14ac:dyDescent="0.2">
      <c r="B2186" s="1341">
        <v>2477</v>
      </c>
      <c r="C2186" s="1341" t="s">
        <v>3331</v>
      </c>
      <c r="D2186" s="1310">
        <v>778.62143400000002</v>
      </c>
    </row>
    <row r="2187" spans="2:4" x14ac:dyDescent="0.2">
      <c r="B2187" s="1341">
        <v>2478</v>
      </c>
      <c r="C2187" s="1341" t="s">
        <v>3332</v>
      </c>
      <c r="D2187" s="1310">
        <v>702.69999199999995</v>
      </c>
    </row>
    <row r="2188" spans="2:4" x14ac:dyDescent="0.2">
      <c r="B2188" s="1341">
        <v>2479</v>
      </c>
      <c r="C2188" s="1341" t="s">
        <v>3333</v>
      </c>
      <c r="D2188" s="1310">
        <v>746.90000899999995</v>
      </c>
    </row>
    <row r="2189" spans="2:4" x14ac:dyDescent="0.2">
      <c r="B2189" s="1341">
        <v>2480</v>
      </c>
      <c r="C2189" s="1341" t="s">
        <v>3334</v>
      </c>
      <c r="D2189" s="1310">
        <v>777.30000299999995</v>
      </c>
    </row>
    <row r="2190" spans="2:4" x14ac:dyDescent="0.2">
      <c r="B2190" s="1341">
        <v>2481</v>
      </c>
      <c r="C2190" s="1341" t="s">
        <v>3335</v>
      </c>
      <c r="D2190" s="1310">
        <v>737.45001200000002</v>
      </c>
    </row>
    <row r="2191" spans="2:4" x14ac:dyDescent="0.2">
      <c r="B2191" s="1341">
        <v>2482</v>
      </c>
      <c r="C2191" s="1341" t="s">
        <v>3336</v>
      </c>
      <c r="D2191" s="1310">
        <v>722.16666699999996</v>
      </c>
    </row>
    <row r="2192" spans="2:4" x14ac:dyDescent="0.2">
      <c r="B2192" s="1341">
        <v>2483</v>
      </c>
      <c r="C2192" s="1341" t="s">
        <v>3337</v>
      </c>
      <c r="D2192" s="1310">
        <v>763.20000200000004</v>
      </c>
    </row>
    <row r="2193" spans="2:4" x14ac:dyDescent="0.2">
      <c r="B2193" s="1341">
        <v>2484</v>
      </c>
      <c r="C2193" s="1341" t="s">
        <v>3338</v>
      </c>
      <c r="D2193" s="1310">
        <v>799.33750199999997</v>
      </c>
    </row>
    <row r="2194" spans="2:4" x14ac:dyDescent="0.2">
      <c r="B2194" s="1341">
        <v>2485</v>
      </c>
      <c r="C2194" s="1341" t="s">
        <v>3339</v>
      </c>
      <c r="D2194" s="1310">
        <v>755.35000600000001</v>
      </c>
    </row>
    <row r="2195" spans="2:4" x14ac:dyDescent="0.2">
      <c r="B2195" s="1341">
        <v>2486</v>
      </c>
      <c r="C2195" s="1341" t="s">
        <v>3340</v>
      </c>
      <c r="D2195" s="1310">
        <v>752.14999399999999</v>
      </c>
    </row>
    <row r="2196" spans="2:4" x14ac:dyDescent="0.2">
      <c r="B2196" s="1341">
        <v>2487</v>
      </c>
      <c r="C2196" s="1341" t="s">
        <v>3341</v>
      </c>
      <c r="D2196" s="1310">
        <v>750.17999299999997</v>
      </c>
    </row>
    <row r="2197" spans="2:4" x14ac:dyDescent="0.2">
      <c r="B2197" s="1341">
        <v>2488</v>
      </c>
      <c r="C2197" s="1341" t="s">
        <v>3342</v>
      </c>
      <c r="D2197" s="1310">
        <v>692.16665599999999</v>
      </c>
    </row>
    <row r="2198" spans="2:4" x14ac:dyDescent="0.2">
      <c r="B2198" s="1341">
        <v>2489</v>
      </c>
      <c r="C2198" s="1341" t="s">
        <v>3343</v>
      </c>
      <c r="D2198" s="1310">
        <v>695.90000399999997</v>
      </c>
    </row>
    <row r="2199" spans="2:4" x14ac:dyDescent="0.2">
      <c r="B2199" s="1341">
        <v>2490</v>
      </c>
      <c r="C2199" s="1341" t="s">
        <v>3344</v>
      </c>
      <c r="D2199" s="1310">
        <v>705.15000199999997</v>
      </c>
    </row>
    <row r="2200" spans="2:4" x14ac:dyDescent="0.2">
      <c r="B2200" s="1341">
        <v>2491</v>
      </c>
      <c r="C2200" s="1341" t="s">
        <v>3345</v>
      </c>
      <c r="D2200" s="1310">
        <v>735.25715000000002</v>
      </c>
    </row>
    <row r="2201" spans="2:4" x14ac:dyDescent="0.2">
      <c r="B2201" s="1341">
        <v>2492</v>
      </c>
      <c r="C2201" s="1341" t="s">
        <v>3346</v>
      </c>
      <c r="D2201" s="1310">
        <v>691.59997599999997</v>
      </c>
    </row>
    <row r="2202" spans="2:4" x14ac:dyDescent="0.2">
      <c r="B2202" s="1341">
        <v>2493</v>
      </c>
      <c r="C2202" s="1341" t="s">
        <v>3347</v>
      </c>
      <c r="D2202" s="1310">
        <v>698.34999400000004</v>
      </c>
    </row>
    <row r="2203" spans="2:4" x14ac:dyDescent="0.2">
      <c r="B2203" s="1341">
        <v>2494</v>
      </c>
      <c r="C2203" s="1341" t="s">
        <v>3348</v>
      </c>
      <c r="D2203" s="1310">
        <v>777.37778700000001</v>
      </c>
    </row>
    <row r="2204" spans="2:4" x14ac:dyDescent="0.2">
      <c r="B2204" s="1341">
        <v>2495</v>
      </c>
      <c r="C2204" s="1341" t="s">
        <v>3349</v>
      </c>
      <c r="D2204" s="1310">
        <v>706.20001200000002</v>
      </c>
    </row>
    <row r="2205" spans="2:4" x14ac:dyDescent="0.2">
      <c r="B2205" s="1341">
        <v>2496</v>
      </c>
      <c r="C2205" s="1341" t="s">
        <v>3350</v>
      </c>
      <c r="D2205" s="1310">
        <v>703.43332899999996</v>
      </c>
    </row>
    <row r="2206" spans="2:4" x14ac:dyDescent="0.2">
      <c r="B2206" s="1341">
        <v>2497</v>
      </c>
      <c r="C2206" s="1341" t="s">
        <v>3351</v>
      </c>
      <c r="D2206" s="1310">
        <v>707.22083799999996</v>
      </c>
    </row>
    <row r="2207" spans="2:4" x14ac:dyDescent="0.2">
      <c r="B2207" s="1341">
        <v>2498</v>
      </c>
      <c r="C2207" s="1341" t="s">
        <v>3352</v>
      </c>
      <c r="D2207" s="1310">
        <v>764.13748899999996</v>
      </c>
    </row>
    <row r="2208" spans="2:4" x14ac:dyDescent="0.2">
      <c r="B2208" s="1341">
        <v>2499</v>
      </c>
      <c r="C2208" s="1341" t="s">
        <v>3353</v>
      </c>
      <c r="D2208" s="1310">
        <v>758.5625</v>
      </c>
    </row>
    <row r="2209" spans="2:4" x14ac:dyDescent="0.2">
      <c r="B2209" s="1341">
        <v>2500</v>
      </c>
      <c r="C2209" s="1341" t="s">
        <v>3354</v>
      </c>
      <c r="D2209" s="1310">
        <v>842.79999699999996</v>
      </c>
    </row>
    <row r="2210" spans="2:4" x14ac:dyDescent="0.2">
      <c r="B2210" s="1341">
        <v>2502</v>
      </c>
      <c r="C2210" s="1341" t="s">
        <v>3355</v>
      </c>
      <c r="D2210" s="1310">
        <v>744</v>
      </c>
    </row>
    <row r="2211" spans="2:4" x14ac:dyDescent="0.2">
      <c r="B2211" s="1341">
        <v>2503</v>
      </c>
      <c r="C2211" s="1341" t="s">
        <v>3356</v>
      </c>
      <c r="D2211" s="1310">
        <v>746.59090900000001</v>
      </c>
    </row>
    <row r="2212" spans="2:4" x14ac:dyDescent="0.2">
      <c r="B2212" s="1341">
        <v>2504</v>
      </c>
      <c r="C2212" s="1341" t="s">
        <v>3357</v>
      </c>
      <c r="D2212" s="1310">
        <v>740.22500600000001</v>
      </c>
    </row>
    <row r="2213" spans="2:4" x14ac:dyDescent="0.2">
      <c r="B2213" s="1341">
        <v>2505</v>
      </c>
      <c r="C2213" s="1341" t="s">
        <v>3358</v>
      </c>
      <c r="D2213" s="1310">
        <v>741.08333300000004</v>
      </c>
    </row>
    <row r="2214" spans="2:4" x14ac:dyDescent="0.2">
      <c r="B2214" s="1341">
        <v>2506</v>
      </c>
      <c r="C2214" s="1341" t="s">
        <v>3359</v>
      </c>
      <c r="D2214" s="1310">
        <v>703.65999799999997</v>
      </c>
    </row>
    <row r="2215" spans="2:4" x14ac:dyDescent="0.2">
      <c r="B2215" s="1341">
        <v>2507</v>
      </c>
      <c r="C2215" s="1341" t="s">
        <v>3360</v>
      </c>
      <c r="D2215" s="1310">
        <v>742.96667500000001</v>
      </c>
    </row>
    <row r="2216" spans="2:4" x14ac:dyDescent="0.2">
      <c r="B2216" s="1341">
        <v>2508</v>
      </c>
      <c r="C2216" s="1341" t="s">
        <v>3361</v>
      </c>
      <c r="D2216" s="1310">
        <v>692.35000600000001</v>
      </c>
    </row>
    <row r="2217" spans="2:4" x14ac:dyDescent="0.2">
      <c r="B2217" s="1341">
        <v>2509</v>
      </c>
      <c r="C2217" s="1341" t="s">
        <v>3362</v>
      </c>
      <c r="D2217" s="1310">
        <v>742.46667500000001</v>
      </c>
    </row>
    <row r="2218" spans="2:4" x14ac:dyDescent="0.2">
      <c r="B2218" s="1341">
        <v>2510</v>
      </c>
      <c r="C2218" s="1341" t="s">
        <v>3363</v>
      </c>
      <c r="D2218" s="1310">
        <v>697.94999700000005</v>
      </c>
    </row>
    <row r="2219" spans="2:4" x14ac:dyDescent="0.2">
      <c r="B2219" s="1341">
        <v>2511</v>
      </c>
      <c r="C2219" s="1341" t="s">
        <v>3364</v>
      </c>
      <c r="D2219" s="1310">
        <v>737.43332899999996</v>
      </c>
    </row>
    <row r="2220" spans="2:4" x14ac:dyDescent="0.2">
      <c r="B2220" s="1341">
        <v>2512</v>
      </c>
      <c r="C2220" s="1341" t="s">
        <v>3365</v>
      </c>
      <c r="D2220" s="1310">
        <v>712.86665900000003</v>
      </c>
    </row>
    <row r="2221" spans="2:4" x14ac:dyDescent="0.2">
      <c r="B2221" s="1341">
        <v>2513</v>
      </c>
      <c r="C2221" s="1341" t="s">
        <v>3366</v>
      </c>
      <c r="D2221" s="1310">
        <v>668.86665900000003</v>
      </c>
    </row>
    <row r="2222" spans="2:4" x14ac:dyDescent="0.2">
      <c r="B2222" s="1341">
        <v>2514</v>
      </c>
      <c r="C2222" s="1341" t="s">
        <v>3367</v>
      </c>
      <c r="D2222" s="1310">
        <v>731.78000499999996</v>
      </c>
    </row>
    <row r="2223" spans="2:4" x14ac:dyDescent="0.2">
      <c r="B2223" s="1341">
        <v>2515</v>
      </c>
      <c r="C2223" s="1341" t="s">
        <v>3368</v>
      </c>
      <c r="D2223" s="1310">
        <v>714.53332499999999</v>
      </c>
    </row>
    <row r="2224" spans="2:4" x14ac:dyDescent="0.2">
      <c r="B2224" s="1341">
        <v>2516</v>
      </c>
      <c r="C2224" s="1341" t="s">
        <v>3369</v>
      </c>
      <c r="D2224" s="1310">
        <v>684.56667100000004</v>
      </c>
    </row>
    <row r="2225" spans="2:4" x14ac:dyDescent="0.2">
      <c r="B2225" s="1341">
        <v>2517</v>
      </c>
      <c r="C2225" s="1341" t="s">
        <v>3370</v>
      </c>
      <c r="D2225" s="1310">
        <v>729.43332899999996</v>
      </c>
    </row>
    <row r="2226" spans="2:4" x14ac:dyDescent="0.2">
      <c r="B2226" s="1341">
        <v>2518</v>
      </c>
      <c r="C2226" s="1341" t="s">
        <v>3371</v>
      </c>
      <c r="D2226" s="1310">
        <v>680.90002400000003</v>
      </c>
    </row>
    <row r="2227" spans="2:4" x14ac:dyDescent="0.2">
      <c r="B2227" s="1341">
        <v>2519</v>
      </c>
      <c r="C2227" s="1341" t="s">
        <v>3372</v>
      </c>
      <c r="D2227" s="1310">
        <v>703.29999499999997</v>
      </c>
    </row>
    <row r="2228" spans="2:4" x14ac:dyDescent="0.2">
      <c r="B2228" s="1341">
        <v>2520</v>
      </c>
      <c r="C2228" s="1341" t="s">
        <v>3373</v>
      </c>
      <c r="D2228" s="1310">
        <v>718.14999399999999</v>
      </c>
    </row>
    <row r="2229" spans="2:4" x14ac:dyDescent="0.2">
      <c r="B2229" s="1341">
        <v>2521</v>
      </c>
      <c r="C2229" s="1341" t="s">
        <v>3374</v>
      </c>
      <c r="D2229" s="1310">
        <v>718.16667700000005</v>
      </c>
    </row>
    <row r="2230" spans="2:4" x14ac:dyDescent="0.2">
      <c r="B2230" s="1341">
        <v>2522</v>
      </c>
      <c r="C2230" s="1341" t="s">
        <v>3375</v>
      </c>
      <c r="D2230" s="1310">
        <v>758.69998199999998</v>
      </c>
    </row>
    <row r="2231" spans="2:4" x14ac:dyDescent="0.2">
      <c r="B2231" s="1341">
        <v>2523</v>
      </c>
      <c r="C2231" s="1341" t="s">
        <v>3376</v>
      </c>
      <c r="D2231" s="1310">
        <v>747.15000899999995</v>
      </c>
    </row>
    <row r="2232" spans="2:4" x14ac:dyDescent="0.2">
      <c r="B2232" s="1341">
        <v>2524</v>
      </c>
      <c r="C2232" s="1341" t="s">
        <v>3377</v>
      </c>
      <c r="D2232" s="1310">
        <v>764.29998799999998</v>
      </c>
    </row>
    <row r="2233" spans="2:4" x14ac:dyDescent="0.2">
      <c r="B2233" s="1341">
        <v>2525</v>
      </c>
      <c r="C2233" s="1341" t="s">
        <v>3378</v>
      </c>
      <c r="D2233" s="1310">
        <v>802.11250299999995</v>
      </c>
    </row>
    <row r="2234" spans="2:4" x14ac:dyDescent="0.2">
      <c r="B2234" s="1341">
        <v>2526</v>
      </c>
      <c r="C2234" s="1341" t="s">
        <v>2571</v>
      </c>
      <c r="D2234" s="1310">
        <v>801.79375500000003</v>
      </c>
    </row>
    <row r="2235" spans="2:4" x14ac:dyDescent="0.2">
      <c r="B2235" s="1341">
        <v>2527</v>
      </c>
      <c r="C2235" s="1341" t="s">
        <v>3379</v>
      </c>
      <c r="D2235" s="1310">
        <v>785.19999900000005</v>
      </c>
    </row>
    <row r="2236" spans="2:4" x14ac:dyDescent="0.2">
      <c r="B2236" s="1341">
        <v>2528</v>
      </c>
      <c r="C2236" s="1341" t="s">
        <v>3380</v>
      </c>
      <c r="D2236" s="1310">
        <v>769.97997999999995</v>
      </c>
    </row>
    <row r="2237" spans="2:4" x14ac:dyDescent="0.2">
      <c r="B2237" s="1341">
        <v>2529</v>
      </c>
      <c r="C2237" s="1341" t="s">
        <v>3381</v>
      </c>
      <c r="D2237" s="1310">
        <v>830.51250500000003</v>
      </c>
    </row>
    <row r="2238" spans="2:4" x14ac:dyDescent="0.2">
      <c r="B2238" s="1341">
        <v>2530</v>
      </c>
      <c r="C2238" s="1341" t="s">
        <v>3382</v>
      </c>
      <c r="D2238" s="1310">
        <v>830.76153099999999</v>
      </c>
    </row>
    <row r="2239" spans="2:4" x14ac:dyDescent="0.2">
      <c r="B2239" s="1341">
        <v>2531</v>
      </c>
      <c r="C2239" s="1341" t="s">
        <v>3383</v>
      </c>
      <c r="D2239" s="1310">
        <v>874.07499700000005</v>
      </c>
    </row>
    <row r="2240" spans="2:4" x14ac:dyDescent="0.2">
      <c r="B2240" s="1341">
        <v>2532</v>
      </c>
      <c r="C2240" s="1341" t="s">
        <v>3384</v>
      </c>
      <c r="D2240" s="1310">
        <v>840.40002400000003</v>
      </c>
    </row>
    <row r="2241" spans="2:4" x14ac:dyDescent="0.2">
      <c r="B2241" s="1341">
        <v>2533</v>
      </c>
      <c r="C2241" s="1341" t="s">
        <v>3385</v>
      </c>
      <c r="D2241" s="1310">
        <v>873.69999199999995</v>
      </c>
    </row>
    <row r="2242" spans="2:4" x14ac:dyDescent="0.2">
      <c r="B2242" s="1341">
        <v>2534</v>
      </c>
      <c r="C2242" s="1341" t="s">
        <v>3386</v>
      </c>
      <c r="D2242" s="1310">
        <v>928.95998499999996</v>
      </c>
    </row>
    <row r="2243" spans="2:4" x14ac:dyDescent="0.2">
      <c r="B2243" s="1341">
        <v>2535</v>
      </c>
      <c r="C2243" s="1341" t="s">
        <v>3387</v>
      </c>
      <c r="D2243" s="1310">
        <v>818.64999399999999</v>
      </c>
    </row>
    <row r="2244" spans="2:4" x14ac:dyDescent="0.2">
      <c r="B2244" s="1341">
        <v>2536</v>
      </c>
      <c r="C2244" s="1341" t="s">
        <v>3388</v>
      </c>
      <c r="D2244" s="1310">
        <v>750.59999100000005</v>
      </c>
    </row>
    <row r="2245" spans="2:4" x14ac:dyDescent="0.2">
      <c r="B2245" s="1341">
        <v>2537</v>
      </c>
      <c r="C2245" s="1341" t="s">
        <v>3389</v>
      </c>
      <c r="D2245" s="1310">
        <v>808.65000899999995</v>
      </c>
    </row>
    <row r="2246" spans="2:4" x14ac:dyDescent="0.2">
      <c r="B2246" s="1341">
        <v>2538</v>
      </c>
      <c r="C2246" s="1341" t="s">
        <v>3390</v>
      </c>
      <c r="D2246" s="1310">
        <v>829.10000200000002</v>
      </c>
    </row>
    <row r="2247" spans="2:4" x14ac:dyDescent="0.2">
      <c r="B2247" s="1341">
        <v>2539</v>
      </c>
      <c r="C2247" s="1341" t="s">
        <v>2688</v>
      </c>
      <c r="D2247" s="1310">
        <v>778.5</v>
      </c>
    </row>
    <row r="2248" spans="2:4" x14ac:dyDescent="0.2">
      <c r="B2248" s="1341">
        <v>2540</v>
      </c>
      <c r="C2248" s="1341" t="s">
        <v>3391</v>
      </c>
      <c r="D2248" s="1310">
        <v>802.15555099999995</v>
      </c>
    </row>
    <row r="2249" spans="2:4" x14ac:dyDescent="0.2">
      <c r="B2249" s="1341">
        <v>2541</v>
      </c>
      <c r="C2249" s="1341" t="s">
        <v>3392</v>
      </c>
      <c r="D2249" s="1310">
        <v>843.23333100000002</v>
      </c>
    </row>
    <row r="2250" spans="2:4" x14ac:dyDescent="0.2">
      <c r="B2250" s="1341">
        <v>2542</v>
      </c>
      <c r="C2250" s="1341" t="s">
        <v>3393</v>
      </c>
      <c r="D2250" s="1310">
        <v>829.45000200000004</v>
      </c>
    </row>
    <row r="2251" spans="2:4" x14ac:dyDescent="0.2">
      <c r="B2251" s="1341">
        <v>2543</v>
      </c>
      <c r="C2251" s="1341" t="s">
        <v>3394</v>
      </c>
      <c r="D2251" s="1310">
        <v>786.72855900000002</v>
      </c>
    </row>
    <row r="2252" spans="2:4" x14ac:dyDescent="0.2">
      <c r="B2252" s="1341">
        <v>2544</v>
      </c>
      <c r="C2252" s="1341" t="s">
        <v>3395</v>
      </c>
      <c r="D2252" s="1310">
        <v>814.92857100000003</v>
      </c>
    </row>
    <row r="2253" spans="2:4" x14ac:dyDescent="0.2">
      <c r="B2253" s="1341">
        <v>2545</v>
      </c>
      <c r="C2253" s="1341" t="s">
        <v>3396</v>
      </c>
      <c r="D2253" s="1310">
        <v>826.92500299999995</v>
      </c>
    </row>
    <row r="2254" spans="2:4" x14ac:dyDescent="0.2">
      <c r="B2254" s="1341">
        <v>2546</v>
      </c>
      <c r="C2254" s="1341" t="s">
        <v>3397</v>
      </c>
      <c r="D2254" s="1310">
        <v>831.03749100000005</v>
      </c>
    </row>
    <row r="2255" spans="2:4" x14ac:dyDescent="0.2">
      <c r="B2255" s="1341">
        <v>2547</v>
      </c>
      <c r="C2255" s="1341" t="s">
        <v>3398</v>
      </c>
      <c r="D2255" s="1310">
        <v>900.99998500000004</v>
      </c>
    </row>
    <row r="2256" spans="2:4" x14ac:dyDescent="0.2">
      <c r="B2256" s="1341">
        <v>2548</v>
      </c>
      <c r="C2256" s="1341" t="s">
        <v>3399</v>
      </c>
      <c r="D2256" s="1310">
        <v>907.18000500000005</v>
      </c>
    </row>
    <row r="2257" spans="2:4" x14ac:dyDescent="0.2">
      <c r="B2257" s="1341">
        <v>2549</v>
      </c>
      <c r="C2257" s="1341" t="s">
        <v>3400</v>
      </c>
      <c r="D2257" s="1310">
        <v>862.31819299999995</v>
      </c>
    </row>
    <row r="2258" spans="2:4" x14ac:dyDescent="0.2">
      <c r="B2258" s="1341">
        <v>2550</v>
      </c>
      <c r="C2258" s="1341" t="s">
        <v>3401</v>
      </c>
      <c r="D2258" s="1310">
        <v>941.56664999999998</v>
      </c>
    </row>
    <row r="2259" spans="2:4" x14ac:dyDescent="0.2">
      <c r="B2259" s="1341">
        <v>2551</v>
      </c>
      <c r="C2259" s="1341" t="s">
        <v>3402</v>
      </c>
      <c r="D2259" s="1310">
        <v>939.09999700000003</v>
      </c>
    </row>
    <row r="2260" spans="2:4" x14ac:dyDescent="0.2">
      <c r="B2260" s="1341">
        <v>2552</v>
      </c>
      <c r="C2260" s="1341" t="s">
        <v>3403</v>
      </c>
      <c r="D2260" s="1310">
        <v>915.60001599999998</v>
      </c>
    </row>
    <row r="2261" spans="2:4" x14ac:dyDescent="0.2">
      <c r="B2261" s="1341">
        <v>2553</v>
      </c>
      <c r="C2261" s="1341" t="s">
        <v>3404</v>
      </c>
      <c r="D2261" s="1310">
        <v>930.25385500000004</v>
      </c>
    </row>
    <row r="2262" spans="2:4" x14ac:dyDescent="0.2">
      <c r="B2262" s="1341">
        <v>2554</v>
      </c>
      <c r="C2262" s="1341" t="s">
        <v>3405</v>
      </c>
      <c r="D2262" s="1310">
        <v>874.57778599999995</v>
      </c>
    </row>
    <row r="2263" spans="2:4" x14ac:dyDescent="0.2">
      <c r="B2263" s="1341">
        <v>2555</v>
      </c>
      <c r="C2263" s="1341" t="s">
        <v>3406</v>
      </c>
      <c r="D2263" s="1310">
        <v>884.51429099999996</v>
      </c>
    </row>
    <row r="2264" spans="2:4" x14ac:dyDescent="0.2">
      <c r="B2264" s="1341">
        <v>2556</v>
      </c>
      <c r="C2264" s="1341" t="s">
        <v>3407</v>
      </c>
      <c r="D2264" s="1310">
        <v>832.49824599999999</v>
      </c>
    </row>
    <row r="2265" spans="2:4" x14ac:dyDescent="0.2">
      <c r="B2265" s="1341">
        <v>2601</v>
      </c>
      <c r="C2265" s="1341" t="s">
        <v>3408</v>
      </c>
      <c r="D2265" s="1310">
        <v>791.15555800000004</v>
      </c>
    </row>
    <row r="2266" spans="2:4" x14ac:dyDescent="0.2">
      <c r="B2266" s="1341">
        <v>2602</v>
      </c>
      <c r="C2266" s="1341" t="s">
        <v>3409</v>
      </c>
      <c r="D2266" s="1310">
        <v>836.71666500000003</v>
      </c>
    </row>
    <row r="2267" spans="2:4" x14ac:dyDescent="0.2">
      <c r="B2267" s="1341">
        <v>2603</v>
      </c>
      <c r="C2267" s="1341" t="s">
        <v>3410</v>
      </c>
      <c r="D2267" s="1310">
        <v>808.46666100000004</v>
      </c>
    </row>
    <row r="2268" spans="2:4" x14ac:dyDescent="0.2">
      <c r="B2268" s="1341">
        <v>2604</v>
      </c>
      <c r="C2268" s="1341" t="s">
        <v>3411</v>
      </c>
      <c r="D2268" s="1310">
        <v>807.59999600000003</v>
      </c>
    </row>
    <row r="2269" spans="2:4" x14ac:dyDescent="0.2">
      <c r="B2269" s="1341">
        <v>2605</v>
      </c>
      <c r="C2269" s="1341" t="s">
        <v>3412</v>
      </c>
      <c r="D2269" s="1310">
        <v>769.14000199999998</v>
      </c>
    </row>
    <row r="2270" spans="2:4" x14ac:dyDescent="0.2">
      <c r="B2270" s="1341">
        <v>2606</v>
      </c>
      <c r="C2270" s="1341" t="s">
        <v>3413</v>
      </c>
      <c r="D2270" s="1310">
        <v>818.92000700000006</v>
      </c>
    </row>
    <row r="2271" spans="2:4" x14ac:dyDescent="0.2">
      <c r="B2271" s="1341">
        <v>2607</v>
      </c>
      <c r="C2271" s="1341" t="s">
        <v>3414</v>
      </c>
      <c r="D2271" s="1310">
        <v>884.21999500000004</v>
      </c>
    </row>
    <row r="2272" spans="2:4" x14ac:dyDescent="0.2">
      <c r="B2272" s="1341">
        <v>2608</v>
      </c>
      <c r="C2272" s="1341" t="s">
        <v>3415</v>
      </c>
      <c r="D2272" s="1310">
        <v>854.90000899999995</v>
      </c>
    </row>
    <row r="2273" spans="2:4" x14ac:dyDescent="0.2">
      <c r="B2273" s="1341">
        <v>2609</v>
      </c>
      <c r="C2273" s="1341" t="s">
        <v>3416</v>
      </c>
      <c r="D2273" s="1310">
        <v>836.95001200000002</v>
      </c>
    </row>
    <row r="2274" spans="2:4" x14ac:dyDescent="0.2">
      <c r="B2274" s="1341">
        <v>2610</v>
      </c>
      <c r="C2274" s="1341" t="s">
        <v>3417</v>
      </c>
      <c r="D2274" s="1310">
        <v>838.5</v>
      </c>
    </row>
    <row r="2275" spans="2:4" x14ac:dyDescent="0.2">
      <c r="B2275" s="1341">
        <v>2611</v>
      </c>
      <c r="C2275" s="1341" t="s">
        <v>3418</v>
      </c>
      <c r="D2275" s="1310">
        <v>793.78334600000005</v>
      </c>
    </row>
    <row r="2276" spans="2:4" x14ac:dyDescent="0.2">
      <c r="B2276" s="1341">
        <v>2612</v>
      </c>
      <c r="C2276" s="1341" t="s">
        <v>3419</v>
      </c>
      <c r="D2276" s="1310">
        <v>750.15998500000001</v>
      </c>
    </row>
    <row r="2277" spans="2:4" x14ac:dyDescent="0.2">
      <c r="B2277" s="1341">
        <v>2613</v>
      </c>
      <c r="C2277" s="1341" t="s">
        <v>3420</v>
      </c>
      <c r="D2277" s="1310">
        <v>662.30001800000002</v>
      </c>
    </row>
    <row r="2278" spans="2:4" x14ac:dyDescent="0.2">
      <c r="B2278" s="1341">
        <v>2614</v>
      </c>
      <c r="C2278" s="1341" t="s">
        <v>3421</v>
      </c>
      <c r="D2278" s="1310">
        <v>712.27500899999995</v>
      </c>
    </row>
    <row r="2279" spans="2:4" x14ac:dyDescent="0.2">
      <c r="B2279" s="1341">
        <v>2615</v>
      </c>
      <c r="C2279" s="1341" t="s">
        <v>3422</v>
      </c>
      <c r="D2279" s="1310">
        <v>633.16666699999996</v>
      </c>
    </row>
    <row r="2280" spans="2:4" x14ac:dyDescent="0.2">
      <c r="B2280" s="1341">
        <v>2616</v>
      </c>
      <c r="C2280" s="1341" t="s">
        <v>3423</v>
      </c>
      <c r="D2280" s="1310">
        <v>663.80910400000005</v>
      </c>
    </row>
    <row r="2281" spans="2:4" x14ac:dyDescent="0.2">
      <c r="B2281" s="1341">
        <v>2617</v>
      </c>
      <c r="C2281" s="1341" t="s">
        <v>3424</v>
      </c>
      <c r="D2281" s="1310">
        <v>775.21667500000001</v>
      </c>
    </row>
    <row r="2282" spans="2:4" x14ac:dyDescent="0.2">
      <c r="B2282" s="1341">
        <v>2618</v>
      </c>
      <c r="C2282" s="1341" t="s">
        <v>3425</v>
      </c>
      <c r="D2282" s="1310">
        <v>767.70001200000002</v>
      </c>
    </row>
    <row r="2283" spans="2:4" x14ac:dyDescent="0.2">
      <c r="B2283" s="1341">
        <v>2619</v>
      </c>
      <c r="C2283" s="1341" t="s">
        <v>3426</v>
      </c>
      <c r="D2283" s="1310">
        <v>705.53332499999999</v>
      </c>
    </row>
    <row r="2284" spans="2:4" x14ac:dyDescent="0.2">
      <c r="B2284" s="1341">
        <v>2620</v>
      </c>
      <c r="C2284" s="1341" t="s">
        <v>3427</v>
      </c>
      <c r="D2284" s="1310">
        <v>875.76667299999997</v>
      </c>
    </row>
    <row r="2285" spans="2:4" x14ac:dyDescent="0.2">
      <c r="B2285" s="1341">
        <v>2621</v>
      </c>
      <c r="C2285" s="1341" t="s">
        <v>3428</v>
      </c>
      <c r="D2285" s="1310">
        <v>798.22499800000003</v>
      </c>
    </row>
    <row r="2286" spans="2:4" x14ac:dyDescent="0.2">
      <c r="B2286" s="1341">
        <v>2622</v>
      </c>
      <c r="C2286" s="1341" t="s">
        <v>3429</v>
      </c>
      <c r="D2286" s="1310">
        <v>815.90002400000003</v>
      </c>
    </row>
    <row r="2287" spans="2:4" x14ac:dyDescent="0.2">
      <c r="B2287" s="1341">
        <v>2623</v>
      </c>
      <c r="C2287" s="1341" t="s">
        <v>3430</v>
      </c>
      <c r="D2287" s="1310">
        <v>781.33331299999998</v>
      </c>
    </row>
    <row r="2288" spans="2:4" x14ac:dyDescent="0.2">
      <c r="B2288" s="1341">
        <v>2624</v>
      </c>
      <c r="C2288" s="1341" t="s">
        <v>1430</v>
      </c>
      <c r="D2288" s="1310">
        <v>754.32856100000004</v>
      </c>
    </row>
    <row r="2289" spans="2:4" x14ac:dyDescent="0.2">
      <c r="B2289" s="1341">
        <v>2625</v>
      </c>
      <c r="C2289" s="1341" t="s">
        <v>3431</v>
      </c>
      <c r="D2289" s="1310">
        <v>803.20000200000004</v>
      </c>
    </row>
    <row r="2290" spans="2:4" x14ac:dyDescent="0.2">
      <c r="B2290" s="1341">
        <v>2626</v>
      </c>
      <c r="C2290" s="1341" t="s">
        <v>3432</v>
      </c>
      <c r="D2290" s="1310">
        <v>745.60000600000001</v>
      </c>
    </row>
    <row r="2291" spans="2:4" x14ac:dyDescent="0.2">
      <c r="B2291" s="1341">
        <v>2627</v>
      </c>
      <c r="C2291" s="1341" t="s">
        <v>1948</v>
      </c>
      <c r="D2291" s="1310">
        <v>844.19999199999995</v>
      </c>
    </row>
    <row r="2292" spans="2:4" x14ac:dyDescent="0.2">
      <c r="B2292" s="1341">
        <v>2628</v>
      </c>
      <c r="C2292" s="1341" t="s">
        <v>3433</v>
      </c>
      <c r="D2292" s="1310">
        <v>723.25</v>
      </c>
    </row>
    <row r="2293" spans="2:4" x14ac:dyDescent="0.2">
      <c r="B2293" s="1341">
        <v>2629</v>
      </c>
      <c r="C2293" s="1341" t="s">
        <v>3434</v>
      </c>
      <c r="D2293" s="1310">
        <v>882.83332700000005</v>
      </c>
    </row>
    <row r="2294" spans="2:4" x14ac:dyDescent="0.2">
      <c r="B2294" s="1341">
        <v>2630</v>
      </c>
      <c r="C2294" s="1341" t="s">
        <v>3435</v>
      </c>
      <c r="D2294" s="1310">
        <v>792.47499100000005</v>
      </c>
    </row>
    <row r="2295" spans="2:4" x14ac:dyDescent="0.2">
      <c r="B2295" s="1341">
        <v>2631</v>
      </c>
      <c r="C2295" s="1341" t="s">
        <v>3436</v>
      </c>
      <c r="D2295" s="1310">
        <v>848.43332899999996</v>
      </c>
    </row>
    <row r="2296" spans="2:4" x14ac:dyDescent="0.2">
      <c r="B2296" s="1341">
        <v>2632</v>
      </c>
      <c r="C2296" s="1341" t="s">
        <v>3437</v>
      </c>
      <c r="D2296" s="1310">
        <v>741.21999500000004</v>
      </c>
    </row>
    <row r="2297" spans="2:4" x14ac:dyDescent="0.2">
      <c r="B2297" s="1341">
        <v>2633</v>
      </c>
      <c r="C2297" s="1341" t="s">
        <v>3438</v>
      </c>
      <c r="D2297" s="1310">
        <v>779.69998199999998</v>
      </c>
    </row>
    <row r="2298" spans="2:4" x14ac:dyDescent="0.2">
      <c r="B2298" s="1341">
        <v>2634</v>
      </c>
      <c r="C2298" s="1341" t="s">
        <v>3439</v>
      </c>
      <c r="D2298" s="1310">
        <v>719.64999399999999</v>
      </c>
    </row>
    <row r="2299" spans="2:4" x14ac:dyDescent="0.2">
      <c r="B2299" s="1341">
        <v>2635</v>
      </c>
      <c r="C2299" s="1341" t="s">
        <v>3440</v>
      </c>
      <c r="D2299" s="1310">
        <v>726.59997599999997</v>
      </c>
    </row>
    <row r="2300" spans="2:4" x14ac:dyDescent="0.2">
      <c r="B2300" s="1341">
        <v>2636</v>
      </c>
      <c r="C2300" s="1341" t="s">
        <v>3441</v>
      </c>
      <c r="D2300" s="1310">
        <v>836.98571800000002</v>
      </c>
    </row>
    <row r="2301" spans="2:4" x14ac:dyDescent="0.2">
      <c r="B2301" s="1341">
        <v>2637</v>
      </c>
      <c r="C2301" s="1341" t="s">
        <v>3442</v>
      </c>
      <c r="D2301" s="1310">
        <v>769.9375</v>
      </c>
    </row>
    <row r="2302" spans="2:4" x14ac:dyDescent="0.2">
      <c r="B2302" s="1341">
        <v>2638</v>
      </c>
      <c r="C2302" s="1341" t="s">
        <v>3443</v>
      </c>
      <c r="D2302" s="1310">
        <v>750.92499499999997</v>
      </c>
    </row>
    <row r="2303" spans="2:4" x14ac:dyDescent="0.2">
      <c r="B2303" s="1341">
        <v>2639</v>
      </c>
      <c r="C2303" s="1341" t="s">
        <v>3444</v>
      </c>
      <c r="D2303" s="1310">
        <v>806.54286400000001</v>
      </c>
    </row>
    <row r="2304" spans="2:4" x14ac:dyDescent="0.2">
      <c r="B2304" s="1341">
        <v>2640</v>
      </c>
      <c r="C2304" s="1341" t="s">
        <v>3445</v>
      </c>
      <c r="D2304" s="1310">
        <v>806.77499399999999</v>
      </c>
    </row>
    <row r="2305" spans="2:4" x14ac:dyDescent="0.2">
      <c r="B2305" s="1341">
        <v>2641</v>
      </c>
      <c r="C2305" s="1341" t="s">
        <v>1786</v>
      </c>
      <c r="D2305" s="1310">
        <v>831.60908600000005</v>
      </c>
    </row>
    <row r="2306" spans="2:4" x14ac:dyDescent="0.2">
      <c r="B2306" s="1341">
        <v>2642</v>
      </c>
      <c r="C2306" s="1341" t="s">
        <v>3446</v>
      </c>
      <c r="D2306" s="1310">
        <v>829</v>
      </c>
    </row>
    <row r="2307" spans="2:4" x14ac:dyDescent="0.2">
      <c r="B2307" s="1341">
        <v>2643</v>
      </c>
      <c r="C2307" s="1341" t="s">
        <v>3447</v>
      </c>
      <c r="D2307" s="1310">
        <v>865.96666500000003</v>
      </c>
    </row>
    <row r="2308" spans="2:4" x14ac:dyDescent="0.2">
      <c r="B2308" s="1341">
        <v>2644</v>
      </c>
      <c r="C2308" s="1341" t="s">
        <v>3448</v>
      </c>
      <c r="D2308" s="1310">
        <v>817.05714599999999</v>
      </c>
    </row>
    <row r="2309" spans="2:4" x14ac:dyDescent="0.2">
      <c r="B2309" s="1341">
        <v>2645</v>
      </c>
      <c r="C2309" s="1341" t="s">
        <v>3449</v>
      </c>
      <c r="D2309" s="1310">
        <v>890.51818300000002</v>
      </c>
    </row>
    <row r="2310" spans="2:4" x14ac:dyDescent="0.2">
      <c r="B2310" s="1341">
        <v>2646</v>
      </c>
      <c r="C2310" s="1341" t="s">
        <v>2619</v>
      </c>
      <c r="D2310" s="1310">
        <v>639.5</v>
      </c>
    </row>
    <row r="2311" spans="2:4" x14ac:dyDescent="0.2">
      <c r="B2311" s="1341">
        <v>2647</v>
      </c>
      <c r="C2311" s="1341" t="s">
        <v>3450</v>
      </c>
      <c r="D2311" s="1310">
        <v>635.78333499999997</v>
      </c>
    </row>
    <row r="2312" spans="2:4" x14ac:dyDescent="0.2">
      <c r="B2312" s="1341">
        <v>2648</v>
      </c>
      <c r="C2312" s="1341" t="s">
        <v>3451</v>
      </c>
      <c r="D2312" s="1310">
        <v>649.79998799999998</v>
      </c>
    </row>
    <row r="2313" spans="2:4" x14ac:dyDescent="0.2">
      <c r="B2313" s="1341">
        <v>2649</v>
      </c>
      <c r="C2313" s="1341" t="s">
        <v>3452</v>
      </c>
      <c r="D2313" s="1310">
        <v>617</v>
      </c>
    </row>
    <row r="2314" spans="2:4" x14ac:dyDescent="0.2">
      <c r="B2314" s="1341">
        <v>2650</v>
      </c>
      <c r="C2314" s="1341" t="s">
        <v>3453</v>
      </c>
      <c r="D2314" s="1310">
        <v>643.25</v>
      </c>
    </row>
    <row r="2315" spans="2:4" x14ac:dyDescent="0.2">
      <c r="B2315" s="1341">
        <v>2651</v>
      </c>
      <c r="C2315" s="1341" t="s">
        <v>3454</v>
      </c>
      <c r="D2315" s="1310">
        <v>599.28571399999998</v>
      </c>
    </row>
    <row r="2316" spans="2:4" x14ac:dyDescent="0.2">
      <c r="B2316" s="1341">
        <v>2652</v>
      </c>
      <c r="C2316" s="1341" t="s">
        <v>3455</v>
      </c>
      <c r="D2316" s="1310">
        <v>658.35293799999999</v>
      </c>
    </row>
    <row r="2317" spans="2:4" x14ac:dyDescent="0.2">
      <c r="B2317" s="1341">
        <v>2653</v>
      </c>
      <c r="C2317" s="1341" t="s">
        <v>3456</v>
      </c>
      <c r="D2317" s="1310">
        <v>660.4</v>
      </c>
    </row>
    <row r="2318" spans="2:4" x14ac:dyDescent="0.2">
      <c r="B2318" s="1341">
        <v>2654</v>
      </c>
      <c r="C2318" s="1341" t="s">
        <v>415</v>
      </c>
      <c r="D2318" s="1310">
        <v>686.460869</v>
      </c>
    </row>
    <row r="2319" spans="2:4" x14ac:dyDescent="0.2">
      <c r="B2319" s="1341">
        <v>2655</v>
      </c>
      <c r="C2319" s="1341" t="s">
        <v>2648</v>
      </c>
      <c r="D2319" s="1310">
        <v>673.77499399999999</v>
      </c>
    </row>
    <row r="2320" spans="2:4" x14ac:dyDescent="0.2">
      <c r="B2320" s="1341">
        <v>2656</v>
      </c>
      <c r="C2320" s="1341" t="s">
        <v>3457</v>
      </c>
      <c r="D2320" s="1310">
        <v>662.48000500000001</v>
      </c>
    </row>
    <row r="2321" spans="2:4" x14ac:dyDescent="0.2">
      <c r="B2321" s="1341">
        <v>2657</v>
      </c>
      <c r="C2321" s="1341" t="s">
        <v>3458</v>
      </c>
      <c r="D2321" s="1310">
        <v>648.68335000000002</v>
      </c>
    </row>
    <row r="2322" spans="2:4" x14ac:dyDescent="0.2">
      <c r="B2322" s="1341">
        <v>2659</v>
      </c>
      <c r="C2322" s="1341" t="s">
        <v>3459</v>
      </c>
      <c r="D2322" s="1310">
        <v>711.875</v>
      </c>
    </row>
    <row r="2323" spans="2:4" x14ac:dyDescent="0.2">
      <c r="B2323" s="1341">
        <v>2660</v>
      </c>
      <c r="C2323" s="1341" t="s">
        <v>3460</v>
      </c>
      <c r="D2323" s="1310">
        <v>673.5</v>
      </c>
    </row>
    <row r="2324" spans="2:4" x14ac:dyDescent="0.2">
      <c r="B2324" s="1341">
        <v>2661</v>
      </c>
      <c r="C2324" s="1341" t="s">
        <v>3461</v>
      </c>
      <c r="D2324" s="1310">
        <v>733.53332499999999</v>
      </c>
    </row>
    <row r="2325" spans="2:4" x14ac:dyDescent="0.2">
      <c r="B2325" s="1341">
        <v>2662</v>
      </c>
      <c r="C2325" s="1341" t="s">
        <v>3462</v>
      </c>
      <c r="D2325" s="1310">
        <v>722.34444900000005</v>
      </c>
    </row>
    <row r="2326" spans="2:4" x14ac:dyDescent="0.2">
      <c r="B2326" s="1341">
        <v>2663</v>
      </c>
      <c r="C2326" s="1341" t="s">
        <v>3463</v>
      </c>
      <c r="D2326" s="1310">
        <v>785.32499700000005</v>
      </c>
    </row>
    <row r="2327" spans="2:4" x14ac:dyDescent="0.2">
      <c r="B2327" s="1341">
        <v>2664</v>
      </c>
      <c r="C2327" s="1341" t="s">
        <v>3464</v>
      </c>
      <c r="D2327" s="1310">
        <v>823.01250500000003</v>
      </c>
    </row>
    <row r="2328" spans="2:4" x14ac:dyDescent="0.2">
      <c r="B2328" s="1341">
        <v>2665</v>
      </c>
      <c r="C2328" s="1341" t="s">
        <v>3465</v>
      </c>
      <c r="D2328" s="1310">
        <v>754.00999100000001</v>
      </c>
    </row>
    <row r="2329" spans="2:4" x14ac:dyDescent="0.2">
      <c r="B2329" s="1341">
        <v>2666</v>
      </c>
      <c r="C2329" s="1341" t="s">
        <v>2348</v>
      </c>
      <c r="D2329" s="1310">
        <v>861.54999799999996</v>
      </c>
    </row>
    <row r="2330" spans="2:4" x14ac:dyDescent="0.2">
      <c r="B2330" s="1341">
        <v>2667</v>
      </c>
      <c r="C2330" s="1341" t="s">
        <v>3466</v>
      </c>
      <c r="D2330" s="1310">
        <v>846.75</v>
      </c>
    </row>
    <row r="2331" spans="2:4" x14ac:dyDescent="0.2">
      <c r="B2331" s="1341">
        <v>2668</v>
      </c>
      <c r="C2331" s="1341" t="s">
        <v>3467</v>
      </c>
      <c r="D2331" s="1310">
        <v>816.80000500000006</v>
      </c>
    </row>
    <row r="2332" spans="2:4" x14ac:dyDescent="0.2">
      <c r="B2332" s="1341">
        <v>2669</v>
      </c>
      <c r="C2332" s="1341" t="s">
        <v>3468</v>
      </c>
      <c r="D2332" s="1310">
        <v>846.19999700000005</v>
      </c>
    </row>
    <row r="2333" spans="2:4" x14ac:dyDescent="0.2">
      <c r="B2333" s="1341">
        <v>2670</v>
      </c>
      <c r="C2333" s="1341" t="s">
        <v>3469</v>
      </c>
      <c r="D2333" s="1310">
        <v>894.09997599999997</v>
      </c>
    </row>
    <row r="2334" spans="2:4" x14ac:dyDescent="0.2">
      <c r="B2334" s="1341">
        <v>2671</v>
      </c>
      <c r="C2334" s="1341" t="s">
        <v>3470</v>
      </c>
      <c r="D2334" s="1310">
        <v>878.45714499999997</v>
      </c>
    </row>
    <row r="2335" spans="2:4" x14ac:dyDescent="0.2">
      <c r="B2335" s="1341">
        <v>2672</v>
      </c>
      <c r="C2335" s="1341" t="s">
        <v>3471</v>
      </c>
      <c r="D2335" s="1310">
        <v>896.65555800000004</v>
      </c>
    </row>
    <row r="2336" spans="2:4" x14ac:dyDescent="0.2">
      <c r="B2336" s="1341">
        <v>2673</v>
      </c>
      <c r="C2336" s="1341" t="s">
        <v>3472</v>
      </c>
      <c r="D2336" s="1310">
        <v>645.99165900000003</v>
      </c>
    </row>
    <row r="2337" spans="2:4" x14ac:dyDescent="0.2">
      <c r="B2337" s="1341">
        <v>2674</v>
      </c>
      <c r="C2337" s="1341" t="s">
        <v>3473</v>
      </c>
      <c r="D2337" s="1310">
        <v>642.66666699999996</v>
      </c>
    </row>
    <row r="2338" spans="2:4" x14ac:dyDescent="0.2">
      <c r="B2338" s="1341">
        <v>2675</v>
      </c>
      <c r="C2338" s="1341" t="s">
        <v>3474</v>
      </c>
      <c r="D2338" s="1310">
        <v>645.93332899999996</v>
      </c>
    </row>
    <row r="2339" spans="2:4" x14ac:dyDescent="0.2">
      <c r="B2339" s="1341">
        <v>2676</v>
      </c>
      <c r="C2339" s="1341" t="s">
        <v>3475</v>
      </c>
      <c r="D2339" s="1310">
        <v>687.57499700000005</v>
      </c>
    </row>
    <row r="2340" spans="2:4" x14ac:dyDescent="0.2">
      <c r="B2340" s="1341">
        <v>2677</v>
      </c>
      <c r="C2340" s="1341" t="s">
        <v>1290</v>
      </c>
      <c r="D2340" s="1310">
        <v>644.53749800000003</v>
      </c>
    </row>
    <row r="2341" spans="2:4" x14ac:dyDescent="0.2">
      <c r="B2341" s="1341">
        <v>2678</v>
      </c>
      <c r="C2341" s="1341" t="s">
        <v>3476</v>
      </c>
      <c r="D2341" s="1310">
        <v>712.75</v>
      </c>
    </row>
    <row r="2342" spans="2:4" x14ac:dyDescent="0.2">
      <c r="B2342" s="1341">
        <v>2679</v>
      </c>
      <c r="C2342" s="1341" t="s">
        <v>3477</v>
      </c>
      <c r="D2342" s="1310">
        <v>724.85000600000001</v>
      </c>
    </row>
    <row r="2343" spans="2:4" x14ac:dyDescent="0.2">
      <c r="B2343" s="1341">
        <v>2680</v>
      </c>
      <c r="C2343" s="1341" t="s">
        <v>3478</v>
      </c>
      <c r="D2343" s="1310">
        <v>679.64000199999998</v>
      </c>
    </row>
    <row r="2344" spans="2:4" x14ac:dyDescent="0.2">
      <c r="B2344" s="1341">
        <v>2681</v>
      </c>
      <c r="C2344" s="1341" t="s">
        <v>3479</v>
      </c>
      <c r="D2344" s="1310">
        <v>696.85000600000001</v>
      </c>
    </row>
    <row r="2345" spans="2:4" x14ac:dyDescent="0.2">
      <c r="B2345" s="1341">
        <v>2682</v>
      </c>
      <c r="C2345" s="1341" t="s">
        <v>3480</v>
      </c>
      <c r="D2345" s="1310">
        <v>684.85000600000001</v>
      </c>
    </row>
    <row r="2346" spans="2:4" x14ac:dyDescent="0.2">
      <c r="B2346" s="1341">
        <v>2683</v>
      </c>
      <c r="C2346" s="1341" t="s">
        <v>3481</v>
      </c>
      <c r="D2346" s="1310">
        <v>699.10000600000001</v>
      </c>
    </row>
    <row r="2347" spans="2:4" x14ac:dyDescent="0.2">
      <c r="B2347" s="1341">
        <v>2684</v>
      </c>
      <c r="C2347" s="1341" t="s">
        <v>3482</v>
      </c>
      <c r="D2347" s="1310">
        <v>760.85000600000001</v>
      </c>
    </row>
    <row r="2348" spans="2:4" x14ac:dyDescent="0.2">
      <c r="B2348" s="1341">
        <v>2685</v>
      </c>
      <c r="C2348" s="1341" t="s">
        <v>3128</v>
      </c>
      <c r="D2348" s="1310">
        <v>647.78001700000004</v>
      </c>
    </row>
    <row r="2349" spans="2:4" x14ac:dyDescent="0.2">
      <c r="B2349" s="1341">
        <v>2686</v>
      </c>
      <c r="C2349" s="1341" t="s">
        <v>3483</v>
      </c>
      <c r="D2349" s="1310">
        <v>723.77999299999999</v>
      </c>
    </row>
    <row r="2350" spans="2:4" x14ac:dyDescent="0.2">
      <c r="B2350" s="1341">
        <v>2687</v>
      </c>
      <c r="C2350" s="1341" t="s">
        <v>3484</v>
      </c>
      <c r="D2350" s="1310">
        <v>704.48888499999998</v>
      </c>
    </row>
    <row r="2351" spans="2:4" x14ac:dyDescent="0.2">
      <c r="B2351" s="1341">
        <v>2688</v>
      </c>
      <c r="C2351" s="1341" t="s">
        <v>3485</v>
      </c>
      <c r="D2351" s="1310">
        <v>679.75</v>
      </c>
    </row>
    <row r="2352" spans="2:4" x14ac:dyDescent="0.2">
      <c r="B2352" s="1341">
        <v>2689</v>
      </c>
      <c r="C2352" s="1341" t="s">
        <v>3486</v>
      </c>
      <c r="D2352" s="1310">
        <v>830.76923499999998</v>
      </c>
    </row>
    <row r="2353" spans="2:4" x14ac:dyDescent="0.2">
      <c r="B2353" s="1341">
        <v>2690</v>
      </c>
      <c r="C2353" s="1341" t="s">
        <v>3487</v>
      </c>
      <c r="D2353" s="1310">
        <v>805.65555099999995</v>
      </c>
    </row>
    <row r="2354" spans="2:4" x14ac:dyDescent="0.2">
      <c r="B2354" s="1341">
        <v>2691</v>
      </c>
      <c r="C2354" s="1341" t="s">
        <v>3488</v>
      </c>
      <c r="D2354" s="1310">
        <v>834.10000600000001</v>
      </c>
    </row>
    <row r="2355" spans="2:4" x14ac:dyDescent="0.2">
      <c r="B2355" s="1341">
        <v>2692</v>
      </c>
      <c r="C2355" s="1341" t="s">
        <v>3489</v>
      </c>
      <c r="D2355" s="1310">
        <v>825.06664999999998</v>
      </c>
    </row>
    <row r="2356" spans="2:4" x14ac:dyDescent="0.2">
      <c r="B2356" s="1341">
        <v>2693</v>
      </c>
      <c r="C2356" s="1341" t="s">
        <v>3490</v>
      </c>
      <c r="D2356" s="1310">
        <v>869.36250299999995</v>
      </c>
    </row>
    <row r="2357" spans="2:4" x14ac:dyDescent="0.2">
      <c r="B2357" s="1341">
        <v>2694</v>
      </c>
      <c r="C2357" s="1341" t="s">
        <v>3491</v>
      </c>
      <c r="D2357" s="1310">
        <v>869.75713199999996</v>
      </c>
    </row>
    <row r="2358" spans="2:4" x14ac:dyDescent="0.2">
      <c r="B2358" s="1341">
        <v>2695</v>
      </c>
      <c r="C2358" s="1341" t="s">
        <v>3492</v>
      </c>
      <c r="D2358" s="1310">
        <v>848.57777899999996</v>
      </c>
    </row>
    <row r="2359" spans="2:4" x14ac:dyDescent="0.2">
      <c r="B2359" s="1341">
        <v>2696</v>
      </c>
      <c r="C2359" s="1341" t="s">
        <v>3493</v>
      </c>
      <c r="D2359" s="1310">
        <v>897.41667700000005</v>
      </c>
    </row>
    <row r="2360" spans="2:4" x14ac:dyDescent="0.2">
      <c r="B2360" s="1341">
        <v>2697</v>
      </c>
      <c r="C2360" s="1341" t="s">
        <v>3494</v>
      </c>
      <c r="D2360" s="1310">
        <v>812.72500600000001</v>
      </c>
    </row>
    <row r="2361" spans="2:4" x14ac:dyDescent="0.2">
      <c r="B2361" s="1341">
        <v>2698</v>
      </c>
      <c r="C2361" s="1341" t="s">
        <v>3495</v>
      </c>
      <c r="D2361" s="1310">
        <v>739.69999700000005</v>
      </c>
    </row>
    <row r="2362" spans="2:4" x14ac:dyDescent="0.2">
      <c r="B2362" s="1341">
        <v>2699</v>
      </c>
      <c r="C2362" s="1341" t="s">
        <v>3496</v>
      </c>
      <c r="D2362" s="1310">
        <v>790.94999700000005</v>
      </c>
    </row>
    <row r="2363" spans="2:4" x14ac:dyDescent="0.2">
      <c r="B2363" s="1341">
        <v>2700</v>
      </c>
      <c r="C2363" s="1341" t="s">
        <v>1952</v>
      </c>
      <c r="D2363" s="1310">
        <v>748.65999799999997</v>
      </c>
    </row>
    <row r="2364" spans="2:4" x14ac:dyDescent="0.2">
      <c r="B2364" s="1341">
        <v>2701</v>
      </c>
      <c r="C2364" s="1341" t="s">
        <v>3497</v>
      </c>
      <c r="D2364" s="1310">
        <v>721.37999300000001</v>
      </c>
    </row>
    <row r="2365" spans="2:4" x14ac:dyDescent="0.2">
      <c r="B2365" s="1341">
        <v>2702</v>
      </c>
      <c r="C2365" s="1341" t="s">
        <v>3498</v>
      </c>
      <c r="D2365" s="1310">
        <v>762.80000500000006</v>
      </c>
    </row>
    <row r="2366" spans="2:4" x14ac:dyDescent="0.2">
      <c r="B2366" s="1341">
        <v>2703</v>
      </c>
      <c r="C2366" s="1341" t="s">
        <v>3499</v>
      </c>
      <c r="D2366" s="1310">
        <v>795.63332100000002</v>
      </c>
    </row>
    <row r="2367" spans="2:4" x14ac:dyDescent="0.2">
      <c r="B2367" s="1341">
        <v>2704</v>
      </c>
      <c r="C2367" s="1341" t="s">
        <v>3500</v>
      </c>
      <c r="D2367" s="1310">
        <v>756.592309</v>
      </c>
    </row>
    <row r="2368" spans="2:4" x14ac:dyDescent="0.2">
      <c r="B2368" s="1341">
        <v>2705</v>
      </c>
      <c r="C2368" s="1341" t="s">
        <v>3501</v>
      </c>
      <c r="D2368" s="1310">
        <v>774.33998999999994</v>
      </c>
    </row>
    <row r="2369" spans="2:4" x14ac:dyDescent="0.2">
      <c r="B2369" s="1341">
        <v>2706</v>
      </c>
      <c r="C2369" s="1341" t="s">
        <v>3502</v>
      </c>
      <c r="D2369" s="1310">
        <v>789.60000600000001</v>
      </c>
    </row>
    <row r="2370" spans="2:4" x14ac:dyDescent="0.2">
      <c r="B2370" s="1341">
        <v>2707</v>
      </c>
      <c r="C2370" s="1341" t="s">
        <v>3503</v>
      </c>
      <c r="D2370" s="1310">
        <v>697.52497900000003</v>
      </c>
    </row>
    <row r="2371" spans="2:4" x14ac:dyDescent="0.2">
      <c r="B2371" s="1341">
        <v>2708</v>
      </c>
      <c r="C2371" s="1341" t="s">
        <v>3504</v>
      </c>
      <c r="D2371" s="1310">
        <v>758.72000700000001</v>
      </c>
    </row>
    <row r="2372" spans="2:4" x14ac:dyDescent="0.2">
      <c r="B2372" s="1341">
        <v>2709</v>
      </c>
      <c r="C2372" s="1341" t="s">
        <v>3505</v>
      </c>
      <c r="D2372" s="1310">
        <v>703.14999399999999</v>
      </c>
    </row>
    <row r="2373" spans="2:4" x14ac:dyDescent="0.2">
      <c r="B2373" s="1341">
        <v>2710</v>
      </c>
      <c r="C2373" s="1341" t="s">
        <v>3506</v>
      </c>
      <c r="D2373" s="1310">
        <v>715.30000099999995</v>
      </c>
    </row>
    <row r="2374" spans="2:4" x14ac:dyDescent="0.2">
      <c r="B2374" s="1341">
        <v>2711</v>
      </c>
      <c r="C2374" s="1341" t="s">
        <v>3507</v>
      </c>
      <c r="D2374" s="1310">
        <v>700.95999800000004</v>
      </c>
    </row>
    <row r="2375" spans="2:4" x14ac:dyDescent="0.2">
      <c r="B2375" s="1341">
        <v>2751</v>
      </c>
      <c r="C2375" s="1341" t="s">
        <v>3508</v>
      </c>
      <c r="D2375" s="1310">
        <v>594.13334099999997</v>
      </c>
    </row>
    <row r="2376" spans="2:4" x14ac:dyDescent="0.2">
      <c r="B2376" s="1341">
        <v>2752</v>
      </c>
      <c r="C2376" s="1341" t="s">
        <v>3375</v>
      </c>
      <c r="D2376" s="1310">
        <v>695.39999399999999</v>
      </c>
    </row>
    <row r="2377" spans="2:4" x14ac:dyDescent="0.2">
      <c r="B2377" s="1341">
        <v>2753</v>
      </c>
      <c r="C2377" s="1341" t="s">
        <v>3509</v>
      </c>
      <c r="D2377" s="1310">
        <v>587.58333300000004</v>
      </c>
    </row>
    <row r="2378" spans="2:4" x14ac:dyDescent="0.2">
      <c r="B2378" s="1341">
        <v>2754</v>
      </c>
      <c r="C2378" s="1341" t="s">
        <v>3510</v>
      </c>
      <c r="D2378" s="1310">
        <v>728.96665399999995</v>
      </c>
    </row>
    <row r="2379" spans="2:4" x14ac:dyDescent="0.2">
      <c r="B2379" s="1341">
        <v>2755</v>
      </c>
      <c r="C2379" s="1341" t="s">
        <v>3511</v>
      </c>
      <c r="D2379" s="1310">
        <v>643.13333599999999</v>
      </c>
    </row>
    <row r="2380" spans="2:4" x14ac:dyDescent="0.2">
      <c r="B2380" s="1341">
        <v>2756</v>
      </c>
      <c r="C2380" s="1341" t="s">
        <v>3512</v>
      </c>
      <c r="D2380" s="1310">
        <v>758.56667100000004</v>
      </c>
    </row>
    <row r="2381" spans="2:4" x14ac:dyDescent="0.2">
      <c r="B2381" s="1341">
        <v>2757</v>
      </c>
      <c r="C2381" s="1341" t="s">
        <v>3513</v>
      </c>
      <c r="D2381" s="1310">
        <v>579.36667899999998</v>
      </c>
    </row>
    <row r="2382" spans="2:4" x14ac:dyDescent="0.2">
      <c r="B2382" s="1341">
        <v>2758</v>
      </c>
      <c r="C2382" s="1341" t="s">
        <v>3514</v>
      </c>
      <c r="D2382" s="1310">
        <v>588.07498199999998</v>
      </c>
    </row>
    <row r="2383" spans="2:4" x14ac:dyDescent="0.2">
      <c r="B2383" s="1341">
        <v>2759</v>
      </c>
      <c r="C2383" s="1341" t="s">
        <v>2985</v>
      </c>
      <c r="D2383" s="1310">
        <v>687.65002400000003</v>
      </c>
    </row>
    <row r="2384" spans="2:4" x14ac:dyDescent="0.2">
      <c r="B2384" s="1341">
        <v>2760</v>
      </c>
      <c r="C2384" s="1341" t="s">
        <v>2801</v>
      </c>
      <c r="D2384" s="1310">
        <v>616.64999399999999</v>
      </c>
    </row>
    <row r="2385" spans="2:4" x14ac:dyDescent="0.2">
      <c r="B2385" s="1341">
        <v>2761</v>
      </c>
      <c r="C2385" s="1341" t="s">
        <v>3515</v>
      </c>
      <c r="D2385" s="1310">
        <v>640.63332100000002</v>
      </c>
    </row>
    <row r="2386" spans="2:4" x14ac:dyDescent="0.2">
      <c r="B2386" s="1341">
        <v>2762</v>
      </c>
      <c r="C2386" s="1341" t="s">
        <v>1939</v>
      </c>
      <c r="D2386" s="1310">
        <v>588.65000899999995</v>
      </c>
    </row>
    <row r="2387" spans="2:4" x14ac:dyDescent="0.2">
      <c r="B2387" s="1341">
        <v>2763</v>
      </c>
      <c r="C2387" s="1341" t="s">
        <v>3516</v>
      </c>
      <c r="D2387" s="1310">
        <v>672.85000600000001</v>
      </c>
    </row>
    <row r="2388" spans="2:4" x14ac:dyDescent="0.2">
      <c r="B2388" s="1341">
        <v>2764</v>
      </c>
      <c r="C2388" s="1341" t="s">
        <v>3517</v>
      </c>
      <c r="D2388" s="1310">
        <v>669.24286800000004</v>
      </c>
    </row>
    <row r="2389" spans="2:4" x14ac:dyDescent="0.2">
      <c r="B2389" s="1341">
        <v>2765</v>
      </c>
      <c r="C2389" s="1341" t="s">
        <v>3390</v>
      </c>
      <c r="D2389" s="1310">
        <v>620.15000399999997</v>
      </c>
    </row>
    <row r="2390" spans="2:4" x14ac:dyDescent="0.2">
      <c r="B2390" s="1341">
        <v>2766</v>
      </c>
      <c r="C2390" s="1341" t="s">
        <v>3518</v>
      </c>
      <c r="D2390" s="1310">
        <v>670.59997599999997</v>
      </c>
    </row>
    <row r="2391" spans="2:4" x14ac:dyDescent="0.2">
      <c r="B2391" s="1341">
        <v>2767</v>
      </c>
      <c r="C2391" s="1341" t="s">
        <v>2631</v>
      </c>
      <c r="D2391" s="1310">
        <v>612.03332499999999</v>
      </c>
    </row>
    <row r="2392" spans="2:4" x14ac:dyDescent="0.2">
      <c r="B2392" s="1341">
        <v>2768</v>
      </c>
      <c r="C2392" s="1341" t="s">
        <v>3519</v>
      </c>
      <c r="D2392" s="1310">
        <v>684.78001099999994</v>
      </c>
    </row>
    <row r="2393" spans="2:4" x14ac:dyDescent="0.2">
      <c r="B2393" s="1341">
        <v>2769</v>
      </c>
      <c r="C2393" s="1341" t="s">
        <v>3520</v>
      </c>
      <c r="D2393" s="1310">
        <v>615.5</v>
      </c>
    </row>
    <row r="2394" spans="2:4" x14ac:dyDescent="0.2">
      <c r="B2394" s="1341">
        <v>2770</v>
      </c>
      <c r="C2394" s="1341" t="s">
        <v>3521</v>
      </c>
      <c r="D2394" s="1310">
        <v>694.57499700000005</v>
      </c>
    </row>
    <row r="2395" spans="2:4" x14ac:dyDescent="0.2">
      <c r="B2395" s="1341">
        <v>2771</v>
      </c>
      <c r="C2395" s="1341" t="s">
        <v>3522</v>
      </c>
      <c r="D2395" s="1310">
        <v>599.51666299999999</v>
      </c>
    </row>
    <row r="2396" spans="2:4" x14ac:dyDescent="0.2">
      <c r="B2396" s="1341">
        <v>2772</v>
      </c>
      <c r="C2396" s="1341" t="s">
        <v>421</v>
      </c>
      <c r="D2396" s="1310">
        <v>644.40454699999998</v>
      </c>
    </row>
    <row r="2397" spans="2:4" x14ac:dyDescent="0.2">
      <c r="B2397" s="1341">
        <v>2773</v>
      </c>
      <c r="C2397" s="1341" t="s">
        <v>3523</v>
      </c>
      <c r="D2397" s="1310">
        <v>659.70000200000004</v>
      </c>
    </row>
    <row r="2398" spans="2:4" x14ac:dyDescent="0.2">
      <c r="B2398" s="1341">
        <v>2774</v>
      </c>
      <c r="C2398" s="1341" t="s">
        <v>2116</v>
      </c>
      <c r="D2398" s="1310">
        <v>686.35999800000002</v>
      </c>
    </row>
    <row r="2399" spans="2:4" x14ac:dyDescent="0.2">
      <c r="B2399" s="1341">
        <v>2775</v>
      </c>
      <c r="C2399" s="1341" t="s">
        <v>3524</v>
      </c>
      <c r="D2399" s="1310">
        <v>596.06923300000005</v>
      </c>
    </row>
    <row r="2400" spans="2:4" x14ac:dyDescent="0.2">
      <c r="B2400" s="1341">
        <v>2776</v>
      </c>
      <c r="C2400" s="1341" t="s">
        <v>3525</v>
      </c>
      <c r="D2400" s="1310">
        <v>583.92498799999998</v>
      </c>
    </row>
    <row r="2401" spans="2:4" x14ac:dyDescent="0.2">
      <c r="B2401" s="1341">
        <v>2777</v>
      </c>
      <c r="C2401" s="1341" t="s">
        <v>3526</v>
      </c>
      <c r="D2401" s="1310">
        <v>597.31668100000002</v>
      </c>
    </row>
    <row r="2402" spans="2:4" x14ac:dyDescent="0.2">
      <c r="B2402" s="1341">
        <v>2778</v>
      </c>
      <c r="C2402" s="1341" t="s">
        <v>3527</v>
      </c>
      <c r="D2402" s="1310">
        <v>653.29999899999996</v>
      </c>
    </row>
    <row r="2403" spans="2:4" x14ac:dyDescent="0.2">
      <c r="B2403" s="1341">
        <v>2779</v>
      </c>
      <c r="C2403" s="1341" t="s">
        <v>3528</v>
      </c>
      <c r="D2403" s="1310">
        <v>684.52499399999999</v>
      </c>
    </row>
    <row r="2404" spans="2:4" x14ac:dyDescent="0.2">
      <c r="B2404" s="1341">
        <v>2780</v>
      </c>
      <c r="C2404" s="1341" t="s">
        <v>3529</v>
      </c>
      <c r="D2404" s="1310">
        <v>607.87999300000001</v>
      </c>
    </row>
    <row r="2405" spans="2:4" x14ac:dyDescent="0.2">
      <c r="B2405" s="1341">
        <v>2781</v>
      </c>
      <c r="C2405" s="1341" t="s">
        <v>3530</v>
      </c>
      <c r="D2405" s="1310">
        <v>630.5</v>
      </c>
    </row>
    <row r="2406" spans="2:4" x14ac:dyDescent="0.2">
      <c r="B2406" s="1341">
        <v>2782</v>
      </c>
      <c r="C2406" s="1341" t="s">
        <v>3531</v>
      </c>
      <c r="D2406" s="1310">
        <v>598.09999600000003</v>
      </c>
    </row>
    <row r="2407" spans="2:4" x14ac:dyDescent="0.2">
      <c r="B2407" s="1341">
        <v>2783</v>
      </c>
      <c r="C2407" s="1341" t="s">
        <v>3532</v>
      </c>
      <c r="D2407" s="1310">
        <v>703.911112</v>
      </c>
    </row>
    <row r="2408" spans="2:4" x14ac:dyDescent="0.2">
      <c r="B2408" s="1341">
        <v>2784</v>
      </c>
      <c r="C2408" s="1341" t="s">
        <v>3533</v>
      </c>
      <c r="D2408" s="1310">
        <v>579.62000699999999</v>
      </c>
    </row>
    <row r="2409" spans="2:4" x14ac:dyDescent="0.2">
      <c r="B2409" s="1341">
        <v>2785</v>
      </c>
      <c r="C2409" s="1341" t="s">
        <v>2255</v>
      </c>
      <c r="D2409" s="1310">
        <v>585.72857699999997</v>
      </c>
    </row>
    <row r="2410" spans="2:4" x14ac:dyDescent="0.2">
      <c r="B2410" s="1341">
        <v>2786</v>
      </c>
      <c r="C2410" s="1341" t="s">
        <v>3534</v>
      </c>
      <c r="D2410" s="1310">
        <v>604.53333499999997</v>
      </c>
    </row>
    <row r="2411" spans="2:4" x14ac:dyDescent="0.2">
      <c r="B2411" s="1341">
        <v>2787</v>
      </c>
      <c r="C2411" s="1341" t="s">
        <v>3535</v>
      </c>
      <c r="D2411" s="1310">
        <v>591.14285700000005</v>
      </c>
    </row>
    <row r="2412" spans="2:4" x14ac:dyDescent="0.2">
      <c r="B2412" s="1341">
        <v>2788</v>
      </c>
      <c r="C2412" s="1341" t="s">
        <v>3536</v>
      </c>
      <c r="D2412" s="1310">
        <v>735.69998199999998</v>
      </c>
    </row>
    <row r="2413" spans="2:4" x14ac:dyDescent="0.2">
      <c r="B2413" s="1341">
        <v>2789</v>
      </c>
      <c r="C2413" s="1341" t="s">
        <v>3537</v>
      </c>
      <c r="D2413" s="1310">
        <v>589.68333900000005</v>
      </c>
    </row>
    <row r="2414" spans="2:4" x14ac:dyDescent="0.2">
      <c r="B2414" s="1341">
        <v>2790</v>
      </c>
      <c r="C2414" s="1341" t="s">
        <v>3329</v>
      </c>
      <c r="D2414" s="1310">
        <v>585.81110999999999</v>
      </c>
    </row>
    <row r="2415" spans="2:4" x14ac:dyDescent="0.2">
      <c r="B2415" s="1341">
        <v>2791</v>
      </c>
      <c r="C2415" s="1341" t="s">
        <v>3538</v>
      </c>
      <c r="D2415" s="1310">
        <v>610.15000399999997</v>
      </c>
    </row>
    <row r="2416" spans="2:4" x14ac:dyDescent="0.2">
      <c r="B2416" s="1341">
        <v>2792</v>
      </c>
      <c r="C2416" s="1341" t="s">
        <v>3539</v>
      </c>
      <c r="D2416" s="1310">
        <v>641.5</v>
      </c>
    </row>
    <row r="2417" spans="2:4" x14ac:dyDescent="0.2">
      <c r="B2417" s="1341">
        <v>2793</v>
      </c>
      <c r="C2417" s="1341" t="s">
        <v>3540</v>
      </c>
      <c r="D2417" s="1310">
        <v>612.14999399999999</v>
      </c>
    </row>
    <row r="2418" spans="2:4" x14ac:dyDescent="0.2">
      <c r="B2418" s="1341">
        <v>2794</v>
      </c>
      <c r="C2418" s="1341" t="s">
        <v>3541</v>
      </c>
      <c r="D2418" s="1310">
        <v>685.68332899999996</v>
      </c>
    </row>
    <row r="2419" spans="2:4" x14ac:dyDescent="0.2">
      <c r="B2419" s="1341">
        <v>2795</v>
      </c>
      <c r="C2419" s="1341" t="s">
        <v>2295</v>
      </c>
      <c r="D2419" s="1310">
        <v>685.30001100000004</v>
      </c>
    </row>
    <row r="2420" spans="2:4" x14ac:dyDescent="0.2">
      <c r="B2420" s="1341">
        <v>2796</v>
      </c>
      <c r="C2420" s="1341" t="s">
        <v>3542</v>
      </c>
      <c r="D2420" s="1310">
        <v>599.57500500000003</v>
      </c>
    </row>
    <row r="2421" spans="2:4" x14ac:dyDescent="0.2">
      <c r="B2421" s="1341">
        <v>2797</v>
      </c>
      <c r="C2421" s="1341" t="s">
        <v>1744</v>
      </c>
      <c r="D2421" s="1310">
        <v>597.66363000000001</v>
      </c>
    </row>
    <row r="2422" spans="2:4" x14ac:dyDescent="0.2">
      <c r="B2422" s="1341">
        <v>2798</v>
      </c>
      <c r="C2422" s="1341" t="s">
        <v>3543</v>
      </c>
      <c r="D2422" s="1310">
        <v>582.66001000000006</v>
      </c>
    </row>
    <row r="2423" spans="2:4" x14ac:dyDescent="0.2">
      <c r="B2423" s="1341">
        <v>2799</v>
      </c>
      <c r="C2423" s="1341" t="s">
        <v>3544</v>
      </c>
      <c r="D2423" s="1310">
        <v>581.93572600000005</v>
      </c>
    </row>
    <row r="2424" spans="2:4" x14ac:dyDescent="0.2">
      <c r="B2424" s="1341">
        <v>2800</v>
      </c>
      <c r="C2424" s="1341" t="s">
        <v>3545</v>
      </c>
      <c r="D2424" s="1310">
        <v>599.22499100000005</v>
      </c>
    </row>
    <row r="2425" spans="2:4" x14ac:dyDescent="0.2">
      <c r="B2425" s="1341">
        <v>2801</v>
      </c>
      <c r="C2425" s="1341" t="s">
        <v>3546</v>
      </c>
      <c r="D2425" s="1310">
        <v>589.39999399999999</v>
      </c>
    </row>
    <row r="2426" spans="2:4" x14ac:dyDescent="0.2">
      <c r="B2426" s="1341">
        <v>2802</v>
      </c>
      <c r="C2426" s="1341" t="s">
        <v>3547</v>
      </c>
      <c r="D2426" s="1310">
        <v>573.29999999999995</v>
      </c>
    </row>
    <row r="2427" spans="2:4" x14ac:dyDescent="0.2">
      <c r="B2427" s="1341">
        <v>2803</v>
      </c>
      <c r="C2427" s="1341" t="s">
        <v>3548</v>
      </c>
      <c r="D2427" s="1310">
        <v>709.620001</v>
      </c>
    </row>
    <row r="2428" spans="2:4" x14ac:dyDescent="0.2">
      <c r="B2428" s="1341">
        <v>2804</v>
      </c>
      <c r="C2428" s="1341" t="s">
        <v>3549</v>
      </c>
      <c r="D2428" s="1310">
        <v>678.385716</v>
      </c>
    </row>
    <row r="2429" spans="2:4" x14ac:dyDescent="0.2">
      <c r="B2429" s="1341">
        <v>2805</v>
      </c>
      <c r="C2429" s="1341" t="s">
        <v>3550</v>
      </c>
      <c r="D2429" s="1310">
        <v>743.60000600000001</v>
      </c>
    </row>
    <row r="2430" spans="2:4" x14ac:dyDescent="0.2">
      <c r="B2430" s="1341">
        <v>2806</v>
      </c>
      <c r="C2430" s="1341" t="s">
        <v>3551</v>
      </c>
      <c r="D2430" s="1310">
        <v>643.52000699999996</v>
      </c>
    </row>
    <row r="2431" spans="2:4" x14ac:dyDescent="0.2">
      <c r="B2431" s="1341">
        <v>2807</v>
      </c>
      <c r="C2431" s="1341" t="s">
        <v>3552</v>
      </c>
      <c r="D2431" s="1310">
        <v>635.91332999999997</v>
      </c>
    </row>
    <row r="2432" spans="2:4" x14ac:dyDescent="0.2">
      <c r="B2432" s="1341">
        <v>2808</v>
      </c>
      <c r="C2432" s="1341" t="s">
        <v>3553</v>
      </c>
      <c r="D2432" s="1310">
        <v>617.5</v>
      </c>
    </row>
    <row r="2433" spans="2:4" x14ac:dyDescent="0.2">
      <c r="B2433" s="1341">
        <v>2809</v>
      </c>
      <c r="C2433" s="1341" t="s">
        <v>3554</v>
      </c>
      <c r="D2433" s="1310">
        <v>616.48571800000002</v>
      </c>
    </row>
    <row r="2434" spans="2:4" x14ac:dyDescent="0.2">
      <c r="B2434" s="1341">
        <v>2810</v>
      </c>
      <c r="C2434" s="1341" t="s">
        <v>3555</v>
      </c>
      <c r="D2434" s="1310">
        <v>653.116669</v>
      </c>
    </row>
    <row r="2435" spans="2:4" x14ac:dyDescent="0.2">
      <c r="B2435" s="1341">
        <v>2811</v>
      </c>
      <c r="C2435" s="1341" t="s">
        <v>3556</v>
      </c>
      <c r="D2435" s="1310">
        <v>603.6</v>
      </c>
    </row>
    <row r="2436" spans="2:4" x14ac:dyDescent="0.2">
      <c r="B2436" s="1341">
        <v>2812</v>
      </c>
      <c r="C2436" s="1341" t="s">
        <v>3557</v>
      </c>
      <c r="D2436" s="1310">
        <v>587.83332800000005</v>
      </c>
    </row>
    <row r="2437" spans="2:4" x14ac:dyDescent="0.2">
      <c r="B2437" s="1341">
        <v>2813</v>
      </c>
      <c r="C2437" s="1341" t="s">
        <v>3558</v>
      </c>
      <c r="D2437" s="1310">
        <v>583.21999500000004</v>
      </c>
    </row>
    <row r="2438" spans="2:4" x14ac:dyDescent="0.2">
      <c r="B2438" s="1341">
        <v>2814</v>
      </c>
      <c r="C2438" s="1341" t="s">
        <v>3559</v>
      </c>
      <c r="D2438" s="1310">
        <v>639.070831</v>
      </c>
    </row>
    <row r="2439" spans="2:4" x14ac:dyDescent="0.2">
      <c r="B2439" s="1341">
        <v>2815</v>
      </c>
      <c r="C2439" s="1341" t="s">
        <v>3560</v>
      </c>
      <c r="D2439" s="1310">
        <v>736.66666699999996</v>
      </c>
    </row>
    <row r="2440" spans="2:4" x14ac:dyDescent="0.2">
      <c r="B2440" s="1341">
        <v>2816</v>
      </c>
      <c r="C2440" s="1341" t="s">
        <v>3561</v>
      </c>
      <c r="D2440" s="1310">
        <v>630.52857300000005</v>
      </c>
    </row>
    <row r="2441" spans="2:4" x14ac:dyDescent="0.2">
      <c r="B2441" s="1341">
        <v>2817</v>
      </c>
      <c r="C2441" s="1341" t="s">
        <v>3562</v>
      </c>
      <c r="D2441" s="1310">
        <v>610.97499100000005</v>
      </c>
    </row>
    <row r="2442" spans="2:4" x14ac:dyDescent="0.2">
      <c r="B2442" s="1341">
        <v>2818</v>
      </c>
      <c r="C2442" s="1341" t="s">
        <v>1846</v>
      </c>
      <c r="D2442" s="1310">
        <v>601.30768799999998</v>
      </c>
    </row>
    <row r="2443" spans="2:4" x14ac:dyDescent="0.2">
      <c r="B2443" s="1341">
        <v>2819</v>
      </c>
      <c r="C2443" s="1341" t="s">
        <v>3563</v>
      </c>
      <c r="D2443" s="1310">
        <v>599.42857100000003</v>
      </c>
    </row>
    <row r="2444" spans="2:4" x14ac:dyDescent="0.2">
      <c r="B2444" s="1341">
        <v>2820</v>
      </c>
      <c r="C2444" s="1341" t="s">
        <v>2833</v>
      </c>
      <c r="D2444" s="1310">
        <v>603.54999799999996</v>
      </c>
    </row>
    <row r="2445" spans="2:4" x14ac:dyDescent="0.2">
      <c r="B2445" s="1341">
        <v>2821</v>
      </c>
      <c r="C2445" s="1341" t="s">
        <v>2325</v>
      </c>
      <c r="D2445" s="1310">
        <v>596.09997599999997</v>
      </c>
    </row>
    <row r="2446" spans="2:4" x14ac:dyDescent="0.2">
      <c r="B2446" s="1341">
        <v>2822</v>
      </c>
      <c r="C2446" s="1341" t="s">
        <v>3564</v>
      </c>
      <c r="D2446" s="1310">
        <v>625.44999399999995</v>
      </c>
    </row>
    <row r="2447" spans="2:4" x14ac:dyDescent="0.2">
      <c r="B2447" s="1341">
        <v>2823</v>
      </c>
      <c r="C2447" s="1341" t="s">
        <v>2285</v>
      </c>
      <c r="D2447" s="1310">
        <v>602.06667100000004</v>
      </c>
    </row>
    <row r="2448" spans="2:4" x14ac:dyDescent="0.2">
      <c r="B2448" s="1341">
        <v>2824</v>
      </c>
      <c r="C2448" s="1341" t="s">
        <v>3565</v>
      </c>
      <c r="D2448" s="1310">
        <v>581.32499700000005</v>
      </c>
    </row>
    <row r="2449" spans="2:4" x14ac:dyDescent="0.2">
      <c r="B2449" s="1341">
        <v>2825</v>
      </c>
      <c r="C2449" s="1341" t="s">
        <v>3566</v>
      </c>
      <c r="D2449" s="1310">
        <v>616.17498799999998</v>
      </c>
    </row>
    <row r="2450" spans="2:4" x14ac:dyDescent="0.2">
      <c r="B2450" s="1341">
        <v>2826</v>
      </c>
      <c r="C2450" s="1341" t="s">
        <v>3567</v>
      </c>
      <c r="D2450" s="1310">
        <v>682.39997900000003</v>
      </c>
    </row>
    <row r="2451" spans="2:4" x14ac:dyDescent="0.2">
      <c r="B2451" s="1341">
        <v>2827</v>
      </c>
      <c r="C2451" s="1341" t="s">
        <v>3568</v>
      </c>
      <c r="D2451" s="1310">
        <v>578.64999399999999</v>
      </c>
    </row>
    <row r="2452" spans="2:4" x14ac:dyDescent="0.2">
      <c r="B2452" s="1341">
        <v>2828</v>
      </c>
      <c r="C2452" s="1341" t="s">
        <v>3569</v>
      </c>
      <c r="D2452" s="1310">
        <v>609.83332299999995</v>
      </c>
    </row>
    <row r="2453" spans="2:4" x14ac:dyDescent="0.2">
      <c r="B2453" s="1341">
        <v>2829</v>
      </c>
      <c r="C2453" s="1341" t="s">
        <v>3570</v>
      </c>
      <c r="D2453" s="1310">
        <v>690.90002400000003</v>
      </c>
    </row>
    <row r="2454" spans="2:4" x14ac:dyDescent="0.2">
      <c r="B2454" s="1341">
        <v>2830</v>
      </c>
      <c r="C2454" s="1341" t="s">
        <v>3571</v>
      </c>
      <c r="D2454" s="1310">
        <v>622.95000500000003</v>
      </c>
    </row>
    <row r="2455" spans="2:4" x14ac:dyDescent="0.2">
      <c r="B2455" s="1341">
        <v>2831</v>
      </c>
      <c r="C2455" s="1341" t="s">
        <v>3572</v>
      </c>
      <c r="D2455" s="1310">
        <v>588.53334600000005</v>
      </c>
    </row>
    <row r="2456" spans="2:4" x14ac:dyDescent="0.2">
      <c r="B2456" s="1341">
        <v>2832</v>
      </c>
      <c r="C2456" s="1341" t="s">
        <v>3573</v>
      </c>
      <c r="D2456" s="1310">
        <v>605.37857099999997</v>
      </c>
    </row>
    <row r="2457" spans="2:4" x14ac:dyDescent="0.2">
      <c r="B2457" s="1341">
        <v>2833</v>
      </c>
      <c r="C2457" s="1341" t="s">
        <v>3574</v>
      </c>
      <c r="D2457" s="1310">
        <v>581.51428199999998</v>
      </c>
    </row>
    <row r="2458" spans="2:4" x14ac:dyDescent="0.2">
      <c r="B2458" s="1341">
        <v>2834</v>
      </c>
      <c r="C2458" s="1341" t="s">
        <v>3575</v>
      </c>
      <c r="D2458" s="1310">
        <v>692</v>
      </c>
    </row>
    <row r="2459" spans="2:4" x14ac:dyDescent="0.2">
      <c r="B2459" s="1341">
        <v>2835</v>
      </c>
      <c r="C2459" s="1341" t="s">
        <v>3576</v>
      </c>
      <c r="D2459" s="1310">
        <v>575.51667299999997</v>
      </c>
    </row>
    <row r="2460" spans="2:4" x14ac:dyDescent="0.2">
      <c r="B2460" s="1341">
        <v>2836</v>
      </c>
      <c r="C2460" s="1341" t="s">
        <v>3577</v>
      </c>
      <c r="D2460" s="1310">
        <v>617.866669</v>
      </c>
    </row>
    <row r="2461" spans="2:4" x14ac:dyDescent="0.2">
      <c r="B2461" s="1341">
        <v>2837</v>
      </c>
      <c r="C2461" s="1341" t="s">
        <v>3578</v>
      </c>
      <c r="D2461" s="1310">
        <v>605.17142999999999</v>
      </c>
    </row>
    <row r="2462" spans="2:4" x14ac:dyDescent="0.2">
      <c r="B2462" s="1341">
        <v>2838</v>
      </c>
      <c r="C2462" s="1341" t="s">
        <v>3579</v>
      </c>
      <c r="D2462" s="1310">
        <v>673.03333499999997</v>
      </c>
    </row>
    <row r="2463" spans="2:4" x14ac:dyDescent="0.2">
      <c r="B2463" s="1341">
        <v>2839</v>
      </c>
      <c r="C2463" s="1341" t="s">
        <v>3580</v>
      </c>
      <c r="D2463" s="1310">
        <v>687.57999299999994</v>
      </c>
    </row>
    <row r="2464" spans="2:4" x14ac:dyDescent="0.2">
      <c r="B2464" s="1341">
        <v>2840</v>
      </c>
      <c r="C2464" s="1341" t="s">
        <v>3581</v>
      </c>
      <c r="D2464" s="1310">
        <v>595.25</v>
      </c>
    </row>
    <row r="2465" spans="2:4" x14ac:dyDescent="0.2">
      <c r="B2465" s="1341">
        <v>2841</v>
      </c>
      <c r="C2465" s="1341" t="s">
        <v>3582</v>
      </c>
      <c r="D2465" s="1310">
        <v>606.66666699999996</v>
      </c>
    </row>
    <row r="2466" spans="2:4" x14ac:dyDescent="0.2">
      <c r="B2466" s="1341">
        <v>2842</v>
      </c>
      <c r="C2466" s="1341" t="s">
        <v>3583</v>
      </c>
      <c r="D2466" s="1310">
        <v>602.70588199999997</v>
      </c>
    </row>
    <row r="2467" spans="2:4" x14ac:dyDescent="0.2">
      <c r="B2467" s="1341">
        <v>2843</v>
      </c>
      <c r="C2467" s="1341" t="s">
        <v>3584</v>
      </c>
      <c r="D2467" s="1310">
        <v>626.93332899999996</v>
      </c>
    </row>
    <row r="2468" spans="2:4" x14ac:dyDescent="0.2">
      <c r="B2468" s="1341">
        <v>2844</v>
      </c>
      <c r="C2468" s="1341" t="s">
        <v>3257</v>
      </c>
      <c r="D2468" s="1310">
        <v>670.70001200000002</v>
      </c>
    </row>
    <row r="2469" spans="2:4" x14ac:dyDescent="0.2">
      <c r="B2469" s="1341">
        <v>2845</v>
      </c>
      <c r="C2469" s="1341" t="s">
        <v>3585</v>
      </c>
      <c r="D2469" s="1310">
        <v>613.12501499999996</v>
      </c>
    </row>
    <row r="2470" spans="2:4" x14ac:dyDescent="0.2">
      <c r="B2470" s="1341">
        <v>2846</v>
      </c>
      <c r="C2470" s="1341" t="s">
        <v>3586</v>
      </c>
      <c r="D2470" s="1310">
        <v>587.78333499999997</v>
      </c>
    </row>
    <row r="2471" spans="2:4" x14ac:dyDescent="0.2">
      <c r="B2471" s="1341">
        <v>2847</v>
      </c>
      <c r="C2471" s="1341" t="s">
        <v>3587</v>
      </c>
      <c r="D2471" s="1310">
        <v>630.70001200000002</v>
      </c>
    </row>
    <row r="2472" spans="2:4" x14ac:dyDescent="0.2">
      <c r="B2472" s="1341">
        <v>2848</v>
      </c>
      <c r="C2472" s="1341" t="s">
        <v>3588</v>
      </c>
      <c r="D2472" s="1310">
        <v>585.54284700000005</v>
      </c>
    </row>
    <row r="2473" spans="2:4" x14ac:dyDescent="0.2">
      <c r="B2473" s="1341">
        <v>2849</v>
      </c>
      <c r="C2473" s="1341" t="s">
        <v>3589</v>
      </c>
      <c r="D2473" s="1310">
        <v>602.25</v>
      </c>
    </row>
    <row r="2474" spans="2:4" x14ac:dyDescent="0.2">
      <c r="B2474" s="1341">
        <v>2850</v>
      </c>
      <c r="C2474" s="1341" t="s">
        <v>3590</v>
      </c>
      <c r="D2474" s="1310">
        <v>628.75</v>
      </c>
    </row>
    <row r="2475" spans="2:4" x14ac:dyDescent="0.2">
      <c r="B2475" s="1341">
        <v>2851</v>
      </c>
      <c r="C2475" s="1341" t="s">
        <v>3591</v>
      </c>
      <c r="D2475" s="1310">
        <v>594.60768499999995</v>
      </c>
    </row>
    <row r="2476" spans="2:4" x14ac:dyDescent="0.2">
      <c r="B2476" s="1341">
        <v>2852</v>
      </c>
      <c r="C2476" s="1341" t="s">
        <v>3592</v>
      </c>
      <c r="D2476" s="1310">
        <v>619.49999000000003</v>
      </c>
    </row>
    <row r="2477" spans="2:4" x14ac:dyDescent="0.2">
      <c r="B2477" s="1341">
        <v>2901</v>
      </c>
      <c r="C2477" s="1341" t="s">
        <v>3593</v>
      </c>
      <c r="D2477" s="1310">
        <v>578.85000600000001</v>
      </c>
    </row>
    <row r="2478" spans="2:4" x14ac:dyDescent="0.2">
      <c r="B2478" s="1341">
        <v>2902</v>
      </c>
      <c r="C2478" s="1341" t="s">
        <v>3594</v>
      </c>
      <c r="D2478" s="1310">
        <v>621.74545000000001</v>
      </c>
    </row>
    <row r="2479" spans="2:4" x14ac:dyDescent="0.2">
      <c r="B2479" s="1341">
        <v>2903</v>
      </c>
      <c r="C2479" s="1341" t="s">
        <v>3595</v>
      </c>
      <c r="D2479" s="1310">
        <v>642.00000599999998</v>
      </c>
    </row>
    <row r="2480" spans="2:4" x14ac:dyDescent="0.2">
      <c r="B2480" s="1341">
        <v>2904</v>
      </c>
      <c r="C2480" s="1341" t="s">
        <v>3596</v>
      </c>
      <c r="D2480" s="1310">
        <v>685.70000100000004</v>
      </c>
    </row>
    <row r="2481" spans="2:4" x14ac:dyDescent="0.2">
      <c r="B2481" s="1341">
        <v>2905</v>
      </c>
      <c r="C2481" s="1341" t="s">
        <v>3597</v>
      </c>
      <c r="D2481" s="1310">
        <v>593.04999499999997</v>
      </c>
    </row>
    <row r="2482" spans="2:4" x14ac:dyDescent="0.2">
      <c r="B2482" s="1341">
        <v>2906</v>
      </c>
      <c r="C2482" s="1341" t="s">
        <v>3598</v>
      </c>
      <c r="D2482" s="1310">
        <v>598.42499499999997</v>
      </c>
    </row>
    <row r="2483" spans="2:4" x14ac:dyDescent="0.2">
      <c r="B2483" s="1341">
        <v>2907</v>
      </c>
      <c r="C2483" s="1341" t="s">
        <v>3599</v>
      </c>
      <c r="D2483" s="1310">
        <v>565.68666599999995</v>
      </c>
    </row>
    <row r="2484" spans="2:4" x14ac:dyDescent="0.2">
      <c r="B2484" s="1341">
        <v>2908</v>
      </c>
      <c r="C2484" s="1341" t="s">
        <v>3600</v>
      </c>
      <c r="D2484" s="1310">
        <v>673.01666799999998</v>
      </c>
    </row>
    <row r="2485" spans="2:4" x14ac:dyDescent="0.2">
      <c r="B2485" s="1341">
        <v>2909</v>
      </c>
      <c r="C2485" s="1341" t="s">
        <v>3601</v>
      </c>
      <c r="D2485" s="1310">
        <v>603.37999300000001</v>
      </c>
    </row>
    <row r="2486" spans="2:4" x14ac:dyDescent="0.2">
      <c r="B2486" s="1341">
        <v>2910</v>
      </c>
      <c r="C2486" s="1341" t="s">
        <v>3602</v>
      </c>
      <c r="D2486" s="1310">
        <v>652.57499700000005</v>
      </c>
    </row>
    <row r="2487" spans="2:4" x14ac:dyDescent="0.2">
      <c r="B2487" s="1341">
        <v>2911</v>
      </c>
      <c r="C2487" s="1341" t="s">
        <v>3603</v>
      </c>
      <c r="D2487" s="1310">
        <v>567.60000600000001</v>
      </c>
    </row>
    <row r="2488" spans="2:4" x14ac:dyDescent="0.2">
      <c r="B2488" s="1341">
        <v>2912</v>
      </c>
      <c r="C2488" s="1341" t="s">
        <v>3604</v>
      </c>
      <c r="D2488" s="1310">
        <v>660.53750600000001</v>
      </c>
    </row>
    <row r="2489" spans="2:4" x14ac:dyDescent="0.2">
      <c r="B2489" s="1341">
        <v>2913</v>
      </c>
      <c r="C2489" s="1341" t="s">
        <v>3605</v>
      </c>
      <c r="D2489" s="1310">
        <v>620</v>
      </c>
    </row>
    <row r="2490" spans="2:4" x14ac:dyDescent="0.2">
      <c r="B2490" s="1341">
        <v>2914</v>
      </c>
      <c r="C2490" s="1341" t="s">
        <v>3606</v>
      </c>
      <c r="D2490" s="1310">
        <v>642.12000699999999</v>
      </c>
    </row>
    <row r="2491" spans="2:4" x14ac:dyDescent="0.2">
      <c r="B2491" s="1341">
        <v>2915</v>
      </c>
      <c r="C2491" s="1341" t="s">
        <v>3607</v>
      </c>
      <c r="D2491" s="1310">
        <v>575</v>
      </c>
    </row>
    <row r="2492" spans="2:4" x14ac:dyDescent="0.2">
      <c r="B2492" s="1341">
        <v>2916</v>
      </c>
      <c r="C2492" s="1341" t="s">
        <v>2353</v>
      </c>
      <c r="D2492" s="1310">
        <v>708.86428799999999</v>
      </c>
    </row>
    <row r="2493" spans="2:4" x14ac:dyDescent="0.2">
      <c r="B2493" s="1341">
        <v>2917</v>
      </c>
      <c r="C2493" s="1341" t="s">
        <v>3608</v>
      </c>
      <c r="D2493" s="1310">
        <v>650.65000199999997</v>
      </c>
    </row>
    <row r="2494" spans="2:4" x14ac:dyDescent="0.2">
      <c r="B2494" s="1341">
        <v>2918</v>
      </c>
      <c r="C2494" s="1341" t="s">
        <v>3609</v>
      </c>
      <c r="D2494" s="1310">
        <v>580.84999600000003</v>
      </c>
    </row>
    <row r="2495" spans="2:4" x14ac:dyDescent="0.2">
      <c r="B2495" s="1341">
        <v>2919</v>
      </c>
      <c r="C2495" s="1341" t="s">
        <v>3610</v>
      </c>
      <c r="D2495" s="1310">
        <v>575.80000500000006</v>
      </c>
    </row>
    <row r="2496" spans="2:4" x14ac:dyDescent="0.2">
      <c r="B2496" s="1341">
        <v>2920</v>
      </c>
      <c r="C2496" s="1341" t="s">
        <v>3611</v>
      </c>
      <c r="D2496" s="1310">
        <v>602.77856699999995</v>
      </c>
    </row>
    <row r="2497" spans="2:4" x14ac:dyDescent="0.2">
      <c r="B2497" s="1341">
        <v>2921</v>
      </c>
      <c r="C2497" s="1341" t="s">
        <v>3457</v>
      </c>
      <c r="D2497" s="1310">
        <v>671.23750299999995</v>
      </c>
    </row>
    <row r="2498" spans="2:4" x14ac:dyDescent="0.2">
      <c r="B2498" s="1341">
        <v>2922</v>
      </c>
      <c r="C2498" s="1341" t="s">
        <v>1471</v>
      </c>
      <c r="D2498" s="1310">
        <v>634.49998000000005</v>
      </c>
    </row>
    <row r="2499" spans="2:4" x14ac:dyDescent="0.2">
      <c r="B2499" s="1341">
        <v>2923</v>
      </c>
      <c r="C2499" s="1341" t="s">
        <v>3612</v>
      </c>
      <c r="D2499" s="1310">
        <v>641.32499700000005</v>
      </c>
    </row>
    <row r="2500" spans="2:4" x14ac:dyDescent="0.2">
      <c r="B2500" s="1341">
        <v>2924</v>
      </c>
      <c r="C2500" s="1341" t="s">
        <v>3613</v>
      </c>
      <c r="D2500" s="1310">
        <v>623.01666299999999</v>
      </c>
    </row>
    <row r="2501" spans="2:4" x14ac:dyDescent="0.2">
      <c r="B2501" s="1341">
        <v>2925</v>
      </c>
      <c r="C2501" s="1341" t="s">
        <v>3614</v>
      </c>
      <c r="D2501" s="1310">
        <v>645.07498199999998</v>
      </c>
    </row>
    <row r="2502" spans="2:4" x14ac:dyDescent="0.2">
      <c r="B2502" s="1341">
        <v>2926</v>
      </c>
      <c r="C2502" s="1341" t="s">
        <v>3615</v>
      </c>
      <c r="D2502" s="1310">
        <v>668.61249499999997</v>
      </c>
    </row>
    <row r="2503" spans="2:4" x14ac:dyDescent="0.2">
      <c r="B2503" s="1341">
        <v>2927</v>
      </c>
      <c r="C2503" s="1341" t="s">
        <v>3616</v>
      </c>
      <c r="D2503" s="1310">
        <v>713.36665900000003</v>
      </c>
    </row>
    <row r="2504" spans="2:4" x14ac:dyDescent="0.2">
      <c r="B2504" s="1341">
        <v>2928</v>
      </c>
      <c r="C2504" s="1341" t="s">
        <v>1529</v>
      </c>
      <c r="D2504" s="1310">
        <v>643.53333899999996</v>
      </c>
    </row>
    <row r="2505" spans="2:4" x14ac:dyDescent="0.2">
      <c r="B2505" s="1341">
        <v>2929</v>
      </c>
      <c r="C2505" s="1341" t="s">
        <v>3617</v>
      </c>
      <c r="D2505" s="1310">
        <v>583.61665900000003</v>
      </c>
    </row>
    <row r="2506" spans="2:4" x14ac:dyDescent="0.2">
      <c r="B2506" s="1341">
        <v>2930</v>
      </c>
      <c r="C2506" s="1341" t="s">
        <v>3618</v>
      </c>
      <c r="D2506" s="1310">
        <v>697.81874800000003</v>
      </c>
    </row>
    <row r="2507" spans="2:4" x14ac:dyDescent="0.2">
      <c r="B2507" s="1341">
        <v>2931</v>
      </c>
      <c r="C2507" s="1341" t="s">
        <v>3619</v>
      </c>
      <c r="D2507" s="1310">
        <v>707.35999800000002</v>
      </c>
    </row>
    <row r="2508" spans="2:4" x14ac:dyDescent="0.2">
      <c r="B2508" s="1341">
        <v>2932</v>
      </c>
      <c r="C2508" s="1341" t="s">
        <v>3620</v>
      </c>
      <c r="D2508" s="1310">
        <v>693.13077499999997</v>
      </c>
    </row>
    <row r="2509" spans="2:4" x14ac:dyDescent="0.2">
      <c r="B2509" s="1341">
        <v>2933</v>
      </c>
      <c r="C2509" s="1341" t="s">
        <v>3621</v>
      </c>
      <c r="D2509" s="1310">
        <v>641.65999099999999</v>
      </c>
    </row>
    <row r="2510" spans="2:4" x14ac:dyDescent="0.2">
      <c r="B2510" s="1341">
        <v>2934</v>
      </c>
      <c r="C2510" s="1341" t="s">
        <v>3622</v>
      </c>
      <c r="D2510" s="1310">
        <v>577.49998800000003</v>
      </c>
    </row>
    <row r="2511" spans="2:4" x14ac:dyDescent="0.2">
      <c r="B2511" s="1341">
        <v>2935</v>
      </c>
      <c r="C2511" s="1341" t="s">
        <v>3623</v>
      </c>
      <c r="D2511" s="1310">
        <v>679.78333499999997</v>
      </c>
    </row>
    <row r="2512" spans="2:4" x14ac:dyDescent="0.2">
      <c r="B2512" s="1341">
        <v>2936</v>
      </c>
      <c r="C2512" s="1341" t="s">
        <v>2044</v>
      </c>
      <c r="D2512" s="1310">
        <v>610.55000299999995</v>
      </c>
    </row>
    <row r="2513" spans="2:4" x14ac:dyDescent="0.2">
      <c r="B2513" s="1341">
        <v>2937</v>
      </c>
      <c r="C2513" s="1341" t="s">
        <v>3035</v>
      </c>
      <c r="D2513" s="1310">
        <v>601.33332700000005</v>
      </c>
    </row>
    <row r="2514" spans="2:4" x14ac:dyDescent="0.2">
      <c r="B2514" s="1341">
        <v>2938</v>
      </c>
      <c r="C2514" s="1341" t="s">
        <v>3624</v>
      </c>
      <c r="D2514" s="1310">
        <v>610.32857000000001</v>
      </c>
    </row>
    <row r="2515" spans="2:4" x14ac:dyDescent="0.2">
      <c r="B2515" s="1341">
        <v>2939</v>
      </c>
      <c r="C2515" s="1341" t="s">
        <v>3625</v>
      </c>
      <c r="D2515" s="1310">
        <v>590.84285199999999</v>
      </c>
    </row>
    <row r="2516" spans="2:4" x14ac:dyDescent="0.2">
      <c r="B2516" s="1341">
        <v>2940</v>
      </c>
      <c r="C2516" s="1341" t="s">
        <v>3626</v>
      </c>
      <c r="D2516" s="1310">
        <v>603.14000199999998</v>
      </c>
    </row>
    <row r="2517" spans="2:4" x14ac:dyDescent="0.2">
      <c r="B2517" s="1341">
        <v>2941</v>
      </c>
      <c r="C2517" s="1341" t="s">
        <v>3627</v>
      </c>
      <c r="D2517" s="1310">
        <v>663.79998799999998</v>
      </c>
    </row>
    <row r="2518" spans="2:4" x14ac:dyDescent="0.2">
      <c r="B2518" s="1341">
        <v>2942</v>
      </c>
      <c r="C2518" s="1341" t="s">
        <v>3628</v>
      </c>
      <c r="D2518" s="1310">
        <v>613.40000699999996</v>
      </c>
    </row>
    <row r="2519" spans="2:4" x14ac:dyDescent="0.2">
      <c r="B2519" s="1341">
        <v>2943</v>
      </c>
      <c r="C2519" s="1341" t="s">
        <v>3629</v>
      </c>
      <c r="D2519" s="1310">
        <v>720.60000200000002</v>
      </c>
    </row>
    <row r="2520" spans="2:4" x14ac:dyDescent="0.2">
      <c r="B2520" s="1341">
        <v>2944</v>
      </c>
      <c r="C2520" s="1341" t="s">
        <v>2378</v>
      </c>
      <c r="D2520" s="1310">
        <v>742.5</v>
      </c>
    </row>
    <row r="2521" spans="2:4" x14ac:dyDescent="0.2">
      <c r="B2521" s="1341">
        <v>2945</v>
      </c>
      <c r="C2521" s="1341" t="s">
        <v>3630</v>
      </c>
      <c r="D2521" s="1310">
        <v>684.94285400000001</v>
      </c>
    </row>
    <row r="2522" spans="2:4" x14ac:dyDescent="0.2">
      <c r="B2522" s="1341">
        <v>2946</v>
      </c>
      <c r="C2522" s="1341" t="s">
        <v>3631</v>
      </c>
      <c r="D2522" s="1310">
        <v>647.48571800000002</v>
      </c>
    </row>
    <row r="2523" spans="2:4" x14ac:dyDescent="0.2">
      <c r="B2523" s="1341">
        <v>2947</v>
      </c>
      <c r="C2523" s="1341" t="s">
        <v>3632</v>
      </c>
      <c r="D2523" s="1310">
        <v>623.58572000000004</v>
      </c>
    </row>
    <row r="2524" spans="2:4" x14ac:dyDescent="0.2">
      <c r="B2524" s="1341">
        <v>2948</v>
      </c>
      <c r="C2524" s="1341" t="s">
        <v>3633</v>
      </c>
      <c r="D2524" s="1310">
        <v>700.01666299999999</v>
      </c>
    </row>
    <row r="2525" spans="2:4" x14ac:dyDescent="0.2">
      <c r="B2525" s="1341">
        <v>2949</v>
      </c>
      <c r="C2525" s="1341" t="s">
        <v>3634</v>
      </c>
      <c r="D2525" s="1310">
        <v>730.90000199999997</v>
      </c>
    </row>
    <row r="2526" spans="2:4" x14ac:dyDescent="0.2">
      <c r="B2526" s="1341">
        <v>2950</v>
      </c>
      <c r="C2526" s="1341" t="s">
        <v>3635</v>
      </c>
      <c r="D2526" s="1310">
        <v>583.99998500000004</v>
      </c>
    </row>
    <row r="2527" spans="2:4" x14ac:dyDescent="0.2">
      <c r="B2527" s="1341">
        <v>2951</v>
      </c>
      <c r="C2527" s="1341" t="s">
        <v>3636</v>
      </c>
      <c r="D2527" s="1310">
        <v>664.70832800000005</v>
      </c>
    </row>
    <row r="2528" spans="2:4" x14ac:dyDescent="0.2">
      <c r="B2528" s="1341">
        <v>2952</v>
      </c>
      <c r="C2528" s="1341" t="s">
        <v>3637</v>
      </c>
      <c r="D2528" s="1310">
        <v>619.57500500000003</v>
      </c>
    </row>
    <row r="2529" spans="2:4" x14ac:dyDescent="0.2">
      <c r="B2529" s="1341">
        <v>2953</v>
      </c>
      <c r="C2529" s="1341" t="s">
        <v>3638</v>
      </c>
      <c r="D2529" s="1310">
        <v>617.85999800000002</v>
      </c>
    </row>
    <row r="2530" spans="2:4" x14ac:dyDescent="0.2">
      <c r="B2530" s="1341">
        <v>2954</v>
      </c>
      <c r="C2530" s="1341" t="s">
        <v>3639</v>
      </c>
      <c r="D2530" s="1310">
        <v>580.87999300000001</v>
      </c>
    </row>
    <row r="2531" spans="2:4" x14ac:dyDescent="0.2">
      <c r="B2531" s="1341">
        <v>2955</v>
      </c>
      <c r="C2531" s="1341" t="s">
        <v>3640</v>
      </c>
      <c r="D2531" s="1310">
        <v>569.83333300000004</v>
      </c>
    </row>
    <row r="2532" spans="2:4" x14ac:dyDescent="0.2">
      <c r="B2532" s="1341">
        <v>2956</v>
      </c>
      <c r="C2532" s="1341" t="s">
        <v>3641</v>
      </c>
      <c r="D2532" s="1310">
        <v>632.03333499999997</v>
      </c>
    </row>
    <row r="2533" spans="2:4" x14ac:dyDescent="0.2">
      <c r="B2533" s="1341">
        <v>2957</v>
      </c>
      <c r="C2533" s="1341" t="s">
        <v>3642</v>
      </c>
      <c r="D2533" s="1310">
        <v>570.50001199999997</v>
      </c>
    </row>
    <row r="2534" spans="2:4" x14ac:dyDescent="0.2">
      <c r="B2534" s="1341">
        <v>2958</v>
      </c>
      <c r="C2534" s="1341" t="s">
        <v>3643</v>
      </c>
      <c r="D2534" s="1310">
        <v>573.67500299999995</v>
      </c>
    </row>
    <row r="2535" spans="2:4" x14ac:dyDescent="0.2">
      <c r="B2535" s="1341">
        <v>2959</v>
      </c>
      <c r="C2535" s="1341" t="s">
        <v>3644</v>
      </c>
      <c r="D2535" s="1310">
        <v>608.52857300000005</v>
      </c>
    </row>
    <row r="2536" spans="2:4" x14ac:dyDescent="0.2">
      <c r="B2536" s="1341">
        <v>2960</v>
      </c>
      <c r="C2536" s="1341" t="s">
        <v>3645</v>
      </c>
      <c r="D2536" s="1310">
        <v>567.30000099999995</v>
      </c>
    </row>
    <row r="2537" spans="2:4" x14ac:dyDescent="0.2">
      <c r="B2537" s="1341">
        <v>2961</v>
      </c>
      <c r="C2537" s="1341" t="s">
        <v>3057</v>
      </c>
      <c r="D2537" s="1310">
        <v>623.85714299999995</v>
      </c>
    </row>
    <row r="2538" spans="2:4" x14ac:dyDescent="0.2">
      <c r="B2538" s="1341">
        <v>2962</v>
      </c>
      <c r="C2538" s="1341" t="s">
        <v>3646</v>
      </c>
      <c r="D2538" s="1310">
        <v>598.63332100000002</v>
      </c>
    </row>
    <row r="2539" spans="2:4" x14ac:dyDescent="0.2">
      <c r="B2539" s="1341">
        <v>2963</v>
      </c>
      <c r="C2539" s="1341" t="s">
        <v>3647</v>
      </c>
      <c r="D2539" s="1310">
        <v>657.64445000000001</v>
      </c>
    </row>
    <row r="2540" spans="2:4" x14ac:dyDescent="0.2">
      <c r="B2540" s="1341">
        <v>2964</v>
      </c>
      <c r="C2540" s="1341" t="s">
        <v>1773</v>
      </c>
      <c r="D2540" s="1310">
        <v>701.60000600000001</v>
      </c>
    </row>
    <row r="2541" spans="2:4" x14ac:dyDescent="0.2">
      <c r="B2541" s="1341">
        <v>2965</v>
      </c>
      <c r="C2541" s="1341" t="s">
        <v>3648</v>
      </c>
      <c r="D2541" s="1310">
        <v>596.77500199999997</v>
      </c>
    </row>
    <row r="2542" spans="2:4" x14ac:dyDescent="0.2">
      <c r="B2542" s="1341">
        <v>2966</v>
      </c>
      <c r="C2542" s="1341" t="s">
        <v>3538</v>
      </c>
      <c r="D2542" s="1310">
        <v>733.71428600000002</v>
      </c>
    </row>
    <row r="2543" spans="2:4" x14ac:dyDescent="0.2">
      <c r="B2543" s="1341">
        <v>2967</v>
      </c>
      <c r="C2543" s="1341" t="s">
        <v>3649</v>
      </c>
      <c r="D2543" s="1310">
        <v>681.46001000000001</v>
      </c>
    </row>
    <row r="2544" spans="2:4" x14ac:dyDescent="0.2">
      <c r="B2544" s="1341">
        <v>2968</v>
      </c>
      <c r="C2544" s="1341" t="s">
        <v>3650</v>
      </c>
      <c r="D2544" s="1310">
        <v>655.860004</v>
      </c>
    </row>
    <row r="2545" spans="2:4" x14ac:dyDescent="0.2">
      <c r="B2545" s="1341">
        <v>2969</v>
      </c>
      <c r="C2545" s="1341" t="s">
        <v>3651</v>
      </c>
      <c r="D2545" s="1310">
        <v>701.35998500000005</v>
      </c>
    </row>
    <row r="2546" spans="2:4" x14ac:dyDescent="0.2">
      <c r="B2546" s="1341">
        <v>2970</v>
      </c>
      <c r="C2546" s="1341" t="s">
        <v>3652</v>
      </c>
      <c r="D2546" s="1310">
        <v>577.31250799999998</v>
      </c>
    </row>
    <row r="2547" spans="2:4" x14ac:dyDescent="0.2">
      <c r="B2547" s="1341">
        <v>2971</v>
      </c>
      <c r="C2547" s="1341" t="s">
        <v>3653</v>
      </c>
      <c r="D2547" s="1310">
        <v>597.65713900000003</v>
      </c>
    </row>
    <row r="2548" spans="2:4" x14ac:dyDescent="0.2">
      <c r="B2548" s="1341">
        <v>2972</v>
      </c>
      <c r="C2548" s="1341" t="s">
        <v>3654</v>
      </c>
      <c r="D2548" s="1310">
        <v>567.383331</v>
      </c>
    </row>
    <row r="2549" spans="2:4" x14ac:dyDescent="0.2">
      <c r="B2549" s="1341">
        <v>2973</v>
      </c>
      <c r="C2549" s="1341" t="s">
        <v>3655</v>
      </c>
      <c r="D2549" s="1310">
        <v>590.06666099999995</v>
      </c>
    </row>
    <row r="2550" spans="2:4" x14ac:dyDescent="0.2">
      <c r="B2550" s="1341">
        <v>2974</v>
      </c>
      <c r="C2550" s="1341" t="s">
        <v>3656</v>
      </c>
      <c r="D2550" s="1310">
        <v>591.34999100000005</v>
      </c>
    </row>
    <row r="2551" spans="2:4" x14ac:dyDescent="0.2">
      <c r="B2551" s="1341">
        <v>2975</v>
      </c>
      <c r="C2551" s="1341" t="s">
        <v>3657</v>
      </c>
      <c r="D2551" s="1310">
        <v>573.87142500000004</v>
      </c>
    </row>
    <row r="2552" spans="2:4" x14ac:dyDescent="0.2">
      <c r="B2552" s="1341">
        <v>2976</v>
      </c>
      <c r="C2552" s="1341" t="s">
        <v>3658</v>
      </c>
      <c r="D2552" s="1310">
        <v>556.95999800000004</v>
      </c>
    </row>
    <row r="2553" spans="2:4" x14ac:dyDescent="0.2">
      <c r="B2553" s="1341">
        <v>2977</v>
      </c>
      <c r="C2553" s="1341" t="s">
        <v>3659</v>
      </c>
      <c r="D2553" s="1310">
        <v>655.421426</v>
      </c>
    </row>
    <row r="2554" spans="2:4" x14ac:dyDescent="0.2">
      <c r="B2554" s="1341">
        <v>2978</v>
      </c>
      <c r="C2554" s="1341" t="s">
        <v>3660</v>
      </c>
      <c r="D2554" s="1310">
        <v>564.27777800000001</v>
      </c>
    </row>
    <row r="2555" spans="2:4" x14ac:dyDescent="0.2">
      <c r="B2555" s="1341">
        <v>2979</v>
      </c>
      <c r="C2555" s="1341" t="s">
        <v>3661</v>
      </c>
      <c r="D2555" s="1310">
        <v>576.86154899999997</v>
      </c>
    </row>
    <row r="2556" spans="2:4" x14ac:dyDescent="0.2">
      <c r="B2556" s="1341">
        <v>2980</v>
      </c>
      <c r="C2556" s="1341" t="s">
        <v>3662</v>
      </c>
      <c r="D2556" s="1310">
        <v>580.95999800000004</v>
      </c>
    </row>
    <row r="2557" spans="2:4" x14ac:dyDescent="0.2">
      <c r="B2557" s="1341">
        <v>2981</v>
      </c>
      <c r="C2557" s="1341" t="s">
        <v>3663</v>
      </c>
      <c r="D2557" s="1310">
        <v>640.53333499999997</v>
      </c>
    </row>
    <row r="2558" spans="2:4" x14ac:dyDescent="0.2">
      <c r="B2558" s="1341">
        <v>2982</v>
      </c>
      <c r="C2558" s="1341" t="s">
        <v>3664</v>
      </c>
      <c r="D2558" s="1310">
        <v>695.91427999999996</v>
      </c>
    </row>
    <row r="2559" spans="2:4" x14ac:dyDescent="0.2">
      <c r="B2559" s="1341">
        <v>2983</v>
      </c>
      <c r="C2559" s="1341" t="s">
        <v>3665</v>
      </c>
      <c r="D2559" s="1310">
        <v>668.97691899999995</v>
      </c>
    </row>
    <row r="2560" spans="2:4" x14ac:dyDescent="0.2">
      <c r="B2560" s="1341">
        <v>2984</v>
      </c>
      <c r="C2560" s="1341" t="s">
        <v>3666</v>
      </c>
      <c r="D2560" s="1310">
        <v>557.27500899999995</v>
      </c>
    </row>
    <row r="2561" spans="2:4" x14ac:dyDescent="0.2">
      <c r="B2561" s="1341">
        <v>2985</v>
      </c>
      <c r="C2561" s="1341" t="s">
        <v>3667</v>
      </c>
      <c r="D2561" s="1310">
        <v>594.610004</v>
      </c>
    </row>
    <row r="2562" spans="2:4" x14ac:dyDescent="0.2">
      <c r="B2562" s="1341">
        <v>2986</v>
      </c>
      <c r="C2562" s="1341" t="s">
        <v>3668</v>
      </c>
      <c r="D2562" s="1310">
        <v>737.33333300000004</v>
      </c>
    </row>
    <row r="2563" spans="2:4" x14ac:dyDescent="0.2">
      <c r="B2563" s="1341">
        <v>2987</v>
      </c>
      <c r="C2563" s="1341" t="s">
        <v>3669</v>
      </c>
      <c r="D2563" s="1310">
        <v>708.88750500000003</v>
      </c>
    </row>
    <row r="2564" spans="2:4" x14ac:dyDescent="0.2">
      <c r="B2564" s="1341">
        <v>2988</v>
      </c>
      <c r="C2564" s="1341" t="s">
        <v>3670</v>
      </c>
      <c r="D2564" s="1310">
        <v>724.56667100000004</v>
      </c>
    </row>
    <row r="2565" spans="2:4" x14ac:dyDescent="0.2">
      <c r="B2565" s="1341">
        <v>2989</v>
      </c>
      <c r="C2565" s="1341" t="s">
        <v>3671</v>
      </c>
      <c r="D2565" s="1310">
        <v>570.54444699999999</v>
      </c>
    </row>
    <row r="2566" spans="2:4" x14ac:dyDescent="0.2">
      <c r="B2566" s="1341">
        <v>2990</v>
      </c>
      <c r="C2566" s="1341" t="s">
        <v>3672</v>
      </c>
      <c r="D2566" s="1310">
        <v>666.02499899999998</v>
      </c>
    </row>
    <row r="2567" spans="2:4" x14ac:dyDescent="0.2">
      <c r="B2567" s="1341">
        <v>2991</v>
      </c>
      <c r="C2567" s="1341" t="s">
        <v>3673</v>
      </c>
      <c r="D2567" s="1310">
        <v>561.37501499999996</v>
      </c>
    </row>
    <row r="2568" spans="2:4" x14ac:dyDescent="0.2">
      <c r="B2568" s="1341">
        <v>2992</v>
      </c>
      <c r="C2568" s="1341" t="s">
        <v>3096</v>
      </c>
      <c r="D2568" s="1310">
        <v>635.14285700000005</v>
      </c>
    </row>
    <row r="2569" spans="2:4" x14ac:dyDescent="0.2">
      <c r="B2569" s="1341">
        <v>2993</v>
      </c>
      <c r="C2569" s="1341" t="s">
        <v>3674</v>
      </c>
      <c r="D2569" s="1310">
        <v>587.57999299999994</v>
      </c>
    </row>
    <row r="2570" spans="2:4" x14ac:dyDescent="0.2">
      <c r="B2570" s="1341">
        <v>2994</v>
      </c>
      <c r="C2570" s="1341" t="s">
        <v>3675</v>
      </c>
      <c r="D2570" s="1310">
        <v>618.75</v>
      </c>
    </row>
    <row r="2571" spans="2:4" x14ac:dyDescent="0.2">
      <c r="B2571" s="1341">
        <v>2995</v>
      </c>
      <c r="C2571" s="1341" t="s">
        <v>3676</v>
      </c>
      <c r="D2571" s="1310">
        <v>608.01250500000003</v>
      </c>
    </row>
    <row r="2572" spans="2:4" x14ac:dyDescent="0.2">
      <c r="B2572" s="1341">
        <v>2996</v>
      </c>
      <c r="C2572" s="1341" t="s">
        <v>3677</v>
      </c>
      <c r="D2572" s="1310">
        <v>655.939978</v>
      </c>
    </row>
    <row r="2573" spans="2:4" x14ac:dyDescent="0.2">
      <c r="B2573" s="1341">
        <v>2997</v>
      </c>
      <c r="C2573" s="1341" t="s">
        <v>3678</v>
      </c>
      <c r="D2573" s="1310">
        <v>609.01667299999997</v>
      </c>
    </row>
    <row r="2574" spans="2:4" x14ac:dyDescent="0.2">
      <c r="B2574" s="1341">
        <v>2998</v>
      </c>
      <c r="C2574" s="1341" t="s">
        <v>3679</v>
      </c>
      <c r="D2574" s="1310">
        <v>702.21874600000001</v>
      </c>
    </row>
    <row r="2575" spans="2:4" x14ac:dyDescent="0.2">
      <c r="B2575" s="1341">
        <v>2999</v>
      </c>
      <c r="C2575" s="1341" t="s">
        <v>3680</v>
      </c>
      <c r="D2575" s="1310">
        <v>615.97502099999997</v>
      </c>
    </row>
    <row r="2576" spans="2:4" x14ac:dyDescent="0.2">
      <c r="B2576" s="1341">
        <v>3000</v>
      </c>
      <c r="C2576" s="1341" t="s">
        <v>1948</v>
      </c>
      <c r="D2576" s="1310">
        <v>704.05000299999995</v>
      </c>
    </row>
    <row r="2577" spans="2:4" x14ac:dyDescent="0.2">
      <c r="B2577" s="1341">
        <v>3001</v>
      </c>
      <c r="C2577" s="1341" t="s">
        <v>3681</v>
      </c>
      <c r="D2577" s="1310">
        <v>612.94286199999999</v>
      </c>
    </row>
    <row r="2578" spans="2:4" x14ac:dyDescent="0.2">
      <c r="B2578" s="1341">
        <v>3002</v>
      </c>
      <c r="C2578" s="1341" t="s">
        <v>3682</v>
      </c>
      <c r="D2578" s="1310">
        <v>700.86667899999998</v>
      </c>
    </row>
    <row r="2579" spans="2:4" x14ac:dyDescent="0.2">
      <c r="B2579" s="1341">
        <v>3003</v>
      </c>
      <c r="C2579" s="1341" t="s">
        <v>3683</v>
      </c>
      <c r="D2579" s="1310">
        <v>635.59999600000003</v>
      </c>
    </row>
    <row r="2580" spans="2:4" x14ac:dyDescent="0.2">
      <c r="B2580" s="1341">
        <v>3004</v>
      </c>
      <c r="C2580" s="1341" t="s">
        <v>3684</v>
      </c>
      <c r="D2580" s="1310">
        <v>605.09375399999999</v>
      </c>
    </row>
    <row r="2581" spans="2:4" x14ac:dyDescent="0.2">
      <c r="B2581" s="1341">
        <v>3005</v>
      </c>
      <c r="C2581" s="1341" t="s">
        <v>3685</v>
      </c>
      <c r="D2581" s="1310">
        <v>600.39999899999998</v>
      </c>
    </row>
    <row r="2582" spans="2:4" x14ac:dyDescent="0.2">
      <c r="B2582" s="1341">
        <v>3006</v>
      </c>
      <c r="C2582" s="1341" t="s">
        <v>3686</v>
      </c>
      <c r="D2582" s="1310">
        <v>742.38888899999995</v>
      </c>
    </row>
    <row r="2583" spans="2:4" x14ac:dyDescent="0.2">
      <c r="B2583" s="1341">
        <v>3007</v>
      </c>
      <c r="C2583" s="1341" t="s">
        <v>3687</v>
      </c>
      <c r="D2583" s="1310">
        <v>578</v>
      </c>
    </row>
    <row r="2584" spans="2:4" ht="15" x14ac:dyDescent="0.2">
      <c r="B2584" s="1353">
        <v>3008</v>
      </c>
      <c r="C2584" s="1341" t="s">
        <v>1794</v>
      </c>
      <c r="D2584" s="1354">
        <v>549.41666699999996</v>
      </c>
    </row>
    <row r="2585" spans="2:4" ht="15" x14ac:dyDescent="0.2">
      <c r="B2585" s="1341">
        <v>3009</v>
      </c>
      <c r="C2585" s="1353" t="s">
        <v>3688</v>
      </c>
      <c r="D2585" s="1310">
        <v>630.92000700000006</v>
      </c>
    </row>
    <row r="2586" spans="2:4" x14ac:dyDescent="0.2">
      <c r="B2586" s="1341">
        <v>3010</v>
      </c>
      <c r="C2586" s="1341" t="s">
        <v>3689</v>
      </c>
      <c r="D2586" s="1310">
        <v>584.97999900000002</v>
      </c>
    </row>
    <row r="2587" spans="2:4" x14ac:dyDescent="0.2">
      <c r="B2587" s="1341">
        <v>3011</v>
      </c>
      <c r="C2587" s="1341" t="s">
        <v>3690</v>
      </c>
      <c r="D2587" s="1310">
        <v>583.89999399999999</v>
      </c>
    </row>
    <row r="2588" spans="2:4" x14ac:dyDescent="0.2">
      <c r="B2588" s="1341">
        <v>3012</v>
      </c>
      <c r="C2588" s="1341" t="s">
        <v>3691</v>
      </c>
      <c r="D2588" s="1310">
        <v>740.73333700000001</v>
      </c>
    </row>
    <row r="2589" spans="2:4" x14ac:dyDescent="0.2">
      <c r="B2589" s="1341">
        <v>3013</v>
      </c>
      <c r="C2589" s="1341" t="s">
        <v>3692</v>
      </c>
      <c r="D2589" s="1310">
        <v>614.01666299999999</v>
      </c>
    </row>
    <row r="2590" spans="2:4" x14ac:dyDescent="0.2">
      <c r="B2590" s="1341">
        <v>3014</v>
      </c>
      <c r="C2590" s="1341" t="s">
        <v>3693</v>
      </c>
      <c r="D2590" s="1310">
        <v>612.65000899999995</v>
      </c>
    </row>
    <row r="2591" spans="2:4" x14ac:dyDescent="0.2">
      <c r="B2591" s="1341">
        <v>3015</v>
      </c>
      <c r="C2591" s="1341" t="s">
        <v>3694</v>
      </c>
      <c r="D2591" s="1310">
        <v>657</v>
      </c>
    </row>
    <row r="2592" spans="2:4" x14ac:dyDescent="0.2">
      <c r="B2592" s="1341">
        <v>3016</v>
      </c>
      <c r="C2592" s="1341" t="s">
        <v>1695</v>
      </c>
      <c r="D2592" s="1310">
        <v>599.31666600000005</v>
      </c>
    </row>
    <row r="2593" spans="2:4" x14ac:dyDescent="0.2">
      <c r="B2593" s="1341">
        <v>3018</v>
      </c>
      <c r="C2593" s="1341" t="s">
        <v>3695</v>
      </c>
      <c r="D2593" s="1310">
        <v>573.385716</v>
      </c>
    </row>
    <row r="2594" spans="2:4" x14ac:dyDescent="0.2">
      <c r="B2594" s="1341">
        <v>3019</v>
      </c>
      <c r="C2594" s="1341" t="s">
        <v>3696</v>
      </c>
      <c r="D2594" s="1310">
        <v>610.5</v>
      </c>
    </row>
    <row r="2595" spans="2:4" x14ac:dyDescent="0.2">
      <c r="B2595" s="1341">
        <v>3020</v>
      </c>
      <c r="C2595" s="1341" t="s">
        <v>3697</v>
      </c>
      <c r="D2595" s="1310">
        <v>573.759998</v>
      </c>
    </row>
    <row r="2596" spans="2:4" x14ac:dyDescent="0.2">
      <c r="B2596" s="1341">
        <v>3021</v>
      </c>
      <c r="C2596" s="1341" t="s">
        <v>3698</v>
      </c>
      <c r="D2596" s="1310">
        <v>638.63749700000005</v>
      </c>
    </row>
    <row r="2597" spans="2:4" x14ac:dyDescent="0.2">
      <c r="B2597" s="1341">
        <v>3022</v>
      </c>
      <c r="C2597" s="1341" t="s">
        <v>3699</v>
      </c>
      <c r="D2597" s="1310">
        <v>582.13748899999996</v>
      </c>
    </row>
    <row r="2598" spans="2:4" x14ac:dyDescent="0.2">
      <c r="B2598" s="1341">
        <v>3023</v>
      </c>
      <c r="C2598" s="1341" t="s">
        <v>3700</v>
      </c>
      <c r="D2598" s="1310">
        <v>575.94286199999999</v>
      </c>
    </row>
    <row r="2599" spans="2:4" x14ac:dyDescent="0.2">
      <c r="B2599" s="1341">
        <v>3024</v>
      </c>
      <c r="C2599" s="1341" t="s">
        <v>3701</v>
      </c>
      <c r="D2599" s="1310">
        <v>621.89523799999995</v>
      </c>
    </row>
    <row r="2600" spans="2:4" x14ac:dyDescent="0.2">
      <c r="B2600" s="1341">
        <v>3025</v>
      </c>
      <c r="C2600" s="1341" t="s">
        <v>3702</v>
      </c>
      <c r="D2600" s="1310">
        <v>599.18750799999998</v>
      </c>
    </row>
    <row r="2601" spans="2:4" x14ac:dyDescent="0.2">
      <c r="B2601" s="1341">
        <v>3026</v>
      </c>
      <c r="C2601" s="1341" t="s">
        <v>3703</v>
      </c>
      <c r="D2601" s="1310">
        <v>619.76667299999997</v>
      </c>
    </row>
    <row r="2602" spans="2:4" x14ac:dyDescent="0.2">
      <c r="B2602" s="1341">
        <v>3027</v>
      </c>
      <c r="C2602" s="1341" t="s">
        <v>3704</v>
      </c>
      <c r="D2602" s="1310">
        <v>711.70000200000004</v>
      </c>
    </row>
    <row r="2603" spans="2:4" x14ac:dyDescent="0.2">
      <c r="B2603" s="1341">
        <v>3028</v>
      </c>
      <c r="C2603" s="1341" t="s">
        <v>3705</v>
      </c>
      <c r="D2603" s="1310">
        <v>713.93998999999997</v>
      </c>
    </row>
    <row r="2604" spans="2:4" x14ac:dyDescent="0.2">
      <c r="B2604" s="1341">
        <v>3029</v>
      </c>
      <c r="C2604" s="1341" t="s">
        <v>3706</v>
      </c>
      <c r="D2604" s="1310">
        <v>659.70624899999996</v>
      </c>
    </row>
    <row r="2605" spans="2:4" x14ac:dyDescent="0.2">
      <c r="B2605" s="1341">
        <v>3030</v>
      </c>
      <c r="C2605" s="1341" t="s">
        <v>2085</v>
      </c>
      <c r="D2605" s="1310">
        <v>569.32499700000005</v>
      </c>
    </row>
    <row r="2606" spans="2:4" x14ac:dyDescent="0.2">
      <c r="B2606" s="1341">
        <v>3031</v>
      </c>
      <c r="C2606" s="1341" t="s">
        <v>3707</v>
      </c>
      <c r="D2606" s="1310">
        <v>579.22000700000001</v>
      </c>
    </row>
    <row r="2607" spans="2:4" x14ac:dyDescent="0.2">
      <c r="B2607" s="1341">
        <v>3032</v>
      </c>
      <c r="C2607" s="1341" t="s">
        <v>3708</v>
      </c>
      <c r="D2607" s="1310">
        <v>623.89999399999999</v>
      </c>
    </row>
    <row r="2608" spans="2:4" x14ac:dyDescent="0.2">
      <c r="B2608" s="1341">
        <v>3033</v>
      </c>
      <c r="C2608" s="1341" t="s">
        <v>3709</v>
      </c>
      <c r="D2608" s="1310">
        <v>736.76002200000005</v>
      </c>
    </row>
    <row r="2609" spans="2:4" x14ac:dyDescent="0.2">
      <c r="B2609" s="1341">
        <v>3034</v>
      </c>
      <c r="C2609" s="1341" t="s">
        <v>3710</v>
      </c>
      <c r="D2609" s="1310">
        <v>741.55999799999995</v>
      </c>
    </row>
    <row r="2610" spans="2:4" x14ac:dyDescent="0.2">
      <c r="B2610" s="1341">
        <v>3035</v>
      </c>
      <c r="C2610" s="1341" t="s">
        <v>3711</v>
      </c>
      <c r="D2610" s="1310">
        <v>578.61999500000002</v>
      </c>
    </row>
    <row r="2611" spans="2:4" x14ac:dyDescent="0.2">
      <c r="B2611" s="1341">
        <v>3036</v>
      </c>
      <c r="C2611" s="1341" t="s">
        <v>3712</v>
      </c>
      <c r="D2611" s="1310">
        <v>708.776926</v>
      </c>
    </row>
    <row r="2612" spans="2:4" x14ac:dyDescent="0.2">
      <c r="B2612" s="1341">
        <v>3037</v>
      </c>
      <c r="C2612" s="1341" t="s">
        <v>3713</v>
      </c>
      <c r="D2612" s="1310">
        <v>594.64001499999995</v>
      </c>
    </row>
    <row r="2613" spans="2:4" x14ac:dyDescent="0.2">
      <c r="B2613" s="1341">
        <v>3038</v>
      </c>
      <c r="C2613" s="1341" t="s">
        <v>3714</v>
      </c>
      <c r="D2613" s="1310">
        <v>635.19998199999998</v>
      </c>
    </row>
    <row r="2614" spans="2:4" x14ac:dyDescent="0.2">
      <c r="B2614" s="1341">
        <v>3039</v>
      </c>
      <c r="C2614" s="1341" t="s">
        <v>2090</v>
      </c>
      <c r="D2614" s="1310">
        <v>604.42857100000003</v>
      </c>
    </row>
    <row r="2615" spans="2:4" x14ac:dyDescent="0.2">
      <c r="B2615" s="1341">
        <v>3040</v>
      </c>
      <c r="C2615" s="1341" t="s">
        <v>3715</v>
      </c>
      <c r="D2615" s="1310">
        <v>702.64000899999996</v>
      </c>
    </row>
    <row r="2616" spans="2:4" x14ac:dyDescent="0.2">
      <c r="B2616" s="1341">
        <v>3041</v>
      </c>
      <c r="C2616" s="1341" t="s">
        <v>3716</v>
      </c>
      <c r="D2616" s="1310">
        <v>686.05999799999995</v>
      </c>
    </row>
    <row r="2617" spans="2:4" x14ac:dyDescent="0.2">
      <c r="B2617" s="1341">
        <v>3042</v>
      </c>
      <c r="C2617" s="1341" t="s">
        <v>3717</v>
      </c>
      <c r="D2617" s="1310">
        <v>590.30000800000005</v>
      </c>
    </row>
    <row r="2618" spans="2:4" x14ac:dyDescent="0.2">
      <c r="B2618" s="1341">
        <v>3043</v>
      </c>
      <c r="C2618" s="1341" t="s">
        <v>3718</v>
      </c>
      <c r="D2618" s="1310">
        <v>618.20000000000005</v>
      </c>
    </row>
    <row r="2619" spans="2:4" x14ac:dyDescent="0.2">
      <c r="B2619" s="1341">
        <v>3044</v>
      </c>
      <c r="C2619" s="1341" t="s">
        <v>3719</v>
      </c>
      <c r="D2619" s="1310">
        <v>652.67500299999995</v>
      </c>
    </row>
    <row r="2620" spans="2:4" x14ac:dyDescent="0.2">
      <c r="B2620" s="1341">
        <v>3045</v>
      </c>
      <c r="C2620" s="1341" t="s">
        <v>3720</v>
      </c>
      <c r="D2620" s="1310">
        <v>592.27000699999996</v>
      </c>
    </row>
    <row r="2621" spans="2:4" x14ac:dyDescent="0.2">
      <c r="B2621" s="1341">
        <v>3046</v>
      </c>
      <c r="C2621" s="1341" t="s">
        <v>3721</v>
      </c>
      <c r="D2621" s="1310">
        <v>606.25000599999998</v>
      </c>
    </row>
    <row r="2622" spans="2:4" x14ac:dyDescent="0.2">
      <c r="B2622" s="1341">
        <v>3047</v>
      </c>
      <c r="C2622" s="1341" t="s">
        <v>3722</v>
      </c>
      <c r="D2622" s="1310">
        <v>577.92000099999996</v>
      </c>
    </row>
    <row r="2623" spans="2:4" x14ac:dyDescent="0.2">
      <c r="B2623" s="1341">
        <v>3048</v>
      </c>
      <c r="C2623" s="1341" t="s">
        <v>3723</v>
      </c>
      <c r="D2623" s="1310">
        <v>711.13635799999997</v>
      </c>
    </row>
    <row r="2624" spans="2:4" x14ac:dyDescent="0.2">
      <c r="B2624" s="1341">
        <v>3049</v>
      </c>
      <c r="C2624" s="1341" t="s">
        <v>3724</v>
      </c>
      <c r="D2624" s="1310">
        <v>646.26250500000003</v>
      </c>
    </row>
    <row r="2625" spans="2:4" x14ac:dyDescent="0.2">
      <c r="B2625" s="1341">
        <v>3050</v>
      </c>
      <c r="C2625" s="1341" t="s">
        <v>3725</v>
      </c>
      <c r="D2625" s="1310">
        <v>574.80001800000002</v>
      </c>
    </row>
    <row r="2626" spans="2:4" x14ac:dyDescent="0.2">
      <c r="B2626" s="1341">
        <v>3051</v>
      </c>
      <c r="C2626" s="1341" t="s">
        <v>3726</v>
      </c>
      <c r="D2626" s="1310">
        <v>560.29998799999998</v>
      </c>
    </row>
    <row r="2627" spans="2:4" x14ac:dyDescent="0.2">
      <c r="B2627" s="1341">
        <v>3052</v>
      </c>
      <c r="C2627" s="1341" t="s">
        <v>3727</v>
      </c>
      <c r="D2627" s="1310">
        <v>615.11111100000005</v>
      </c>
    </row>
    <row r="2628" spans="2:4" x14ac:dyDescent="0.2">
      <c r="B2628" s="1341">
        <v>3053</v>
      </c>
      <c r="C2628" s="1341" t="s">
        <v>3728</v>
      </c>
      <c r="D2628" s="1310">
        <v>597.71666500000003</v>
      </c>
    </row>
    <row r="2629" spans="2:4" x14ac:dyDescent="0.2">
      <c r="B2629" s="1341">
        <v>3054</v>
      </c>
      <c r="C2629" s="1341" t="s">
        <v>3729</v>
      </c>
      <c r="D2629" s="1310">
        <v>677.01333399999999</v>
      </c>
    </row>
    <row r="2630" spans="2:4" x14ac:dyDescent="0.2">
      <c r="B2630" s="1341">
        <v>3055</v>
      </c>
      <c r="C2630" s="1341" t="s">
        <v>3730</v>
      </c>
      <c r="D2630" s="1310">
        <v>587.56664999999998</v>
      </c>
    </row>
    <row r="2631" spans="2:4" x14ac:dyDescent="0.2">
      <c r="B2631" s="1341">
        <v>3056</v>
      </c>
      <c r="C2631" s="1341" t="s">
        <v>3731</v>
      </c>
      <c r="D2631" s="1310">
        <v>755.05999799999995</v>
      </c>
    </row>
    <row r="2632" spans="2:4" x14ac:dyDescent="0.2">
      <c r="B2632" s="1341">
        <v>3057</v>
      </c>
      <c r="C2632" s="1341" t="s">
        <v>3732</v>
      </c>
      <c r="D2632" s="1310">
        <v>716.61999500000002</v>
      </c>
    </row>
    <row r="2633" spans="2:4" x14ac:dyDescent="0.2">
      <c r="B2633" s="1341">
        <v>3058</v>
      </c>
      <c r="C2633" s="1341" t="s">
        <v>3733</v>
      </c>
      <c r="D2633" s="1310">
        <v>598.56664999999998</v>
      </c>
    </row>
    <row r="2634" spans="2:4" x14ac:dyDescent="0.2">
      <c r="B2634" s="1341">
        <v>3059</v>
      </c>
      <c r="C2634" s="1341" t="s">
        <v>3734</v>
      </c>
      <c r="D2634" s="1310">
        <v>596.59999600000003</v>
      </c>
    </row>
    <row r="2635" spans="2:4" x14ac:dyDescent="0.2">
      <c r="B2635" s="1341">
        <v>3060</v>
      </c>
      <c r="C2635" s="1341" t="s">
        <v>3735</v>
      </c>
      <c r="D2635" s="1310">
        <v>734.88748899999996</v>
      </c>
    </row>
    <row r="2636" spans="2:4" x14ac:dyDescent="0.2">
      <c r="B2636" s="1341">
        <v>3061</v>
      </c>
      <c r="C2636" s="1341" t="s">
        <v>3736</v>
      </c>
      <c r="D2636" s="1310">
        <v>612.60000100000002</v>
      </c>
    </row>
    <row r="2637" spans="2:4" x14ac:dyDescent="0.2">
      <c r="B2637" s="1341">
        <v>3062</v>
      </c>
      <c r="C2637" s="1341" t="s">
        <v>1531</v>
      </c>
      <c r="D2637" s="1310">
        <v>580.49999500000001</v>
      </c>
    </row>
    <row r="2638" spans="2:4" x14ac:dyDescent="0.2">
      <c r="B2638" s="1341">
        <v>3063</v>
      </c>
      <c r="C2638" s="1341" t="s">
        <v>3737</v>
      </c>
      <c r="D2638" s="1310">
        <v>600.1</v>
      </c>
    </row>
    <row r="2639" spans="2:4" x14ac:dyDescent="0.2">
      <c r="B2639" s="1341">
        <v>3064</v>
      </c>
      <c r="C2639" s="1341" t="s">
        <v>1956</v>
      </c>
      <c r="D2639" s="1310">
        <v>703.42941499999995</v>
      </c>
    </row>
    <row r="2640" spans="2:4" x14ac:dyDescent="0.2">
      <c r="B2640" s="1341">
        <v>3065</v>
      </c>
      <c r="C2640" s="1341" t="s">
        <v>3738</v>
      </c>
      <c r="D2640" s="1310">
        <v>576.51666299999999</v>
      </c>
    </row>
    <row r="2641" spans="2:4" x14ac:dyDescent="0.2">
      <c r="B2641" s="1341">
        <v>3066</v>
      </c>
      <c r="C2641" s="1341" t="s">
        <v>3739</v>
      </c>
      <c r="D2641" s="1310">
        <v>650.34444900000005</v>
      </c>
    </row>
    <row r="2642" spans="2:4" x14ac:dyDescent="0.2">
      <c r="B2642" s="1341">
        <v>3067</v>
      </c>
      <c r="C2642" s="1341" t="s">
        <v>3740</v>
      </c>
      <c r="D2642" s="1310">
        <v>734.03749800000003</v>
      </c>
    </row>
    <row r="2643" spans="2:4" x14ac:dyDescent="0.2">
      <c r="B2643" s="1341">
        <v>3068</v>
      </c>
      <c r="C2643" s="1341" t="s">
        <v>3741</v>
      </c>
      <c r="D2643" s="1310">
        <v>607.55713800000001</v>
      </c>
    </row>
    <row r="2644" spans="2:4" x14ac:dyDescent="0.2">
      <c r="B2644" s="1341">
        <v>3069</v>
      </c>
      <c r="C2644" s="1341" t="s">
        <v>3742</v>
      </c>
      <c r="D2644" s="1310">
        <v>721.5625</v>
      </c>
    </row>
    <row r="2645" spans="2:4" x14ac:dyDescent="0.2">
      <c r="B2645" s="1341">
        <v>3070</v>
      </c>
      <c r="C2645" s="1341" t="s">
        <v>3743</v>
      </c>
      <c r="D2645" s="1310">
        <v>745.21666500000003</v>
      </c>
    </row>
    <row r="2646" spans="2:4" x14ac:dyDescent="0.2">
      <c r="B2646" s="1341">
        <v>3071</v>
      </c>
      <c r="C2646" s="1341" t="s">
        <v>3744</v>
      </c>
      <c r="D2646" s="1310">
        <v>718.89999399999999</v>
      </c>
    </row>
    <row r="2647" spans="2:4" x14ac:dyDescent="0.2">
      <c r="B2647" s="1341">
        <v>3101</v>
      </c>
      <c r="C2647" s="1341" t="s">
        <v>3745</v>
      </c>
      <c r="D2647" s="1310">
        <v>625.29999999999995</v>
      </c>
    </row>
    <row r="2648" spans="2:4" x14ac:dyDescent="0.2">
      <c r="B2648" s="1341">
        <v>3102</v>
      </c>
      <c r="C2648" s="1341" t="s">
        <v>3746</v>
      </c>
      <c r="D2648" s="1310">
        <v>628.822225</v>
      </c>
    </row>
    <row r="2649" spans="2:4" x14ac:dyDescent="0.2">
      <c r="B2649" s="1341">
        <v>3103</v>
      </c>
      <c r="C2649" s="1341" t="s">
        <v>3747</v>
      </c>
      <c r="D2649" s="1310">
        <v>636.5</v>
      </c>
    </row>
    <row r="2650" spans="2:4" x14ac:dyDescent="0.2">
      <c r="B2650" s="1341">
        <v>3104</v>
      </c>
      <c r="C2650" s="1341" t="s">
        <v>3748</v>
      </c>
      <c r="D2650" s="1310">
        <v>642.84001499999999</v>
      </c>
    </row>
    <row r="2651" spans="2:4" x14ac:dyDescent="0.2">
      <c r="B2651" s="1341">
        <v>3105</v>
      </c>
      <c r="C2651" s="1341" t="s">
        <v>420</v>
      </c>
      <c r="D2651" s="1310">
        <v>645.79333499999996</v>
      </c>
    </row>
    <row r="2652" spans="2:4" x14ac:dyDescent="0.2">
      <c r="B2652" s="1341">
        <v>3106</v>
      </c>
      <c r="C2652" s="1341" t="s">
        <v>3749</v>
      </c>
      <c r="D2652" s="1310">
        <v>623.305879</v>
      </c>
    </row>
    <row r="2653" spans="2:4" x14ac:dyDescent="0.2">
      <c r="B2653" s="1341">
        <v>3107</v>
      </c>
      <c r="C2653" s="1341" t="s">
        <v>3750</v>
      </c>
      <c r="D2653" s="1310">
        <v>659.43333900000005</v>
      </c>
    </row>
    <row r="2654" spans="2:4" x14ac:dyDescent="0.2">
      <c r="B2654" s="1341">
        <v>3108</v>
      </c>
      <c r="C2654" s="1341" t="s">
        <v>3751</v>
      </c>
      <c r="D2654" s="1310">
        <v>642.04999099999998</v>
      </c>
    </row>
    <row r="2655" spans="2:4" x14ac:dyDescent="0.2">
      <c r="B2655" s="1341">
        <v>3109</v>
      </c>
      <c r="C2655" s="1341" t="s">
        <v>3752</v>
      </c>
      <c r="D2655" s="1310">
        <v>627.62498500000004</v>
      </c>
    </row>
    <row r="2656" spans="2:4" x14ac:dyDescent="0.2">
      <c r="B2656" s="1341">
        <v>3110</v>
      </c>
      <c r="C2656" s="1341" t="s">
        <v>3753</v>
      </c>
      <c r="D2656" s="1310">
        <v>621.125</v>
      </c>
    </row>
    <row r="2657" spans="2:4" x14ac:dyDescent="0.2">
      <c r="B2657" s="1341">
        <v>3111</v>
      </c>
      <c r="C2657" s="1341" t="s">
        <v>3754</v>
      </c>
      <c r="D2657" s="1310">
        <v>654.88750500000003</v>
      </c>
    </row>
    <row r="2658" spans="2:4" x14ac:dyDescent="0.2">
      <c r="B2658" s="1341">
        <v>3112</v>
      </c>
      <c r="C2658" s="1341" t="s">
        <v>3755</v>
      </c>
      <c r="D2658" s="1310">
        <v>621.56667100000004</v>
      </c>
    </row>
    <row r="2659" spans="2:4" x14ac:dyDescent="0.2">
      <c r="B2659" s="1341">
        <v>3113</v>
      </c>
      <c r="C2659" s="1341" t="s">
        <v>3756</v>
      </c>
      <c r="D2659" s="1310">
        <v>588.66667700000005</v>
      </c>
    </row>
    <row r="2660" spans="2:4" x14ac:dyDescent="0.2">
      <c r="B2660" s="1341">
        <v>3114</v>
      </c>
      <c r="C2660" s="1341" t="s">
        <v>3757</v>
      </c>
      <c r="D2660" s="1310">
        <v>625.09999600000003</v>
      </c>
    </row>
    <row r="2661" spans="2:4" x14ac:dyDescent="0.2">
      <c r="B2661" s="1341">
        <v>3115</v>
      </c>
      <c r="C2661" s="1341" t="s">
        <v>3758</v>
      </c>
      <c r="D2661" s="1310">
        <v>640.19999399999995</v>
      </c>
    </row>
    <row r="2662" spans="2:4" x14ac:dyDescent="0.2">
      <c r="B2662" s="1341">
        <v>3116</v>
      </c>
      <c r="C2662" s="1341" t="s">
        <v>1967</v>
      </c>
      <c r="D2662" s="1310">
        <v>625.95455100000004</v>
      </c>
    </row>
    <row r="2663" spans="2:4" x14ac:dyDescent="0.2">
      <c r="B2663" s="1341">
        <v>3117</v>
      </c>
      <c r="C2663" s="1341" t="s">
        <v>3759</v>
      </c>
      <c r="D2663" s="1310">
        <v>603.48750299999995</v>
      </c>
    </row>
    <row r="2664" spans="2:4" x14ac:dyDescent="0.2">
      <c r="B2664" s="1341">
        <v>3118</v>
      </c>
      <c r="C2664" s="1341" t="s">
        <v>3760</v>
      </c>
      <c r="D2664" s="1310">
        <v>633.67778199999998</v>
      </c>
    </row>
    <row r="2665" spans="2:4" x14ac:dyDescent="0.2">
      <c r="B2665" s="1341">
        <v>3119</v>
      </c>
      <c r="C2665" s="1341" t="s">
        <v>3761</v>
      </c>
      <c r="D2665" s="1310">
        <v>607.32500500000003</v>
      </c>
    </row>
    <row r="2666" spans="2:4" x14ac:dyDescent="0.2">
      <c r="B2666" s="1341">
        <v>3120</v>
      </c>
      <c r="C2666" s="1341" t="s">
        <v>3762</v>
      </c>
      <c r="D2666" s="1310">
        <v>640.70768899999996</v>
      </c>
    </row>
    <row r="2667" spans="2:4" x14ac:dyDescent="0.2">
      <c r="B2667" s="1341">
        <v>3121</v>
      </c>
      <c r="C2667" s="1341" t="s">
        <v>3010</v>
      </c>
      <c r="D2667" s="1310">
        <v>637.33333300000004</v>
      </c>
    </row>
    <row r="2668" spans="2:4" x14ac:dyDescent="0.2">
      <c r="B2668" s="1341">
        <v>3122</v>
      </c>
      <c r="C2668" s="1341" t="s">
        <v>3763</v>
      </c>
      <c r="D2668" s="1310">
        <v>668.31999499999995</v>
      </c>
    </row>
    <row r="2669" spans="2:4" x14ac:dyDescent="0.2">
      <c r="B2669" s="1341">
        <v>3123</v>
      </c>
      <c r="C2669" s="1341" t="s">
        <v>3764</v>
      </c>
      <c r="D2669" s="1310">
        <v>636.01666799999998</v>
      </c>
    </row>
    <row r="2670" spans="2:4" x14ac:dyDescent="0.2">
      <c r="B2670" s="1341">
        <v>3124</v>
      </c>
      <c r="C2670" s="1341" t="s">
        <v>3765</v>
      </c>
      <c r="D2670" s="1310">
        <v>567.17498799999998</v>
      </c>
    </row>
    <row r="2671" spans="2:4" x14ac:dyDescent="0.2">
      <c r="B2671" s="1341">
        <v>3125</v>
      </c>
      <c r="C2671" s="1341" t="s">
        <v>3766</v>
      </c>
      <c r="D2671" s="1310">
        <v>629.07499700000005</v>
      </c>
    </row>
    <row r="2672" spans="2:4" x14ac:dyDescent="0.2">
      <c r="B2672" s="1341">
        <v>3126</v>
      </c>
      <c r="C2672" s="1341" t="s">
        <v>3767</v>
      </c>
      <c r="D2672" s="1310">
        <v>634.10000600000001</v>
      </c>
    </row>
    <row r="2673" spans="2:4" x14ac:dyDescent="0.2">
      <c r="B2673" s="1341">
        <v>3127</v>
      </c>
      <c r="C2673" s="1341" t="s">
        <v>3768</v>
      </c>
      <c r="D2673" s="1310">
        <v>670.54545499999995</v>
      </c>
    </row>
    <row r="2674" spans="2:4" x14ac:dyDescent="0.2">
      <c r="B2674" s="1341">
        <v>3128</v>
      </c>
      <c r="C2674" s="1341" t="s">
        <v>3769</v>
      </c>
      <c r="D2674" s="1310">
        <v>624.95001200000002</v>
      </c>
    </row>
    <row r="2675" spans="2:4" x14ac:dyDescent="0.2">
      <c r="B2675" s="1341">
        <v>3129</v>
      </c>
      <c r="C2675" s="1341" t="s">
        <v>3770</v>
      </c>
      <c r="D2675" s="1310">
        <v>566.78333499999997</v>
      </c>
    </row>
    <row r="2676" spans="2:4" x14ac:dyDescent="0.2">
      <c r="B2676" s="1341">
        <v>3130</v>
      </c>
      <c r="C2676" s="1341" t="s">
        <v>2374</v>
      </c>
      <c r="D2676" s="1310">
        <v>571.85000600000001</v>
      </c>
    </row>
    <row r="2677" spans="2:4" x14ac:dyDescent="0.2">
      <c r="B2677" s="1341">
        <v>3131</v>
      </c>
      <c r="C2677" s="1341" t="s">
        <v>3771</v>
      </c>
      <c r="D2677" s="1310">
        <v>669.15999799999997</v>
      </c>
    </row>
    <row r="2678" spans="2:4" x14ac:dyDescent="0.2">
      <c r="B2678" s="1341">
        <v>3132</v>
      </c>
      <c r="C2678" s="1341" t="s">
        <v>3772</v>
      </c>
      <c r="D2678" s="1310">
        <v>639.08124499999997</v>
      </c>
    </row>
    <row r="2679" spans="2:4" x14ac:dyDescent="0.2">
      <c r="B2679" s="1341">
        <v>3133</v>
      </c>
      <c r="C2679" s="1341" t="s">
        <v>3773</v>
      </c>
      <c r="D2679" s="1310">
        <v>659.45384799999999</v>
      </c>
    </row>
    <row r="2680" spans="2:4" x14ac:dyDescent="0.2">
      <c r="B2680" s="1341">
        <v>3134</v>
      </c>
      <c r="C2680" s="1341" t="s">
        <v>3774</v>
      </c>
      <c r="D2680" s="1310">
        <v>643.95001200000002</v>
      </c>
    </row>
    <row r="2681" spans="2:4" x14ac:dyDescent="0.2">
      <c r="B2681" s="1341">
        <v>3135</v>
      </c>
      <c r="C2681" s="1341" t="s">
        <v>1894</v>
      </c>
      <c r="D2681" s="1310">
        <v>644.89999799999998</v>
      </c>
    </row>
    <row r="2682" spans="2:4" x14ac:dyDescent="0.2">
      <c r="B2682" s="1341">
        <v>3136</v>
      </c>
      <c r="C2682" s="1341" t="s">
        <v>3775</v>
      </c>
      <c r="D2682" s="1310">
        <v>617.02220999999997</v>
      </c>
    </row>
    <row r="2683" spans="2:4" x14ac:dyDescent="0.2">
      <c r="B2683" s="1341">
        <v>3137</v>
      </c>
      <c r="C2683" s="1341" t="s">
        <v>3776</v>
      </c>
      <c r="D2683" s="1310">
        <v>633.9375</v>
      </c>
    </row>
    <row r="2684" spans="2:4" x14ac:dyDescent="0.2">
      <c r="B2684" s="1341">
        <v>3138</v>
      </c>
      <c r="C2684" s="1341" t="s">
        <v>2380</v>
      </c>
      <c r="D2684" s="1310">
        <v>636.77499399999999</v>
      </c>
    </row>
    <row r="2685" spans="2:4" x14ac:dyDescent="0.2">
      <c r="B2685" s="1341">
        <v>3139</v>
      </c>
      <c r="C2685" s="1341" t="s">
        <v>3777</v>
      </c>
      <c r="D2685" s="1310">
        <v>634.66666199999997</v>
      </c>
    </row>
    <row r="2686" spans="2:4" x14ac:dyDescent="0.2">
      <c r="B2686" s="1341">
        <v>3140</v>
      </c>
      <c r="C2686" s="1341" t="s">
        <v>2046</v>
      </c>
      <c r="D2686" s="1310">
        <v>603.64285700000005</v>
      </c>
    </row>
    <row r="2687" spans="2:4" x14ac:dyDescent="0.2">
      <c r="B2687" s="1341">
        <v>3141</v>
      </c>
      <c r="C2687" s="1341" t="s">
        <v>3778</v>
      </c>
      <c r="D2687" s="1310">
        <v>639.42999299999997</v>
      </c>
    </row>
    <row r="2688" spans="2:4" x14ac:dyDescent="0.2">
      <c r="B2688" s="1341">
        <v>3142</v>
      </c>
      <c r="C2688" s="1341" t="s">
        <v>3779</v>
      </c>
      <c r="D2688" s="1310">
        <v>605.86665900000003</v>
      </c>
    </row>
    <row r="2689" spans="2:4" x14ac:dyDescent="0.2">
      <c r="B2689" s="1341">
        <v>3143</v>
      </c>
      <c r="C2689" s="1341" t="s">
        <v>3780</v>
      </c>
      <c r="D2689" s="1310">
        <v>642.04998799999998</v>
      </c>
    </row>
    <row r="2690" spans="2:4" x14ac:dyDescent="0.2">
      <c r="B2690" s="1341">
        <v>3144</v>
      </c>
      <c r="C2690" s="1341" t="s">
        <v>3781</v>
      </c>
      <c r="D2690" s="1310">
        <v>587.32857799999999</v>
      </c>
    </row>
    <row r="2691" spans="2:4" x14ac:dyDescent="0.2">
      <c r="B2691" s="1341">
        <v>3145</v>
      </c>
      <c r="C2691" s="1341" t="s">
        <v>3782</v>
      </c>
      <c r="D2691" s="1310">
        <v>589.78000499999996</v>
      </c>
    </row>
    <row r="2692" spans="2:4" x14ac:dyDescent="0.2">
      <c r="B2692" s="1341">
        <v>3146</v>
      </c>
      <c r="C2692" s="1341" t="s">
        <v>3783</v>
      </c>
      <c r="D2692" s="1310">
        <v>632.16001000000006</v>
      </c>
    </row>
    <row r="2693" spans="2:4" x14ac:dyDescent="0.2">
      <c r="B2693" s="1341">
        <v>3147</v>
      </c>
      <c r="C2693" s="1341" t="s">
        <v>3784</v>
      </c>
      <c r="D2693" s="1310">
        <v>617.56363199999998</v>
      </c>
    </row>
    <row r="2694" spans="2:4" x14ac:dyDescent="0.2">
      <c r="B2694" s="1341">
        <v>3148</v>
      </c>
      <c r="C2694" s="1341" t="s">
        <v>3785</v>
      </c>
      <c r="D2694" s="1310">
        <v>603.39999799999998</v>
      </c>
    </row>
    <row r="2695" spans="2:4" x14ac:dyDescent="0.2">
      <c r="B2695" s="1341">
        <v>3149</v>
      </c>
      <c r="C2695" s="1341" t="s">
        <v>3786</v>
      </c>
      <c r="D2695" s="1310">
        <v>624.61333000000002</v>
      </c>
    </row>
    <row r="2696" spans="2:4" x14ac:dyDescent="0.2">
      <c r="B2696" s="1341">
        <v>3150</v>
      </c>
      <c r="C2696" s="1341" t="s">
        <v>3787</v>
      </c>
      <c r="D2696" s="1310">
        <v>649.03998999999999</v>
      </c>
    </row>
    <row r="2697" spans="2:4" x14ac:dyDescent="0.2">
      <c r="B2697" s="1341">
        <v>3151</v>
      </c>
      <c r="C2697" s="1341" t="s">
        <v>3341</v>
      </c>
      <c r="D2697" s="1310">
        <v>626.18333900000005</v>
      </c>
    </row>
    <row r="2698" spans="2:4" x14ac:dyDescent="0.2">
      <c r="B2698" s="1341">
        <v>3152</v>
      </c>
      <c r="C2698" s="1341" t="s">
        <v>3788</v>
      </c>
      <c r="D2698" s="1310">
        <v>601.48666600000001</v>
      </c>
    </row>
    <row r="2699" spans="2:4" x14ac:dyDescent="0.2">
      <c r="B2699" s="1341">
        <v>3153</v>
      </c>
      <c r="C2699" s="1341" t="s">
        <v>3789</v>
      </c>
      <c r="D2699" s="1310">
        <v>603.5</v>
      </c>
    </row>
    <row r="2700" spans="2:4" x14ac:dyDescent="0.2">
      <c r="B2700" s="1341">
        <v>3154</v>
      </c>
      <c r="C2700" s="1341" t="s">
        <v>3790</v>
      </c>
      <c r="D2700" s="1310">
        <v>629.43846699999995</v>
      </c>
    </row>
    <row r="2701" spans="2:4" x14ac:dyDescent="0.2">
      <c r="B2701" s="1341">
        <v>3155</v>
      </c>
      <c r="C2701" s="1341" t="s">
        <v>3791</v>
      </c>
      <c r="D2701" s="1310">
        <v>630.85293799999999</v>
      </c>
    </row>
    <row r="2702" spans="2:4" x14ac:dyDescent="0.2">
      <c r="B2702" s="1341">
        <v>3156</v>
      </c>
      <c r="C2702" s="1341" t="s">
        <v>3792</v>
      </c>
      <c r="D2702" s="1310">
        <v>632.13332100000002</v>
      </c>
    </row>
    <row r="2703" spans="2:4" x14ac:dyDescent="0.2">
      <c r="B2703" s="1341">
        <v>3157</v>
      </c>
      <c r="C2703" s="1341" t="s">
        <v>3793</v>
      </c>
      <c r="D2703" s="1310">
        <v>568.29999999999995</v>
      </c>
    </row>
    <row r="2704" spans="2:4" x14ac:dyDescent="0.2">
      <c r="B2704" s="1341">
        <v>3158</v>
      </c>
      <c r="C2704" s="1341" t="s">
        <v>2295</v>
      </c>
      <c r="D2704" s="1310">
        <v>653.385716</v>
      </c>
    </row>
    <row r="2705" spans="2:4" x14ac:dyDescent="0.2">
      <c r="B2705" s="1341">
        <v>3159</v>
      </c>
      <c r="C2705" s="1341" t="s">
        <v>3794</v>
      </c>
      <c r="D2705" s="1310">
        <v>627.32857000000001</v>
      </c>
    </row>
    <row r="2706" spans="2:4" x14ac:dyDescent="0.2">
      <c r="B2706" s="1341">
        <v>3160</v>
      </c>
      <c r="C2706" s="1341" t="s">
        <v>3795</v>
      </c>
      <c r="D2706" s="1310">
        <v>640.53333499999997</v>
      </c>
    </row>
    <row r="2707" spans="2:4" x14ac:dyDescent="0.2">
      <c r="B2707" s="1341">
        <v>3161</v>
      </c>
      <c r="C2707" s="1341" t="s">
        <v>3796</v>
      </c>
      <c r="D2707" s="1310">
        <v>614.71428600000002</v>
      </c>
    </row>
    <row r="2708" spans="2:4" x14ac:dyDescent="0.2">
      <c r="B2708" s="1341">
        <v>3162</v>
      </c>
      <c r="C2708" s="1341" t="s">
        <v>3797</v>
      </c>
      <c r="D2708" s="1310">
        <v>591.92857100000003</v>
      </c>
    </row>
    <row r="2709" spans="2:4" x14ac:dyDescent="0.2">
      <c r="B2709" s="1341">
        <v>3163</v>
      </c>
      <c r="C2709" s="1341" t="s">
        <v>3798</v>
      </c>
      <c r="D2709" s="1310">
        <v>602.53333499999997</v>
      </c>
    </row>
    <row r="2710" spans="2:4" x14ac:dyDescent="0.2">
      <c r="B2710" s="1341">
        <v>3164</v>
      </c>
      <c r="C2710" s="1341" t="s">
        <v>2675</v>
      </c>
      <c r="D2710" s="1310">
        <v>640.10909800000002</v>
      </c>
    </row>
    <row r="2711" spans="2:4" x14ac:dyDescent="0.2">
      <c r="B2711" s="1341">
        <v>3165</v>
      </c>
      <c r="C2711" s="1341" t="s">
        <v>3799</v>
      </c>
      <c r="D2711" s="1310">
        <v>632.19999700000005</v>
      </c>
    </row>
    <row r="2712" spans="2:4" x14ac:dyDescent="0.2">
      <c r="B2712" s="1341">
        <v>3166</v>
      </c>
      <c r="C2712" s="1341" t="s">
        <v>3800</v>
      </c>
      <c r="D2712" s="1310">
        <v>647.883331</v>
      </c>
    </row>
    <row r="2713" spans="2:4" x14ac:dyDescent="0.2">
      <c r="B2713" s="1341">
        <v>3167</v>
      </c>
      <c r="C2713" s="1341" t="s">
        <v>3801</v>
      </c>
      <c r="D2713" s="1310">
        <v>630.38570700000002</v>
      </c>
    </row>
    <row r="2714" spans="2:4" x14ac:dyDescent="0.2">
      <c r="B2714" s="1341">
        <v>3168</v>
      </c>
      <c r="C2714" s="1341" t="s">
        <v>3802</v>
      </c>
      <c r="D2714" s="1310">
        <v>634.34000200000003</v>
      </c>
    </row>
    <row r="2715" spans="2:4" x14ac:dyDescent="0.2">
      <c r="B2715" s="1341">
        <v>3169</v>
      </c>
      <c r="C2715" s="1341" t="s">
        <v>3803</v>
      </c>
      <c r="D2715" s="1310">
        <v>555.27999299999999</v>
      </c>
    </row>
    <row r="2716" spans="2:4" x14ac:dyDescent="0.2">
      <c r="B2716" s="1341">
        <v>3170</v>
      </c>
      <c r="C2716" s="1341" t="s">
        <v>3804</v>
      </c>
      <c r="D2716" s="1310">
        <v>651.79998799999998</v>
      </c>
    </row>
    <row r="2717" spans="2:4" x14ac:dyDescent="0.2">
      <c r="B2717" s="1341">
        <v>3171</v>
      </c>
      <c r="C2717" s="1341" t="s">
        <v>3805</v>
      </c>
      <c r="D2717" s="1310">
        <v>612.07501200000002</v>
      </c>
    </row>
    <row r="2718" spans="2:4" x14ac:dyDescent="0.2">
      <c r="B2718" s="1341">
        <v>3172</v>
      </c>
      <c r="C2718" s="1341" t="s">
        <v>3806</v>
      </c>
      <c r="D2718" s="1310">
        <v>646.56428300000005</v>
      </c>
    </row>
    <row r="2719" spans="2:4" x14ac:dyDescent="0.2">
      <c r="B2719" s="1341">
        <v>3173</v>
      </c>
      <c r="C2719" s="1341" t="s">
        <v>3807</v>
      </c>
      <c r="D2719" s="1310">
        <v>583.76667099999997</v>
      </c>
    </row>
    <row r="2720" spans="2:4" x14ac:dyDescent="0.2">
      <c r="B2720" s="1341">
        <v>3174</v>
      </c>
      <c r="C2720" s="1341" t="s">
        <v>3808</v>
      </c>
      <c r="D2720" s="1310">
        <v>655.36667899999998</v>
      </c>
    </row>
    <row r="2721" spans="2:4" x14ac:dyDescent="0.2">
      <c r="B2721" s="1341">
        <v>3175</v>
      </c>
      <c r="C2721" s="1341" t="s">
        <v>3809</v>
      </c>
      <c r="D2721" s="1310">
        <v>644.42857100000003</v>
      </c>
    </row>
    <row r="2722" spans="2:4" x14ac:dyDescent="0.2">
      <c r="B2722" s="1341">
        <v>3176</v>
      </c>
      <c r="C2722" s="1341" t="s">
        <v>3810</v>
      </c>
      <c r="D2722" s="1310">
        <v>624.23333700000001</v>
      </c>
    </row>
    <row r="2723" spans="2:4" x14ac:dyDescent="0.2">
      <c r="B2723" s="1341">
        <v>3177</v>
      </c>
      <c r="C2723" s="1341" t="s">
        <v>3811</v>
      </c>
      <c r="D2723" s="1310">
        <v>635.31052099999999</v>
      </c>
    </row>
    <row r="2724" spans="2:4" x14ac:dyDescent="0.2">
      <c r="B2724" s="1341">
        <v>3178</v>
      </c>
      <c r="C2724" s="1341" t="s">
        <v>3812</v>
      </c>
      <c r="D2724" s="1310">
        <v>598.70769299999995</v>
      </c>
    </row>
    <row r="2725" spans="2:4" x14ac:dyDescent="0.2">
      <c r="B2725" s="1341">
        <v>3179</v>
      </c>
      <c r="C2725" s="1341" t="s">
        <v>3813</v>
      </c>
      <c r="D2725" s="1310">
        <v>561.23331700000006</v>
      </c>
    </row>
    <row r="2726" spans="2:4" x14ac:dyDescent="0.2">
      <c r="B2726" s="1341">
        <v>3180</v>
      </c>
      <c r="C2726" s="1341" t="s">
        <v>1357</v>
      </c>
      <c r="D2726" s="1310">
        <v>620.65999799999997</v>
      </c>
    </row>
    <row r="2727" spans="2:4" x14ac:dyDescent="0.2">
      <c r="B2727" s="1341">
        <v>3181</v>
      </c>
      <c r="C2727" s="1341" t="s">
        <v>3814</v>
      </c>
      <c r="D2727" s="1310">
        <v>631.50000899999998</v>
      </c>
    </row>
    <row r="2728" spans="2:4" x14ac:dyDescent="0.2">
      <c r="B2728" s="1341">
        <v>3182</v>
      </c>
      <c r="C2728" s="1341" t="s">
        <v>3815</v>
      </c>
      <c r="D2728" s="1310">
        <v>625.51999499999999</v>
      </c>
    </row>
    <row r="2729" spans="2:4" x14ac:dyDescent="0.2">
      <c r="B2729" s="1341">
        <v>3183</v>
      </c>
      <c r="C2729" s="1341" t="s">
        <v>3816</v>
      </c>
      <c r="D2729" s="1310">
        <v>635.12000699999999</v>
      </c>
    </row>
    <row r="2730" spans="2:4" x14ac:dyDescent="0.2">
      <c r="B2730" s="1341">
        <v>3184</v>
      </c>
      <c r="C2730" s="1341" t="s">
        <v>3106</v>
      </c>
      <c r="D2730" s="1310">
        <v>612.14286600000003</v>
      </c>
    </row>
    <row r="2731" spans="2:4" x14ac:dyDescent="0.2">
      <c r="B2731" s="1341">
        <v>3185</v>
      </c>
      <c r="C2731" s="1341" t="s">
        <v>3817</v>
      </c>
      <c r="D2731" s="1310">
        <v>622.20999800000004</v>
      </c>
    </row>
    <row r="2732" spans="2:4" x14ac:dyDescent="0.2">
      <c r="B2732" s="1341">
        <v>3186</v>
      </c>
      <c r="C2732" s="1341" t="s">
        <v>3818</v>
      </c>
      <c r="D2732" s="1310">
        <v>669.68181300000003</v>
      </c>
    </row>
    <row r="2733" spans="2:4" x14ac:dyDescent="0.2">
      <c r="B2733" s="1341">
        <v>3187</v>
      </c>
      <c r="C2733" s="1341" t="s">
        <v>3819</v>
      </c>
      <c r="D2733" s="1310">
        <v>652.85554999999999</v>
      </c>
    </row>
    <row r="2734" spans="2:4" x14ac:dyDescent="0.2">
      <c r="B2734" s="1341">
        <v>3188</v>
      </c>
      <c r="C2734" s="1341" t="s">
        <v>3820</v>
      </c>
      <c r="D2734" s="1310">
        <v>597.13334099999997</v>
      </c>
    </row>
    <row r="2735" spans="2:4" x14ac:dyDescent="0.2">
      <c r="B2735" s="1341">
        <v>3189</v>
      </c>
      <c r="C2735" s="1341" t="s">
        <v>3821</v>
      </c>
      <c r="D2735" s="1310">
        <v>608.88334099999997</v>
      </c>
    </row>
    <row r="2736" spans="2:4" x14ac:dyDescent="0.2">
      <c r="B2736" s="1341">
        <v>3190</v>
      </c>
      <c r="C2736" s="1341" t="s">
        <v>3822</v>
      </c>
      <c r="D2736" s="1310">
        <v>640.77500899999995</v>
      </c>
    </row>
    <row r="2737" spans="2:4" x14ac:dyDescent="0.2">
      <c r="B2737" s="1341">
        <v>3191</v>
      </c>
      <c r="C2737" s="1341" t="s">
        <v>3823</v>
      </c>
      <c r="D2737" s="1310">
        <v>595.94000200000005</v>
      </c>
    </row>
    <row r="2738" spans="2:4" x14ac:dyDescent="0.2">
      <c r="B2738" s="1341">
        <v>3192</v>
      </c>
      <c r="C2738" s="1341" t="s">
        <v>2204</v>
      </c>
      <c r="D2738" s="1310">
        <v>574.55999799999995</v>
      </c>
    </row>
    <row r="2739" spans="2:4" x14ac:dyDescent="0.2">
      <c r="B2739" s="1341">
        <v>3193</v>
      </c>
      <c r="C2739" s="1341" t="s">
        <v>3824</v>
      </c>
      <c r="D2739" s="1310">
        <v>625.65713900000003</v>
      </c>
    </row>
    <row r="2740" spans="2:4" x14ac:dyDescent="0.2">
      <c r="B2740" s="1341">
        <v>3194</v>
      </c>
      <c r="C2740" s="1341" t="s">
        <v>3825</v>
      </c>
      <c r="D2740" s="1310">
        <v>657.62727500000005</v>
      </c>
    </row>
    <row r="2741" spans="2:4" x14ac:dyDescent="0.2">
      <c r="B2741" s="1341">
        <v>3195</v>
      </c>
      <c r="C2741" s="1341" t="s">
        <v>3826</v>
      </c>
      <c r="D2741" s="1310">
        <v>625.61667399999999</v>
      </c>
    </row>
    <row r="2742" spans="2:4" x14ac:dyDescent="0.2">
      <c r="B2742" s="1341">
        <v>3196</v>
      </c>
      <c r="C2742" s="1341" t="s">
        <v>1948</v>
      </c>
      <c r="D2742" s="1310">
        <v>632.84997599999997</v>
      </c>
    </row>
    <row r="2743" spans="2:4" x14ac:dyDescent="0.2">
      <c r="B2743" s="1341">
        <v>3197</v>
      </c>
      <c r="C2743" s="1341" t="s">
        <v>3827</v>
      </c>
      <c r="D2743" s="1310">
        <v>630.41110600000002</v>
      </c>
    </row>
    <row r="2744" spans="2:4" x14ac:dyDescent="0.2">
      <c r="B2744" s="1341">
        <v>3198</v>
      </c>
      <c r="C2744" s="1341" t="s">
        <v>3828</v>
      </c>
      <c r="D2744" s="1310">
        <v>641.60001</v>
      </c>
    </row>
    <row r="2745" spans="2:4" x14ac:dyDescent="0.2">
      <c r="B2745" s="1341">
        <v>3199</v>
      </c>
      <c r="C2745" s="1341" t="s">
        <v>3829</v>
      </c>
      <c r="D2745" s="1310">
        <v>610.33333300000004</v>
      </c>
    </row>
    <row r="2746" spans="2:4" x14ac:dyDescent="0.2">
      <c r="B2746" s="1341">
        <v>3200</v>
      </c>
      <c r="C2746" s="1341" t="s">
        <v>3830</v>
      </c>
      <c r="D2746" s="1310">
        <v>616.41250600000001</v>
      </c>
    </row>
    <row r="2747" spans="2:4" x14ac:dyDescent="0.2">
      <c r="B2747" s="1341">
        <v>3201</v>
      </c>
      <c r="C2747" s="1341" t="s">
        <v>3831</v>
      </c>
      <c r="D2747" s="1310">
        <v>654.67999299999997</v>
      </c>
    </row>
    <row r="2748" spans="2:4" x14ac:dyDescent="0.2">
      <c r="B2748" s="1341">
        <v>3202</v>
      </c>
      <c r="C2748" s="1341" t="s">
        <v>3832</v>
      </c>
      <c r="D2748" s="1310">
        <v>641.52857300000005</v>
      </c>
    </row>
    <row r="2749" spans="2:4" x14ac:dyDescent="0.2">
      <c r="B2749" s="1341">
        <v>3203</v>
      </c>
      <c r="C2749" s="1341" t="s">
        <v>3833</v>
      </c>
      <c r="D2749" s="1310">
        <v>653.33333300000004</v>
      </c>
    </row>
    <row r="2750" spans="2:4" x14ac:dyDescent="0.2">
      <c r="B2750" s="1341">
        <v>3204</v>
      </c>
      <c r="C2750" s="1341" t="s">
        <v>3834</v>
      </c>
      <c r="D2750" s="1310">
        <v>580.58332299999995</v>
      </c>
    </row>
    <row r="2751" spans="2:4" x14ac:dyDescent="0.2">
      <c r="B2751" s="1341">
        <v>3205</v>
      </c>
      <c r="C2751" s="1341" t="s">
        <v>3835</v>
      </c>
      <c r="D2751" s="1310">
        <v>649.93636300000003</v>
      </c>
    </row>
    <row r="2752" spans="2:4" x14ac:dyDescent="0.2">
      <c r="B2752" s="1341">
        <v>3206</v>
      </c>
      <c r="C2752" s="1341" t="s">
        <v>3836</v>
      </c>
      <c r="D2752" s="1310">
        <v>642.09999600000003</v>
      </c>
    </row>
    <row r="2753" spans="2:4" x14ac:dyDescent="0.2">
      <c r="B2753" s="1341">
        <v>3207</v>
      </c>
      <c r="C2753" s="1341" t="s">
        <v>3837</v>
      </c>
      <c r="D2753" s="1310">
        <v>633.69998799999996</v>
      </c>
    </row>
    <row r="2754" spans="2:4" x14ac:dyDescent="0.2">
      <c r="B2754" s="1341">
        <v>3208</v>
      </c>
      <c r="C2754" s="1341" t="s">
        <v>3838</v>
      </c>
      <c r="D2754" s="1310">
        <v>633</v>
      </c>
    </row>
    <row r="2755" spans="2:4" x14ac:dyDescent="0.2">
      <c r="B2755" s="1341">
        <v>3209</v>
      </c>
      <c r="C2755" s="1341" t="s">
        <v>3839</v>
      </c>
      <c r="D2755" s="1310">
        <v>635.96922900000004</v>
      </c>
    </row>
    <row r="2756" spans="2:4" x14ac:dyDescent="0.2">
      <c r="B2756" s="1341">
        <v>3210</v>
      </c>
      <c r="C2756" s="1341" t="s">
        <v>3840</v>
      </c>
      <c r="D2756" s="1310">
        <v>637.72499100000005</v>
      </c>
    </row>
    <row r="2757" spans="2:4" x14ac:dyDescent="0.2">
      <c r="B2757" s="1341">
        <v>3211</v>
      </c>
      <c r="C2757" s="1341" t="s">
        <v>3841</v>
      </c>
      <c r="D2757" s="1310">
        <v>652.4</v>
      </c>
    </row>
    <row r="2758" spans="2:4" x14ac:dyDescent="0.2">
      <c r="B2758" s="1341">
        <v>3212</v>
      </c>
      <c r="C2758" s="1341" t="s">
        <v>3842</v>
      </c>
      <c r="D2758" s="1310">
        <v>611.03997800000002</v>
      </c>
    </row>
    <row r="2759" spans="2:4" x14ac:dyDescent="0.2">
      <c r="B2759" s="1341">
        <v>3213</v>
      </c>
      <c r="C2759" s="1341" t="s">
        <v>3843</v>
      </c>
      <c r="D2759" s="1310">
        <v>641.22499800000003</v>
      </c>
    </row>
    <row r="2760" spans="2:4" x14ac:dyDescent="0.2">
      <c r="B2760" s="1341">
        <v>3214</v>
      </c>
      <c r="C2760" s="1341" t="s">
        <v>3844</v>
      </c>
      <c r="D2760" s="1310">
        <v>636.25998500000003</v>
      </c>
    </row>
    <row r="2761" spans="2:4" x14ac:dyDescent="0.2">
      <c r="B2761" s="1341">
        <v>3215</v>
      </c>
      <c r="C2761" s="1341" t="s">
        <v>3845</v>
      </c>
      <c r="D2761" s="1310">
        <v>633.59998599999994</v>
      </c>
    </row>
    <row r="2762" spans="2:4" x14ac:dyDescent="0.2">
      <c r="B2762" s="1341">
        <v>3216</v>
      </c>
      <c r="C2762" s="1341" t="s">
        <v>3846</v>
      </c>
      <c r="D2762" s="1310">
        <v>645.18571299999996</v>
      </c>
    </row>
    <row r="2763" spans="2:4" x14ac:dyDescent="0.2">
      <c r="B2763" s="1341">
        <v>3217</v>
      </c>
      <c r="C2763" s="1341" t="s">
        <v>3847</v>
      </c>
      <c r="D2763" s="1310">
        <v>621.5</v>
      </c>
    </row>
    <row r="2764" spans="2:4" x14ac:dyDescent="0.2">
      <c r="B2764" s="1341">
        <v>3218</v>
      </c>
      <c r="C2764" s="1341" t="s">
        <v>3848</v>
      </c>
      <c r="D2764" s="1310">
        <v>617.02498600000001</v>
      </c>
    </row>
    <row r="2765" spans="2:4" x14ac:dyDescent="0.2">
      <c r="B2765" s="1341">
        <v>3219</v>
      </c>
      <c r="C2765" s="1341" t="s">
        <v>3849</v>
      </c>
      <c r="D2765" s="1310">
        <v>646.95999800000004</v>
      </c>
    </row>
    <row r="2766" spans="2:4" x14ac:dyDescent="0.2">
      <c r="B2766" s="1341">
        <v>3220</v>
      </c>
      <c r="C2766" s="1341" t="s">
        <v>3850</v>
      </c>
      <c r="D2766" s="1310">
        <v>575.5625</v>
      </c>
    </row>
    <row r="2767" spans="2:4" x14ac:dyDescent="0.2">
      <c r="B2767" s="1341">
        <v>3221</v>
      </c>
      <c r="C2767" s="1341" t="s">
        <v>3851</v>
      </c>
      <c r="D2767" s="1310">
        <v>600.70001200000002</v>
      </c>
    </row>
    <row r="2768" spans="2:4" x14ac:dyDescent="0.2">
      <c r="B2768" s="1341">
        <v>3222</v>
      </c>
      <c r="C2768" s="1341" t="s">
        <v>3852</v>
      </c>
      <c r="D2768" s="1310">
        <v>583.66666699999996</v>
      </c>
    </row>
    <row r="2769" spans="2:4" x14ac:dyDescent="0.2">
      <c r="B2769" s="1341">
        <v>3223</v>
      </c>
      <c r="C2769" s="1341" t="s">
        <v>2514</v>
      </c>
      <c r="D2769" s="1310">
        <v>618.02000699999996</v>
      </c>
    </row>
    <row r="2770" spans="2:4" x14ac:dyDescent="0.2">
      <c r="B2770" s="1341">
        <v>3224</v>
      </c>
      <c r="C2770" s="1341" t="s">
        <v>3853</v>
      </c>
      <c r="D2770" s="1310">
        <v>629.06669099999999</v>
      </c>
    </row>
    <row r="2771" spans="2:4" x14ac:dyDescent="0.2">
      <c r="B2771" s="1341">
        <v>3225</v>
      </c>
      <c r="C2771" s="1341" t="s">
        <v>2519</v>
      </c>
      <c r="D2771" s="1310">
        <v>611.86665900000003</v>
      </c>
    </row>
    <row r="2772" spans="2:4" x14ac:dyDescent="0.2">
      <c r="B2772" s="1341">
        <v>3226</v>
      </c>
      <c r="C2772" s="1341" t="s">
        <v>1536</v>
      </c>
      <c r="D2772" s="1310">
        <v>649.99999000000003</v>
      </c>
    </row>
    <row r="2773" spans="2:4" x14ac:dyDescent="0.2">
      <c r="B2773" s="1341">
        <v>3227</v>
      </c>
      <c r="C2773" s="1341" t="s">
        <v>3854</v>
      </c>
      <c r="D2773" s="1310">
        <v>608.34999900000003</v>
      </c>
    </row>
    <row r="2774" spans="2:4" x14ac:dyDescent="0.2">
      <c r="B2774" s="1341">
        <v>3228</v>
      </c>
      <c r="C2774" s="1341" t="s">
        <v>3855</v>
      </c>
      <c r="D2774" s="1310">
        <v>626.85999800000002</v>
      </c>
    </row>
    <row r="2775" spans="2:4" x14ac:dyDescent="0.2">
      <c r="B2775" s="1341">
        <v>3229</v>
      </c>
      <c r="C2775" s="1341" t="s">
        <v>3856</v>
      </c>
      <c r="D2775" s="1310">
        <v>629.58000500000003</v>
      </c>
    </row>
    <row r="2776" spans="2:4" x14ac:dyDescent="0.2">
      <c r="B2776" s="1341">
        <v>3230</v>
      </c>
      <c r="C2776" s="1341" t="s">
        <v>3857</v>
      </c>
      <c r="D2776" s="1310">
        <v>634.16249800000003</v>
      </c>
    </row>
    <row r="2777" spans="2:4" x14ac:dyDescent="0.2">
      <c r="B2777" s="1341">
        <v>3231</v>
      </c>
      <c r="C2777" s="1341" t="s">
        <v>3858</v>
      </c>
      <c r="D2777" s="1310">
        <v>620.74001499999997</v>
      </c>
    </row>
    <row r="2778" spans="2:4" x14ac:dyDescent="0.2">
      <c r="B2778" s="1341">
        <v>3232</v>
      </c>
      <c r="C2778" s="1341" t="s">
        <v>3859</v>
      </c>
      <c r="D2778" s="1310">
        <v>609.29999999999995</v>
      </c>
    </row>
    <row r="2779" spans="2:4" x14ac:dyDescent="0.2">
      <c r="B2779" s="1341">
        <v>3233</v>
      </c>
      <c r="C2779" s="1341" t="s">
        <v>3860</v>
      </c>
      <c r="D2779" s="1310">
        <v>637.39999399999999</v>
      </c>
    </row>
    <row r="2780" spans="2:4" x14ac:dyDescent="0.2">
      <c r="B2780" s="1341">
        <v>3234</v>
      </c>
      <c r="C2780" s="1341" t="s">
        <v>3861</v>
      </c>
      <c r="D2780" s="1310">
        <v>642.64999399999999</v>
      </c>
    </row>
    <row r="2781" spans="2:4" x14ac:dyDescent="0.2">
      <c r="B2781" s="1341">
        <v>3235</v>
      </c>
      <c r="C2781" s="1341" t="s">
        <v>3862</v>
      </c>
      <c r="D2781" s="1310">
        <v>580.32499700000005</v>
      </c>
    </row>
    <row r="2782" spans="2:4" x14ac:dyDescent="0.2">
      <c r="B2782" s="1341">
        <v>3236</v>
      </c>
      <c r="C2782" s="1341" t="s">
        <v>3863</v>
      </c>
      <c r="D2782" s="1310">
        <v>602.69091800000001</v>
      </c>
    </row>
    <row r="2783" spans="2:4" x14ac:dyDescent="0.2">
      <c r="B2783" s="1341">
        <v>3237</v>
      </c>
      <c r="C2783" s="1341" t="s">
        <v>3864</v>
      </c>
      <c r="D2783" s="1310">
        <v>678.45000300000004</v>
      </c>
    </row>
    <row r="2784" spans="2:4" x14ac:dyDescent="0.2">
      <c r="B2784" s="1341">
        <v>3238</v>
      </c>
      <c r="C2784" s="1341" t="s">
        <v>3865</v>
      </c>
      <c r="D2784" s="1310">
        <v>620.11249499999997</v>
      </c>
    </row>
    <row r="2785" spans="2:4" x14ac:dyDescent="0.2">
      <c r="B2785" s="1341">
        <v>3239</v>
      </c>
      <c r="C2785" s="1341" t="s">
        <v>3866</v>
      </c>
      <c r="D2785" s="1310">
        <v>615</v>
      </c>
    </row>
    <row r="2786" spans="2:4" x14ac:dyDescent="0.2">
      <c r="B2786" s="1341">
        <v>3240</v>
      </c>
      <c r="C2786" s="1341" t="s">
        <v>3867</v>
      </c>
      <c r="D2786" s="1310">
        <v>638.68750799999998</v>
      </c>
    </row>
    <row r="2787" spans="2:4" x14ac:dyDescent="0.2">
      <c r="B2787" s="1341">
        <v>3241</v>
      </c>
      <c r="C2787" s="1341" t="s">
        <v>3868</v>
      </c>
      <c r="D2787" s="1310">
        <v>605.08333300000004</v>
      </c>
    </row>
    <row r="2788" spans="2:4" x14ac:dyDescent="0.2">
      <c r="B2788" s="1341">
        <v>3242</v>
      </c>
      <c r="C2788" s="1341" t="s">
        <v>3869</v>
      </c>
      <c r="D2788" s="1310">
        <v>626.45001200000002</v>
      </c>
    </row>
    <row r="2789" spans="2:4" x14ac:dyDescent="0.2">
      <c r="B2789" s="1341">
        <v>3243</v>
      </c>
      <c r="C2789" s="1341" t="s">
        <v>3870</v>
      </c>
      <c r="D2789" s="1310">
        <v>609.07499700000005</v>
      </c>
    </row>
    <row r="2790" spans="2:4" x14ac:dyDescent="0.2">
      <c r="B2790" s="1341">
        <v>3244</v>
      </c>
      <c r="C2790" s="1341" t="s">
        <v>3871</v>
      </c>
      <c r="D2790" s="1310">
        <v>641.66666699999996</v>
      </c>
    </row>
    <row r="2791" spans="2:4" x14ac:dyDescent="0.2">
      <c r="B2791" s="1341">
        <v>3245</v>
      </c>
      <c r="C2791" s="1341" t="s">
        <v>3872</v>
      </c>
      <c r="D2791" s="1310">
        <v>656.15999799999997</v>
      </c>
    </row>
    <row r="2792" spans="2:4" x14ac:dyDescent="0.2">
      <c r="B2792" s="1341">
        <v>3246</v>
      </c>
      <c r="C2792" s="1341" t="s">
        <v>3873</v>
      </c>
      <c r="D2792" s="1310">
        <v>644.389996</v>
      </c>
    </row>
    <row r="2793" spans="2:4" x14ac:dyDescent="0.2">
      <c r="B2793" s="1341">
        <v>3247</v>
      </c>
      <c r="C2793" s="1341" t="s">
        <v>3874</v>
      </c>
      <c r="D2793" s="1310">
        <v>623.76667299999997</v>
      </c>
    </row>
    <row r="2794" spans="2:4" x14ac:dyDescent="0.2">
      <c r="B2794" s="1341">
        <v>3251</v>
      </c>
      <c r="C2794" s="1341" t="s">
        <v>3875</v>
      </c>
      <c r="D2794" s="1310">
        <v>633.75</v>
      </c>
    </row>
    <row r="2795" spans="2:4" x14ac:dyDescent="0.2">
      <c r="B2795" s="1341">
        <v>3252</v>
      </c>
      <c r="C2795" s="1341" t="s">
        <v>3876</v>
      </c>
      <c r="D2795" s="1310">
        <v>609.25</v>
      </c>
    </row>
    <row r="2796" spans="2:4" x14ac:dyDescent="0.2">
      <c r="B2796" s="1341">
        <v>3253</v>
      </c>
      <c r="C2796" s="1341" t="s">
        <v>1466</v>
      </c>
      <c r="D2796" s="1310">
        <v>657.19999199999995</v>
      </c>
    </row>
    <row r="2797" spans="2:4" x14ac:dyDescent="0.2">
      <c r="B2797" s="1341">
        <v>3254</v>
      </c>
      <c r="C2797" s="1341" t="s">
        <v>3877</v>
      </c>
      <c r="D2797" s="1310">
        <v>649.86665900000003</v>
      </c>
    </row>
    <row r="2798" spans="2:4" x14ac:dyDescent="0.2">
      <c r="B2798" s="1341">
        <v>3255</v>
      </c>
      <c r="C2798" s="1341" t="s">
        <v>3878</v>
      </c>
      <c r="D2798" s="1310">
        <v>601.6</v>
      </c>
    </row>
    <row r="2799" spans="2:4" x14ac:dyDescent="0.2">
      <c r="B2799" s="1341">
        <v>3256</v>
      </c>
      <c r="C2799" s="1341" t="s">
        <v>3879</v>
      </c>
      <c r="D2799" s="1310">
        <v>622.94999399999995</v>
      </c>
    </row>
    <row r="2800" spans="2:4" x14ac:dyDescent="0.2">
      <c r="B2800" s="1341">
        <v>3257</v>
      </c>
      <c r="C2800" s="1341" t="s">
        <v>3880</v>
      </c>
      <c r="D2800" s="1310">
        <v>644.96666500000003</v>
      </c>
    </row>
    <row r="2801" spans="2:4" x14ac:dyDescent="0.2">
      <c r="B2801" s="1341">
        <v>3258</v>
      </c>
      <c r="C2801" s="1341" t="s">
        <v>2036</v>
      </c>
      <c r="D2801" s="1310">
        <v>645.67142999999999</v>
      </c>
    </row>
    <row r="2802" spans="2:4" x14ac:dyDescent="0.2">
      <c r="B2802" s="1341">
        <v>3259</v>
      </c>
      <c r="C2802" s="1341" t="s">
        <v>3881</v>
      </c>
      <c r="D2802" s="1310">
        <v>635.625</v>
      </c>
    </row>
    <row r="2803" spans="2:4" x14ac:dyDescent="0.2">
      <c r="B2803" s="1341">
        <v>3260</v>
      </c>
      <c r="C2803" s="1341" t="s">
        <v>3882</v>
      </c>
      <c r="D2803" s="1310">
        <v>599.53636600000004</v>
      </c>
    </row>
    <row r="2804" spans="2:4" x14ac:dyDescent="0.2">
      <c r="B2804" s="1341">
        <v>3261</v>
      </c>
      <c r="C2804" s="1341" t="s">
        <v>3883</v>
      </c>
      <c r="D2804" s="1310">
        <v>618.40002400000003</v>
      </c>
    </row>
    <row r="2805" spans="2:4" x14ac:dyDescent="0.2">
      <c r="B2805" s="1341">
        <v>3262</v>
      </c>
      <c r="C2805" s="1341" t="s">
        <v>1840</v>
      </c>
      <c r="D2805" s="1310">
        <v>605.80000800000005</v>
      </c>
    </row>
    <row r="2806" spans="2:4" x14ac:dyDescent="0.2">
      <c r="B2806" s="1341">
        <v>3263</v>
      </c>
      <c r="C2806" s="1341" t="s">
        <v>3884</v>
      </c>
      <c r="D2806" s="1310">
        <v>588.69999700000005</v>
      </c>
    </row>
    <row r="2807" spans="2:4" x14ac:dyDescent="0.2">
      <c r="B2807" s="1341">
        <v>3264</v>
      </c>
      <c r="C2807" s="1341" t="s">
        <v>3885</v>
      </c>
      <c r="D2807" s="1310">
        <v>578.66666699999996</v>
      </c>
    </row>
    <row r="2808" spans="2:4" x14ac:dyDescent="0.2">
      <c r="B2808" s="1341">
        <v>3265</v>
      </c>
      <c r="C2808" s="1341" t="s">
        <v>3886</v>
      </c>
      <c r="D2808" s="1310">
        <v>579.33999600000004</v>
      </c>
    </row>
    <row r="2809" spans="2:4" x14ac:dyDescent="0.2">
      <c r="B2809" s="1341">
        <v>3266</v>
      </c>
      <c r="C2809" s="1341" t="s">
        <v>3887</v>
      </c>
      <c r="D2809" s="1310">
        <v>601.01249700000005</v>
      </c>
    </row>
    <row r="2810" spans="2:4" x14ac:dyDescent="0.2">
      <c r="B2810" s="1341">
        <v>3267</v>
      </c>
      <c r="C2810" s="1341" t="s">
        <v>3888</v>
      </c>
      <c r="D2810" s="1310">
        <v>592.52500899999995</v>
      </c>
    </row>
    <row r="2811" spans="2:4" x14ac:dyDescent="0.2">
      <c r="B2811" s="1341">
        <v>3268</v>
      </c>
      <c r="C2811" s="1341" t="s">
        <v>3889</v>
      </c>
      <c r="D2811" s="1310">
        <v>596.03999599999997</v>
      </c>
    </row>
    <row r="2812" spans="2:4" x14ac:dyDescent="0.2">
      <c r="B2812" s="1341">
        <v>3269</v>
      </c>
      <c r="C2812" s="1341" t="s">
        <v>3890</v>
      </c>
      <c r="D2812" s="1310">
        <v>611.28889300000003</v>
      </c>
    </row>
    <row r="2813" spans="2:4" x14ac:dyDescent="0.2">
      <c r="B2813" s="1341">
        <v>3270</v>
      </c>
      <c r="C2813" s="1341" t="s">
        <v>3891</v>
      </c>
      <c r="D2813" s="1310">
        <v>597.16666699999996</v>
      </c>
    </row>
    <row r="2814" spans="2:4" x14ac:dyDescent="0.2">
      <c r="B2814" s="1341">
        <v>3271</v>
      </c>
      <c r="C2814" s="1341" t="s">
        <v>3892</v>
      </c>
      <c r="D2814" s="1310">
        <v>571.42000700000006</v>
      </c>
    </row>
    <row r="2815" spans="2:4" x14ac:dyDescent="0.2">
      <c r="B2815" s="1341">
        <v>3272</v>
      </c>
      <c r="C2815" s="1341" t="s">
        <v>3893</v>
      </c>
      <c r="D2815" s="1310">
        <v>590.08334400000001</v>
      </c>
    </row>
    <row r="2816" spans="2:4" x14ac:dyDescent="0.2">
      <c r="B2816" s="1341">
        <v>3273</v>
      </c>
      <c r="C2816" s="1341" t="s">
        <v>3894</v>
      </c>
      <c r="D2816" s="1310">
        <v>572.75001499999996</v>
      </c>
    </row>
    <row r="2817" spans="2:4" x14ac:dyDescent="0.2">
      <c r="B2817" s="1341">
        <v>3274</v>
      </c>
      <c r="C2817" s="1341" t="s">
        <v>3895</v>
      </c>
      <c r="D2817" s="1310">
        <v>607.04998799999998</v>
      </c>
    </row>
    <row r="2818" spans="2:4" x14ac:dyDescent="0.2">
      <c r="B2818" s="1341">
        <v>3275</v>
      </c>
      <c r="C2818" s="1341" t="s">
        <v>3896</v>
      </c>
      <c r="D2818" s="1310">
        <v>581.94999700000005</v>
      </c>
    </row>
    <row r="2819" spans="2:4" x14ac:dyDescent="0.2">
      <c r="B2819" s="1341">
        <v>3276</v>
      </c>
      <c r="C2819" s="1341" t="s">
        <v>3897</v>
      </c>
      <c r="D2819" s="1310">
        <v>596.37499200000002</v>
      </c>
    </row>
    <row r="2820" spans="2:4" x14ac:dyDescent="0.2">
      <c r="B2820" s="1341">
        <v>3277</v>
      </c>
      <c r="C2820" s="1341" t="s">
        <v>3898</v>
      </c>
      <c r="D2820" s="1310">
        <v>582.93571699999995</v>
      </c>
    </row>
    <row r="2821" spans="2:4" x14ac:dyDescent="0.2">
      <c r="B2821" s="1341">
        <v>3278</v>
      </c>
      <c r="C2821" s="1341" t="s">
        <v>2595</v>
      </c>
      <c r="D2821" s="1310">
        <v>591.53332499999999</v>
      </c>
    </row>
    <row r="2822" spans="2:4" x14ac:dyDescent="0.2">
      <c r="B2822" s="1341">
        <v>3279</v>
      </c>
      <c r="C2822" s="1341" t="s">
        <v>3899</v>
      </c>
      <c r="D2822" s="1310">
        <v>610.00000899999998</v>
      </c>
    </row>
    <row r="2823" spans="2:4" x14ac:dyDescent="0.2">
      <c r="B2823" s="1341">
        <v>3280</v>
      </c>
      <c r="C2823" s="1341" t="s">
        <v>3900</v>
      </c>
      <c r="D2823" s="1310">
        <v>606.85000600000001</v>
      </c>
    </row>
    <row r="2824" spans="2:4" x14ac:dyDescent="0.2">
      <c r="B2824" s="1341">
        <v>3281</v>
      </c>
      <c r="C2824" s="1341" t="s">
        <v>3901</v>
      </c>
      <c r="D2824" s="1310">
        <v>600.5</v>
      </c>
    </row>
    <row r="2825" spans="2:4" x14ac:dyDescent="0.2">
      <c r="B2825" s="1341">
        <v>3282</v>
      </c>
      <c r="C2825" s="1341" t="s">
        <v>3902</v>
      </c>
      <c r="D2825" s="1310">
        <v>599.50499600000001</v>
      </c>
    </row>
    <row r="2826" spans="2:4" x14ac:dyDescent="0.2">
      <c r="B2826" s="1341">
        <v>3283</v>
      </c>
      <c r="C2826" s="1341" t="s">
        <v>1529</v>
      </c>
      <c r="D2826" s="1310">
        <v>608.73333700000001</v>
      </c>
    </row>
    <row r="2827" spans="2:4" x14ac:dyDescent="0.2">
      <c r="B2827" s="1341">
        <v>3284</v>
      </c>
      <c r="C2827" s="1341" t="s">
        <v>3903</v>
      </c>
      <c r="D2827" s="1310">
        <v>604.87141599999995</v>
      </c>
    </row>
    <row r="2828" spans="2:4" x14ac:dyDescent="0.2">
      <c r="B2828" s="1341">
        <v>3285</v>
      </c>
      <c r="C2828" s="1341" t="s">
        <v>1802</v>
      </c>
      <c r="D2828" s="1310">
        <v>582.89999399999999</v>
      </c>
    </row>
    <row r="2829" spans="2:4" x14ac:dyDescent="0.2">
      <c r="B2829" s="1341">
        <v>3286</v>
      </c>
      <c r="C2829" s="1341" t="s">
        <v>3904</v>
      </c>
      <c r="D2829" s="1310">
        <v>606.05000299999995</v>
      </c>
    </row>
    <row r="2830" spans="2:4" x14ac:dyDescent="0.2">
      <c r="B2830" s="1341">
        <v>3287</v>
      </c>
      <c r="C2830" s="1341" t="s">
        <v>3905</v>
      </c>
      <c r="D2830" s="1310">
        <v>603.116669</v>
      </c>
    </row>
    <row r="2831" spans="2:4" x14ac:dyDescent="0.2">
      <c r="B2831" s="1341">
        <v>3288</v>
      </c>
      <c r="C2831" s="1341" t="s">
        <v>3906</v>
      </c>
      <c r="D2831" s="1310">
        <v>617.14999399999999</v>
      </c>
    </row>
    <row r="2832" spans="2:4" x14ac:dyDescent="0.2">
      <c r="B2832" s="1341">
        <v>3289</v>
      </c>
      <c r="C2832" s="1341" t="s">
        <v>3907</v>
      </c>
      <c r="D2832" s="1310">
        <v>591.65555099999995</v>
      </c>
    </row>
    <row r="2833" spans="2:4" x14ac:dyDescent="0.2">
      <c r="B2833" s="1341">
        <v>3290</v>
      </c>
      <c r="C2833" s="1341" t="s">
        <v>3908</v>
      </c>
      <c r="D2833" s="1310">
        <v>616.97143600000004</v>
      </c>
    </row>
    <row r="2834" spans="2:4" x14ac:dyDescent="0.2">
      <c r="B2834" s="1341">
        <v>3291</v>
      </c>
      <c r="C2834" s="1341" t="s">
        <v>3010</v>
      </c>
      <c r="D2834" s="1310">
        <v>595.9</v>
      </c>
    </row>
    <row r="2835" spans="2:4" x14ac:dyDescent="0.2">
      <c r="B2835" s="1341">
        <v>3292</v>
      </c>
      <c r="C2835" s="1341" t="s">
        <v>3909</v>
      </c>
      <c r="D2835" s="1310">
        <v>618.811103</v>
      </c>
    </row>
    <row r="2836" spans="2:4" x14ac:dyDescent="0.2">
      <c r="B2836" s="1341">
        <v>3293</v>
      </c>
      <c r="C2836" s="1341" t="s">
        <v>3910</v>
      </c>
      <c r="D2836" s="1310">
        <v>603.93998999999997</v>
      </c>
    </row>
    <row r="2837" spans="2:4" x14ac:dyDescent="0.2">
      <c r="B2837" s="1341">
        <v>3294</v>
      </c>
      <c r="C2837" s="1341" t="s">
        <v>3911</v>
      </c>
      <c r="D2837" s="1310">
        <v>591</v>
      </c>
    </row>
    <row r="2838" spans="2:4" x14ac:dyDescent="0.2">
      <c r="B2838" s="1341">
        <v>3295</v>
      </c>
      <c r="C2838" s="1341" t="s">
        <v>3912</v>
      </c>
      <c r="D2838" s="1310">
        <v>595.64999399999999</v>
      </c>
    </row>
    <row r="2839" spans="2:4" x14ac:dyDescent="0.2">
      <c r="B2839" s="1341">
        <v>3296</v>
      </c>
      <c r="C2839" s="1341" t="s">
        <v>3057</v>
      </c>
      <c r="D2839" s="1310">
        <v>600.13334099999997</v>
      </c>
    </row>
    <row r="2840" spans="2:4" x14ac:dyDescent="0.2">
      <c r="B2840" s="1341">
        <v>3297</v>
      </c>
      <c r="C2840" s="1341" t="s">
        <v>3913</v>
      </c>
      <c r="D2840" s="1310">
        <v>606.46250199999997</v>
      </c>
    </row>
    <row r="2841" spans="2:4" x14ac:dyDescent="0.2">
      <c r="B2841" s="1341">
        <v>3298</v>
      </c>
      <c r="C2841" s="1341" t="s">
        <v>3914</v>
      </c>
      <c r="D2841" s="1310">
        <v>601.33333300000004</v>
      </c>
    </row>
    <row r="2842" spans="2:4" x14ac:dyDescent="0.2">
      <c r="B2842" s="1341">
        <v>3299</v>
      </c>
      <c r="C2842" s="1341" t="s">
        <v>3915</v>
      </c>
      <c r="D2842" s="1310">
        <v>602.29999799999996</v>
      </c>
    </row>
    <row r="2843" spans="2:4" x14ac:dyDescent="0.2">
      <c r="B2843" s="1341">
        <v>3300</v>
      </c>
      <c r="C2843" s="1341" t="s">
        <v>2259</v>
      </c>
      <c r="D2843" s="1310">
        <v>593.46001000000001</v>
      </c>
    </row>
    <row r="2844" spans="2:4" x14ac:dyDescent="0.2">
      <c r="B2844" s="1341">
        <v>3301</v>
      </c>
      <c r="C2844" s="1341" t="s">
        <v>3916</v>
      </c>
      <c r="D2844" s="1310">
        <v>597</v>
      </c>
    </row>
    <row r="2845" spans="2:4" x14ac:dyDescent="0.2">
      <c r="B2845" s="1341">
        <v>3302</v>
      </c>
      <c r="C2845" s="1341" t="s">
        <v>1642</v>
      </c>
      <c r="D2845" s="1310">
        <v>616.81667100000004</v>
      </c>
    </row>
    <row r="2846" spans="2:4" x14ac:dyDescent="0.2">
      <c r="B2846" s="1341">
        <v>3303</v>
      </c>
      <c r="C2846" s="1341" t="s">
        <v>3917</v>
      </c>
      <c r="D2846" s="1310">
        <v>578.18572099999994</v>
      </c>
    </row>
    <row r="2847" spans="2:4" x14ac:dyDescent="0.2">
      <c r="B2847" s="1341">
        <v>3304</v>
      </c>
      <c r="C2847" s="1341" t="s">
        <v>3918</v>
      </c>
      <c r="D2847" s="1310">
        <v>580.39999399999999</v>
      </c>
    </row>
    <row r="2848" spans="2:4" x14ac:dyDescent="0.2">
      <c r="B2848" s="1341">
        <v>3305</v>
      </c>
      <c r="C2848" s="1341" t="s">
        <v>3919</v>
      </c>
      <c r="D2848" s="1310">
        <v>602.61429299999998</v>
      </c>
    </row>
    <row r="2849" spans="2:4" x14ac:dyDescent="0.2">
      <c r="B2849" s="1341">
        <v>3306</v>
      </c>
      <c r="C2849" s="1341" t="s">
        <v>3920</v>
      </c>
      <c r="D2849" s="1310">
        <v>603.87999300000001</v>
      </c>
    </row>
    <row r="2850" spans="2:4" x14ac:dyDescent="0.2">
      <c r="B2850" s="1341">
        <v>3307</v>
      </c>
      <c r="C2850" s="1341" t="s">
        <v>3921</v>
      </c>
      <c r="D2850" s="1310">
        <v>607.30000800000005</v>
      </c>
    </row>
    <row r="2851" spans="2:4" x14ac:dyDescent="0.2">
      <c r="B2851" s="1341">
        <v>3308</v>
      </c>
      <c r="C2851" s="1341" t="s">
        <v>3922</v>
      </c>
      <c r="D2851" s="1310">
        <v>600.84001499999999</v>
      </c>
    </row>
    <row r="2852" spans="2:4" x14ac:dyDescent="0.2">
      <c r="B2852" s="1341">
        <v>3309</v>
      </c>
      <c r="C2852" s="1341" t="s">
        <v>3923</v>
      </c>
      <c r="D2852" s="1310">
        <v>605.92500299999995</v>
      </c>
    </row>
    <row r="2853" spans="2:4" x14ac:dyDescent="0.2">
      <c r="B2853" s="1341">
        <v>3310</v>
      </c>
      <c r="C2853" s="1341" t="s">
        <v>3924</v>
      </c>
      <c r="D2853" s="1310">
        <v>595.22857699999997</v>
      </c>
    </row>
    <row r="2854" spans="2:4" x14ac:dyDescent="0.2">
      <c r="B2854" s="1341">
        <v>3311</v>
      </c>
      <c r="C2854" s="1341" t="s">
        <v>3925</v>
      </c>
      <c r="D2854" s="1310">
        <v>599.73637299999996</v>
      </c>
    </row>
    <row r="2855" spans="2:4" x14ac:dyDescent="0.2">
      <c r="B2855" s="1341">
        <v>3312</v>
      </c>
      <c r="C2855" s="1341" t="s">
        <v>3926</v>
      </c>
      <c r="D2855" s="1310">
        <v>608.63332100000002</v>
      </c>
    </row>
    <row r="2856" spans="2:4" x14ac:dyDescent="0.2">
      <c r="B2856" s="1341">
        <v>3313</v>
      </c>
      <c r="C2856" s="1341" t="s">
        <v>3927</v>
      </c>
      <c r="D2856" s="1310">
        <v>606.31667100000004</v>
      </c>
    </row>
    <row r="2857" spans="2:4" x14ac:dyDescent="0.2">
      <c r="B2857" s="1341">
        <v>3314</v>
      </c>
      <c r="C2857" s="1341" t="s">
        <v>2120</v>
      </c>
      <c r="D2857" s="1310">
        <v>585.84286899999995</v>
      </c>
    </row>
    <row r="2858" spans="2:4" x14ac:dyDescent="0.2">
      <c r="B2858" s="1341">
        <v>3315</v>
      </c>
      <c r="C2858" s="1341" t="s">
        <v>3928</v>
      </c>
      <c r="D2858" s="1310">
        <v>594.53333899999996</v>
      </c>
    </row>
    <row r="2859" spans="2:4" x14ac:dyDescent="0.2">
      <c r="B2859" s="1341">
        <v>3316</v>
      </c>
      <c r="C2859" s="1341" t="s">
        <v>1939</v>
      </c>
      <c r="D2859" s="1310">
        <v>575.53636600000004</v>
      </c>
    </row>
    <row r="2860" spans="2:4" x14ac:dyDescent="0.2">
      <c r="B2860" s="1341">
        <v>3317</v>
      </c>
      <c r="C2860" s="1341" t="s">
        <v>3929</v>
      </c>
      <c r="D2860" s="1310">
        <v>566.04666299999997</v>
      </c>
    </row>
    <row r="2861" spans="2:4" x14ac:dyDescent="0.2">
      <c r="B2861" s="1341">
        <v>3318</v>
      </c>
      <c r="C2861" s="1341" t="s">
        <v>3930</v>
      </c>
      <c r="D2861" s="1310">
        <v>599.40002400000003</v>
      </c>
    </row>
    <row r="2862" spans="2:4" x14ac:dyDescent="0.2">
      <c r="B2862" s="1341">
        <v>3319</v>
      </c>
      <c r="C2862" s="1341" t="s">
        <v>3931</v>
      </c>
      <c r="D2862" s="1310">
        <v>578.72221500000001</v>
      </c>
    </row>
    <row r="2863" spans="2:4" x14ac:dyDescent="0.2">
      <c r="B2863" s="1341">
        <v>3320</v>
      </c>
      <c r="C2863" s="1341" t="s">
        <v>3932</v>
      </c>
      <c r="D2863" s="1310">
        <v>568.93332899999996</v>
      </c>
    </row>
    <row r="2864" spans="2:4" x14ac:dyDescent="0.2">
      <c r="B2864" s="1341">
        <v>3321</v>
      </c>
      <c r="C2864" s="1341" t="s">
        <v>3933</v>
      </c>
      <c r="D2864" s="1310">
        <v>569.85554999999999</v>
      </c>
    </row>
    <row r="2865" spans="2:4" x14ac:dyDescent="0.2">
      <c r="B2865" s="1341">
        <v>3322</v>
      </c>
      <c r="C2865" s="1341" t="s">
        <v>3934</v>
      </c>
      <c r="D2865" s="1310">
        <v>577.68572099999994</v>
      </c>
    </row>
    <row r="2866" spans="2:4" x14ac:dyDescent="0.2">
      <c r="B2866" s="1341">
        <v>3323</v>
      </c>
      <c r="C2866" s="1341" t="s">
        <v>3935</v>
      </c>
      <c r="D2866" s="1310">
        <v>579.64285700000005</v>
      </c>
    </row>
    <row r="2867" spans="2:4" x14ac:dyDescent="0.2">
      <c r="B2867" s="1341">
        <v>3324</v>
      </c>
      <c r="C2867" s="1341" t="s">
        <v>3936</v>
      </c>
      <c r="D2867" s="1310">
        <v>577.12857499999996</v>
      </c>
    </row>
    <row r="2868" spans="2:4" x14ac:dyDescent="0.2">
      <c r="B2868" s="1341">
        <v>3325</v>
      </c>
      <c r="C2868" s="1341" t="s">
        <v>3937</v>
      </c>
      <c r="D2868" s="1310">
        <v>561.41818499999999</v>
      </c>
    </row>
    <row r="2869" spans="2:4" x14ac:dyDescent="0.2">
      <c r="B2869" s="1341">
        <v>3326</v>
      </c>
      <c r="C2869" s="1341" t="s">
        <v>3938</v>
      </c>
      <c r="D2869" s="1310">
        <v>565.84546499999999</v>
      </c>
    </row>
    <row r="2870" spans="2:4" x14ac:dyDescent="0.2">
      <c r="B2870" s="1341">
        <v>3327</v>
      </c>
      <c r="C2870" s="1341" t="s">
        <v>3939</v>
      </c>
      <c r="D2870" s="1310">
        <v>577.17999299999997</v>
      </c>
    </row>
    <row r="2871" spans="2:4" x14ac:dyDescent="0.2">
      <c r="B2871" s="1341">
        <v>3328</v>
      </c>
      <c r="C2871" s="1341" t="s">
        <v>2671</v>
      </c>
      <c r="D2871" s="1310">
        <v>574.14285700000005</v>
      </c>
    </row>
    <row r="2872" spans="2:4" x14ac:dyDescent="0.2">
      <c r="B2872" s="1341">
        <v>3329</v>
      </c>
      <c r="C2872" s="1341" t="s">
        <v>3940</v>
      </c>
      <c r="D2872" s="1310">
        <v>584.72500100000002</v>
      </c>
    </row>
    <row r="2873" spans="2:4" x14ac:dyDescent="0.2">
      <c r="B2873" s="1341">
        <v>3330</v>
      </c>
      <c r="C2873" s="1341" t="s">
        <v>3941</v>
      </c>
      <c r="D2873" s="1310">
        <v>608.73333700000001</v>
      </c>
    </row>
    <row r="2874" spans="2:4" x14ac:dyDescent="0.2">
      <c r="B2874" s="1341">
        <v>3331</v>
      </c>
      <c r="C2874" s="1341" t="s">
        <v>3942</v>
      </c>
      <c r="D2874" s="1310">
        <v>605.93636300000003</v>
      </c>
    </row>
    <row r="2875" spans="2:4" x14ac:dyDescent="0.2">
      <c r="B2875" s="1341">
        <v>3332</v>
      </c>
      <c r="C2875" s="1341" t="s">
        <v>3943</v>
      </c>
      <c r="D2875" s="1310">
        <v>588.09090900000001</v>
      </c>
    </row>
    <row r="2876" spans="2:4" x14ac:dyDescent="0.2">
      <c r="B2876" s="1341">
        <v>3333</v>
      </c>
      <c r="C2876" s="1341" t="s">
        <v>3944</v>
      </c>
      <c r="D2876" s="1310">
        <v>613.54999999999995</v>
      </c>
    </row>
    <row r="2877" spans="2:4" x14ac:dyDescent="0.2">
      <c r="B2877" s="1341">
        <v>3334</v>
      </c>
      <c r="C2877" s="1341" t="s">
        <v>3945</v>
      </c>
      <c r="D2877" s="1310">
        <v>583.82500500000003</v>
      </c>
    </row>
    <row r="2878" spans="2:4" x14ac:dyDescent="0.2">
      <c r="B2878" s="1341">
        <v>3335</v>
      </c>
      <c r="C2878" s="1341" t="s">
        <v>423</v>
      </c>
      <c r="D2878" s="1310">
        <v>571.55453799999998</v>
      </c>
    </row>
    <row r="2879" spans="2:4" x14ac:dyDescent="0.2">
      <c r="B2879" s="1341">
        <v>3336</v>
      </c>
      <c r="C2879" s="1341" t="s">
        <v>3946</v>
      </c>
      <c r="D2879" s="1310">
        <v>595.23750299999995</v>
      </c>
    </row>
    <row r="2880" spans="2:4" x14ac:dyDescent="0.2">
      <c r="B2880" s="1341">
        <v>3337</v>
      </c>
      <c r="C2880" s="1341" t="s">
        <v>3947</v>
      </c>
      <c r="D2880" s="1310">
        <v>575.18332899999996</v>
      </c>
    </row>
    <row r="2881" spans="2:4" x14ac:dyDescent="0.2">
      <c r="B2881" s="1341">
        <v>3338</v>
      </c>
      <c r="C2881" s="1341" t="s">
        <v>3948</v>
      </c>
      <c r="D2881" s="1310">
        <v>577.59997599999997</v>
      </c>
    </row>
    <row r="2882" spans="2:4" x14ac:dyDescent="0.2">
      <c r="B2882" s="1341">
        <v>3339</v>
      </c>
      <c r="C2882" s="1341" t="s">
        <v>3949</v>
      </c>
      <c r="D2882" s="1310">
        <v>582.33749399999999</v>
      </c>
    </row>
    <row r="2883" spans="2:4" x14ac:dyDescent="0.2">
      <c r="B2883" s="1341">
        <v>3340</v>
      </c>
      <c r="C2883" s="1341" t="s">
        <v>3950</v>
      </c>
      <c r="D2883" s="1310">
        <v>577.09999400000004</v>
      </c>
    </row>
    <row r="2884" spans="2:4" x14ac:dyDescent="0.2">
      <c r="B2884" s="1341">
        <v>3341</v>
      </c>
      <c r="C2884" s="1341" t="s">
        <v>3951</v>
      </c>
      <c r="D2884" s="1310">
        <v>575.32501200000002</v>
      </c>
    </row>
    <row r="2885" spans="2:4" x14ac:dyDescent="0.2">
      <c r="B2885" s="1341">
        <v>3342</v>
      </c>
      <c r="C2885" s="1341" t="s">
        <v>2861</v>
      </c>
      <c r="D2885" s="1310">
        <v>571.92500299999995</v>
      </c>
    </row>
    <row r="2886" spans="2:4" x14ac:dyDescent="0.2">
      <c r="B2886" s="1341">
        <v>3343</v>
      </c>
      <c r="C2886" s="1341" t="s">
        <v>3952</v>
      </c>
      <c r="D2886" s="1310">
        <v>599.25</v>
      </c>
    </row>
    <row r="2887" spans="2:4" x14ac:dyDescent="0.2">
      <c r="B2887" s="1341">
        <v>3344</v>
      </c>
      <c r="C2887" s="1341" t="s">
        <v>3953</v>
      </c>
      <c r="D2887" s="1310">
        <v>571.72858499999995</v>
      </c>
    </row>
    <row r="2888" spans="2:4" x14ac:dyDescent="0.2">
      <c r="B2888" s="1341">
        <v>3345</v>
      </c>
      <c r="C2888" s="1341" t="s">
        <v>3954</v>
      </c>
      <c r="D2888" s="1310">
        <v>592.616669</v>
      </c>
    </row>
    <row r="2889" spans="2:4" x14ac:dyDescent="0.2">
      <c r="B2889" s="1341">
        <v>3346</v>
      </c>
      <c r="C2889" s="1341" t="s">
        <v>3955</v>
      </c>
      <c r="D2889" s="1310">
        <v>577.48181199999999</v>
      </c>
    </row>
    <row r="2890" spans="2:4" x14ac:dyDescent="0.2">
      <c r="B2890" s="1341">
        <v>3347</v>
      </c>
      <c r="C2890" s="1341" t="s">
        <v>3956</v>
      </c>
      <c r="D2890" s="1310">
        <v>580.93124799999998</v>
      </c>
    </row>
    <row r="2891" spans="2:4" x14ac:dyDescent="0.2">
      <c r="B2891" s="1341">
        <v>3348</v>
      </c>
      <c r="C2891" s="1341" t="s">
        <v>1599</v>
      </c>
      <c r="D2891" s="1310">
        <v>592.72351800000001</v>
      </c>
    </row>
    <row r="2892" spans="2:4" x14ac:dyDescent="0.2">
      <c r="B2892" s="1341">
        <v>3349</v>
      </c>
      <c r="C2892" s="1341" t="s">
        <v>3957</v>
      </c>
      <c r="D2892" s="1310">
        <v>586</v>
      </c>
    </row>
    <row r="2893" spans="2:4" x14ac:dyDescent="0.2">
      <c r="B2893" s="1341">
        <v>3350</v>
      </c>
      <c r="C2893" s="1341" t="s">
        <v>3958</v>
      </c>
      <c r="D2893" s="1310">
        <v>592.08571099999995</v>
      </c>
    </row>
    <row r="2894" spans="2:4" x14ac:dyDescent="0.2">
      <c r="B2894" s="1341">
        <v>3351</v>
      </c>
      <c r="C2894" s="1341" t="s">
        <v>3959</v>
      </c>
      <c r="D2894" s="1310">
        <v>552.21334200000001</v>
      </c>
    </row>
    <row r="2895" spans="2:4" x14ac:dyDescent="0.2">
      <c r="B2895" s="1341">
        <v>3352</v>
      </c>
      <c r="C2895" s="1341" t="s">
        <v>3960</v>
      </c>
      <c r="D2895" s="1310">
        <v>574.09167500000001</v>
      </c>
    </row>
    <row r="2896" spans="2:4" x14ac:dyDescent="0.2">
      <c r="B2896" s="1341">
        <v>3353</v>
      </c>
      <c r="C2896" s="1341" t="s">
        <v>3961</v>
      </c>
      <c r="D2896" s="1310">
        <v>573.25453900000002</v>
      </c>
    </row>
    <row r="2897" spans="2:4" x14ac:dyDescent="0.2">
      <c r="B2897" s="1341">
        <v>3354</v>
      </c>
      <c r="C2897" s="1341" t="s">
        <v>3962</v>
      </c>
      <c r="D2897" s="1310">
        <v>555.22220900000002</v>
      </c>
    </row>
    <row r="2898" spans="2:4" x14ac:dyDescent="0.2">
      <c r="B2898" s="1341">
        <v>3355</v>
      </c>
      <c r="C2898" s="1341" t="s">
        <v>3963</v>
      </c>
      <c r="D2898" s="1310">
        <v>577.07000100000005</v>
      </c>
    </row>
    <row r="2899" spans="2:4" x14ac:dyDescent="0.2">
      <c r="B2899" s="1341">
        <v>3356</v>
      </c>
      <c r="C2899" s="1341" t="s">
        <v>3964</v>
      </c>
      <c r="D2899" s="1310">
        <v>562.276926</v>
      </c>
    </row>
    <row r="2900" spans="2:4" ht="15" x14ac:dyDescent="0.2">
      <c r="B2900" s="1353">
        <v>3357</v>
      </c>
      <c r="C2900" s="1341" t="s">
        <v>3965</v>
      </c>
      <c r="D2900" s="1354">
        <v>542.77499399999999</v>
      </c>
    </row>
    <row r="2901" spans="2:4" x14ac:dyDescent="0.2">
      <c r="B2901" s="1341">
        <v>3358</v>
      </c>
      <c r="C2901" s="1341" t="s">
        <v>3966</v>
      </c>
      <c r="D2901" s="1310">
        <v>570.08571099999995</v>
      </c>
    </row>
    <row r="2902" spans="2:4" x14ac:dyDescent="0.2">
      <c r="B2902" s="1341">
        <v>3359</v>
      </c>
      <c r="C2902" s="1341" t="s">
        <v>3967</v>
      </c>
      <c r="D2902" s="1310">
        <v>578.44285400000001</v>
      </c>
    </row>
    <row r="2903" spans="2:4" ht="15" x14ac:dyDescent="0.2">
      <c r="B2903" s="1341">
        <v>3360</v>
      </c>
      <c r="C2903" s="1353" t="s">
        <v>3968</v>
      </c>
      <c r="D2903" s="1310">
        <v>579.71538799999996</v>
      </c>
    </row>
    <row r="2904" spans="2:4" x14ac:dyDescent="0.2">
      <c r="B2904" s="1341">
        <v>3361</v>
      </c>
      <c r="C2904" s="1341" t="s">
        <v>3969</v>
      </c>
      <c r="D2904" s="1310">
        <v>620.18572099999994</v>
      </c>
    </row>
    <row r="2905" spans="2:4" x14ac:dyDescent="0.2">
      <c r="B2905" s="1341">
        <v>3362</v>
      </c>
      <c r="C2905" s="1341" t="s">
        <v>3970</v>
      </c>
      <c r="D2905" s="1310">
        <v>591.86666400000001</v>
      </c>
    </row>
    <row r="2906" spans="2:4" x14ac:dyDescent="0.2">
      <c r="B2906" s="1341">
        <v>3363</v>
      </c>
      <c r="C2906" s="1341" t="s">
        <v>3971</v>
      </c>
      <c r="D2906" s="1310">
        <v>606.214294</v>
      </c>
    </row>
    <row r="2907" spans="2:4" x14ac:dyDescent="0.2">
      <c r="B2907" s="1341">
        <v>3401</v>
      </c>
      <c r="C2907" s="1341" t="s">
        <v>3972</v>
      </c>
      <c r="D2907" s="1310">
        <v>592.33333300000004</v>
      </c>
    </row>
    <row r="2908" spans="2:4" x14ac:dyDescent="0.2">
      <c r="B2908" s="1341">
        <v>3402</v>
      </c>
      <c r="C2908" s="1341" t="s">
        <v>3973</v>
      </c>
      <c r="D2908" s="1310">
        <v>769.69091200000003</v>
      </c>
    </row>
    <row r="2909" spans="2:4" x14ac:dyDescent="0.2">
      <c r="B2909" s="1341">
        <v>3403</v>
      </c>
      <c r="C2909" s="1341" t="s">
        <v>3974</v>
      </c>
      <c r="D2909" s="1310">
        <v>763</v>
      </c>
    </row>
    <row r="2910" spans="2:4" x14ac:dyDescent="0.2">
      <c r="B2910" s="1341">
        <v>3404</v>
      </c>
      <c r="C2910" s="1341" t="s">
        <v>3975</v>
      </c>
      <c r="D2910" s="1310">
        <v>657.75</v>
      </c>
    </row>
    <row r="2911" spans="2:4" x14ac:dyDescent="0.2">
      <c r="B2911" s="1341">
        <v>3405</v>
      </c>
      <c r="C2911" s="1341" t="s">
        <v>3976</v>
      </c>
      <c r="D2911" s="1310">
        <v>579.52500899999995</v>
      </c>
    </row>
    <row r="2912" spans="2:4" x14ac:dyDescent="0.2">
      <c r="B2912" s="1341">
        <v>3406</v>
      </c>
      <c r="C2912" s="1341" t="s">
        <v>3010</v>
      </c>
      <c r="D2912" s="1310">
        <v>765.82143299999996</v>
      </c>
    </row>
    <row r="2913" spans="2:4" x14ac:dyDescent="0.2">
      <c r="B2913" s="1341">
        <v>3407</v>
      </c>
      <c r="C2913" s="1341" t="s">
        <v>1939</v>
      </c>
      <c r="D2913" s="1310">
        <v>567.69999199999995</v>
      </c>
    </row>
    <row r="2914" spans="2:4" x14ac:dyDescent="0.2">
      <c r="B2914" s="1341">
        <v>3408</v>
      </c>
      <c r="C2914" s="1341" t="s">
        <v>3977</v>
      </c>
      <c r="D2914" s="1310">
        <v>744.46000400000003</v>
      </c>
    </row>
    <row r="2915" spans="2:4" x14ac:dyDescent="0.2">
      <c r="B2915" s="1341">
        <v>3409</v>
      </c>
      <c r="C2915" s="1341" t="s">
        <v>3978</v>
      </c>
      <c r="D2915" s="1310">
        <v>851.82499700000005</v>
      </c>
    </row>
    <row r="2916" spans="2:4" x14ac:dyDescent="0.2">
      <c r="B2916" s="1341">
        <v>3410</v>
      </c>
      <c r="C2916" s="1341" t="s">
        <v>3979</v>
      </c>
      <c r="D2916" s="1310">
        <v>765.65999799999997</v>
      </c>
    </row>
    <row r="2917" spans="2:4" x14ac:dyDescent="0.2">
      <c r="B2917" s="1341">
        <v>3411</v>
      </c>
      <c r="C2917" s="1341" t="s">
        <v>3980</v>
      </c>
      <c r="D2917" s="1310">
        <v>580.84444199999996</v>
      </c>
    </row>
    <row r="2918" spans="2:4" x14ac:dyDescent="0.2">
      <c r="B2918" s="1341">
        <v>3412</v>
      </c>
      <c r="C2918" s="1341" t="s">
        <v>3981</v>
      </c>
      <c r="D2918" s="1310">
        <v>606.771432</v>
      </c>
    </row>
    <row r="2919" spans="2:4" x14ac:dyDescent="0.2">
      <c r="B2919" s="1341">
        <v>3413</v>
      </c>
      <c r="C2919" s="1341" t="s">
        <v>3982</v>
      </c>
      <c r="D2919" s="1310">
        <v>839.78333499999997</v>
      </c>
    </row>
    <row r="2920" spans="2:4" x14ac:dyDescent="0.2">
      <c r="B2920" s="1341">
        <v>3414</v>
      </c>
      <c r="C2920" s="1341" t="s">
        <v>3983</v>
      </c>
      <c r="D2920" s="1310">
        <v>849.90002400000003</v>
      </c>
    </row>
    <row r="2921" spans="2:4" x14ac:dyDescent="0.2">
      <c r="B2921" s="1341">
        <v>3415</v>
      </c>
      <c r="C2921" s="1341" t="s">
        <v>3984</v>
      </c>
      <c r="D2921" s="1310">
        <v>632.90000899999995</v>
      </c>
    </row>
    <row r="2922" spans="2:4" x14ac:dyDescent="0.2">
      <c r="B2922" s="1341">
        <v>3416</v>
      </c>
      <c r="C2922" s="1341" t="s">
        <v>3985</v>
      </c>
      <c r="D2922" s="1310">
        <v>780.83334400000001</v>
      </c>
    </row>
    <row r="2923" spans="2:4" x14ac:dyDescent="0.2">
      <c r="B2923" s="1341">
        <v>3417</v>
      </c>
      <c r="C2923" s="1341" t="s">
        <v>3986</v>
      </c>
      <c r="D2923" s="1310">
        <v>675.95714499999997</v>
      </c>
    </row>
    <row r="2924" spans="2:4" x14ac:dyDescent="0.2">
      <c r="B2924" s="1341">
        <v>3418</v>
      </c>
      <c r="C2924" s="1341" t="s">
        <v>3987</v>
      </c>
      <c r="D2924" s="1310">
        <v>705.03214400000002</v>
      </c>
    </row>
    <row r="2925" spans="2:4" x14ac:dyDescent="0.2">
      <c r="B2925" s="1341">
        <v>3419</v>
      </c>
      <c r="C2925" s="1341" t="s">
        <v>3988</v>
      </c>
      <c r="D2925" s="1310">
        <v>604.09997599999997</v>
      </c>
    </row>
    <row r="2926" spans="2:4" x14ac:dyDescent="0.2">
      <c r="B2926" s="1341">
        <v>3420</v>
      </c>
      <c r="C2926" s="1341" t="s">
        <v>3989</v>
      </c>
      <c r="D2926" s="1310">
        <v>612.59997599999997</v>
      </c>
    </row>
    <row r="2927" spans="2:4" x14ac:dyDescent="0.2">
      <c r="B2927" s="1341">
        <v>3421</v>
      </c>
      <c r="C2927" s="1341" t="s">
        <v>3990</v>
      </c>
      <c r="D2927" s="1310">
        <v>592.40002400000003</v>
      </c>
    </row>
    <row r="2928" spans="2:4" x14ac:dyDescent="0.2">
      <c r="B2928" s="1341">
        <v>3422</v>
      </c>
      <c r="C2928" s="1341" t="s">
        <v>3991</v>
      </c>
      <c r="D2928" s="1310">
        <v>789.86249499999997</v>
      </c>
    </row>
    <row r="2929" spans="2:4" x14ac:dyDescent="0.2">
      <c r="B2929" s="1341">
        <v>3423</v>
      </c>
      <c r="C2929" s="1341" t="s">
        <v>3992</v>
      </c>
      <c r="D2929" s="1310">
        <v>596.24375499999996</v>
      </c>
    </row>
    <row r="2930" spans="2:4" x14ac:dyDescent="0.2">
      <c r="B2930" s="1341">
        <v>3424</v>
      </c>
      <c r="C2930" s="1341" t="s">
        <v>3993</v>
      </c>
      <c r="D2930" s="1310">
        <v>610.51999499999999</v>
      </c>
    </row>
    <row r="2931" spans="2:4" x14ac:dyDescent="0.2">
      <c r="B2931" s="1341">
        <v>3425</v>
      </c>
      <c r="C2931" s="1341" t="s">
        <v>3994</v>
      </c>
      <c r="D2931" s="1310">
        <v>578.93332899999996</v>
      </c>
    </row>
    <row r="2932" spans="2:4" x14ac:dyDescent="0.2">
      <c r="B2932" s="1341">
        <v>3426</v>
      </c>
      <c r="C2932" s="1341" t="s">
        <v>3995</v>
      </c>
      <c r="D2932" s="1310">
        <v>592.62000699999999</v>
      </c>
    </row>
    <row r="2933" spans="2:4" x14ac:dyDescent="0.2">
      <c r="B2933" s="1341">
        <v>3427</v>
      </c>
      <c r="C2933" s="1341" t="s">
        <v>3996</v>
      </c>
      <c r="D2933" s="1310">
        <v>570.91666699999996</v>
      </c>
    </row>
    <row r="2934" spans="2:4" x14ac:dyDescent="0.2">
      <c r="B2934" s="1341">
        <v>3428</v>
      </c>
      <c r="C2934" s="1341" t="s">
        <v>3997</v>
      </c>
      <c r="D2934" s="1310">
        <v>627.76000999999997</v>
      </c>
    </row>
    <row r="2935" spans="2:4" x14ac:dyDescent="0.2">
      <c r="B2935" s="1341">
        <v>3429</v>
      </c>
      <c r="C2935" s="1341" t="s">
        <v>3053</v>
      </c>
      <c r="D2935" s="1310">
        <v>832.82000700000003</v>
      </c>
    </row>
    <row r="2936" spans="2:4" x14ac:dyDescent="0.2">
      <c r="B2936" s="1341">
        <v>3430</v>
      </c>
      <c r="C2936" s="1341" t="s">
        <v>3998</v>
      </c>
      <c r="D2936" s="1310">
        <v>770.85000600000001</v>
      </c>
    </row>
    <row r="2937" spans="2:4" x14ac:dyDescent="0.2">
      <c r="B2937" s="1341">
        <v>3431</v>
      </c>
      <c r="C2937" s="1341" t="s">
        <v>3999</v>
      </c>
      <c r="D2937" s="1310">
        <v>759.64000199999998</v>
      </c>
    </row>
    <row r="2938" spans="2:4" x14ac:dyDescent="0.2">
      <c r="B2938" s="1341">
        <v>3432</v>
      </c>
      <c r="C2938" s="1341" t="s">
        <v>3072</v>
      </c>
      <c r="D2938" s="1310">
        <v>573.73332700000003</v>
      </c>
    </row>
    <row r="2939" spans="2:4" x14ac:dyDescent="0.2">
      <c r="B2939" s="1341">
        <v>3433</v>
      </c>
      <c r="C2939" s="1341" t="s">
        <v>2615</v>
      </c>
      <c r="D2939" s="1310">
        <v>573.54998799999998</v>
      </c>
    </row>
    <row r="2940" spans="2:4" x14ac:dyDescent="0.2">
      <c r="B2940" s="1341">
        <v>3434</v>
      </c>
      <c r="C2940" s="1341" t="s">
        <v>4000</v>
      </c>
      <c r="D2940" s="1310">
        <v>582</v>
      </c>
    </row>
    <row r="2941" spans="2:4" x14ac:dyDescent="0.2">
      <c r="B2941" s="1341">
        <v>3435</v>
      </c>
      <c r="C2941" s="1341" t="s">
        <v>4001</v>
      </c>
      <c r="D2941" s="1310">
        <v>587.81429600000001</v>
      </c>
    </row>
    <row r="2942" spans="2:4" x14ac:dyDescent="0.2">
      <c r="B2942" s="1341">
        <v>3436</v>
      </c>
      <c r="C2942" s="1341" t="s">
        <v>4002</v>
      </c>
      <c r="D2942" s="1310">
        <v>609.42500299999995</v>
      </c>
    </row>
    <row r="2943" spans="2:4" x14ac:dyDescent="0.2">
      <c r="B2943" s="1341">
        <v>3437</v>
      </c>
      <c r="C2943" s="1341" t="s">
        <v>4003</v>
      </c>
      <c r="D2943" s="1310">
        <v>580.55001800000002</v>
      </c>
    </row>
    <row r="2944" spans="2:4" x14ac:dyDescent="0.2">
      <c r="B2944" s="1341">
        <v>3438</v>
      </c>
      <c r="C2944" s="1341" t="s">
        <v>4004</v>
      </c>
      <c r="D2944" s="1310">
        <v>608.97502099999997</v>
      </c>
    </row>
    <row r="2945" spans="2:4" x14ac:dyDescent="0.2">
      <c r="B2945" s="1341">
        <v>3439</v>
      </c>
      <c r="C2945" s="1341" t="s">
        <v>4005</v>
      </c>
      <c r="D2945" s="1310">
        <v>579.75</v>
      </c>
    </row>
    <row r="2946" spans="2:4" x14ac:dyDescent="0.2">
      <c r="B2946" s="1341">
        <v>3440</v>
      </c>
      <c r="C2946" s="1341" t="s">
        <v>4006</v>
      </c>
      <c r="D2946" s="1310">
        <v>636.75</v>
      </c>
    </row>
    <row r="2947" spans="2:4" x14ac:dyDescent="0.2">
      <c r="B2947" s="1341">
        <v>3441</v>
      </c>
      <c r="C2947" s="1341" t="s">
        <v>4007</v>
      </c>
      <c r="D2947" s="1310">
        <v>639.759998</v>
      </c>
    </row>
    <row r="2948" spans="2:4" x14ac:dyDescent="0.2">
      <c r="B2948" s="1341">
        <v>3442</v>
      </c>
      <c r="C2948" s="1341" t="s">
        <v>4008</v>
      </c>
      <c r="D2948" s="1310">
        <v>782.84444199999996</v>
      </c>
    </row>
    <row r="2949" spans="2:4" x14ac:dyDescent="0.2">
      <c r="B2949" s="1341">
        <v>3443</v>
      </c>
      <c r="C2949" s="1341" t="s">
        <v>4009</v>
      </c>
      <c r="D2949" s="1310">
        <v>720.55713800000001</v>
      </c>
    </row>
    <row r="2950" spans="2:4" x14ac:dyDescent="0.2">
      <c r="B2950" s="1341">
        <v>3444</v>
      </c>
      <c r="C2950" s="1341" t="s">
        <v>4010</v>
      </c>
      <c r="D2950" s="1310">
        <v>617.29998799999998</v>
      </c>
    </row>
    <row r="2951" spans="2:4" x14ac:dyDescent="0.2">
      <c r="B2951" s="1341">
        <v>3445</v>
      </c>
      <c r="C2951" s="1341" t="s">
        <v>4011</v>
      </c>
      <c r="D2951" s="1310">
        <v>628.85714299999995</v>
      </c>
    </row>
    <row r="2952" spans="2:4" x14ac:dyDescent="0.2">
      <c r="B2952" s="1341">
        <v>3446</v>
      </c>
      <c r="C2952" s="1341" t="s">
        <v>3822</v>
      </c>
      <c r="D2952" s="1310">
        <v>743.76666299999999</v>
      </c>
    </row>
    <row r="2953" spans="2:4" x14ac:dyDescent="0.2">
      <c r="B2953" s="1341">
        <v>3447</v>
      </c>
      <c r="C2953" s="1341" t="s">
        <v>4012</v>
      </c>
      <c r="D2953" s="1310">
        <v>604.45001200000002</v>
      </c>
    </row>
    <row r="2954" spans="2:4" x14ac:dyDescent="0.2">
      <c r="B2954" s="1341">
        <v>3448</v>
      </c>
      <c r="C2954" s="1341" t="s">
        <v>4013</v>
      </c>
      <c r="D2954" s="1310">
        <v>599.64999399999999</v>
      </c>
    </row>
    <row r="2955" spans="2:4" x14ac:dyDescent="0.2">
      <c r="B2955" s="1341">
        <v>3449</v>
      </c>
      <c r="C2955" s="1341" t="s">
        <v>4014</v>
      </c>
      <c r="D2955" s="1310">
        <v>588.59997599999997</v>
      </c>
    </row>
    <row r="2956" spans="2:4" x14ac:dyDescent="0.2">
      <c r="B2956" s="1341">
        <v>3450</v>
      </c>
      <c r="C2956" s="1341" t="s">
        <v>4015</v>
      </c>
      <c r="D2956" s="1310">
        <v>590</v>
      </c>
    </row>
    <row r="2957" spans="2:4" x14ac:dyDescent="0.2">
      <c r="B2957" s="1341">
        <v>3451</v>
      </c>
      <c r="C2957" s="1341" t="s">
        <v>4016</v>
      </c>
      <c r="D2957" s="1310">
        <v>754.33331299999998</v>
      </c>
    </row>
    <row r="2958" spans="2:4" x14ac:dyDescent="0.2">
      <c r="B2958" s="1341">
        <v>3452</v>
      </c>
      <c r="C2958" s="1341" t="s">
        <v>4017</v>
      </c>
      <c r="D2958" s="1310">
        <v>787</v>
      </c>
    </row>
    <row r="2959" spans="2:4" x14ac:dyDescent="0.2">
      <c r="B2959" s="1341">
        <v>3453</v>
      </c>
      <c r="C2959" s="1341" t="s">
        <v>4018</v>
      </c>
      <c r="D2959" s="1310">
        <v>767.49998000000005</v>
      </c>
    </row>
    <row r="2960" spans="2:4" x14ac:dyDescent="0.2">
      <c r="B2960" s="1341">
        <v>3454</v>
      </c>
      <c r="C2960" s="1341" t="s">
        <v>4019</v>
      </c>
      <c r="D2960" s="1310">
        <v>596.90002400000003</v>
      </c>
    </row>
    <row r="2961" spans="2:4" x14ac:dyDescent="0.2">
      <c r="B2961" s="1341">
        <v>3455</v>
      </c>
      <c r="C2961" s="1341" t="s">
        <v>4020</v>
      </c>
      <c r="D2961" s="1310">
        <v>849.96666500000003</v>
      </c>
    </row>
    <row r="2962" spans="2:4" x14ac:dyDescent="0.2">
      <c r="B2962" s="1341">
        <v>3456</v>
      </c>
      <c r="C2962" s="1341" t="s">
        <v>4021</v>
      </c>
      <c r="D2962" s="1310">
        <v>766.83334400000001</v>
      </c>
    </row>
    <row r="2963" spans="2:4" x14ac:dyDescent="0.2">
      <c r="B2963" s="1341">
        <v>3457</v>
      </c>
      <c r="C2963" s="1341" t="s">
        <v>4022</v>
      </c>
      <c r="D2963" s="1310">
        <v>581.43335000000002</v>
      </c>
    </row>
    <row r="2964" spans="2:4" x14ac:dyDescent="0.2">
      <c r="B2964" s="1341">
        <v>3458</v>
      </c>
      <c r="C2964" s="1341" t="s">
        <v>4023</v>
      </c>
      <c r="D2964" s="1310">
        <v>613.69998199999998</v>
      </c>
    </row>
    <row r="2965" spans="2:4" x14ac:dyDescent="0.2">
      <c r="B2965" s="1341">
        <v>3459</v>
      </c>
      <c r="C2965" s="1341" t="s">
        <v>1830</v>
      </c>
      <c r="D2965" s="1310">
        <v>814.04285500000003</v>
      </c>
    </row>
    <row r="2966" spans="2:4" x14ac:dyDescent="0.2">
      <c r="B2966" s="1341">
        <v>3460</v>
      </c>
      <c r="C2966" s="1341" t="s">
        <v>4024</v>
      </c>
      <c r="D2966" s="1310">
        <v>774.53332499999999</v>
      </c>
    </row>
    <row r="2967" spans="2:4" x14ac:dyDescent="0.2">
      <c r="B2967" s="1341">
        <v>3461</v>
      </c>
      <c r="C2967" s="1341" t="s">
        <v>4025</v>
      </c>
      <c r="D2967" s="1310">
        <v>574.86667899999998</v>
      </c>
    </row>
    <row r="2968" spans="2:4" x14ac:dyDescent="0.2">
      <c r="B2968" s="1341">
        <v>3462</v>
      </c>
      <c r="C2968" s="1341" t="s">
        <v>4026</v>
      </c>
      <c r="D2968" s="1310">
        <v>582.80001800000002</v>
      </c>
    </row>
    <row r="2969" spans="2:4" x14ac:dyDescent="0.2">
      <c r="B2969" s="1341">
        <v>3463</v>
      </c>
      <c r="C2969" s="1341" t="s">
        <v>4027</v>
      </c>
      <c r="D2969" s="1310">
        <v>583.29998799999998</v>
      </c>
    </row>
    <row r="2970" spans="2:4" x14ac:dyDescent="0.2">
      <c r="B2970" s="1341">
        <v>3464</v>
      </c>
      <c r="C2970" s="1341" t="s">
        <v>4028</v>
      </c>
      <c r="D2970" s="1310">
        <v>624.26666299999999</v>
      </c>
    </row>
    <row r="2971" spans="2:4" x14ac:dyDescent="0.2">
      <c r="B2971" s="1341">
        <v>3465</v>
      </c>
      <c r="C2971" s="1341" t="s">
        <v>4029</v>
      </c>
      <c r="D2971" s="1310">
        <v>668.5</v>
      </c>
    </row>
    <row r="2972" spans="2:4" x14ac:dyDescent="0.2">
      <c r="B2972" s="1341">
        <v>3466</v>
      </c>
      <c r="C2972" s="1341" t="s">
        <v>3574</v>
      </c>
      <c r="D2972" s="1310">
        <v>773.14999399999999</v>
      </c>
    </row>
    <row r="2973" spans="2:4" x14ac:dyDescent="0.2">
      <c r="B2973" s="1341">
        <v>3467</v>
      </c>
      <c r="C2973" s="1341" t="s">
        <v>4030</v>
      </c>
      <c r="D2973" s="1310">
        <v>704.14443600000004</v>
      </c>
    </row>
    <row r="2974" spans="2:4" x14ac:dyDescent="0.2">
      <c r="B2974" s="1341">
        <v>3468</v>
      </c>
      <c r="C2974" s="1341" t="s">
        <v>4031</v>
      </c>
      <c r="D2974" s="1310">
        <v>580</v>
      </c>
    </row>
    <row r="2975" spans="2:4" x14ac:dyDescent="0.2">
      <c r="B2975" s="1341">
        <v>3469</v>
      </c>
      <c r="C2975" s="1341" t="s">
        <v>4032</v>
      </c>
      <c r="D2975" s="1310">
        <v>584.04001500000004</v>
      </c>
    </row>
    <row r="2976" spans="2:4" x14ac:dyDescent="0.2">
      <c r="B2976" s="1341">
        <v>3470</v>
      </c>
      <c r="C2976" s="1341" t="s">
        <v>4033</v>
      </c>
      <c r="D2976" s="1310">
        <v>577.06667100000004</v>
      </c>
    </row>
    <row r="2977" spans="2:4" x14ac:dyDescent="0.2">
      <c r="B2977" s="1341">
        <v>3471</v>
      </c>
      <c r="C2977" s="1341" t="s">
        <v>4034</v>
      </c>
      <c r="D2977" s="1310">
        <v>588.59997599999997</v>
      </c>
    </row>
    <row r="2978" spans="2:4" x14ac:dyDescent="0.2">
      <c r="B2978" s="1341">
        <v>3472</v>
      </c>
      <c r="C2978" s="1341" t="s">
        <v>4035</v>
      </c>
      <c r="D2978" s="1310">
        <v>602.64999399999999</v>
      </c>
    </row>
    <row r="2979" spans="2:4" x14ac:dyDescent="0.2">
      <c r="B2979" s="1341">
        <v>3473</v>
      </c>
      <c r="C2979" s="1341" t="s">
        <v>4036</v>
      </c>
      <c r="D2979" s="1310">
        <v>752.82999900000004</v>
      </c>
    </row>
    <row r="2980" spans="2:4" x14ac:dyDescent="0.2">
      <c r="B2980" s="1341">
        <v>3474</v>
      </c>
      <c r="C2980" s="1341" t="s">
        <v>4037</v>
      </c>
      <c r="D2980" s="1310">
        <v>810.05001800000002</v>
      </c>
    </row>
    <row r="2981" spans="2:4" x14ac:dyDescent="0.2">
      <c r="B2981" s="1341">
        <v>3475</v>
      </c>
      <c r="C2981" s="1341" t="s">
        <v>2649</v>
      </c>
      <c r="D2981" s="1310">
        <v>802.375</v>
      </c>
    </row>
    <row r="2982" spans="2:4" x14ac:dyDescent="0.2">
      <c r="B2982" s="1341">
        <v>3476</v>
      </c>
      <c r="C2982" s="1341" t="s">
        <v>4038</v>
      </c>
      <c r="D2982" s="1310">
        <v>585.15000899999995</v>
      </c>
    </row>
    <row r="2983" spans="2:4" x14ac:dyDescent="0.2">
      <c r="B2983" s="1341">
        <v>3477</v>
      </c>
      <c r="C2983" s="1341" t="s">
        <v>3872</v>
      </c>
      <c r="D2983" s="1310">
        <v>768.39048000000003</v>
      </c>
    </row>
    <row r="2984" spans="2:4" x14ac:dyDescent="0.2">
      <c r="B2984" s="1341">
        <v>3478</v>
      </c>
      <c r="C2984" s="1341" t="s">
        <v>4039</v>
      </c>
      <c r="D2984" s="1310">
        <v>605.79998799999998</v>
      </c>
    </row>
    <row r="2985" spans="2:4" x14ac:dyDescent="0.2">
      <c r="B2985" s="1341">
        <v>3479</v>
      </c>
      <c r="C2985" s="1341" t="s">
        <v>4040</v>
      </c>
      <c r="D2985" s="1310">
        <v>596.70000300000004</v>
      </c>
    </row>
    <row r="2986" spans="2:4" x14ac:dyDescent="0.2">
      <c r="B2986" s="1341">
        <v>3480</v>
      </c>
      <c r="C2986" s="1341" t="s">
        <v>4041</v>
      </c>
      <c r="D2986" s="1310">
        <v>634.11110399999995</v>
      </c>
    </row>
    <row r="2987" spans="2:4" x14ac:dyDescent="0.2">
      <c r="B2987" s="1341">
        <v>3481</v>
      </c>
      <c r="C2987" s="1341" t="s">
        <v>4042</v>
      </c>
      <c r="D2987" s="1310">
        <v>868.40002400000003</v>
      </c>
    </row>
    <row r="2988" spans="2:4" x14ac:dyDescent="0.2">
      <c r="B2988" s="1341">
        <v>3482</v>
      </c>
      <c r="C2988" s="1341" t="s">
        <v>4043</v>
      </c>
      <c r="D2988" s="1310">
        <v>725.87142800000004</v>
      </c>
    </row>
    <row r="2989" spans="2:4" x14ac:dyDescent="0.2">
      <c r="B2989" s="1341">
        <v>3483</v>
      </c>
      <c r="C2989" s="1341" t="s">
        <v>4044</v>
      </c>
      <c r="D2989" s="1310">
        <v>655.02856399999996</v>
      </c>
    </row>
    <row r="2990" spans="2:4" x14ac:dyDescent="0.2">
      <c r="B2990" s="1341">
        <v>3484</v>
      </c>
      <c r="C2990" s="1341" t="s">
        <v>4045</v>
      </c>
      <c r="D2990" s="1310">
        <v>735.01250500000003</v>
      </c>
    </row>
    <row r="2991" spans="2:4" x14ac:dyDescent="0.2">
      <c r="B2991" s="1341">
        <v>3485</v>
      </c>
      <c r="C2991" s="1341" t="s">
        <v>4046</v>
      </c>
      <c r="D2991" s="1310">
        <v>681.79999799999996</v>
      </c>
    </row>
    <row r="2992" spans="2:4" x14ac:dyDescent="0.2">
      <c r="B2992" s="1341">
        <v>3486</v>
      </c>
      <c r="C2992" s="1341" t="s">
        <v>4047</v>
      </c>
      <c r="D2992" s="1310">
        <v>656.84999600000003</v>
      </c>
    </row>
    <row r="2993" spans="2:4" x14ac:dyDescent="0.2">
      <c r="B2993" s="1341">
        <v>3501</v>
      </c>
      <c r="C2993" s="1341" t="s">
        <v>4048</v>
      </c>
      <c r="D2993" s="1310">
        <v>797.58332299999995</v>
      </c>
    </row>
    <row r="2994" spans="2:4" x14ac:dyDescent="0.2">
      <c r="B2994" s="1341">
        <v>3502</v>
      </c>
      <c r="C2994" s="1341" t="s">
        <v>4049</v>
      </c>
      <c r="D2994" s="1310">
        <v>786.44998899999996</v>
      </c>
    </row>
    <row r="2995" spans="2:4" x14ac:dyDescent="0.2">
      <c r="B2995" s="1341">
        <v>3503</v>
      </c>
      <c r="C2995" s="1341" t="s">
        <v>4050</v>
      </c>
      <c r="D2995" s="1310">
        <v>891.57692299999997</v>
      </c>
    </row>
    <row r="2996" spans="2:4" x14ac:dyDescent="0.2">
      <c r="B2996" s="1341">
        <v>3504</v>
      </c>
      <c r="C2996" s="1341" t="s">
        <v>4051</v>
      </c>
      <c r="D2996" s="1310">
        <v>773.98333700000001</v>
      </c>
    </row>
    <row r="2997" spans="2:4" x14ac:dyDescent="0.2">
      <c r="B2997" s="1341">
        <v>3505</v>
      </c>
      <c r="C2997" s="1341" t="s">
        <v>4052</v>
      </c>
      <c r="D2997" s="1310">
        <v>871.31999499999995</v>
      </c>
    </row>
    <row r="2998" spans="2:4" x14ac:dyDescent="0.2">
      <c r="B2998" s="1341">
        <v>3506</v>
      </c>
      <c r="C2998" s="1341" t="s">
        <v>4053</v>
      </c>
      <c r="D2998" s="1310">
        <v>761.95999800000004</v>
      </c>
    </row>
    <row r="2999" spans="2:4" x14ac:dyDescent="0.2">
      <c r="B2999" s="1341">
        <v>3507</v>
      </c>
      <c r="C2999" s="1341" t="s">
        <v>4054</v>
      </c>
      <c r="D2999" s="1310">
        <v>827.20001200000002</v>
      </c>
    </row>
    <row r="3000" spans="2:4" x14ac:dyDescent="0.2">
      <c r="B3000" s="1341">
        <v>3508</v>
      </c>
      <c r="C3000" s="1341" t="s">
        <v>3601</v>
      </c>
      <c r="D3000" s="1310">
        <v>718.57499700000005</v>
      </c>
    </row>
    <row r="3001" spans="2:4" x14ac:dyDescent="0.2">
      <c r="B3001" s="1341">
        <v>3509</v>
      </c>
      <c r="C3001" s="1341" t="s">
        <v>4055</v>
      </c>
      <c r="D3001" s="1310">
        <v>684.66666699999996</v>
      </c>
    </row>
    <row r="3002" spans="2:4" x14ac:dyDescent="0.2">
      <c r="B3002" s="1341">
        <v>3510</v>
      </c>
      <c r="C3002" s="1341" t="s">
        <v>4056</v>
      </c>
      <c r="D3002" s="1310">
        <v>910.64999399999999</v>
      </c>
    </row>
    <row r="3003" spans="2:4" x14ac:dyDescent="0.2">
      <c r="B3003" s="1341">
        <v>3511</v>
      </c>
      <c r="C3003" s="1341" t="s">
        <v>1678</v>
      </c>
      <c r="D3003" s="1310">
        <v>840.65713900000003</v>
      </c>
    </row>
    <row r="3004" spans="2:4" x14ac:dyDescent="0.2">
      <c r="B3004" s="1341">
        <v>3512</v>
      </c>
      <c r="C3004" s="1341" t="s">
        <v>4057</v>
      </c>
      <c r="D3004" s="1310">
        <v>703.5</v>
      </c>
    </row>
    <row r="3005" spans="2:4" x14ac:dyDescent="0.2">
      <c r="B3005" s="1341">
        <v>3513</v>
      </c>
      <c r="C3005" s="1341" t="s">
        <v>4058</v>
      </c>
      <c r="D3005" s="1310">
        <v>736.42498799999998</v>
      </c>
    </row>
    <row r="3006" spans="2:4" x14ac:dyDescent="0.2">
      <c r="B3006" s="1341">
        <v>3514</v>
      </c>
      <c r="C3006" s="1341" t="s">
        <v>4059</v>
      </c>
      <c r="D3006" s="1310">
        <v>870.67500299999995</v>
      </c>
    </row>
    <row r="3007" spans="2:4" x14ac:dyDescent="0.2">
      <c r="B3007" s="1341">
        <v>3515</v>
      </c>
      <c r="C3007" s="1341" t="s">
        <v>4060</v>
      </c>
      <c r="D3007" s="1310">
        <v>826.385716</v>
      </c>
    </row>
    <row r="3008" spans="2:4" x14ac:dyDescent="0.2">
      <c r="B3008" s="1341">
        <v>3516</v>
      </c>
      <c r="C3008" s="1341" t="s">
        <v>4061</v>
      </c>
      <c r="D3008" s="1310">
        <v>804.53333499999997</v>
      </c>
    </row>
    <row r="3009" spans="2:4" x14ac:dyDescent="0.2">
      <c r="B3009" s="1341">
        <v>3517</v>
      </c>
      <c r="C3009" s="1341" t="s">
        <v>4062</v>
      </c>
      <c r="D3009" s="1310">
        <v>904.50000799999998</v>
      </c>
    </row>
    <row r="3010" spans="2:4" x14ac:dyDescent="0.2">
      <c r="B3010" s="1341">
        <v>3518</v>
      </c>
      <c r="C3010" s="1341" t="s">
        <v>2120</v>
      </c>
      <c r="D3010" s="1310">
        <v>830.5</v>
      </c>
    </row>
    <row r="3011" spans="2:4" x14ac:dyDescent="0.2">
      <c r="B3011" s="1341">
        <v>3519</v>
      </c>
      <c r="C3011" s="1341" t="s">
        <v>4063</v>
      </c>
      <c r="D3011" s="1310">
        <v>776.70000100000004</v>
      </c>
    </row>
    <row r="3012" spans="2:4" x14ac:dyDescent="0.2">
      <c r="B3012" s="1341">
        <v>3520</v>
      </c>
      <c r="C3012" s="1341" t="s">
        <v>4064</v>
      </c>
      <c r="D3012" s="1310">
        <v>794.59999100000005</v>
      </c>
    </row>
    <row r="3013" spans="2:4" x14ac:dyDescent="0.2">
      <c r="B3013" s="1341">
        <v>3521</v>
      </c>
      <c r="C3013" s="1341" t="s">
        <v>4065</v>
      </c>
      <c r="D3013" s="1310">
        <v>692.14000199999998</v>
      </c>
    </row>
    <row r="3014" spans="2:4" x14ac:dyDescent="0.2">
      <c r="B3014" s="1341">
        <v>3522</v>
      </c>
      <c r="C3014" s="1341" t="s">
        <v>4066</v>
      </c>
      <c r="D3014" s="1310">
        <v>729.95999800000004</v>
      </c>
    </row>
    <row r="3015" spans="2:4" x14ac:dyDescent="0.2">
      <c r="B3015" s="1341">
        <v>3523</v>
      </c>
      <c r="C3015" s="1341" t="s">
        <v>4067</v>
      </c>
      <c r="D3015" s="1310">
        <v>928.64545799999996</v>
      </c>
    </row>
    <row r="3016" spans="2:4" x14ac:dyDescent="0.2">
      <c r="B3016" s="1341">
        <v>3524</v>
      </c>
      <c r="C3016" s="1341" t="s">
        <v>4068</v>
      </c>
      <c r="D3016" s="1310">
        <v>862.125</v>
      </c>
    </row>
    <row r="3017" spans="2:4" x14ac:dyDescent="0.2">
      <c r="B3017" s="1341">
        <v>3525</v>
      </c>
      <c r="C3017" s="1341" t="s">
        <v>4069</v>
      </c>
      <c r="D3017" s="1310">
        <v>744.79998799999998</v>
      </c>
    </row>
    <row r="3018" spans="2:4" x14ac:dyDescent="0.2">
      <c r="B3018" s="1341">
        <v>3526</v>
      </c>
      <c r="C3018" s="1341" t="s">
        <v>4070</v>
      </c>
      <c r="D3018" s="1310">
        <v>703.94000200000005</v>
      </c>
    </row>
    <row r="3019" spans="2:4" x14ac:dyDescent="0.2">
      <c r="B3019" s="1341">
        <v>3527</v>
      </c>
      <c r="C3019" s="1341" t="s">
        <v>4071</v>
      </c>
      <c r="D3019" s="1310">
        <v>907.14999399999999</v>
      </c>
    </row>
    <row r="3020" spans="2:4" x14ac:dyDescent="0.2">
      <c r="B3020" s="1341">
        <v>3528</v>
      </c>
      <c r="C3020" s="1341" t="s">
        <v>4072</v>
      </c>
      <c r="D3020" s="1310">
        <v>822.86665900000003</v>
      </c>
    </row>
    <row r="3021" spans="2:4" x14ac:dyDescent="0.2">
      <c r="B3021" s="1341">
        <v>3529</v>
      </c>
      <c r="C3021" s="1341" t="s">
        <v>4073</v>
      </c>
      <c r="D3021" s="1310">
        <v>811.63076999999998</v>
      </c>
    </row>
    <row r="3022" spans="2:4" x14ac:dyDescent="0.2">
      <c r="B3022" s="1341">
        <v>3530</v>
      </c>
      <c r="C3022" s="1341" t="s">
        <v>4074</v>
      </c>
      <c r="D3022" s="1310">
        <v>880.17000099999996</v>
      </c>
    </row>
    <row r="3023" spans="2:4" x14ac:dyDescent="0.2">
      <c r="B3023" s="1341">
        <v>3531</v>
      </c>
      <c r="C3023" s="1341" t="s">
        <v>4075</v>
      </c>
      <c r="D3023" s="1310">
        <v>734.16666699999996</v>
      </c>
    </row>
    <row r="3024" spans="2:4" x14ac:dyDescent="0.2">
      <c r="B3024" s="1341">
        <v>3532</v>
      </c>
      <c r="C3024" s="1341" t="s">
        <v>4076</v>
      </c>
      <c r="D3024" s="1310">
        <v>779.45999800000004</v>
      </c>
    </row>
    <row r="3025" spans="2:4" x14ac:dyDescent="0.2">
      <c r="B3025" s="1341">
        <v>3533</v>
      </c>
      <c r="C3025" s="1341" t="s">
        <v>4077</v>
      </c>
      <c r="D3025" s="1310">
        <v>739.41427999999996</v>
      </c>
    </row>
    <row r="3026" spans="2:4" x14ac:dyDescent="0.2">
      <c r="B3026" s="1341">
        <v>3534</v>
      </c>
      <c r="C3026" s="1341" t="s">
        <v>4078</v>
      </c>
      <c r="D3026" s="1310">
        <v>756.05712900000003</v>
      </c>
    </row>
    <row r="3027" spans="2:4" x14ac:dyDescent="0.2">
      <c r="B3027" s="1341">
        <v>3535</v>
      </c>
      <c r="C3027" s="1341" t="s">
        <v>4079</v>
      </c>
      <c r="D3027" s="1310">
        <v>746.52500199999997</v>
      </c>
    </row>
    <row r="3028" spans="2:4" x14ac:dyDescent="0.2">
      <c r="B3028" s="1341">
        <v>3536</v>
      </c>
      <c r="C3028" s="1341" t="s">
        <v>4080</v>
      </c>
      <c r="D3028" s="1310">
        <v>740.50001499999996</v>
      </c>
    </row>
    <row r="3029" spans="2:4" x14ac:dyDescent="0.2">
      <c r="B3029" s="1341">
        <v>3537</v>
      </c>
      <c r="C3029" s="1341" t="s">
        <v>3072</v>
      </c>
      <c r="D3029" s="1310">
        <v>800.41427999999996</v>
      </c>
    </row>
    <row r="3030" spans="2:4" x14ac:dyDescent="0.2">
      <c r="B3030" s="1341">
        <v>3538</v>
      </c>
      <c r="C3030" s="1341" t="s">
        <v>4081</v>
      </c>
      <c r="D3030" s="1310">
        <v>797.12499200000002</v>
      </c>
    </row>
    <row r="3031" spans="2:4" x14ac:dyDescent="0.2">
      <c r="B3031" s="1341">
        <v>3539</v>
      </c>
      <c r="C3031" s="1341" t="s">
        <v>4082</v>
      </c>
      <c r="D3031" s="1310">
        <v>916.088888</v>
      </c>
    </row>
    <row r="3032" spans="2:4" x14ac:dyDescent="0.2">
      <c r="B3032" s="1341">
        <v>3540</v>
      </c>
      <c r="C3032" s="1341" t="s">
        <v>4083</v>
      </c>
      <c r="D3032" s="1310">
        <v>834.66154100000006</v>
      </c>
    </row>
    <row r="3033" spans="2:4" x14ac:dyDescent="0.2">
      <c r="B3033" s="1341">
        <v>3541</v>
      </c>
      <c r="C3033" s="1341" t="s">
        <v>4084</v>
      </c>
      <c r="D3033" s="1310">
        <v>859.99998500000004</v>
      </c>
    </row>
    <row r="3034" spans="2:4" x14ac:dyDescent="0.2">
      <c r="B3034" s="1341">
        <v>3542</v>
      </c>
      <c r="C3034" s="1341" t="s">
        <v>4085</v>
      </c>
      <c r="D3034" s="1310">
        <v>828.97000100000002</v>
      </c>
    </row>
    <row r="3035" spans="2:4" x14ac:dyDescent="0.2">
      <c r="B3035" s="1341">
        <v>3543</v>
      </c>
      <c r="C3035" s="1341" t="s">
        <v>3458</v>
      </c>
      <c r="D3035" s="1310">
        <v>832.66666699999996</v>
      </c>
    </row>
    <row r="3036" spans="2:4" x14ac:dyDescent="0.2">
      <c r="B3036" s="1341">
        <v>3544</v>
      </c>
      <c r="C3036" s="1341" t="s">
        <v>4086</v>
      </c>
      <c r="D3036" s="1310">
        <v>851.375</v>
      </c>
    </row>
    <row r="3037" spans="2:4" x14ac:dyDescent="0.2">
      <c r="B3037" s="1341">
        <v>3545</v>
      </c>
      <c r="C3037" s="1341" t="s">
        <v>4087</v>
      </c>
      <c r="D3037" s="1310">
        <v>732.90002400000003</v>
      </c>
    </row>
    <row r="3038" spans="2:4" x14ac:dyDescent="0.2">
      <c r="B3038" s="1341">
        <v>3546</v>
      </c>
      <c r="C3038" s="1341" t="s">
        <v>4088</v>
      </c>
      <c r="D3038" s="1310">
        <v>816.5</v>
      </c>
    </row>
    <row r="3039" spans="2:4" x14ac:dyDescent="0.2">
      <c r="B3039" s="1341">
        <v>3547</v>
      </c>
      <c r="C3039" s="1341" t="s">
        <v>4089</v>
      </c>
      <c r="D3039" s="1310">
        <v>780.82857000000001</v>
      </c>
    </row>
    <row r="3040" spans="2:4" x14ac:dyDescent="0.2">
      <c r="B3040" s="1341">
        <v>3548</v>
      </c>
      <c r="C3040" s="1341" t="s">
        <v>4090</v>
      </c>
      <c r="D3040" s="1310">
        <v>841.92000700000006</v>
      </c>
    </row>
    <row r="3041" spans="2:4" x14ac:dyDescent="0.2">
      <c r="B3041" s="1341">
        <v>3549</v>
      </c>
      <c r="C3041" s="1341" t="s">
        <v>4091</v>
      </c>
      <c r="D3041" s="1310">
        <v>833.29998799999998</v>
      </c>
    </row>
    <row r="3042" spans="2:4" x14ac:dyDescent="0.2">
      <c r="B3042" s="1341">
        <v>3550</v>
      </c>
      <c r="C3042" s="1341" t="s">
        <v>4092</v>
      </c>
      <c r="D3042" s="1310">
        <v>727.83333300000004</v>
      </c>
    </row>
    <row r="3043" spans="2:4" x14ac:dyDescent="0.2">
      <c r="B3043" s="1341">
        <v>3551</v>
      </c>
      <c r="C3043" s="1341" t="s">
        <v>4093</v>
      </c>
      <c r="D3043" s="1310">
        <v>786.73999000000003</v>
      </c>
    </row>
    <row r="3044" spans="2:4" x14ac:dyDescent="0.2">
      <c r="B3044" s="1341">
        <v>3552</v>
      </c>
      <c r="C3044" s="1341" t="s">
        <v>4013</v>
      </c>
      <c r="D3044" s="1310">
        <v>723.35999800000002</v>
      </c>
    </row>
    <row r="3045" spans="2:4" x14ac:dyDescent="0.2">
      <c r="B3045" s="1341">
        <v>3553</v>
      </c>
      <c r="C3045" s="1341" t="s">
        <v>4094</v>
      </c>
      <c r="D3045" s="1310">
        <v>719.96667500000001</v>
      </c>
    </row>
    <row r="3046" spans="2:4" x14ac:dyDescent="0.2">
      <c r="B3046" s="1341">
        <v>3554</v>
      </c>
      <c r="C3046" s="1341" t="s">
        <v>4095</v>
      </c>
      <c r="D3046" s="1310">
        <v>844.66666699999996</v>
      </c>
    </row>
    <row r="3047" spans="2:4" x14ac:dyDescent="0.2">
      <c r="B3047" s="1341">
        <v>3555</v>
      </c>
      <c r="C3047" s="1341" t="s">
        <v>1794</v>
      </c>
      <c r="D3047" s="1310">
        <v>889.26666899999998</v>
      </c>
    </row>
    <row r="3048" spans="2:4" x14ac:dyDescent="0.2">
      <c r="B3048" s="1341">
        <v>3556</v>
      </c>
      <c r="C3048" s="1341" t="s">
        <v>4096</v>
      </c>
      <c r="D3048" s="1310">
        <v>731.09997599999997</v>
      </c>
    </row>
    <row r="3049" spans="2:4" x14ac:dyDescent="0.2">
      <c r="B3049" s="1341">
        <v>3557</v>
      </c>
      <c r="C3049" s="1341" t="s">
        <v>4097</v>
      </c>
      <c r="D3049" s="1310">
        <v>816.48999600000002</v>
      </c>
    </row>
    <row r="3050" spans="2:4" x14ac:dyDescent="0.2">
      <c r="B3050" s="1341">
        <v>3558</v>
      </c>
      <c r="C3050" s="1341" t="s">
        <v>4098</v>
      </c>
      <c r="D3050" s="1310">
        <v>870.9</v>
      </c>
    </row>
    <row r="3051" spans="2:4" x14ac:dyDescent="0.2">
      <c r="B3051" s="1341">
        <v>3559</v>
      </c>
      <c r="C3051" s="1341" t="s">
        <v>4099</v>
      </c>
      <c r="D3051" s="1310">
        <v>720.40000699999996</v>
      </c>
    </row>
    <row r="3052" spans="2:4" x14ac:dyDescent="0.2">
      <c r="B3052" s="1341">
        <v>3560</v>
      </c>
      <c r="C3052" s="1341" t="s">
        <v>4100</v>
      </c>
      <c r="D3052" s="1310">
        <v>801.52666399999998</v>
      </c>
    </row>
    <row r="3053" spans="2:4" x14ac:dyDescent="0.2">
      <c r="B3053" s="1341">
        <v>3561</v>
      </c>
      <c r="C3053" s="1341" t="s">
        <v>4101</v>
      </c>
      <c r="D3053" s="1310">
        <v>802.78332499999999</v>
      </c>
    </row>
    <row r="3054" spans="2:4" x14ac:dyDescent="0.2">
      <c r="B3054" s="1341">
        <v>3562</v>
      </c>
      <c r="C3054" s="1341" t="s">
        <v>4102</v>
      </c>
      <c r="D3054" s="1310">
        <v>866.56667100000004</v>
      </c>
    </row>
    <row r="3055" spans="2:4" x14ac:dyDescent="0.2">
      <c r="B3055" s="1341">
        <v>3563</v>
      </c>
      <c r="C3055" s="1341" t="s">
        <v>4103</v>
      </c>
      <c r="D3055" s="1310">
        <v>774.77500199999997</v>
      </c>
    </row>
    <row r="3056" spans="2:4" x14ac:dyDescent="0.2">
      <c r="B3056" s="1341">
        <v>3564</v>
      </c>
      <c r="C3056" s="1341" t="s">
        <v>4104</v>
      </c>
      <c r="D3056" s="1310">
        <v>721.76363900000001</v>
      </c>
    </row>
    <row r="3057" spans="2:4" x14ac:dyDescent="0.2">
      <c r="B3057" s="1341">
        <v>3565</v>
      </c>
      <c r="C3057" s="1341" t="s">
        <v>4105</v>
      </c>
      <c r="D3057" s="1310">
        <v>730.75</v>
      </c>
    </row>
    <row r="3058" spans="2:4" x14ac:dyDescent="0.2">
      <c r="B3058" s="1341">
        <v>3566</v>
      </c>
      <c r="C3058" s="1341" t="s">
        <v>4106</v>
      </c>
      <c r="D3058" s="1310">
        <v>813.55000299999995</v>
      </c>
    </row>
    <row r="3059" spans="2:4" x14ac:dyDescent="0.2">
      <c r="B3059" s="1341">
        <v>3567</v>
      </c>
      <c r="C3059" s="1341" t="s">
        <v>4107</v>
      </c>
      <c r="D3059" s="1310">
        <v>696.36667899999998</v>
      </c>
    </row>
    <row r="3060" spans="2:4" x14ac:dyDescent="0.2">
      <c r="B3060" s="1341">
        <v>3568</v>
      </c>
      <c r="C3060" s="1341" t="s">
        <v>4108</v>
      </c>
      <c r="D3060" s="1310">
        <v>718.53332499999999</v>
      </c>
    </row>
    <row r="3061" spans="2:4" x14ac:dyDescent="0.2">
      <c r="B3061" s="1341">
        <v>3569</v>
      </c>
      <c r="C3061" s="1341" t="s">
        <v>4109</v>
      </c>
      <c r="D3061" s="1310">
        <v>768.11249499999997</v>
      </c>
    </row>
    <row r="3062" spans="2:4" x14ac:dyDescent="0.2">
      <c r="B3062" s="1341">
        <v>3570</v>
      </c>
      <c r="C3062" s="1341" t="s">
        <v>4110</v>
      </c>
      <c r="D3062" s="1310">
        <v>746.10001399999999</v>
      </c>
    </row>
    <row r="3063" spans="2:4" x14ac:dyDescent="0.2">
      <c r="B3063" s="1341">
        <v>3571</v>
      </c>
      <c r="C3063" s="1341" t="s">
        <v>1770</v>
      </c>
      <c r="D3063" s="1310">
        <v>763.09999600000003</v>
      </c>
    </row>
    <row r="3064" spans="2:4" x14ac:dyDescent="0.2">
      <c r="B3064" s="1341">
        <v>3572</v>
      </c>
      <c r="C3064" s="1341" t="s">
        <v>4111</v>
      </c>
      <c r="D3064" s="1310">
        <v>890.10000600000001</v>
      </c>
    </row>
    <row r="3065" spans="2:4" x14ac:dyDescent="0.2">
      <c r="B3065" s="1341">
        <v>3573</v>
      </c>
      <c r="C3065" s="1341" t="s">
        <v>4112</v>
      </c>
      <c r="D3065" s="1310">
        <v>777.53332499999999</v>
      </c>
    </row>
    <row r="3066" spans="2:4" x14ac:dyDescent="0.2">
      <c r="B3066" s="1341">
        <v>3574</v>
      </c>
      <c r="C3066" s="1341" t="s">
        <v>4113</v>
      </c>
      <c r="D3066" s="1310">
        <v>720.28000499999996</v>
      </c>
    </row>
    <row r="3067" spans="2:4" x14ac:dyDescent="0.2">
      <c r="B3067" s="1341">
        <v>3575</v>
      </c>
      <c r="C3067" s="1341" t="s">
        <v>4114</v>
      </c>
      <c r="D3067" s="1310">
        <v>748.64999399999999</v>
      </c>
    </row>
    <row r="3068" spans="2:4" x14ac:dyDescent="0.2">
      <c r="B3068" s="1341">
        <v>3576</v>
      </c>
      <c r="C3068" s="1341" t="s">
        <v>4115</v>
      </c>
      <c r="D3068" s="1310">
        <v>753.32499700000005</v>
      </c>
    </row>
    <row r="3069" spans="2:4" x14ac:dyDescent="0.2">
      <c r="B3069" s="1341">
        <v>3577</v>
      </c>
      <c r="C3069" s="1341" t="s">
        <v>4116</v>
      </c>
      <c r="D3069" s="1310">
        <v>930.56666700000005</v>
      </c>
    </row>
    <row r="3070" spans="2:4" x14ac:dyDescent="0.2">
      <c r="B3070" s="1341">
        <v>3578</v>
      </c>
      <c r="C3070" s="1341" t="s">
        <v>4117</v>
      </c>
      <c r="D3070" s="1310">
        <v>934.70001200000002</v>
      </c>
    </row>
    <row r="3071" spans="2:4" x14ac:dyDescent="0.2">
      <c r="B3071" s="1341">
        <v>3579</v>
      </c>
      <c r="C3071" s="1341" t="s">
        <v>4118</v>
      </c>
      <c r="D3071" s="1310">
        <v>867.40000399999997</v>
      </c>
    </row>
    <row r="3072" spans="2:4" x14ac:dyDescent="0.2">
      <c r="B3072" s="1341">
        <v>3580</v>
      </c>
      <c r="C3072" s="1341" t="s">
        <v>4119</v>
      </c>
      <c r="D3072" s="1310">
        <v>723.66667700000005</v>
      </c>
    </row>
    <row r="3073" spans="2:4" x14ac:dyDescent="0.2">
      <c r="B3073" s="1341">
        <v>3581</v>
      </c>
      <c r="C3073" s="1341" t="s">
        <v>4120</v>
      </c>
      <c r="D3073" s="1310">
        <v>875.81111699999997</v>
      </c>
    </row>
    <row r="3074" spans="2:4" x14ac:dyDescent="0.2">
      <c r="B3074" s="1341">
        <v>3582</v>
      </c>
      <c r="C3074" s="1341" t="s">
        <v>4121</v>
      </c>
      <c r="D3074" s="1310">
        <v>853.41818499999999</v>
      </c>
    </row>
    <row r="3075" spans="2:4" x14ac:dyDescent="0.2">
      <c r="B3075" s="1341">
        <v>3583</v>
      </c>
      <c r="C3075" s="1341" t="s">
        <v>4122</v>
      </c>
      <c r="D3075" s="1310">
        <v>907.07499700000005</v>
      </c>
    </row>
    <row r="3076" spans="2:4" x14ac:dyDescent="0.2">
      <c r="B3076" s="1341">
        <v>3584</v>
      </c>
      <c r="C3076" s="1341" t="s">
        <v>4123</v>
      </c>
      <c r="D3076" s="1310">
        <v>764.83749399999999</v>
      </c>
    </row>
    <row r="3077" spans="2:4" x14ac:dyDescent="0.2">
      <c r="B3077" s="1341">
        <v>3585</v>
      </c>
      <c r="C3077" s="1341" t="s">
        <v>4038</v>
      </c>
      <c r="D3077" s="1310">
        <v>733.96667500000001</v>
      </c>
    </row>
    <row r="3078" spans="2:4" x14ac:dyDescent="0.2">
      <c r="B3078" s="1341">
        <v>3586</v>
      </c>
      <c r="C3078" s="1341" t="s">
        <v>4124</v>
      </c>
      <c r="D3078" s="1310">
        <v>896.16665599999999</v>
      </c>
    </row>
    <row r="3079" spans="2:4" x14ac:dyDescent="0.2">
      <c r="B3079" s="1341">
        <v>3587</v>
      </c>
      <c r="C3079" s="1341" t="s">
        <v>4125</v>
      </c>
      <c r="D3079" s="1310">
        <v>876.29998799999998</v>
      </c>
    </row>
    <row r="3080" spans="2:4" x14ac:dyDescent="0.2">
      <c r="B3080" s="1341">
        <v>3601</v>
      </c>
      <c r="C3080" s="1341" t="s">
        <v>4126</v>
      </c>
      <c r="D3080" s="1310">
        <v>622.62221999999997</v>
      </c>
    </row>
    <row r="3081" spans="2:4" x14ac:dyDescent="0.2">
      <c r="B3081" s="1341">
        <v>3602</v>
      </c>
      <c r="C3081" s="1341" t="s">
        <v>4127</v>
      </c>
      <c r="D3081" s="1310">
        <v>618.35555699999998</v>
      </c>
    </row>
    <row r="3082" spans="2:4" x14ac:dyDescent="0.2">
      <c r="B3082" s="1341">
        <v>3603</v>
      </c>
      <c r="C3082" s="1341" t="s">
        <v>3764</v>
      </c>
      <c r="D3082" s="1310">
        <v>609.43335000000002</v>
      </c>
    </row>
    <row r="3083" spans="2:4" x14ac:dyDescent="0.2">
      <c r="B3083" s="1341">
        <v>3604</v>
      </c>
      <c r="C3083" s="1341" t="s">
        <v>4128</v>
      </c>
      <c r="D3083" s="1310">
        <v>602.89999799999998</v>
      </c>
    </row>
    <row r="3084" spans="2:4" x14ac:dyDescent="0.2">
      <c r="B3084" s="1341">
        <v>3605</v>
      </c>
      <c r="C3084" s="1341" t="s">
        <v>4129</v>
      </c>
      <c r="D3084" s="1310">
        <v>601.19998199999998</v>
      </c>
    </row>
    <row r="3085" spans="2:4" x14ac:dyDescent="0.2">
      <c r="B3085" s="1341">
        <v>3606</v>
      </c>
      <c r="C3085" s="1341" t="s">
        <v>4130</v>
      </c>
      <c r="D3085" s="1310">
        <v>610.31000400000005</v>
      </c>
    </row>
    <row r="3086" spans="2:4" x14ac:dyDescent="0.2">
      <c r="B3086" s="1341">
        <v>3607</v>
      </c>
      <c r="C3086" s="1341" t="s">
        <v>4131</v>
      </c>
      <c r="D3086" s="1310">
        <v>632.65000899999995</v>
      </c>
    </row>
    <row r="3087" spans="2:4" x14ac:dyDescent="0.2">
      <c r="B3087" s="1341">
        <v>3608</v>
      </c>
      <c r="C3087" s="1341" t="s">
        <v>4132</v>
      </c>
      <c r="D3087" s="1310">
        <v>651.44445099999996</v>
      </c>
    </row>
    <row r="3088" spans="2:4" x14ac:dyDescent="0.2">
      <c r="B3088" s="1341">
        <v>3609</v>
      </c>
      <c r="C3088" s="1341" t="s">
        <v>4133</v>
      </c>
      <c r="D3088" s="1310">
        <v>626.17501100000004</v>
      </c>
    </row>
    <row r="3089" spans="2:4" x14ac:dyDescent="0.2">
      <c r="B3089" s="1341">
        <v>3610</v>
      </c>
      <c r="C3089" s="1341" t="s">
        <v>4134</v>
      </c>
      <c r="D3089" s="1310">
        <v>619.61427500000002</v>
      </c>
    </row>
    <row r="3090" spans="2:4" x14ac:dyDescent="0.2">
      <c r="B3090" s="1341">
        <v>3611</v>
      </c>
      <c r="C3090" s="1341" t="s">
        <v>3961</v>
      </c>
      <c r="D3090" s="1310">
        <v>645.89999399999999</v>
      </c>
    </row>
    <row r="3091" spans="2:4" x14ac:dyDescent="0.2">
      <c r="B3091" s="1341">
        <v>3612</v>
      </c>
      <c r="C3091" s="1341" t="s">
        <v>1295</v>
      </c>
      <c r="D3091" s="1310">
        <v>645.77499399999999</v>
      </c>
    </row>
    <row r="3092" spans="2:4" x14ac:dyDescent="0.2">
      <c r="B3092" s="1341">
        <v>3613</v>
      </c>
      <c r="C3092" s="1341" t="s">
        <v>4135</v>
      </c>
      <c r="D3092" s="1310">
        <v>636.43332899999996</v>
      </c>
    </row>
    <row r="3093" spans="2:4" x14ac:dyDescent="0.2">
      <c r="B3093" s="1341">
        <v>3614</v>
      </c>
      <c r="C3093" s="1341" t="s">
        <v>4136</v>
      </c>
      <c r="D3093" s="1310">
        <v>647.259998</v>
      </c>
    </row>
    <row r="3094" spans="2:4" x14ac:dyDescent="0.2">
      <c r="B3094" s="1341">
        <v>3615</v>
      </c>
      <c r="C3094" s="1341" t="s">
        <v>4137</v>
      </c>
      <c r="D3094" s="1310">
        <v>605</v>
      </c>
    </row>
    <row r="3095" spans="2:4" x14ac:dyDescent="0.2">
      <c r="B3095" s="1341">
        <v>3616</v>
      </c>
      <c r="C3095" s="1341" t="s">
        <v>4138</v>
      </c>
      <c r="D3095" s="1310">
        <v>607.28749800000003</v>
      </c>
    </row>
    <row r="3096" spans="2:4" x14ac:dyDescent="0.2">
      <c r="B3096" s="1341">
        <v>3617</v>
      </c>
      <c r="C3096" s="1341" t="s">
        <v>4139</v>
      </c>
      <c r="D3096" s="1310">
        <v>604.44998199999998</v>
      </c>
    </row>
    <row r="3097" spans="2:4" x14ac:dyDescent="0.2">
      <c r="B3097" s="1341">
        <v>3618</v>
      </c>
      <c r="C3097" s="1341" t="s">
        <v>3538</v>
      </c>
      <c r="D3097" s="1310">
        <v>669.16666199999997</v>
      </c>
    </row>
    <row r="3098" spans="2:4" x14ac:dyDescent="0.2">
      <c r="B3098" s="1341">
        <v>3619</v>
      </c>
      <c r="C3098" s="1341" t="s">
        <v>4140</v>
      </c>
      <c r="D3098" s="1310">
        <v>701</v>
      </c>
    </row>
    <row r="3099" spans="2:4" x14ac:dyDescent="0.2">
      <c r="B3099" s="1341">
        <v>3620</v>
      </c>
      <c r="C3099" s="1341" t="s">
        <v>4141</v>
      </c>
      <c r="D3099" s="1310">
        <v>654.00454200000001</v>
      </c>
    </row>
    <row r="3100" spans="2:4" x14ac:dyDescent="0.2">
      <c r="B3100" s="1341">
        <v>3621</v>
      </c>
      <c r="C3100" s="1341" t="s">
        <v>4142</v>
      </c>
      <c r="D3100" s="1310">
        <v>707.12222599999996</v>
      </c>
    </row>
    <row r="3101" spans="2:4" x14ac:dyDescent="0.2">
      <c r="B3101" s="1341">
        <v>3622</v>
      </c>
      <c r="C3101" s="1341" t="s">
        <v>4143</v>
      </c>
      <c r="D3101" s="1310">
        <v>633.22499800000003</v>
      </c>
    </row>
    <row r="3102" spans="2:4" x14ac:dyDescent="0.2">
      <c r="B3102" s="1341">
        <v>3623</v>
      </c>
      <c r="C3102" s="1341" t="s">
        <v>4144</v>
      </c>
      <c r="D3102" s="1310">
        <v>638.52857300000005</v>
      </c>
    </row>
    <row r="3103" spans="2:4" x14ac:dyDescent="0.2">
      <c r="B3103" s="1341">
        <v>3624</v>
      </c>
      <c r="C3103" s="1341" t="s">
        <v>4145</v>
      </c>
      <c r="D3103" s="1310">
        <v>626.21998900000006</v>
      </c>
    </row>
    <row r="3104" spans="2:4" x14ac:dyDescent="0.2">
      <c r="B3104" s="1341">
        <v>3625</v>
      </c>
      <c r="C3104" s="1341" t="s">
        <v>3621</v>
      </c>
      <c r="D3104" s="1310">
        <v>631.9</v>
      </c>
    </row>
    <row r="3105" spans="2:4" x14ac:dyDescent="0.2">
      <c r="B3105" s="1341">
        <v>3626</v>
      </c>
      <c r="C3105" s="1341" t="s">
        <v>4146</v>
      </c>
      <c r="D3105" s="1310">
        <v>637.83331299999998</v>
      </c>
    </row>
    <row r="3106" spans="2:4" x14ac:dyDescent="0.2">
      <c r="B3106" s="1341">
        <v>3627</v>
      </c>
      <c r="C3106" s="1341" t="s">
        <v>4147</v>
      </c>
      <c r="D3106" s="1310">
        <v>659.73331700000006</v>
      </c>
    </row>
    <row r="3107" spans="2:4" x14ac:dyDescent="0.2">
      <c r="B3107" s="1341">
        <v>3628</v>
      </c>
      <c r="C3107" s="1341" t="s">
        <v>4148</v>
      </c>
      <c r="D3107" s="1310">
        <v>620.54000199999996</v>
      </c>
    </row>
    <row r="3108" spans="2:4" x14ac:dyDescent="0.2">
      <c r="B3108" s="1341">
        <v>3629</v>
      </c>
      <c r="C3108" s="1341" t="s">
        <v>4149</v>
      </c>
      <c r="D3108" s="1310">
        <v>636.66666699999996</v>
      </c>
    </row>
    <row r="3109" spans="2:4" x14ac:dyDescent="0.2">
      <c r="B3109" s="1341">
        <v>3630</v>
      </c>
      <c r="C3109" s="1341" t="s">
        <v>4150</v>
      </c>
      <c r="D3109" s="1310">
        <v>606.53998999999999</v>
      </c>
    </row>
    <row r="3110" spans="2:4" x14ac:dyDescent="0.2">
      <c r="B3110" s="1341">
        <v>3631</v>
      </c>
      <c r="C3110" s="1341" t="s">
        <v>4151</v>
      </c>
      <c r="D3110" s="1310">
        <v>686</v>
      </c>
    </row>
    <row r="3111" spans="2:4" x14ac:dyDescent="0.2">
      <c r="B3111" s="1341">
        <v>3632</v>
      </c>
      <c r="C3111" s="1341" t="s">
        <v>4152</v>
      </c>
      <c r="D3111" s="1310">
        <v>635.86154899999997</v>
      </c>
    </row>
    <row r="3112" spans="2:4" x14ac:dyDescent="0.2">
      <c r="B3112" s="1341">
        <v>3633</v>
      </c>
      <c r="C3112" s="1341" t="s">
        <v>4153</v>
      </c>
      <c r="D3112" s="1310">
        <v>654.85000600000001</v>
      </c>
    </row>
    <row r="3113" spans="2:4" x14ac:dyDescent="0.2">
      <c r="B3113" s="1341">
        <v>3634</v>
      </c>
      <c r="C3113" s="1341" t="s">
        <v>4154</v>
      </c>
      <c r="D3113" s="1310">
        <v>674.26923099999999</v>
      </c>
    </row>
    <row r="3114" spans="2:4" x14ac:dyDescent="0.2">
      <c r="B3114" s="1341">
        <v>3635</v>
      </c>
      <c r="C3114" s="1341" t="s">
        <v>4155</v>
      </c>
      <c r="D3114" s="1310">
        <v>603.56667100000004</v>
      </c>
    </row>
    <row r="3115" spans="2:4" x14ac:dyDescent="0.2">
      <c r="B3115" s="1341">
        <v>3636</v>
      </c>
      <c r="C3115" s="1341" t="s">
        <v>4156</v>
      </c>
      <c r="D3115" s="1310">
        <v>609.30000099999995</v>
      </c>
    </row>
    <row r="3116" spans="2:4" x14ac:dyDescent="0.2">
      <c r="B3116" s="1341">
        <v>3637</v>
      </c>
      <c r="C3116" s="1341" t="s">
        <v>4157</v>
      </c>
      <c r="D3116" s="1310">
        <v>619.67500299999995</v>
      </c>
    </row>
    <row r="3117" spans="2:4" x14ac:dyDescent="0.2">
      <c r="B3117" s="1341">
        <v>3638</v>
      </c>
      <c r="C3117" s="1341" t="s">
        <v>4158</v>
      </c>
      <c r="D3117" s="1310">
        <v>690.360006</v>
      </c>
    </row>
    <row r="3118" spans="2:4" x14ac:dyDescent="0.2">
      <c r="B3118" s="1341">
        <v>3639</v>
      </c>
      <c r="C3118" s="1341" t="s">
        <v>4159</v>
      </c>
      <c r="D3118" s="1310">
        <v>694.06154200000003</v>
      </c>
    </row>
    <row r="3119" spans="2:4" x14ac:dyDescent="0.2">
      <c r="B3119" s="1341">
        <v>3640</v>
      </c>
      <c r="C3119" s="1341" t="s">
        <v>1990</v>
      </c>
      <c r="D3119" s="1310">
        <v>659.28000499999996</v>
      </c>
    </row>
    <row r="3120" spans="2:4" x14ac:dyDescent="0.2">
      <c r="B3120" s="1341">
        <v>3641</v>
      </c>
      <c r="C3120" s="1341" t="s">
        <v>1531</v>
      </c>
      <c r="D3120" s="1310">
        <v>612.87691600000005</v>
      </c>
    </row>
    <row r="3121" spans="2:4" x14ac:dyDescent="0.2">
      <c r="B3121" s="1341">
        <v>3642</v>
      </c>
      <c r="C3121" s="1341" t="s">
        <v>4160</v>
      </c>
      <c r="D3121" s="1310">
        <v>666.01430000000005</v>
      </c>
    </row>
    <row r="3122" spans="2:4" x14ac:dyDescent="0.2">
      <c r="B3122" s="1341">
        <v>3643</v>
      </c>
      <c r="C3122" s="1341" t="s">
        <v>4161</v>
      </c>
      <c r="D3122" s="1310">
        <v>736.18946900000003</v>
      </c>
    </row>
    <row r="3123" spans="2:4" x14ac:dyDescent="0.2">
      <c r="B3123" s="1341">
        <v>3644</v>
      </c>
      <c r="C3123" s="1341" t="s">
        <v>4162</v>
      </c>
      <c r="D3123" s="1310">
        <v>637.633331</v>
      </c>
    </row>
    <row r="3124" spans="2:4" x14ac:dyDescent="0.2">
      <c r="B3124" s="1341">
        <v>3645</v>
      </c>
      <c r="C3124" s="1341" t="s">
        <v>4163</v>
      </c>
      <c r="D3124" s="1310">
        <v>723.87500399999999</v>
      </c>
    </row>
    <row r="3125" spans="2:4" x14ac:dyDescent="0.2">
      <c r="B3125" s="1341">
        <v>3646</v>
      </c>
      <c r="C3125" s="1341" t="s">
        <v>4164</v>
      </c>
      <c r="D3125" s="1310">
        <v>777.19999600000006</v>
      </c>
    </row>
    <row r="3126" spans="2:4" x14ac:dyDescent="0.2">
      <c r="B3126" s="1341">
        <v>3647</v>
      </c>
      <c r="C3126" s="1341" t="s">
        <v>4165</v>
      </c>
      <c r="D3126" s="1310">
        <v>699.17999299999997</v>
      </c>
    </row>
    <row r="3127" spans="2:4" x14ac:dyDescent="0.2">
      <c r="B3127" s="1341">
        <v>3648</v>
      </c>
      <c r="C3127" s="1341" t="s">
        <v>4166</v>
      </c>
      <c r="D3127" s="1310">
        <v>765.15713900000003</v>
      </c>
    </row>
    <row r="3128" spans="2:4" x14ac:dyDescent="0.2">
      <c r="B3128" s="1341">
        <v>3649</v>
      </c>
      <c r="C3128" s="1341" t="s">
        <v>4167</v>
      </c>
      <c r="D3128" s="1310">
        <v>638.82498199999998</v>
      </c>
    </row>
    <row r="3129" spans="2:4" x14ac:dyDescent="0.2">
      <c r="B3129" s="1341">
        <v>3650</v>
      </c>
      <c r="C3129" s="1341" t="s">
        <v>4168</v>
      </c>
      <c r="D3129" s="1310">
        <v>673.57142899999997</v>
      </c>
    </row>
    <row r="3130" spans="2:4" x14ac:dyDescent="0.2">
      <c r="B3130" s="1341">
        <v>3651</v>
      </c>
      <c r="C3130" s="1341" t="s">
        <v>4169</v>
      </c>
      <c r="D3130" s="1310">
        <v>669.93333399999995</v>
      </c>
    </row>
    <row r="3131" spans="2:4" x14ac:dyDescent="0.2">
      <c r="B3131" s="1341">
        <v>3652</v>
      </c>
      <c r="C3131" s="1341" t="s">
        <v>4170</v>
      </c>
      <c r="D3131" s="1310">
        <v>691.08333300000004</v>
      </c>
    </row>
    <row r="3132" spans="2:4" x14ac:dyDescent="0.2">
      <c r="B3132" s="1341">
        <v>3653</v>
      </c>
      <c r="C3132" s="1341" t="s">
        <v>4171</v>
      </c>
      <c r="D3132" s="1310">
        <v>669.97499100000005</v>
      </c>
    </row>
    <row r="3133" spans="2:4" x14ac:dyDescent="0.2">
      <c r="B3133" s="1341">
        <v>3654</v>
      </c>
      <c r="C3133" s="1341" t="s">
        <v>4172</v>
      </c>
      <c r="D3133" s="1310">
        <v>683.66666699999996</v>
      </c>
    </row>
    <row r="3134" spans="2:4" x14ac:dyDescent="0.2">
      <c r="B3134" s="1341">
        <v>3655</v>
      </c>
      <c r="C3134" s="1341" t="s">
        <v>4173</v>
      </c>
      <c r="D3134" s="1310">
        <v>692.87499600000001</v>
      </c>
    </row>
    <row r="3135" spans="2:4" x14ac:dyDescent="0.2">
      <c r="B3135" s="1341">
        <v>3656</v>
      </c>
      <c r="C3135" s="1341" t="s">
        <v>3953</v>
      </c>
      <c r="D3135" s="1310">
        <v>655.64999399999999</v>
      </c>
    </row>
    <row r="3136" spans="2:4" x14ac:dyDescent="0.2">
      <c r="B3136" s="1341">
        <v>3657</v>
      </c>
      <c r="C3136" s="1341" t="s">
        <v>4174</v>
      </c>
      <c r="D3136" s="1310">
        <v>668.02000099999998</v>
      </c>
    </row>
    <row r="3137" spans="2:4" x14ac:dyDescent="0.2">
      <c r="B3137" s="1341">
        <v>3658</v>
      </c>
      <c r="C3137" s="1341" t="s">
        <v>4175</v>
      </c>
      <c r="D3137" s="1310">
        <v>644.08333300000004</v>
      </c>
    </row>
    <row r="3138" spans="2:4" x14ac:dyDescent="0.2">
      <c r="B3138" s="1341">
        <v>3659</v>
      </c>
      <c r="C3138" s="1341" t="s">
        <v>4176</v>
      </c>
      <c r="D3138" s="1310">
        <v>657</v>
      </c>
    </row>
    <row r="3139" spans="2:4" x14ac:dyDescent="0.2">
      <c r="B3139" s="1341">
        <v>3660</v>
      </c>
      <c r="C3139" s="1341" t="s">
        <v>4177</v>
      </c>
      <c r="D3139" s="1310">
        <v>648.02000699999996</v>
      </c>
    </row>
    <row r="3140" spans="2:4" x14ac:dyDescent="0.2">
      <c r="B3140" s="1341">
        <v>3661</v>
      </c>
      <c r="C3140" s="1341" t="s">
        <v>4178</v>
      </c>
      <c r="D3140" s="1310">
        <v>663.36665900000003</v>
      </c>
    </row>
    <row r="3141" spans="2:4" x14ac:dyDescent="0.2">
      <c r="B3141" s="1341">
        <v>3662</v>
      </c>
      <c r="C3141" s="1341" t="s">
        <v>4179</v>
      </c>
      <c r="D3141" s="1310">
        <v>693.86667899999998</v>
      </c>
    </row>
    <row r="3142" spans="2:4" x14ac:dyDescent="0.2">
      <c r="B3142" s="1341">
        <v>3663</v>
      </c>
      <c r="C3142" s="1341" t="s">
        <v>4180</v>
      </c>
      <c r="D3142" s="1310">
        <v>666.58000500000003</v>
      </c>
    </row>
    <row r="3143" spans="2:4" x14ac:dyDescent="0.2">
      <c r="B3143" s="1341">
        <v>3664</v>
      </c>
      <c r="C3143" s="1341" t="s">
        <v>4181</v>
      </c>
      <c r="D3143" s="1310">
        <v>708.36000999999999</v>
      </c>
    </row>
    <row r="3144" spans="2:4" x14ac:dyDescent="0.2">
      <c r="B3144" s="1341">
        <v>3665</v>
      </c>
      <c r="C3144" s="1341" t="s">
        <v>3944</v>
      </c>
      <c r="D3144" s="1310">
        <v>690.94999700000005</v>
      </c>
    </row>
    <row r="3145" spans="2:4" x14ac:dyDescent="0.2">
      <c r="B3145" s="1341">
        <v>3666</v>
      </c>
      <c r="C3145" s="1341" t="s">
        <v>4182</v>
      </c>
      <c r="D3145" s="1310">
        <v>661.97500600000001</v>
      </c>
    </row>
    <row r="3146" spans="2:4" x14ac:dyDescent="0.2">
      <c r="B3146" s="1341">
        <v>3667</v>
      </c>
      <c r="C3146" s="1341" t="s">
        <v>4183</v>
      </c>
      <c r="D3146" s="1310">
        <v>696.58334400000001</v>
      </c>
    </row>
    <row r="3147" spans="2:4" x14ac:dyDescent="0.2">
      <c r="B3147" s="1341">
        <v>3668</v>
      </c>
      <c r="C3147" s="1341" t="s">
        <v>4184</v>
      </c>
      <c r="D3147" s="1310">
        <v>664.03332499999999</v>
      </c>
    </row>
    <row r="3148" spans="2:4" x14ac:dyDescent="0.2">
      <c r="B3148" s="1341">
        <v>3669</v>
      </c>
      <c r="C3148" s="1341" t="s">
        <v>4185</v>
      </c>
      <c r="D3148" s="1310">
        <v>695.50001999999995</v>
      </c>
    </row>
    <row r="3149" spans="2:4" x14ac:dyDescent="0.2">
      <c r="B3149" s="1341">
        <v>3670</v>
      </c>
      <c r="C3149" s="1341" t="s">
        <v>4186</v>
      </c>
      <c r="D3149" s="1310">
        <v>670.45</v>
      </c>
    </row>
    <row r="3150" spans="2:4" x14ac:dyDescent="0.2">
      <c r="B3150" s="1341">
        <v>3672</v>
      </c>
      <c r="C3150" s="1341" t="s">
        <v>4187</v>
      </c>
      <c r="D3150" s="1310">
        <v>684.65002400000003</v>
      </c>
    </row>
    <row r="3151" spans="2:4" x14ac:dyDescent="0.2">
      <c r="B3151" s="1341">
        <v>3673</v>
      </c>
      <c r="C3151" s="1341" t="s">
        <v>4188</v>
      </c>
      <c r="D3151" s="1310">
        <v>701.72857699999997</v>
      </c>
    </row>
    <row r="3152" spans="2:4" x14ac:dyDescent="0.2">
      <c r="B3152" s="1341">
        <v>3674</v>
      </c>
      <c r="C3152" s="1341" t="s">
        <v>4189</v>
      </c>
      <c r="D3152" s="1310">
        <v>704.81428700000004</v>
      </c>
    </row>
    <row r="3153" spans="2:4" x14ac:dyDescent="0.2">
      <c r="B3153" s="1341">
        <v>3675</v>
      </c>
      <c r="C3153" s="1341" t="s">
        <v>4190</v>
      </c>
      <c r="D3153" s="1310">
        <v>693.75454999999999</v>
      </c>
    </row>
    <row r="3154" spans="2:4" x14ac:dyDescent="0.2">
      <c r="B3154" s="1341">
        <v>3676</v>
      </c>
      <c r="C3154" s="1341" t="s">
        <v>4191</v>
      </c>
      <c r="D3154" s="1310">
        <v>724.44999700000005</v>
      </c>
    </row>
    <row r="3155" spans="2:4" x14ac:dyDescent="0.2">
      <c r="B3155" s="1341">
        <v>3677</v>
      </c>
      <c r="C3155" s="1341" t="s">
        <v>4192</v>
      </c>
      <c r="D3155" s="1310">
        <v>725.65999799999997</v>
      </c>
    </row>
    <row r="3156" spans="2:4" x14ac:dyDescent="0.2">
      <c r="B3156" s="1341">
        <v>3678</v>
      </c>
      <c r="C3156" s="1341" t="s">
        <v>4193</v>
      </c>
      <c r="D3156" s="1310">
        <v>739.54998799999998</v>
      </c>
    </row>
    <row r="3157" spans="2:4" x14ac:dyDescent="0.2">
      <c r="B3157" s="1341">
        <v>3679</v>
      </c>
      <c r="C3157" s="1341" t="s">
        <v>4194</v>
      </c>
      <c r="D3157" s="1310">
        <v>686</v>
      </c>
    </row>
    <row r="3158" spans="2:4" x14ac:dyDescent="0.2">
      <c r="B3158" s="1341">
        <v>3680</v>
      </c>
      <c r="C3158" s="1341" t="s">
        <v>4195</v>
      </c>
      <c r="D3158" s="1310">
        <v>707.54444699999999</v>
      </c>
    </row>
    <row r="3159" spans="2:4" x14ac:dyDescent="0.2">
      <c r="B3159" s="1341">
        <v>3681</v>
      </c>
      <c r="C3159" s="1341" t="s">
        <v>4196</v>
      </c>
      <c r="D3159" s="1310">
        <v>702.38000499999998</v>
      </c>
    </row>
    <row r="3160" spans="2:4" x14ac:dyDescent="0.2">
      <c r="B3160" s="1341">
        <v>3682</v>
      </c>
      <c r="C3160" s="1341" t="s">
        <v>4197</v>
      </c>
      <c r="D3160" s="1310">
        <v>724.92500299999995</v>
      </c>
    </row>
    <row r="3161" spans="2:4" x14ac:dyDescent="0.2">
      <c r="B3161" s="1341">
        <v>3684</v>
      </c>
      <c r="C3161" s="1341" t="s">
        <v>4198</v>
      </c>
      <c r="D3161" s="1310">
        <v>667.97777599999995</v>
      </c>
    </row>
    <row r="3162" spans="2:4" x14ac:dyDescent="0.2">
      <c r="B3162" s="1341">
        <v>3685</v>
      </c>
      <c r="C3162" s="1341" t="s">
        <v>4199</v>
      </c>
      <c r="D3162" s="1310">
        <v>660.9</v>
      </c>
    </row>
    <row r="3163" spans="2:4" x14ac:dyDescent="0.2">
      <c r="B3163" s="1341">
        <v>3686</v>
      </c>
      <c r="C3163" s="1341" t="s">
        <v>4200</v>
      </c>
      <c r="D3163" s="1310">
        <v>677.38461500000005</v>
      </c>
    </row>
    <row r="3164" spans="2:4" x14ac:dyDescent="0.2">
      <c r="B3164" s="1341">
        <v>3687</v>
      </c>
      <c r="C3164" s="1341" t="s">
        <v>4201</v>
      </c>
      <c r="D3164" s="1310">
        <v>661.56667100000004</v>
      </c>
    </row>
    <row r="3165" spans="2:4" x14ac:dyDescent="0.2">
      <c r="B3165" s="1341">
        <v>3688</v>
      </c>
      <c r="C3165" s="1341" t="s">
        <v>4202</v>
      </c>
      <c r="D3165" s="1310">
        <v>669.41817400000002</v>
      </c>
    </row>
    <row r="3166" spans="2:4" x14ac:dyDescent="0.2">
      <c r="B3166" s="1341">
        <v>3689</v>
      </c>
      <c r="C3166" s="1341" t="s">
        <v>4203</v>
      </c>
      <c r="D3166" s="1310">
        <v>706.90001099999995</v>
      </c>
    </row>
    <row r="3167" spans="2:4" x14ac:dyDescent="0.2">
      <c r="B3167" s="1341">
        <v>3690</v>
      </c>
      <c r="C3167" s="1341" t="s">
        <v>1460</v>
      </c>
      <c r="D3167" s="1310">
        <v>665.10000600000001</v>
      </c>
    </row>
    <row r="3168" spans="2:4" x14ac:dyDescent="0.2">
      <c r="B3168" s="1341">
        <v>3701</v>
      </c>
      <c r="C3168" s="1341" t="s">
        <v>4204</v>
      </c>
      <c r="D3168" s="1310">
        <v>649.68571299999996</v>
      </c>
    </row>
    <row r="3169" spans="2:4" x14ac:dyDescent="0.2">
      <c r="B3169" s="1341">
        <v>3702</v>
      </c>
      <c r="C3169" s="1341" t="s">
        <v>4205</v>
      </c>
      <c r="D3169" s="1310">
        <v>619.879999</v>
      </c>
    </row>
    <row r="3170" spans="2:4" x14ac:dyDescent="0.2">
      <c r="B3170" s="1341">
        <v>3703</v>
      </c>
      <c r="C3170" s="1341" t="s">
        <v>4206</v>
      </c>
      <c r="D3170" s="1310">
        <v>632.55713800000001</v>
      </c>
    </row>
    <row r="3171" spans="2:4" x14ac:dyDescent="0.2">
      <c r="B3171" s="1341">
        <v>3704</v>
      </c>
      <c r="C3171" s="1341" t="s">
        <v>4207</v>
      </c>
      <c r="D3171" s="1310">
        <v>644.5</v>
      </c>
    </row>
    <row r="3172" spans="2:4" x14ac:dyDescent="0.2">
      <c r="B3172" s="1341">
        <v>3705</v>
      </c>
      <c r="C3172" s="1341" t="s">
        <v>4208</v>
      </c>
      <c r="D3172" s="1310">
        <v>631.14445000000001</v>
      </c>
    </row>
    <row r="3173" spans="2:4" x14ac:dyDescent="0.2">
      <c r="B3173" s="1341">
        <v>3706</v>
      </c>
      <c r="C3173" s="1341" t="s">
        <v>4209</v>
      </c>
      <c r="D3173" s="1310">
        <v>614.87778000000003</v>
      </c>
    </row>
    <row r="3174" spans="2:4" x14ac:dyDescent="0.2">
      <c r="B3174" s="1341">
        <v>3707</v>
      </c>
      <c r="C3174" s="1341" t="s">
        <v>4210</v>
      </c>
      <c r="D3174" s="1310">
        <v>646.77499899999998</v>
      </c>
    </row>
    <row r="3175" spans="2:4" x14ac:dyDescent="0.2">
      <c r="B3175" s="1341">
        <v>3708</v>
      </c>
      <c r="C3175" s="1341" t="s">
        <v>4211</v>
      </c>
      <c r="D3175" s="1310">
        <v>728.29998799999998</v>
      </c>
    </row>
    <row r="3176" spans="2:4" x14ac:dyDescent="0.2">
      <c r="B3176" s="1341">
        <v>3709</v>
      </c>
      <c r="C3176" s="1341" t="s">
        <v>4212</v>
      </c>
      <c r="D3176" s="1310">
        <v>702.23749499999997</v>
      </c>
    </row>
    <row r="3177" spans="2:4" x14ac:dyDescent="0.2">
      <c r="B3177" s="1341">
        <v>3710</v>
      </c>
      <c r="C3177" s="1341" t="s">
        <v>4213</v>
      </c>
      <c r="D3177" s="1310">
        <v>642.48461399999997</v>
      </c>
    </row>
    <row r="3178" spans="2:4" x14ac:dyDescent="0.2">
      <c r="B3178" s="1341">
        <v>3711</v>
      </c>
      <c r="C3178" s="1341" t="s">
        <v>4214</v>
      </c>
      <c r="D3178" s="1310">
        <v>634.13332100000002</v>
      </c>
    </row>
    <row r="3179" spans="2:4" x14ac:dyDescent="0.2">
      <c r="B3179" s="1341">
        <v>3712</v>
      </c>
      <c r="C3179" s="1341" t="s">
        <v>4215</v>
      </c>
      <c r="D3179" s="1310">
        <v>632.94167600000003</v>
      </c>
    </row>
    <row r="3180" spans="2:4" x14ac:dyDescent="0.2">
      <c r="B3180" s="1341">
        <v>3713</v>
      </c>
      <c r="C3180" s="1341" t="s">
        <v>1919</v>
      </c>
      <c r="D3180" s="1310">
        <v>670.70000600000003</v>
      </c>
    </row>
    <row r="3181" spans="2:4" x14ac:dyDescent="0.2">
      <c r="B3181" s="1341">
        <v>3714</v>
      </c>
      <c r="C3181" s="1341" t="s">
        <v>4216</v>
      </c>
      <c r="D3181" s="1310">
        <v>683.82857000000001</v>
      </c>
    </row>
    <row r="3182" spans="2:4" x14ac:dyDescent="0.2">
      <c r="B3182" s="1341">
        <v>3715</v>
      </c>
      <c r="C3182" s="1341" t="s">
        <v>4217</v>
      </c>
      <c r="D3182" s="1310">
        <v>696.71665399999995</v>
      </c>
    </row>
    <row r="3183" spans="2:4" x14ac:dyDescent="0.2">
      <c r="B3183" s="1341">
        <v>3716</v>
      </c>
      <c r="C3183" s="1341" t="s">
        <v>4218</v>
      </c>
      <c r="D3183" s="1310">
        <v>715.728568</v>
      </c>
    </row>
    <row r="3184" spans="2:4" x14ac:dyDescent="0.2">
      <c r="B3184" s="1341">
        <v>3717</v>
      </c>
      <c r="C3184" s="1341" t="s">
        <v>4219</v>
      </c>
      <c r="D3184" s="1310">
        <v>722.85998500000005</v>
      </c>
    </row>
    <row r="3185" spans="2:4" x14ac:dyDescent="0.2">
      <c r="B3185" s="1341">
        <v>3718</v>
      </c>
      <c r="C3185" s="1341" t="s">
        <v>4220</v>
      </c>
      <c r="D3185" s="1310">
        <v>780.72000700000001</v>
      </c>
    </row>
    <row r="3186" spans="2:4" x14ac:dyDescent="0.2">
      <c r="B3186" s="1341">
        <v>3719</v>
      </c>
      <c r="C3186" s="1341" t="s">
        <v>4221</v>
      </c>
      <c r="D3186" s="1310">
        <v>749.40000899999995</v>
      </c>
    </row>
    <row r="3187" spans="2:4" x14ac:dyDescent="0.2">
      <c r="B3187" s="1341">
        <v>3720</v>
      </c>
      <c r="C3187" s="1341" t="s">
        <v>4222</v>
      </c>
      <c r="D3187" s="1310">
        <v>738.02500199999997</v>
      </c>
    </row>
    <row r="3188" spans="2:4" x14ac:dyDescent="0.2">
      <c r="B3188" s="1341">
        <v>3721</v>
      </c>
      <c r="C3188" s="1341" t="s">
        <v>4223</v>
      </c>
      <c r="D3188" s="1310">
        <v>775.32857000000001</v>
      </c>
    </row>
    <row r="3189" spans="2:4" x14ac:dyDescent="0.2">
      <c r="B3189" s="1341">
        <v>3722</v>
      </c>
      <c r="C3189" s="1341" t="s">
        <v>4224</v>
      </c>
      <c r="D3189" s="1310">
        <v>836.89999399999999</v>
      </c>
    </row>
    <row r="3190" spans="2:4" x14ac:dyDescent="0.2">
      <c r="B3190" s="1341">
        <v>3723</v>
      </c>
      <c r="C3190" s="1341" t="s">
        <v>4225</v>
      </c>
      <c r="D3190" s="1310">
        <v>799</v>
      </c>
    </row>
    <row r="3191" spans="2:4" x14ac:dyDescent="0.2">
      <c r="B3191" s="1341">
        <v>3724</v>
      </c>
      <c r="C3191" s="1341" t="s">
        <v>4226</v>
      </c>
      <c r="D3191" s="1310">
        <v>780.48332700000003</v>
      </c>
    </row>
    <row r="3192" spans="2:4" x14ac:dyDescent="0.2">
      <c r="B3192" s="1341">
        <v>3725</v>
      </c>
      <c r="C3192" s="1341" t="s">
        <v>4227</v>
      </c>
      <c r="D3192" s="1310">
        <v>791.45713999999998</v>
      </c>
    </row>
    <row r="3193" spans="2:4" x14ac:dyDescent="0.2">
      <c r="B3193" s="1341">
        <v>3726</v>
      </c>
      <c r="C3193" s="1341" t="s">
        <v>4228</v>
      </c>
      <c r="D3193" s="1310">
        <v>735.62500799999998</v>
      </c>
    </row>
    <row r="3194" spans="2:4" x14ac:dyDescent="0.2">
      <c r="B3194" s="1341">
        <v>3727</v>
      </c>
      <c r="C3194" s="1341" t="s">
        <v>4229</v>
      </c>
      <c r="D3194" s="1310">
        <v>770.80000299999995</v>
      </c>
    </row>
    <row r="3195" spans="2:4" x14ac:dyDescent="0.2">
      <c r="B3195" s="1341">
        <v>3728</v>
      </c>
      <c r="C3195" s="1341" t="s">
        <v>3991</v>
      </c>
      <c r="D3195" s="1310">
        <v>742.38334099999997</v>
      </c>
    </row>
    <row r="3196" spans="2:4" x14ac:dyDescent="0.2">
      <c r="B3196" s="1341">
        <v>3729</v>
      </c>
      <c r="C3196" s="1341" t="s">
        <v>4230</v>
      </c>
      <c r="D3196" s="1310">
        <v>772.13332100000002</v>
      </c>
    </row>
    <row r="3197" spans="2:4" x14ac:dyDescent="0.2">
      <c r="B3197" s="1341">
        <v>3730</v>
      </c>
      <c r="C3197" s="1341" t="s">
        <v>4231</v>
      </c>
      <c r="D3197" s="1310">
        <v>760.32501200000002</v>
      </c>
    </row>
    <row r="3198" spans="2:4" x14ac:dyDescent="0.2">
      <c r="B3198" s="1341">
        <v>3731</v>
      </c>
      <c r="C3198" s="1341" t="s">
        <v>4232</v>
      </c>
      <c r="D3198" s="1310">
        <v>776.70001200000002</v>
      </c>
    </row>
    <row r="3199" spans="2:4" x14ac:dyDescent="0.2">
      <c r="B3199" s="1341">
        <v>3732</v>
      </c>
      <c r="C3199" s="1341" t="s">
        <v>4233</v>
      </c>
      <c r="D3199" s="1310">
        <v>782.57332599999995</v>
      </c>
    </row>
    <row r="3200" spans="2:4" x14ac:dyDescent="0.2">
      <c r="B3200" s="1341">
        <v>3733</v>
      </c>
      <c r="C3200" s="1341" t="s">
        <v>4234</v>
      </c>
      <c r="D3200" s="1310">
        <v>780.17498799999998</v>
      </c>
    </row>
    <row r="3201" spans="2:4" x14ac:dyDescent="0.2">
      <c r="B3201" s="1341">
        <v>3734</v>
      </c>
      <c r="C3201" s="1341" t="s">
        <v>4235</v>
      </c>
      <c r="D3201" s="1310">
        <v>639.35000600000001</v>
      </c>
    </row>
    <row r="3202" spans="2:4" x14ac:dyDescent="0.2">
      <c r="B3202" s="1341">
        <v>3735</v>
      </c>
      <c r="C3202" s="1341" t="s">
        <v>4236</v>
      </c>
      <c r="D3202" s="1310">
        <v>724.41935699999999</v>
      </c>
    </row>
    <row r="3203" spans="2:4" x14ac:dyDescent="0.2">
      <c r="B3203" s="1341">
        <v>3736</v>
      </c>
      <c r="C3203" s="1341" t="s">
        <v>4237</v>
      </c>
      <c r="D3203" s="1310">
        <v>776.09997599999997</v>
      </c>
    </row>
    <row r="3204" spans="2:4" x14ac:dyDescent="0.2">
      <c r="B3204" s="1341">
        <v>3737</v>
      </c>
      <c r="C3204" s="1341" t="s">
        <v>4238</v>
      </c>
      <c r="D3204" s="1310">
        <v>778.46109999999999</v>
      </c>
    </row>
    <row r="3205" spans="2:4" x14ac:dyDescent="0.2">
      <c r="B3205" s="1341">
        <v>3738</v>
      </c>
      <c r="C3205" s="1341" t="s">
        <v>4239</v>
      </c>
      <c r="D3205" s="1310">
        <v>628.22499100000005</v>
      </c>
    </row>
    <row r="3206" spans="2:4" x14ac:dyDescent="0.2">
      <c r="B3206" s="1341">
        <v>3739</v>
      </c>
      <c r="C3206" s="1341" t="s">
        <v>4240</v>
      </c>
      <c r="D3206" s="1310">
        <v>633.25998500000003</v>
      </c>
    </row>
    <row r="3207" spans="2:4" x14ac:dyDescent="0.2">
      <c r="B3207" s="1341">
        <v>3740</v>
      </c>
      <c r="C3207" s="1341" t="s">
        <v>4241</v>
      </c>
      <c r="D3207" s="1310">
        <v>627.11999500000002</v>
      </c>
    </row>
    <row r="3208" spans="2:4" x14ac:dyDescent="0.2">
      <c r="B3208" s="1341">
        <v>3741</v>
      </c>
      <c r="C3208" s="1341" t="s">
        <v>4242</v>
      </c>
      <c r="D3208" s="1310">
        <v>687.27500199999997</v>
      </c>
    </row>
    <row r="3209" spans="2:4" x14ac:dyDescent="0.2">
      <c r="B3209" s="1341">
        <v>3742</v>
      </c>
      <c r="C3209" s="1341" t="s">
        <v>4243</v>
      </c>
      <c r="D3209" s="1310">
        <v>773.45001200000002</v>
      </c>
    </row>
    <row r="3210" spans="2:4" x14ac:dyDescent="0.2">
      <c r="B3210" s="1341">
        <v>3743</v>
      </c>
      <c r="C3210" s="1341" t="s">
        <v>4244</v>
      </c>
      <c r="D3210" s="1310">
        <v>768.875</v>
      </c>
    </row>
    <row r="3211" spans="2:4" x14ac:dyDescent="0.2">
      <c r="B3211" s="1341">
        <v>3744</v>
      </c>
      <c r="C3211" s="1341" t="s">
        <v>4245</v>
      </c>
      <c r="D3211" s="1310">
        <v>702.60588900000005</v>
      </c>
    </row>
    <row r="3212" spans="2:4" x14ac:dyDescent="0.2">
      <c r="B3212" s="1341">
        <v>3745</v>
      </c>
      <c r="C3212" s="1341" t="s">
        <v>4246</v>
      </c>
      <c r="D3212" s="1310">
        <v>644.08000500000003</v>
      </c>
    </row>
    <row r="3213" spans="2:4" x14ac:dyDescent="0.2">
      <c r="B3213" s="1341">
        <v>3746</v>
      </c>
      <c r="C3213" s="1341" t="s">
        <v>4247</v>
      </c>
      <c r="D3213" s="1310">
        <v>656.47499100000005</v>
      </c>
    </row>
    <row r="3214" spans="2:4" x14ac:dyDescent="0.2">
      <c r="B3214" s="1341">
        <v>3747</v>
      </c>
      <c r="C3214" s="1341" t="s">
        <v>4248</v>
      </c>
      <c r="D3214" s="1310">
        <v>650.29998799999998</v>
      </c>
    </row>
    <row r="3215" spans="2:4" x14ac:dyDescent="0.2">
      <c r="B3215" s="1341">
        <v>3748</v>
      </c>
      <c r="C3215" s="1341" t="s">
        <v>4249</v>
      </c>
      <c r="D3215" s="1310">
        <v>759.94666700000005</v>
      </c>
    </row>
    <row r="3216" spans="2:4" x14ac:dyDescent="0.2">
      <c r="B3216" s="1341">
        <v>3749</v>
      </c>
      <c r="C3216" s="1341" t="s">
        <v>4250</v>
      </c>
      <c r="D3216" s="1310">
        <v>736.629999</v>
      </c>
    </row>
    <row r="3217" spans="2:4" x14ac:dyDescent="0.2">
      <c r="B3217" s="1341">
        <v>3750</v>
      </c>
      <c r="C3217" s="1341" t="s">
        <v>4251</v>
      </c>
      <c r="D3217" s="1310">
        <v>709.90000199999997</v>
      </c>
    </row>
    <row r="3218" spans="2:4" x14ac:dyDescent="0.2">
      <c r="B3218" s="1341">
        <v>3751</v>
      </c>
      <c r="C3218" s="1341" t="s">
        <v>4252</v>
      </c>
      <c r="D3218" s="1310">
        <v>704.63750500000003</v>
      </c>
    </row>
    <row r="3219" spans="2:4" x14ac:dyDescent="0.2">
      <c r="B3219" s="1341">
        <v>3752</v>
      </c>
      <c r="C3219" s="1341" t="s">
        <v>4253</v>
      </c>
      <c r="D3219" s="1310">
        <v>729.59090400000002</v>
      </c>
    </row>
    <row r="3220" spans="2:4" x14ac:dyDescent="0.2">
      <c r="B3220" s="1341">
        <v>3753</v>
      </c>
      <c r="C3220" s="1341" t="s">
        <v>4254</v>
      </c>
      <c r="D3220" s="1310">
        <v>727.51999499999999</v>
      </c>
    </row>
    <row r="3221" spans="2:4" x14ac:dyDescent="0.2">
      <c r="B3221" s="1341">
        <v>3754</v>
      </c>
      <c r="C3221" s="1341" t="s">
        <v>4255</v>
      </c>
      <c r="D3221" s="1310">
        <v>672.36665900000003</v>
      </c>
    </row>
    <row r="3222" spans="2:4" x14ac:dyDescent="0.2">
      <c r="B3222" s="1341">
        <v>3755</v>
      </c>
      <c r="C3222" s="1341" t="s">
        <v>3056</v>
      </c>
      <c r="D3222" s="1310">
        <v>721.91249800000003</v>
      </c>
    </row>
    <row r="3223" spans="2:4" x14ac:dyDescent="0.2">
      <c r="B3223" s="1341">
        <v>3756</v>
      </c>
      <c r="C3223" s="1341" t="s">
        <v>4256</v>
      </c>
      <c r="D3223" s="1310">
        <v>763.56666099999995</v>
      </c>
    </row>
    <row r="3224" spans="2:4" x14ac:dyDescent="0.2">
      <c r="B3224" s="1341">
        <v>3757</v>
      </c>
      <c r="C3224" s="1341" t="s">
        <v>4257</v>
      </c>
      <c r="D3224" s="1310">
        <v>795.5</v>
      </c>
    </row>
    <row r="3225" spans="2:4" x14ac:dyDescent="0.2">
      <c r="B3225" s="1341">
        <v>3758</v>
      </c>
      <c r="C3225" s="1341" t="s">
        <v>2204</v>
      </c>
      <c r="D3225" s="1310">
        <v>779.31875200000002</v>
      </c>
    </row>
    <row r="3226" spans="2:4" x14ac:dyDescent="0.2">
      <c r="B3226" s="1341">
        <v>3759</v>
      </c>
      <c r="C3226" s="1341" t="s">
        <v>4258</v>
      </c>
      <c r="D3226" s="1310">
        <v>748.73846400000002</v>
      </c>
    </row>
    <row r="3227" spans="2:4" x14ac:dyDescent="0.2">
      <c r="B3227" s="1341">
        <v>3760</v>
      </c>
      <c r="C3227" s="1341" t="s">
        <v>4259</v>
      </c>
      <c r="D3227" s="1310">
        <v>794.59999100000005</v>
      </c>
    </row>
    <row r="3228" spans="2:4" x14ac:dyDescent="0.2">
      <c r="B3228" s="1341">
        <v>3761</v>
      </c>
      <c r="C3228" s="1341" t="s">
        <v>4260</v>
      </c>
      <c r="D3228" s="1310">
        <v>819.27272200000004</v>
      </c>
    </row>
    <row r="3229" spans="2:4" x14ac:dyDescent="0.2">
      <c r="B3229" s="1341">
        <v>3762</v>
      </c>
      <c r="C3229" s="1341" t="s">
        <v>4261</v>
      </c>
      <c r="D3229" s="1310">
        <v>781.633331</v>
      </c>
    </row>
    <row r="3230" spans="2:4" x14ac:dyDescent="0.2">
      <c r="B3230" s="1341">
        <v>3763</v>
      </c>
      <c r="C3230" s="1341" t="s">
        <v>1790</v>
      </c>
      <c r="D3230" s="1310">
        <v>751.64999399999999</v>
      </c>
    </row>
    <row r="3231" spans="2:4" x14ac:dyDescent="0.2">
      <c r="B3231" s="1341">
        <v>3764</v>
      </c>
      <c r="C3231" s="1341" t="s">
        <v>4262</v>
      </c>
      <c r="D3231" s="1310">
        <v>799.27499399999999</v>
      </c>
    </row>
    <row r="3232" spans="2:4" x14ac:dyDescent="0.2">
      <c r="B3232" s="1341">
        <v>3765</v>
      </c>
      <c r="C3232" s="1341" t="s">
        <v>4263</v>
      </c>
      <c r="D3232" s="1310">
        <v>749.08333300000004</v>
      </c>
    </row>
    <row r="3233" spans="2:4" x14ac:dyDescent="0.2">
      <c r="B3233" s="1341">
        <v>3766</v>
      </c>
      <c r="C3233" s="1341" t="s">
        <v>4264</v>
      </c>
      <c r="D3233" s="1310">
        <v>743.13334099999997</v>
      </c>
    </row>
    <row r="3234" spans="2:4" x14ac:dyDescent="0.2">
      <c r="B3234" s="1341">
        <v>3767</v>
      </c>
      <c r="C3234" s="1341" t="s">
        <v>4265</v>
      </c>
      <c r="D3234" s="1310">
        <v>811.30000600000005</v>
      </c>
    </row>
    <row r="3235" spans="2:4" x14ac:dyDescent="0.2">
      <c r="B3235" s="1341">
        <v>3768</v>
      </c>
      <c r="C3235" s="1341" t="s">
        <v>4266</v>
      </c>
      <c r="D3235" s="1310">
        <v>831.76664200000005</v>
      </c>
    </row>
    <row r="3236" spans="2:4" x14ac:dyDescent="0.2">
      <c r="B3236" s="1341">
        <v>3769</v>
      </c>
      <c r="C3236" s="1341" t="s">
        <v>4267</v>
      </c>
      <c r="D3236" s="1310">
        <v>802.93333600000005</v>
      </c>
    </row>
    <row r="3237" spans="2:4" x14ac:dyDescent="0.2">
      <c r="B3237" s="1341">
        <v>3770</v>
      </c>
      <c r="C3237" s="1341" t="s">
        <v>4268</v>
      </c>
      <c r="D3237" s="1310">
        <v>811.84999100000005</v>
      </c>
    </row>
    <row r="3238" spans="2:4" x14ac:dyDescent="0.2">
      <c r="B3238" s="1341">
        <v>3801</v>
      </c>
      <c r="C3238" s="1341" t="s">
        <v>4269</v>
      </c>
      <c r="D3238" s="1310">
        <v>613.85716000000002</v>
      </c>
    </row>
    <row r="3239" spans="2:4" x14ac:dyDescent="0.2">
      <c r="B3239" s="1341">
        <v>3802</v>
      </c>
      <c r="C3239" s="1341" t="s">
        <v>4270</v>
      </c>
      <c r="D3239" s="1310">
        <v>621.16666699999996</v>
      </c>
    </row>
    <row r="3240" spans="2:4" x14ac:dyDescent="0.2">
      <c r="B3240" s="1341">
        <v>3803</v>
      </c>
      <c r="C3240" s="1341" t="s">
        <v>4271</v>
      </c>
      <c r="D3240" s="1310">
        <v>704.76666299999999</v>
      </c>
    </row>
    <row r="3241" spans="2:4" x14ac:dyDescent="0.2">
      <c r="B3241" s="1341">
        <v>3804</v>
      </c>
      <c r="C3241" s="1341" t="s">
        <v>4272</v>
      </c>
      <c r="D3241" s="1310">
        <v>696.85715200000004</v>
      </c>
    </row>
    <row r="3242" spans="2:4" x14ac:dyDescent="0.2">
      <c r="B3242" s="1341">
        <v>3805</v>
      </c>
      <c r="C3242" s="1341" t="s">
        <v>4273</v>
      </c>
      <c r="D3242" s="1310">
        <v>699.58181999999999</v>
      </c>
    </row>
    <row r="3243" spans="2:4" x14ac:dyDescent="0.2">
      <c r="B3243" s="1341">
        <v>3806</v>
      </c>
      <c r="C3243" s="1341" t="s">
        <v>4274</v>
      </c>
      <c r="D3243" s="1310">
        <v>702.84614899999997</v>
      </c>
    </row>
    <row r="3244" spans="2:4" x14ac:dyDescent="0.2">
      <c r="B3244" s="1341">
        <v>3807</v>
      </c>
      <c r="C3244" s="1341" t="s">
        <v>4275</v>
      </c>
      <c r="D3244" s="1310">
        <v>722.67999299999997</v>
      </c>
    </row>
    <row r="3245" spans="2:4" x14ac:dyDescent="0.2">
      <c r="B3245" s="1341">
        <v>3808</v>
      </c>
      <c r="C3245" s="1341" t="s">
        <v>4276</v>
      </c>
      <c r="D3245" s="1310">
        <v>616.15713900000003</v>
      </c>
    </row>
    <row r="3246" spans="2:4" x14ac:dyDescent="0.2">
      <c r="B3246" s="1341">
        <v>3809</v>
      </c>
      <c r="C3246" s="1341" t="s">
        <v>4277</v>
      </c>
      <c r="D3246" s="1310">
        <v>619.02221699999996</v>
      </c>
    </row>
    <row r="3247" spans="2:4" x14ac:dyDescent="0.2">
      <c r="B3247" s="1341">
        <v>3810</v>
      </c>
      <c r="C3247" s="1341" t="s">
        <v>3601</v>
      </c>
      <c r="D3247" s="1310">
        <v>617.85999800000002</v>
      </c>
    </row>
    <row r="3248" spans="2:4" x14ac:dyDescent="0.2">
      <c r="B3248" s="1341">
        <v>3811</v>
      </c>
      <c r="C3248" s="1341" t="s">
        <v>4278</v>
      </c>
      <c r="D3248" s="1310">
        <v>628.20588999999995</v>
      </c>
    </row>
    <row r="3249" spans="2:4" x14ac:dyDescent="0.2">
      <c r="B3249" s="1341">
        <v>3812</v>
      </c>
      <c r="C3249" s="1341" t="s">
        <v>4279</v>
      </c>
      <c r="D3249" s="1310">
        <v>605.17500299999995</v>
      </c>
    </row>
    <row r="3250" spans="2:4" x14ac:dyDescent="0.2">
      <c r="B3250" s="1341">
        <v>3813</v>
      </c>
      <c r="C3250" s="1341" t="s">
        <v>1967</v>
      </c>
      <c r="D3250" s="1310">
        <v>674.66000399999996</v>
      </c>
    </row>
    <row r="3251" spans="2:4" x14ac:dyDescent="0.2">
      <c r="B3251" s="1341">
        <v>3814</v>
      </c>
      <c r="C3251" s="1341" t="s">
        <v>4280</v>
      </c>
      <c r="D3251" s="1310">
        <v>664.04166699999996</v>
      </c>
    </row>
    <row r="3252" spans="2:4" x14ac:dyDescent="0.2">
      <c r="B3252" s="1341">
        <v>3815</v>
      </c>
      <c r="C3252" s="1341" t="s">
        <v>3390</v>
      </c>
      <c r="D3252" s="1310">
        <v>627.10000300000002</v>
      </c>
    </row>
    <row r="3253" spans="2:4" x14ac:dyDescent="0.2">
      <c r="B3253" s="1341">
        <v>3816</v>
      </c>
      <c r="C3253" s="1341" t="s">
        <v>4281</v>
      </c>
      <c r="D3253" s="1310">
        <v>715.53334600000005</v>
      </c>
    </row>
    <row r="3254" spans="2:4" x14ac:dyDescent="0.2">
      <c r="B3254" s="1341">
        <v>3817</v>
      </c>
      <c r="C3254" s="1341" t="s">
        <v>4282</v>
      </c>
      <c r="D3254" s="1310">
        <v>626.32857799999999</v>
      </c>
    </row>
    <row r="3255" spans="2:4" x14ac:dyDescent="0.2">
      <c r="B3255" s="1341">
        <v>3818</v>
      </c>
      <c r="C3255" s="1341" t="s">
        <v>4283</v>
      </c>
      <c r="D3255" s="1310">
        <v>708.99333100000001</v>
      </c>
    </row>
    <row r="3256" spans="2:4" x14ac:dyDescent="0.2">
      <c r="B3256" s="1341">
        <v>3819</v>
      </c>
      <c r="C3256" s="1341" t="s">
        <v>1642</v>
      </c>
      <c r="D3256" s="1310">
        <v>624.61667899999998</v>
      </c>
    </row>
    <row r="3257" spans="2:4" x14ac:dyDescent="0.2">
      <c r="B3257" s="1341">
        <v>3820</v>
      </c>
      <c r="C3257" s="1341" t="s">
        <v>4284</v>
      </c>
      <c r="D3257" s="1310">
        <v>645.70714899999996</v>
      </c>
    </row>
    <row r="3258" spans="2:4" x14ac:dyDescent="0.2">
      <c r="B3258" s="1341">
        <v>3821</v>
      </c>
      <c r="C3258" s="1341" t="s">
        <v>4285</v>
      </c>
      <c r="D3258" s="1310">
        <v>652.05554900000004</v>
      </c>
    </row>
    <row r="3259" spans="2:4" x14ac:dyDescent="0.2">
      <c r="B3259" s="1341">
        <v>3822</v>
      </c>
      <c r="C3259" s="1341" t="s">
        <v>4286</v>
      </c>
      <c r="D3259" s="1310">
        <v>762.78332499999999</v>
      </c>
    </row>
    <row r="3260" spans="2:4" x14ac:dyDescent="0.2">
      <c r="B3260" s="1341">
        <v>3823</v>
      </c>
      <c r="C3260" s="1341" t="s">
        <v>4287</v>
      </c>
      <c r="D3260" s="1310">
        <v>745.58333300000004</v>
      </c>
    </row>
    <row r="3261" spans="2:4" x14ac:dyDescent="0.2">
      <c r="B3261" s="1341">
        <v>3824</v>
      </c>
      <c r="C3261" s="1341" t="s">
        <v>4288</v>
      </c>
      <c r="D3261" s="1310">
        <v>690.23332700000003</v>
      </c>
    </row>
    <row r="3262" spans="2:4" x14ac:dyDescent="0.2">
      <c r="B3262" s="1341">
        <v>3825</v>
      </c>
      <c r="C3262" s="1341" t="s">
        <v>4289</v>
      </c>
      <c r="D3262" s="1310">
        <v>642.95832800000005</v>
      </c>
    </row>
    <row r="3263" spans="2:4" x14ac:dyDescent="0.2">
      <c r="B3263" s="1341">
        <v>3826</v>
      </c>
      <c r="C3263" s="1341" t="s">
        <v>4290</v>
      </c>
      <c r="D3263" s="1310">
        <v>694.25000999999997</v>
      </c>
    </row>
    <row r="3264" spans="2:4" x14ac:dyDescent="0.2">
      <c r="B3264" s="1341">
        <v>3827</v>
      </c>
      <c r="C3264" s="1341" t="s">
        <v>4291</v>
      </c>
      <c r="D3264" s="1310">
        <v>611.63999799999999</v>
      </c>
    </row>
    <row r="3265" spans="2:4" x14ac:dyDescent="0.2">
      <c r="B3265" s="1341">
        <v>3828</v>
      </c>
      <c r="C3265" s="1341" t="s">
        <v>4292</v>
      </c>
      <c r="D3265" s="1310">
        <v>687.93332899999996</v>
      </c>
    </row>
    <row r="3266" spans="2:4" x14ac:dyDescent="0.2">
      <c r="B3266" s="1341">
        <v>3829</v>
      </c>
      <c r="C3266" s="1341" t="s">
        <v>4293</v>
      </c>
      <c r="D3266" s="1310">
        <v>742.93332899999996</v>
      </c>
    </row>
    <row r="3267" spans="2:4" x14ac:dyDescent="0.2">
      <c r="B3267" s="1341">
        <v>3830</v>
      </c>
      <c r="C3267" s="1341" t="s">
        <v>4294</v>
      </c>
      <c r="D3267" s="1310">
        <v>677.32142899999997</v>
      </c>
    </row>
    <row r="3268" spans="2:4" x14ac:dyDescent="0.2">
      <c r="B3268" s="1341">
        <v>3831</v>
      </c>
      <c r="C3268" s="1341" t="s">
        <v>4295</v>
      </c>
      <c r="D3268" s="1310">
        <v>666.94000200000005</v>
      </c>
    </row>
    <row r="3269" spans="2:4" x14ac:dyDescent="0.2">
      <c r="B3269" s="1341">
        <v>3832</v>
      </c>
      <c r="C3269" s="1341" t="s">
        <v>4296</v>
      </c>
      <c r="D3269" s="1310">
        <v>619.04999799999996</v>
      </c>
    </row>
    <row r="3270" spans="2:4" x14ac:dyDescent="0.2">
      <c r="B3270" s="1341">
        <v>3833</v>
      </c>
      <c r="C3270" s="1341" t="s">
        <v>4297</v>
      </c>
      <c r="D3270" s="1310">
        <v>643.86364200000003</v>
      </c>
    </row>
    <row r="3271" spans="2:4" x14ac:dyDescent="0.2">
      <c r="B3271" s="1341">
        <v>3834</v>
      </c>
      <c r="C3271" s="1341" t="s">
        <v>4298</v>
      </c>
      <c r="D3271" s="1310">
        <v>631.776926</v>
      </c>
    </row>
    <row r="3272" spans="2:4" x14ac:dyDescent="0.2">
      <c r="B3272" s="1341">
        <v>3835</v>
      </c>
      <c r="C3272" s="1341" t="s">
        <v>4299</v>
      </c>
      <c r="D3272" s="1310">
        <v>611.32221800000002</v>
      </c>
    </row>
    <row r="3273" spans="2:4" x14ac:dyDescent="0.2">
      <c r="B3273" s="1341">
        <v>3836</v>
      </c>
      <c r="C3273" s="1341" t="s">
        <v>4300</v>
      </c>
      <c r="D3273" s="1310">
        <v>621.32499700000005</v>
      </c>
    </row>
    <row r="3274" spans="2:4" x14ac:dyDescent="0.2">
      <c r="B3274" s="1341">
        <v>3837</v>
      </c>
      <c r="C3274" s="1341" t="s">
        <v>4301</v>
      </c>
      <c r="D3274" s="1310">
        <v>691.53334600000005</v>
      </c>
    </row>
    <row r="3275" spans="2:4" x14ac:dyDescent="0.2">
      <c r="B3275" s="1341">
        <v>3838</v>
      </c>
      <c r="C3275" s="1341" t="s">
        <v>4302</v>
      </c>
      <c r="D3275" s="1310">
        <v>675.30000800000005</v>
      </c>
    </row>
    <row r="3276" spans="2:4" x14ac:dyDescent="0.2">
      <c r="B3276" s="1341">
        <v>3839</v>
      </c>
      <c r="C3276" s="1341" t="s">
        <v>1290</v>
      </c>
      <c r="D3276" s="1310">
        <v>669.5</v>
      </c>
    </row>
    <row r="3277" spans="2:4" x14ac:dyDescent="0.2">
      <c r="B3277" s="1341">
        <v>3840</v>
      </c>
      <c r="C3277" s="1341" t="s">
        <v>4303</v>
      </c>
      <c r="D3277" s="1310">
        <v>686.21999500000004</v>
      </c>
    </row>
    <row r="3278" spans="2:4" x14ac:dyDescent="0.2">
      <c r="B3278" s="1341">
        <v>3841</v>
      </c>
      <c r="C3278" s="1341" t="s">
        <v>4304</v>
      </c>
      <c r="D3278" s="1310">
        <v>721</v>
      </c>
    </row>
    <row r="3279" spans="2:4" x14ac:dyDescent="0.2">
      <c r="B3279" s="1341">
        <v>3842</v>
      </c>
      <c r="C3279" s="1341" t="s">
        <v>4305</v>
      </c>
      <c r="D3279" s="1310">
        <v>717.48331700000006</v>
      </c>
    </row>
    <row r="3280" spans="2:4" x14ac:dyDescent="0.2">
      <c r="B3280" s="1341">
        <v>3843</v>
      </c>
      <c r="C3280" s="1341" t="s">
        <v>3796</v>
      </c>
      <c r="D3280" s="1310">
        <v>679.95999800000004</v>
      </c>
    </row>
    <row r="3281" spans="2:4" x14ac:dyDescent="0.2">
      <c r="B3281" s="1341">
        <v>3844</v>
      </c>
      <c r="C3281" s="1341" t="s">
        <v>4306</v>
      </c>
      <c r="D3281" s="1310">
        <v>664</v>
      </c>
    </row>
    <row r="3282" spans="2:4" x14ac:dyDescent="0.2">
      <c r="B3282" s="1341">
        <v>3845</v>
      </c>
      <c r="C3282" s="1341" t="s">
        <v>1653</v>
      </c>
      <c r="D3282" s="1310">
        <v>657.50908300000003</v>
      </c>
    </row>
    <row r="3283" spans="2:4" x14ac:dyDescent="0.2">
      <c r="B3283" s="1341">
        <v>3846</v>
      </c>
      <c r="C3283" s="1341" t="s">
        <v>4307</v>
      </c>
      <c r="D3283" s="1310">
        <v>702.18332899999996</v>
      </c>
    </row>
    <row r="3284" spans="2:4" x14ac:dyDescent="0.2">
      <c r="B3284" s="1341">
        <v>3847</v>
      </c>
      <c r="C3284" s="1341" t="s">
        <v>4308</v>
      </c>
      <c r="D3284" s="1310">
        <v>735.56667100000004</v>
      </c>
    </row>
    <row r="3285" spans="2:4" x14ac:dyDescent="0.2">
      <c r="B3285" s="1341">
        <v>3848</v>
      </c>
      <c r="C3285" s="1341" t="s">
        <v>4309</v>
      </c>
      <c r="D3285" s="1310">
        <v>626.85455300000001</v>
      </c>
    </row>
    <row r="3286" spans="2:4" x14ac:dyDescent="0.2">
      <c r="B3286" s="1341">
        <v>3849</v>
      </c>
      <c r="C3286" s="1341" t="s">
        <v>4310</v>
      </c>
      <c r="D3286" s="1310">
        <v>638.25001499999996</v>
      </c>
    </row>
    <row r="3287" spans="2:4" x14ac:dyDescent="0.2">
      <c r="B3287" s="1341">
        <v>3850</v>
      </c>
      <c r="C3287" s="1341" t="s">
        <v>4311</v>
      </c>
      <c r="D3287" s="1310">
        <v>668.36665900000003</v>
      </c>
    </row>
    <row r="3288" spans="2:4" x14ac:dyDescent="0.2">
      <c r="B3288" s="1341">
        <v>3851</v>
      </c>
      <c r="C3288" s="1341" t="s">
        <v>4312</v>
      </c>
      <c r="D3288" s="1310">
        <v>712.58333300000004</v>
      </c>
    </row>
    <row r="3289" spans="2:4" x14ac:dyDescent="0.2">
      <c r="B3289" s="1341">
        <v>3852</v>
      </c>
      <c r="C3289" s="1341" t="s">
        <v>4313</v>
      </c>
      <c r="D3289" s="1310">
        <v>605.84286099999997</v>
      </c>
    </row>
    <row r="3290" spans="2:4" x14ac:dyDescent="0.2">
      <c r="B3290" s="1341">
        <v>3853</v>
      </c>
      <c r="C3290" s="1341" t="s">
        <v>4314</v>
      </c>
      <c r="D3290" s="1310">
        <v>737.81667100000004</v>
      </c>
    </row>
    <row r="3291" spans="2:4" x14ac:dyDescent="0.2">
      <c r="B3291" s="1341">
        <v>3854</v>
      </c>
      <c r="C3291" s="1341" t="s">
        <v>4315</v>
      </c>
      <c r="D3291" s="1310">
        <v>663.100008</v>
      </c>
    </row>
    <row r="3292" spans="2:4" x14ac:dyDescent="0.2">
      <c r="B3292" s="1341">
        <v>3855</v>
      </c>
      <c r="C3292" s="1341" t="s">
        <v>4316</v>
      </c>
      <c r="D3292" s="1310">
        <v>722.27500899999995</v>
      </c>
    </row>
    <row r="3293" spans="2:4" x14ac:dyDescent="0.2">
      <c r="B3293" s="1341">
        <v>3856</v>
      </c>
      <c r="C3293" s="1341" t="s">
        <v>4317</v>
      </c>
      <c r="D3293" s="1310">
        <v>707.79999799999996</v>
      </c>
    </row>
    <row r="3294" spans="2:4" x14ac:dyDescent="0.2">
      <c r="B3294" s="1341">
        <v>3857</v>
      </c>
      <c r="C3294" s="1341" t="s">
        <v>4318</v>
      </c>
      <c r="D3294" s="1310">
        <v>744.32000700000003</v>
      </c>
    </row>
    <row r="3295" spans="2:4" x14ac:dyDescent="0.2">
      <c r="B3295" s="1341">
        <v>3858</v>
      </c>
      <c r="C3295" s="1341" t="s">
        <v>4319</v>
      </c>
      <c r="D3295" s="1310">
        <v>744.42221400000005</v>
      </c>
    </row>
    <row r="3296" spans="2:4" x14ac:dyDescent="0.2">
      <c r="B3296" s="1341">
        <v>3859</v>
      </c>
      <c r="C3296" s="1341" t="s">
        <v>4320</v>
      </c>
      <c r="D3296" s="1310">
        <v>652.29999999999995</v>
      </c>
    </row>
    <row r="3297" spans="2:4" x14ac:dyDescent="0.2">
      <c r="B3297" s="1341">
        <v>3860</v>
      </c>
      <c r="C3297" s="1341" t="s">
        <v>4321</v>
      </c>
      <c r="D3297" s="1310">
        <v>645.985004</v>
      </c>
    </row>
    <row r="3298" spans="2:4" x14ac:dyDescent="0.2">
      <c r="B3298" s="1341">
        <v>3861</v>
      </c>
      <c r="C3298" s="1341" t="s">
        <v>4322</v>
      </c>
      <c r="D3298" s="1310">
        <v>688.383331</v>
      </c>
    </row>
    <row r="3299" spans="2:4" x14ac:dyDescent="0.2">
      <c r="B3299" s="1341">
        <v>3862</v>
      </c>
      <c r="C3299" s="1341" t="s">
        <v>4323</v>
      </c>
      <c r="D3299" s="1310">
        <v>707.39999399999999</v>
      </c>
    </row>
    <row r="3300" spans="2:4" x14ac:dyDescent="0.2">
      <c r="B3300" s="1341">
        <v>3863</v>
      </c>
      <c r="C3300" s="1341" t="s">
        <v>4324</v>
      </c>
      <c r="D3300" s="1310">
        <v>666.40000399999997</v>
      </c>
    </row>
    <row r="3301" spans="2:4" x14ac:dyDescent="0.2">
      <c r="B3301" s="1341">
        <v>3864</v>
      </c>
      <c r="C3301" s="1341" t="s">
        <v>4325</v>
      </c>
      <c r="D3301" s="1310">
        <v>670.98571800000002</v>
      </c>
    </row>
    <row r="3302" spans="2:4" x14ac:dyDescent="0.2">
      <c r="B3302" s="1341">
        <v>3865</v>
      </c>
      <c r="C3302" s="1341" t="s">
        <v>4326</v>
      </c>
      <c r="D3302" s="1310">
        <v>658.125</v>
      </c>
    </row>
    <row r="3303" spans="2:4" x14ac:dyDescent="0.2">
      <c r="B3303" s="1341">
        <v>3866</v>
      </c>
      <c r="C3303" s="1341" t="s">
        <v>4327</v>
      </c>
      <c r="D3303" s="1310">
        <v>662.875</v>
      </c>
    </row>
    <row r="3304" spans="2:4" x14ac:dyDescent="0.2">
      <c r="B3304" s="1341">
        <v>3867</v>
      </c>
      <c r="C3304" s="1341" t="s">
        <v>3820</v>
      </c>
      <c r="D3304" s="1310">
        <v>687.63334099999997</v>
      </c>
    </row>
    <row r="3305" spans="2:4" x14ac:dyDescent="0.2">
      <c r="B3305" s="1341">
        <v>3868</v>
      </c>
      <c r="C3305" s="1341" t="s">
        <v>3679</v>
      </c>
      <c r="D3305" s="1310">
        <v>638.47272799999996</v>
      </c>
    </row>
    <row r="3306" spans="2:4" x14ac:dyDescent="0.2">
      <c r="B3306" s="1341">
        <v>3869</v>
      </c>
      <c r="C3306" s="1341" t="s">
        <v>4328</v>
      </c>
      <c r="D3306" s="1310">
        <v>610.78750600000001</v>
      </c>
    </row>
    <row r="3307" spans="2:4" x14ac:dyDescent="0.2">
      <c r="B3307" s="1341">
        <v>3870</v>
      </c>
      <c r="C3307" s="1341" t="s">
        <v>4329</v>
      </c>
      <c r="D3307" s="1310">
        <v>637.02858200000003</v>
      </c>
    </row>
    <row r="3308" spans="2:4" x14ac:dyDescent="0.2">
      <c r="B3308" s="1341">
        <v>3871</v>
      </c>
      <c r="C3308" s="1341" t="s">
        <v>4330</v>
      </c>
      <c r="D3308" s="1310">
        <v>623.92499299999997</v>
      </c>
    </row>
    <row r="3309" spans="2:4" x14ac:dyDescent="0.2">
      <c r="B3309" s="1341">
        <v>3872</v>
      </c>
      <c r="C3309" s="1341" t="s">
        <v>4331</v>
      </c>
      <c r="D3309" s="1310">
        <v>723.34997599999997</v>
      </c>
    </row>
    <row r="3310" spans="2:4" x14ac:dyDescent="0.2">
      <c r="B3310" s="1341">
        <v>3873</v>
      </c>
      <c r="C3310" s="1341" t="s">
        <v>4332</v>
      </c>
      <c r="D3310" s="1310">
        <v>711.383331</v>
      </c>
    </row>
    <row r="3311" spans="2:4" x14ac:dyDescent="0.2">
      <c r="B3311" s="1341">
        <v>3874</v>
      </c>
      <c r="C3311" s="1341" t="s">
        <v>4333</v>
      </c>
      <c r="D3311" s="1310">
        <v>759.77499399999999</v>
      </c>
    </row>
    <row r="3312" spans="2:4" x14ac:dyDescent="0.2">
      <c r="B3312" s="1341">
        <v>3875</v>
      </c>
      <c r="C3312" s="1341" t="s">
        <v>4334</v>
      </c>
      <c r="D3312" s="1310">
        <v>637.71764399999995</v>
      </c>
    </row>
    <row r="3313" spans="2:4" x14ac:dyDescent="0.2">
      <c r="B3313" s="1341">
        <v>3876</v>
      </c>
      <c r="C3313" s="1341" t="s">
        <v>4335</v>
      </c>
      <c r="D3313" s="1310">
        <v>666.68333900000005</v>
      </c>
    </row>
    <row r="3314" spans="2:4" x14ac:dyDescent="0.2">
      <c r="B3314" s="1341">
        <v>3877</v>
      </c>
      <c r="C3314" s="1341" t="s">
        <v>4336</v>
      </c>
      <c r="D3314" s="1310">
        <v>601.47499100000005</v>
      </c>
    </row>
    <row r="3315" spans="2:4" x14ac:dyDescent="0.2">
      <c r="B3315" s="1341">
        <v>3878</v>
      </c>
      <c r="C3315" s="1341" t="s">
        <v>4337</v>
      </c>
      <c r="D3315" s="1310">
        <v>608.22500600000001</v>
      </c>
    </row>
    <row r="3316" spans="2:4" x14ac:dyDescent="0.2">
      <c r="B3316" s="1341">
        <v>3879</v>
      </c>
      <c r="C3316" s="1341" t="s">
        <v>3696</v>
      </c>
      <c r="D3316" s="1310">
        <v>643.34286099999997</v>
      </c>
    </row>
    <row r="3317" spans="2:4" x14ac:dyDescent="0.2">
      <c r="B3317" s="1341">
        <v>3880</v>
      </c>
      <c r="C3317" s="1341" t="s">
        <v>4338</v>
      </c>
      <c r="D3317" s="1310">
        <v>689.02499399999999</v>
      </c>
    </row>
    <row r="3318" spans="2:4" x14ac:dyDescent="0.2">
      <c r="B3318" s="1341">
        <v>3881</v>
      </c>
      <c r="C3318" s="1341" t="s">
        <v>4339</v>
      </c>
      <c r="D3318" s="1310">
        <v>620.57500500000003</v>
      </c>
    </row>
    <row r="3319" spans="2:4" x14ac:dyDescent="0.2">
      <c r="B3319" s="1341">
        <v>3882</v>
      </c>
      <c r="C3319" s="1341" t="s">
        <v>4340</v>
      </c>
      <c r="D3319" s="1310">
        <v>670.05000299999995</v>
      </c>
    </row>
    <row r="3320" spans="2:4" x14ac:dyDescent="0.2">
      <c r="B3320" s="1341">
        <v>3883</v>
      </c>
      <c r="C3320" s="1341" t="s">
        <v>4341</v>
      </c>
      <c r="D3320" s="1310">
        <v>684.84999800000003</v>
      </c>
    </row>
    <row r="3321" spans="2:4" x14ac:dyDescent="0.2">
      <c r="B3321" s="1341">
        <v>3884</v>
      </c>
      <c r="C3321" s="1341" t="s">
        <v>4342</v>
      </c>
      <c r="D3321" s="1310">
        <v>616.47143600000004</v>
      </c>
    </row>
    <row r="3322" spans="2:4" x14ac:dyDescent="0.2">
      <c r="B3322" s="1341">
        <v>3885</v>
      </c>
      <c r="C3322" s="1341" t="s">
        <v>4343</v>
      </c>
      <c r="D3322" s="1310">
        <v>620.96666000000005</v>
      </c>
    </row>
    <row r="3323" spans="2:4" x14ac:dyDescent="0.2">
      <c r="B3323" s="1341">
        <v>3886</v>
      </c>
      <c r="C3323" s="1341" t="s">
        <v>4344</v>
      </c>
      <c r="D3323" s="1310">
        <v>839.54998799999998</v>
      </c>
    </row>
    <row r="3324" spans="2:4" x14ac:dyDescent="0.2">
      <c r="B3324" s="1341">
        <v>3887</v>
      </c>
      <c r="C3324" s="1341" t="s">
        <v>4345</v>
      </c>
      <c r="D3324" s="1310">
        <v>626.54999999999995</v>
      </c>
    </row>
    <row r="3325" spans="2:4" x14ac:dyDescent="0.2">
      <c r="B3325" s="1341">
        <v>3888</v>
      </c>
      <c r="C3325" s="1341" t="s">
        <v>4346</v>
      </c>
      <c r="D3325" s="1310">
        <v>732.37143400000002</v>
      </c>
    </row>
    <row r="3326" spans="2:4" x14ac:dyDescent="0.2">
      <c r="B3326" s="1341">
        <v>3889</v>
      </c>
      <c r="C3326" s="1341" t="s">
        <v>4347</v>
      </c>
      <c r="D3326" s="1310">
        <v>669.740002</v>
      </c>
    </row>
    <row r="3327" spans="2:4" x14ac:dyDescent="0.2">
      <c r="B3327" s="1341">
        <v>3890</v>
      </c>
      <c r="C3327" s="1341" t="s">
        <v>3571</v>
      </c>
      <c r="D3327" s="1310">
        <v>620.05385200000001</v>
      </c>
    </row>
    <row r="3328" spans="2:4" x14ac:dyDescent="0.2">
      <c r="B3328" s="1341">
        <v>3891</v>
      </c>
      <c r="C3328" s="1341" t="s">
        <v>4348</v>
      </c>
      <c r="D3328" s="1310">
        <v>586.39166299999999</v>
      </c>
    </row>
    <row r="3329" spans="2:4" x14ac:dyDescent="0.2">
      <c r="B3329" s="1341">
        <v>3892</v>
      </c>
      <c r="C3329" s="1341" t="s">
        <v>432</v>
      </c>
      <c r="D3329" s="1310">
        <v>641.55384200000003</v>
      </c>
    </row>
    <row r="3330" spans="2:4" x14ac:dyDescent="0.2">
      <c r="B3330" s="1341">
        <v>3893</v>
      </c>
      <c r="C3330" s="1341" t="s">
        <v>4349</v>
      </c>
      <c r="D3330" s="1310">
        <v>634.91665599999999</v>
      </c>
    </row>
    <row r="3331" spans="2:4" x14ac:dyDescent="0.2">
      <c r="B3331" s="1341">
        <v>3894</v>
      </c>
      <c r="C3331" s="1341" t="s">
        <v>4350</v>
      </c>
      <c r="D3331" s="1310">
        <v>724.25</v>
      </c>
    </row>
    <row r="3332" spans="2:4" x14ac:dyDescent="0.2">
      <c r="B3332" s="1341">
        <v>3895</v>
      </c>
      <c r="C3332" s="1341" t="s">
        <v>4351</v>
      </c>
      <c r="D3332" s="1310">
        <v>808.1875</v>
      </c>
    </row>
    <row r="3333" spans="2:4" x14ac:dyDescent="0.2">
      <c r="B3333" s="1341">
        <v>3896</v>
      </c>
      <c r="C3333" s="1341" t="s">
        <v>4352</v>
      </c>
      <c r="D3333" s="1310">
        <v>756.14000199999998</v>
      </c>
    </row>
    <row r="3334" spans="2:4" x14ac:dyDescent="0.2">
      <c r="B3334" s="1341">
        <v>3897</v>
      </c>
      <c r="C3334" s="1341" t="s">
        <v>4353</v>
      </c>
      <c r="D3334" s="1310">
        <v>762.5</v>
      </c>
    </row>
    <row r="3335" spans="2:4" x14ac:dyDescent="0.2">
      <c r="B3335" s="1341">
        <v>3898</v>
      </c>
      <c r="C3335" s="1341" t="s">
        <v>426</v>
      </c>
      <c r="D3335" s="1310">
        <v>615.69999900000005</v>
      </c>
    </row>
    <row r="3336" spans="2:4" x14ac:dyDescent="0.2">
      <c r="B3336" s="1341">
        <v>3899</v>
      </c>
      <c r="C3336" s="1341" t="s">
        <v>4354</v>
      </c>
      <c r="D3336" s="1310">
        <v>655.39285299999995</v>
      </c>
    </row>
    <row r="3337" spans="2:4" x14ac:dyDescent="0.2">
      <c r="B3337" s="1341">
        <v>3900</v>
      </c>
      <c r="C3337" s="1341" t="s">
        <v>4355</v>
      </c>
      <c r="D3337" s="1310">
        <v>694.15999799999997</v>
      </c>
    </row>
    <row r="3338" spans="2:4" x14ac:dyDescent="0.2">
      <c r="B3338" s="1341">
        <v>3901</v>
      </c>
      <c r="C3338" s="1341" t="s">
        <v>4356</v>
      </c>
      <c r="D3338" s="1310">
        <v>708.91999499999997</v>
      </c>
    </row>
    <row r="3339" spans="2:4" x14ac:dyDescent="0.2">
      <c r="B3339" s="1341">
        <v>3902</v>
      </c>
      <c r="C3339" s="1341" t="s">
        <v>4357</v>
      </c>
      <c r="D3339" s="1310">
        <v>681.09997599999997</v>
      </c>
    </row>
    <row r="3340" spans="2:4" x14ac:dyDescent="0.2">
      <c r="B3340" s="1341">
        <v>3903</v>
      </c>
      <c r="C3340" s="1341" t="s">
        <v>4358</v>
      </c>
      <c r="D3340" s="1310">
        <v>690.69999700000005</v>
      </c>
    </row>
    <row r="3341" spans="2:4" x14ac:dyDescent="0.2">
      <c r="B3341" s="1341">
        <v>3904</v>
      </c>
      <c r="C3341" s="1341" t="s">
        <v>4359</v>
      </c>
      <c r="D3341" s="1310">
        <v>641.02999899999998</v>
      </c>
    </row>
    <row r="3342" spans="2:4" x14ac:dyDescent="0.2">
      <c r="B3342" s="1341">
        <v>3905</v>
      </c>
      <c r="C3342" s="1341" t="s">
        <v>4360</v>
      </c>
      <c r="D3342" s="1310">
        <v>730.63999000000001</v>
      </c>
    </row>
    <row r="3343" spans="2:4" x14ac:dyDescent="0.2">
      <c r="B3343" s="1341">
        <v>3906</v>
      </c>
      <c r="C3343" s="1341" t="s">
        <v>4361</v>
      </c>
      <c r="D3343" s="1310">
        <v>699.06667100000004</v>
      </c>
    </row>
    <row r="3344" spans="2:4" x14ac:dyDescent="0.2">
      <c r="B3344" s="1341">
        <v>3907</v>
      </c>
      <c r="C3344" s="1341" t="s">
        <v>4362</v>
      </c>
      <c r="D3344" s="1310">
        <v>638.6875</v>
      </c>
    </row>
    <row r="3345" spans="2:4" x14ac:dyDescent="0.2">
      <c r="B3345" s="1341">
        <v>3908</v>
      </c>
      <c r="C3345" s="1341" t="s">
        <v>4363</v>
      </c>
      <c r="D3345" s="1310">
        <v>658.87999300000001</v>
      </c>
    </row>
    <row r="3346" spans="2:4" x14ac:dyDescent="0.2">
      <c r="B3346" s="1341">
        <v>3909</v>
      </c>
      <c r="C3346" s="1341" t="s">
        <v>4364</v>
      </c>
      <c r="D3346" s="1310">
        <v>640.12380800000005</v>
      </c>
    </row>
    <row r="3347" spans="2:4" x14ac:dyDescent="0.2">
      <c r="B3347" s="1341">
        <v>3910</v>
      </c>
      <c r="C3347" s="1341" t="s">
        <v>4365</v>
      </c>
      <c r="D3347" s="1310">
        <v>648.54000199999996</v>
      </c>
    </row>
    <row r="3348" spans="2:4" x14ac:dyDescent="0.2">
      <c r="B3348" s="1341">
        <v>3911</v>
      </c>
      <c r="C3348" s="1341" t="s">
        <v>4366</v>
      </c>
      <c r="D3348" s="1310">
        <v>818.85999800000002</v>
      </c>
    </row>
    <row r="3349" spans="2:4" x14ac:dyDescent="0.2">
      <c r="B3349" s="1341">
        <v>3912</v>
      </c>
      <c r="C3349" s="1341" t="s">
        <v>3578</v>
      </c>
      <c r="D3349" s="1310">
        <v>614.17499299999997</v>
      </c>
    </row>
    <row r="3350" spans="2:4" x14ac:dyDescent="0.2">
      <c r="B3350" s="1341">
        <v>3913</v>
      </c>
      <c r="C3350" s="1341" t="s">
        <v>4367</v>
      </c>
      <c r="D3350" s="1310">
        <v>620.87143400000002</v>
      </c>
    </row>
    <row r="3351" spans="2:4" x14ac:dyDescent="0.2">
      <c r="B3351" s="1341">
        <v>3914</v>
      </c>
      <c r="C3351" s="1341" t="s">
        <v>4368</v>
      </c>
      <c r="D3351" s="1310">
        <v>649.62857499999996</v>
      </c>
    </row>
    <row r="3352" spans="2:4" x14ac:dyDescent="0.2">
      <c r="B3352" s="1341">
        <v>3915</v>
      </c>
      <c r="C3352" s="1341" t="s">
        <v>4369</v>
      </c>
      <c r="D3352" s="1310">
        <v>662.99998500000004</v>
      </c>
    </row>
    <row r="3353" spans="2:4" x14ac:dyDescent="0.2">
      <c r="B3353" s="1341">
        <v>3916</v>
      </c>
      <c r="C3353" s="1341" t="s">
        <v>4370</v>
      </c>
      <c r="D3353" s="1310">
        <v>643.82857799999999</v>
      </c>
    </row>
    <row r="3354" spans="2:4" x14ac:dyDescent="0.2">
      <c r="B3354" s="1341">
        <v>3917</v>
      </c>
      <c r="C3354" s="1341" t="s">
        <v>4371</v>
      </c>
      <c r="D3354" s="1310">
        <v>673.66666699999996</v>
      </c>
    </row>
    <row r="3355" spans="2:4" x14ac:dyDescent="0.2">
      <c r="B3355" s="1341">
        <v>3918</v>
      </c>
      <c r="C3355" s="1341" t="s">
        <v>4372</v>
      </c>
      <c r="D3355" s="1310">
        <v>611.58572000000004</v>
      </c>
    </row>
    <row r="3356" spans="2:4" x14ac:dyDescent="0.2">
      <c r="B3356" s="1341">
        <v>3919</v>
      </c>
      <c r="C3356" s="1341" t="s">
        <v>1998</v>
      </c>
      <c r="D3356" s="1310">
        <v>665</v>
      </c>
    </row>
    <row r="3357" spans="2:4" x14ac:dyDescent="0.2">
      <c r="B3357" s="1341">
        <v>3951</v>
      </c>
      <c r="C3357" s="1341" t="s">
        <v>4373</v>
      </c>
      <c r="D3357" s="1310">
        <v>752.28000499999996</v>
      </c>
    </row>
    <row r="3358" spans="2:4" x14ac:dyDescent="0.2">
      <c r="B3358" s="1341">
        <v>3952</v>
      </c>
      <c r="C3358" s="1341" t="s">
        <v>4374</v>
      </c>
      <c r="D3358" s="1310">
        <v>688.94999199999995</v>
      </c>
    </row>
    <row r="3359" spans="2:4" x14ac:dyDescent="0.2">
      <c r="B3359" s="1341">
        <v>3953</v>
      </c>
      <c r="C3359" s="1341" t="s">
        <v>4375</v>
      </c>
      <c r="D3359" s="1310">
        <v>730.76000599999998</v>
      </c>
    </row>
    <row r="3360" spans="2:4" x14ac:dyDescent="0.2">
      <c r="B3360" s="1341">
        <v>3954</v>
      </c>
      <c r="C3360" s="1341" t="s">
        <v>4376</v>
      </c>
      <c r="D3360" s="1310">
        <v>771.29998799999998</v>
      </c>
    </row>
    <row r="3361" spans="2:4" x14ac:dyDescent="0.2">
      <c r="B3361" s="1341">
        <v>3955</v>
      </c>
      <c r="C3361" s="1341" t="s">
        <v>4377</v>
      </c>
      <c r="D3361" s="1310">
        <v>675.00001999999995</v>
      </c>
    </row>
    <row r="3362" spans="2:4" x14ac:dyDescent="0.2">
      <c r="B3362" s="1341">
        <v>3956</v>
      </c>
      <c r="C3362" s="1341" t="s">
        <v>4378</v>
      </c>
      <c r="D3362" s="1310">
        <v>648.47273399999995</v>
      </c>
    </row>
    <row r="3363" spans="2:4" x14ac:dyDescent="0.2">
      <c r="B3363" s="1341">
        <v>3957</v>
      </c>
      <c r="C3363" s="1341" t="s">
        <v>4379</v>
      </c>
      <c r="D3363" s="1310">
        <v>643.88888199999997</v>
      </c>
    </row>
    <row r="3364" spans="2:4" x14ac:dyDescent="0.2">
      <c r="B3364" s="1341">
        <v>3958</v>
      </c>
      <c r="C3364" s="1341" t="s">
        <v>4380</v>
      </c>
      <c r="D3364" s="1310">
        <v>715.92856300000005</v>
      </c>
    </row>
    <row r="3365" spans="2:4" x14ac:dyDescent="0.2">
      <c r="B3365" s="1341">
        <v>3959</v>
      </c>
      <c r="C3365" s="1341" t="s">
        <v>4381</v>
      </c>
      <c r="D3365" s="1310">
        <v>692.64443600000004</v>
      </c>
    </row>
    <row r="3366" spans="2:4" x14ac:dyDescent="0.2">
      <c r="B3366" s="1341">
        <v>3960</v>
      </c>
      <c r="C3366" s="1341" t="s">
        <v>4382</v>
      </c>
      <c r="D3366" s="1310">
        <v>701.20001200000002</v>
      </c>
    </row>
    <row r="3367" spans="2:4" x14ac:dyDescent="0.2">
      <c r="B3367" s="1341">
        <v>3961</v>
      </c>
      <c r="C3367" s="1341" t="s">
        <v>4383</v>
      </c>
      <c r="D3367" s="1310">
        <v>696.79998799999998</v>
      </c>
    </row>
    <row r="3368" spans="2:4" x14ac:dyDescent="0.2">
      <c r="B3368" s="1341">
        <v>3962</v>
      </c>
      <c r="C3368" s="1341" t="s">
        <v>4384</v>
      </c>
      <c r="D3368" s="1310">
        <v>679.60000600000001</v>
      </c>
    </row>
    <row r="3369" spans="2:4" x14ac:dyDescent="0.2">
      <c r="B3369" s="1341">
        <v>3963</v>
      </c>
      <c r="C3369" s="1341" t="s">
        <v>4385</v>
      </c>
      <c r="D3369" s="1310">
        <v>692.14999399999999</v>
      </c>
    </row>
    <row r="3370" spans="2:4" x14ac:dyDescent="0.2">
      <c r="B3370" s="1341">
        <v>3964</v>
      </c>
      <c r="C3370" s="1341" t="s">
        <v>4386</v>
      </c>
      <c r="D3370" s="1310">
        <v>654.31000400000005</v>
      </c>
    </row>
    <row r="3371" spans="2:4" x14ac:dyDescent="0.2">
      <c r="B3371" s="1341">
        <v>3965</v>
      </c>
      <c r="C3371" s="1341" t="s">
        <v>4387</v>
      </c>
      <c r="D3371" s="1310">
        <v>679.19999700000005</v>
      </c>
    </row>
    <row r="3372" spans="2:4" x14ac:dyDescent="0.2">
      <c r="B3372" s="1341">
        <v>3966</v>
      </c>
      <c r="C3372" s="1341" t="s">
        <v>4388</v>
      </c>
      <c r="D3372" s="1310">
        <v>676.55999799999995</v>
      </c>
    </row>
    <row r="3373" spans="2:4" x14ac:dyDescent="0.2">
      <c r="B3373" s="1341">
        <v>3967</v>
      </c>
      <c r="C3373" s="1341" t="s">
        <v>4389</v>
      </c>
      <c r="D3373" s="1310">
        <v>768.01428199999998</v>
      </c>
    </row>
    <row r="3374" spans="2:4" x14ac:dyDescent="0.2">
      <c r="B3374" s="1341">
        <v>3968</v>
      </c>
      <c r="C3374" s="1341" t="s">
        <v>1786</v>
      </c>
      <c r="D3374" s="1310">
        <v>769.10000600000001</v>
      </c>
    </row>
    <row r="3375" spans="2:4" x14ac:dyDescent="0.2">
      <c r="B3375" s="1341">
        <v>3969</v>
      </c>
      <c r="C3375" s="1341" t="s">
        <v>4390</v>
      </c>
      <c r="D3375" s="1310">
        <v>750.42857100000003</v>
      </c>
    </row>
    <row r="3376" spans="2:4" x14ac:dyDescent="0.2">
      <c r="B3376" s="1341">
        <v>3970</v>
      </c>
      <c r="C3376" s="1341" t="s">
        <v>4391</v>
      </c>
      <c r="D3376" s="1310">
        <v>715.50001499999996</v>
      </c>
    </row>
    <row r="3377" spans="2:4" x14ac:dyDescent="0.2">
      <c r="B3377" s="1341">
        <v>3971</v>
      </c>
      <c r="C3377" s="1341" t="s">
        <v>4392</v>
      </c>
      <c r="D3377" s="1310">
        <v>725.60000600000001</v>
      </c>
    </row>
    <row r="3378" spans="2:4" x14ac:dyDescent="0.2">
      <c r="B3378" s="1341">
        <v>3972</v>
      </c>
      <c r="C3378" s="1341" t="s">
        <v>4393</v>
      </c>
      <c r="D3378" s="1310">
        <v>725.24286800000004</v>
      </c>
    </row>
    <row r="3379" spans="2:4" x14ac:dyDescent="0.2">
      <c r="B3379" s="1341">
        <v>3973</v>
      </c>
      <c r="C3379" s="1341" t="s">
        <v>4394</v>
      </c>
      <c r="D3379" s="1310">
        <v>693.90000699999996</v>
      </c>
    </row>
    <row r="3380" spans="2:4" x14ac:dyDescent="0.2">
      <c r="B3380" s="1341">
        <v>3974</v>
      </c>
      <c r="C3380" s="1341" t="s">
        <v>4395</v>
      </c>
      <c r="D3380" s="1310">
        <v>686.56001000000003</v>
      </c>
    </row>
    <row r="3381" spans="2:4" x14ac:dyDescent="0.2">
      <c r="B3381" s="1341">
        <v>3975</v>
      </c>
      <c r="C3381" s="1341" t="s">
        <v>4396</v>
      </c>
      <c r="D3381" s="1310">
        <v>752.35999800000002</v>
      </c>
    </row>
    <row r="3382" spans="2:4" x14ac:dyDescent="0.2">
      <c r="B3382" s="1341">
        <v>3976</v>
      </c>
      <c r="C3382" s="1341" t="s">
        <v>4397</v>
      </c>
      <c r="D3382" s="1310">
        <v>709.68332899999996</v>
      </c>
    </row>
    <row r="3383" spans="2:4" x14ac:dyDescent="0.2">
      <c r="B3383" s="1341">
        <v>3977</v>
      </c>
      <c r="C3383" s="1341" t="s">
        <v>4398</v>
      </c>
      <c r="D3383" s="1310">
        <v>744.95000500000003</v>
      </c>
    </row>
    <row r="3384" spans="2:4" x14ac:dyDescent="0.2">
      <c r="B3384" s="1341">
        <v>3978</v>
      </c>
      <c r="C3384" s="1341" t="s">
        <v>4399</v>
      </c>
      <c r="D3384" s="1310">
        <v>720.87333599999999</v>
      </c>
    </row>
    <row r="3385" spans="2:4" x14ac:dyDescent="0.2">
      <c r="B3385" s="1341">
        <v>3979</v>
      </c>
      <c r="C3385" s="1341" t="s">
        <v>4400</v>
      </c>
      <c r="D3385" s="1310">
        <v>600.29998799999998</v>
      </c>
    </row>
    <row r="3386" spans="2:4" x14ac:dyDescent="0.2">
      <c r="B3386" s="1341">
        <v>3980</v>
      </c>
      <c r="C3386" s="1341" t="s">
        <v>4401</v>
      </c>
      <c r="D3386" s="1310">
        <v>684.10001599999998</v>
      </c>
    </row>
    <row r="3387" spans="2:4" x14ac:dyDescent="0.2">
      <c r="B3387" s="1341">
        <v>3981</v>
      </c>
      <c r="C3387" s="1341" t="s">
        <v>4402</v>
      </c>
      <c r="D3387" s="1310">
        <v>681.133331</v>
      </c>
    </row>
    <row r="3388" spans="2:4" x14ac:dyDescent="0.2">
      <c r="B3388" s="1341">
        <v>3982</v>
      </c>
      <c r="C3388" s="1341" t="s">
        <v>4403</v>
      </c>
      <c r="D3388" s="1310">
        <v>710.125</v>
      </c>
    </row>
    <row r="3389" spans="2:4" x14ac:dyDescent="0.2">
      <c r="B3389" s="1341">
        <v>3983</v>
      </c>
      <c r="C3389" s="1341" t="s">
        <v>4404</v>
      </c>
      <c r="D3389" s="1310">
        <v>642.96667500000001</v>
      </c>
    </row>
    <row r="3390" spans="2:4" x14ac:dyDescent="0.2">
      <c r="B3390" s="1341">
        <v>3984</v>
      </c>
      <c r="C3390" s="1341" t="s">
        <v>4405</v>
      </c>
      <c r="D3390" s="1310">
        <v>653.07777899999996</v>
      </c>
    </row>
    <row r="3391" spans="2:4" x14ac:dyDescent="0.2">
      <c r="B3391" s="1341">
        <v>3985</v>
      </c>
      <c r="C3391" s="1341" t="s">
        <v>4406</v>
      </c>
      <c r="D3391" s="1310">
        <v>647.22499100000005</v>
      </c>
    </row>
    <row r="3392" spans="2:4" x14ac:dyDescent="0.2">
      <c r="B3392" s="1341">
        <v>3986</v>
      </c>
      <c r="C3392" s="1341" t="s">
        <v>4407</v>
      </c>
      <c r="D3392" s="1310">
        <v>692.44999700000005</v>
      </c>
    </row>
    <row r="3393" spans="2:4" x14ac:dyDescent="0.2">
      <c r="B3393" s="1341">
        <v>3987</v>
      </c>
      <c r="C3393" s="1341" t="s">
        <v>4408</v>
      </c>
      <c r="D3393" s="1310">
        <v>726.30000800000005</v>
      </c>
    </row>
    <row r="3394" spans="2:4" x14ac:dyDescent="0.2">
      <c r="B3394" s="1341">
        <v>3988</v>
      </c>
      <c r="C3394" s="1341" t="s">
        <v>4409</v>
      </c>
      <c r="D3394" s="1310">
        <v>698.60000600000001</v>
      </c>
    </row>
    <row r="3395" spans="2:4" x14ac:dyDescent="0.2">
      <c r="B3395" s="1341">
        <v>3989</v>
      </c>
      <c r="C3395" s="1341" t="s">
        <v>4410</v>
      </c>
      <c r="D3395" s="1310">
        <v>728.366669</v>
      </c>
    </row>
    <row r="3396" spans="2:4" x14ac:dyDescent="0.2">
      <c r="B3396" s="1341">
        <v>3990</v>
      </c>
      <c r="C3396" s="1341" t="s">
        <v>4411</v>
      </c>
      <c r="D3396" s="1310">
        <v>713.692858</v>
      </c>
    </row>
    <row r="3397" spans="2:4" x14ac:dyDescent="0.2">
      <c r="B3397" s="1341">
        <v>3991</v>
      </c>
      <c r="C3397" s="1341" t="s">
        <v>4412</v>
      </c>
      <c r="D3397" s="1310">
        <v>679.10000300000002</v>
      </c>
    </row>
    <row r="3398" spans="2:4" x14ac:dyDescent="0.2">
      <c r="B3398" s="1341">
        <v>3992</v>
      </c>
      <c r="C3398" s="1341" t="s">
        <v>4413</v>
      </c>
      <c r="D3398" s="1310">
        <v>611.79998799999998</v>
      </c>
    </row>
    <row r="3399" spans="2:4" x14ac:dyDescent="0.2">
      <c r="B3399" s="1341">
        <v>3993</v>
      </c>
      <c r="C3399" s="1341" t="s">
        <v>4414</v>
      </c>
      <c r="D3399" s="1310">
        <v>672.52499399999999</v>
      </c>
    </row>
    <row r="3400" spans="2:4" x14ac:dyDescent="0.2">
      <c r="B3400" s="1341">
        <v>3994</v>
      </c>
      <c r="C3400" s="1341" t="s">
        <v>4415</v>
      </c>
      <c r="D3400" s="1310">
        <v>692.55001800000002</v>
      </c>
    </row>
    <row r="3401" spans="2:4" x14ac:dyDescent="0.2">
      <c r="B3401" s="1341">
        <v>3995</v>
      </c>
      <c r="C3401" s="1341" t="s">
        <v>1939</v>
      </c>
      <c r="D3401" s="1310">
        <v>682.95001200000002</v>
      </c>
    </row>
    <row r="3402" spans="2:4" x14ac:dyDescent="0.2">
      <c r="B3402" s="1341">
        <v>3996</v>
      </c>
      <c r="C3402" s="1341" t="s">
        <v>4416</v>
      </c>
      <c r="D3402" s="1310">
        <v>566</v>
      </c>
    </row>
    <row r="3403" spans="2:4" x14ac:dyDescent="0.2">
      <c r="B3403" s="1341">
        <v>3997</v>
      </c>
      <c r="C3403" s="1341" t="s">
        <v>4417</v>
      </c>
      <c r="D3403" s="1310">
        <v>646.55001800000002</v>
      </c>
    </row>
    <row r="3404" spans="2:4" x14ac:dyDescent="0.2">
      <c r="B3404" s="1341">
        <v>3998</v>
      </c>
      <c r="C3404" s="1341" t="s">
        <v>4418</v>
      </c>
      <c r="D3404" s="1310">
        <v>628.740002</v>
      </c>
    </row>
    <row r="3405" spans="2:4" x14ac:dyDescent="0.2">
      <c r="B3405" s="1341">
        <v>3999</v>
      </c>
      <c r="C3405" s="1341" t="s">
        <v>4252</v>
      </c>
      <c r="D3405" s="1310">
        <v>593.95001200000002</v>
      </c>
    </row>
    <row r="3406" spans="2:4" x14ac:dyDescent="0.2">
      <c r="B3406" s="1341">
        <v>4000</v>
      </c>
      <c r="C3406" s="1341" t="s">
        <v>4419</v>
      </c>
      <c r="D3406" s="1310">
        <v>605.34286099999997</v>
      </c>
    </row>
    <row r="3407" spans="2:4" x14ac:dyDescent="0.2">
      <c r="B3407" s="1341">
        <v>4001</v>
      </c>
      <c r="C3407" s="1341" t="s">
        <v>4420</v>
      </c>
      <c r="D3407" s="1310">
        <v>615.23333700000001</v>
      </c>
    </row>
    <row r="3408" spans="2:4" x14ac:dyDescent="0.2">
      <c r="B3408" s="1341">
        <v>4002</v>
      </c>
      <c r="C3408" s="1341" t="s">
        <v>4421</v>
      </c>
      <c r="D3408" s="1310">
        <v>623.25</v>
      </c>
    </row>
    <row r="3409" spans="2:4" x14ac:dyDescent="0.2">
      <c r="B3409" s="1341">
        <v>4003</v>
      </c>
      <c r="C3409" s="1341" t="s">
        <v>4422</v>
      </c>
      <c r="D3409" s="1310">
        <v>632.64999399999999</v>
      </c>
    </row>
    <row r="3410" spans="2:4" x14ac:dyDescent="0.2">
      <c r="B3410" s="1341">
        <v>4004</v>
      </c>
      <c r="C3410" s="1341" t="s">
        <v>4423</v>
      </c>
      <c r="D3410" s="1310">
        <v>614.79999999999995</v>
      </c>
    </row>
    <row r="3411" spans="2:4" x14ac:dyDescent="0.2">
      <c r="B3411" s="1341">
        <v>4005</v>
      </c>
      <c r="C3411" s="1341" t="s">
        <v>4424</v>
      </c>
      <c r="D3411" s="1310">
        <v>776.84999300000004</v>
      </c>
    </row>
    <row r="3412" spans="2:4" x14ac:dyDescent="0.2">
      <c r="B3412" s="1341">
        <v>4006</v>
      </c>
      <c r="C3412" s="1341" t="s">
        <v>4425</v>
      </c>
      <c r="D3412" s="1310">
        <v>791.05882699999995</v>
      </c>
    </row>
    <row r="3413" spans="2:4" x14ac:dyDescent="0.2">
      <c r="B3413" s="1341">
        <v>4007</v>
      </c>
      <c r="C3413" s="1341" t="s">
        <v>4426</v>
      </c>
      <c r="D3413" s="1310">
        <v>744.85000600000001</v>
      </c>
    </row>
    <row r="3414" spans="2:4" x14ac:dyDescent="0.2">
      <c r="B3414" s="1341">
        <v>4008</v>
      </c>
      <c r="C3414" s="1341" t="s">
        <v>4427</v>
      </c>
      <c r="D3414" s="1310">
        <v>777.3</v>
      </c>
    </row>
    <row r="3415" spans="2:4" x14ac:dyDescent="0.2">
      <c r="B3415" s="1341">
        <v>4009</v>
      </c>
      <c r="C3415" s="1341" t="s">
        <v>4428</v>
      </c>
      <c r="D3415" s="1310">
        <v>785.30000800000005</v>
      </c>
    </row>
    <row r="3416" spans="2:4" x14ac:dyDescent="0.2">
      <c r="B3416" s="1341">
        <v>4010</v>
      </c>
      <c r="C3416" s="1341" t="s">
        <v>3259</v>
      </c>
      <c r="D3416" s="1310">
        <v>758.07141999999999</v>
      </c>
    </row>
    <row r="3417" spans="2:4" x14ac:dyDescent="0.2">
      <c r="B3417" s="1341">
        <v>4011</v>
      </c>
      <c r="C3417" s="1341" t="s">
        <v>4429</v>
      </c>
      <c r="D3417" s="1310">
        <v>753.59090900000001</v>
      </c>
    </row>
    <row r="3418" spans="2:4" x14ac:dyDescent="0.2">
      <c r="B3418" s="1341">
        <v>4012</v>
      </c>
      <c r="C3418" s="1341" t="s">
        <v>4430</v>
      </c>
      <c r="D3418" s="1310">
        <v>703.24285899999995</v>
      </c>
    </row>
    <row r="3419" spans="2:4" x14ac:dyDescent="0.2">
      <c r="B3419" s="1341">
        <v>4013</v>
      </c>
      <c r="C3419" s="1341" t="s">
        <v>4431</v>
      </c>
      <c r="D3419" s="1310">
        <v>707.21250199999997</v>
      </c>
    </row>
    <row r="3420" spans="2:4" x14ac:dyDescent="0.2">
      <c r="B3420" s="1341">
        <v>4014</v>
      </c>
      <c r="C3420" s="1341" t="s">
        <v>4432</v>
      </c>
      <c r="D3420" s="1310">
        <v>705.57499700000005</v>
      </c>
    </row>
    <row r="3421" spans="2:4" x14ac:dyDescent="0.2">
      <c r="B3421" s="1341">
        <v>4015</v>
      </c>
      <c r="C3421" s="1341" t="s">
        <v>4433</v>
      </c>
      <c r="D3421" s="1310">
        <v>737.32499700000005</v>
      </c>
    </row>
    <row r="3422" spans="2:4" x14ac:dyDescent="0.2">
      <c r="B3422" s="1341">
        <v>4016</v>
      </c>
      <c r="C3422" s="1341" t="s">
        <v>4434</v>
      </c>
      <c r="D3422" s="1310">
        <v>698.61428000000001</v>
      </c>
    </row>
    <row r="3423" spans="2:4" x14ac:dyDescent="0.2">
      <c r="B3423" s="1341">
        <v>4017</v>
      </c>
      <c r="C3423" s="1341" t="s">
        <v>4435</v>
      </c>
      <c r="D3423" s="1310">
        <v>665.08000500000003</v>
      </c>
    </row>
    <row r="3424" spans="2:4" x14ac:dyDescent="0.2">
      <c r="B3424" s="1341">
        <v>4018</v>
      </c>
      <c r="C3424" s="1341" t="s">
        <v>4436</v>
      </c>
      <c r="D3424" s="1310">
        <v>663.66666699999996</v>
      </c>
    </row>
    <row r="3425" spans="2:4" x14ac:dyDescent="0.2">
      <c r="B3425" s="1341">
        <v>4019</v>
      </c>
      <c r="C3425" s="1341" t="s">
        <v>4437</v>
      </c>
      <c r="D3425" s="1310">
        <v>664.14999399999999</v>
      </c>
    </row>
    <row r="3426" spans="2:4" x14ac:dyDescent="0.2">
      <c r="B3426" s="1341">
        <v>4020</v>
      </c>
      <c r="C3426" s="1341" t="s">
        <v>4438</v>
      </c>
      <c r="D3426" s="1310">
        <v>632.33332299999995</v>
      </c>
    </row>
    <row r="3427" spans="2:4" x14ac:dyDescent="0.2">
      <c r="B3427" s="1341">
        <v>4021</v>
      </c>
      <c r="C3427" s="1341" t="s">
        <v>4439</v>
      </c>
      <c r="D3427" s="1310">
        <v>631.71427700000004</v>
      </c>
    </row>
    <row r="3428" spans="2:4" x14ac:dyDescent="0.2">
      <c r="B3428" s="1341">
        <v>4022</v>
      </c>
      <c r="C3428" s="1341" t="s">
        <v>4212</v>
      </c>
      <c r="D3428" s="1310">
        <v>606.61818100000005</v>
      </c>
    </row>
    <row r="3429" spans="2:4" x14ac:dyDescent="0.2">
      <c r="B3429" s="1341">
        <v>4023</v>
      </c>
      <c r="C3429" s="1341" t="s">
        <v>4440</v>
      </c>
      <c r="D3429" s="1310">
        <v>575.14999399999999</v>
      </c>
    </row>
    <row r="3430" spans="2:4" x14ac:dyDescent="0.2">
      <c r="B3430" s="1341">
        <v>4024</v>
      </c>
      <c r="C3430" s="1341" t="s">
        <v>4441</v>
      </c>
      <c r="D3430" s="1310">
        <v>597.60000600000001</v>
      </c>
    </row>
    <row r="3431" spans="2:4" x14ac:dyDescent="0.2">
      <c r="B3431" s="1341">
        <v>4025</v>
      </c>
      <c r="C3431" s="1341" t="s">
        <v>4442</v>
      </c>
      <c r="D3431" s="1310">
        <v>646.05714599999999</v>
      </c>
    </row>
    <row r="3432" spans="2:4" x14ac:dyDescent="0.2">
      <c r="B3432" s="1341">
        <v>4026</v>
      </c>
      <c r="C3432" s="1341" t="s">
        <v>4443</v>
      </c>
      <c r="D3432" s="1310">
        <v>654.66001000000006</v>
      </c>
    </row>
    <row r="3433" spans="2:4" x14ac:dyDescent="0.2">
      <c r="B3433" s="1341">
        <v>4027</v>
      </c>
      <c r="C3433" s="1341" t="s">
        <v>4444</v>
      </c>
      <c r="D3433" s="1310">
        <v>681.93333900000005</v>
      </c>
    </row>
    <row r="3434" spans="2:4" x14ac:dyDescent="0.2">
      <c r="B3434" s="1341">
        <v>4028</v>
      </c>
      <c r="C3434" s="1341" t="s">
        <v>4445</v>
      </c>
      <c r="D3434" s="1310">
        <v>610.66666699999996</v>
      </c>
    </row>
    <row r="3435" spans="2:4" x14ac:dyDescent="0.2">
      <c r="B3435" s="1341">
        <v>4029</v>
      </c>
      <c r="C3435" s="1341" t="s">
        <v>4446</v>
      </c>
      <c r="D3435" s="1310">
        <v>624.10000600000001</v>
      </c>
    </row>
    <row r="3436" spans="2:4" x14ac:dyDescent="0.2">
      <c r="B3436" s="1341">
        <v>4030</v>
      </c>
      <c r="C3436" s="1341" t="s">
        <v>4447</v>
      </c>
      <c r="D3436" s="1310">
        <v>613.17142999999999</v>
      </c>
    </row>
    <row r="3437" spans="2:4" x14ac:dyDescent="0.2">
      <c r="B3437" s="1341">
        <v>4031</v>
      </c>
      <c r="C3437" s="1341" t="s">
        <v>2098</v>
      </c>
      <c r="D3437" s="1310">
        <v>605.13636399999996</v>
      </c>
    </row>
    <row r="3438" spans="2:4" x14ac:dyDescent="0.2">
      <c r="B3438" s="1341">
        <v>4032</v>
      </c>
      <c r="C3438" s="1341" t="s">
        <v>4448</v>
      </c>
      <c r="D3438" s="1310">
        <v>767.40000399999997</v>
      </c>
    </row>
    <row r="3439" spans="2:4" x14ac:dyDescent="0.2">
      <c r="B3439" s="1341">
        <v>4033</v>
      </c>
      <c r="C3439" s="1341" t="s">
        <v>4449</v>
      </c>
      <c r="D3439" s="1310">
        <v>635.37501499999996</v>
      </c>
    </row>
    <row r="3440" spans="2:4" x14ac:dyDescent="0.2">
      <c r="B3440" s="1341">
        <v>4034</v>
      </c>
      <c r="C3440" s="1341" t="s">
        <v>4450</v>
      </c>
      <c r="D3440" s="1310">
        <v>691.33998999999994</v>
      </c>
    </row>
    <row r="3441" spans="2:4" x14ac:dyDescent="0.2">
      <c r="B3441" s="1341">
        <v>4035</v>
      </c>
      <c r="C3441" s="1341" t="s">
        <v>377</v>
      </c>
      <c r="D3441" s="1310">
        <v>648.37143400000002</v>
      </c>
    </row>
    <row r="3442" spans="2:4" x14ac:dyDescent="0.2">
      <c r="B3442" s="1341">
        <v>4036</v>
      </c>
      <c r="C3442" s="1341" t="s">
        <v>4451</v>
      </c>
      <c r="D3442" s="1310">
        <v>597.31666099999995</v>
      </c>
    </row>
    <row r="3443" spans="2:4" x14ac:dyDescent="0.2">
      <c r="B3443" s="1341">
        <v>4037</v>
      </c>
      <c r="C3443" s="1341" t="s">
        <v>4452</v>
      </c>
      <c r="D3443" s="1310">
        <v>735.5</v>
      </c>
    </row>
    <row r="3444" spans="2:4" x14ac:dyDescent="0.2">
      <c r="B3444" s="1341">
        <v>4038</v>
      </c>
      <c r="C3444" s="1341" t="s">
        <v>4453</v>
      </c>
      <c r="D3444" s="1310">
        <v>700.31666600000005</v>
      </c>
    </row>
    <row r="3445" spans="2:4" x14ac:dyDescent="0.2">
      <c r="B3445" s="1341">
        <v>4039</v>
      </c>
      <c r="C3445" s="1341" t="s">
        <v>1653</v>
      </c>
      <c r="D3445" s="1310">
        <v>641.68333399999995</v>
      </c>
    </row>
    <row r="3446" spans="2:4" x14ac:dyDescent="0.2">
      <c r="B3446" s="1341">
        <v>4040</v>
      </c>
      <c r="C3446" s="1341" t="s">
        <v>4454</v>
      </c>
      <c r="D3446" s="1310">
        <v>651.33333300000004</v>
      </c>
    </row>
    <row r="3447" spans="2:4" x14ac:dyDescent="0.2">
      <c r="B3447" s="1341">
        <v>4041</v>
      </c>
      <c r="C3447" s="1341" t="s">
        <v>4455</v>
      </c>
      <c r="D3447" s="1310">
        <v>641.16664600000001</v>
      </c>
    </row>
    <row r="3448" spans="2:4" x14ac:dyDescent="0.2">
      <c r="B3448" s="1341">
        <v>4042</v>
      </c>
      <c r="C3448" s="1341" t="s">
        <v>4456</v>
      </c>
      <c r="D3448" s="1310">
        <v>603.33332900000005</v>
      </c>
    </row>
    <row r="3449" spans="2:4" x14ac:dyDescent="0.2">
      <c r="B3449" s="1341">
        <v>4043</v>
      </c>
      <c r="C3449" s="1341" t="s">
        <v>4457</v>
      </c>
      <c r="D3449" s="1310">
        <v>647.45000500000003</v>
      </c>
    </row>
    <row r="3450" spans="2:4" x14ac:dyDescent="0.2">
      <c r="B3450" s="1341">
        <v>4044</v>
      </c>
      <c r="C3450" s="1341" t="s">
        <v>4458</v>
      </c>
      <c r="D3450" s="1310">
        <v>618.261526</v>
      </c>
    </row>
    <row r="3451" spans="2:4" x14ac:dyDescent="0.2">
      <c r="B3451" s="1341">
        <v>4045</v>
      </c>
      <c r="C3451" s="1341" t="s">
        <v>4459</v>
      </c>
      <c r="D3451" s="1310">
        <v>635.43570799999998</v>
      </c>
    </row>
    <row r="3452" spans="2:4" x14ac:dyDescent="0.2">
      <c r="B3452" s="1341">
        <v>4046</v>
      </c>
      <c r="C3452" s="1341" t="s">
        <v>4460</v>
      </c>
      <c r="D3452" s="1310">
        <v>874.50999100000001</v>
      </c>
    </row>
    <row r="3453" spans="2:4" x14ac:dyDescent="0.2">
      <c r="B3453" s="1341">
        <v>4047</v>
      </c>
      <c r="C3453" s="1341" t="s">
        <v>4461</v>
      </c>
      <c r="D3453" s="1310">
        <v>877.28000499999996</v>
      </c>
    </row>
    <row r="3454" spans="2:4" x14ac:dyDescent="0.2">
      <c r="B3454" s="1341">
        <v>4048</v>
      </c>
      <c r="C3454" s="1341" t="s">
        <v>2995</v>
      </c>
      <c r="D3454" s="1310">
        <v>777.09999100000005</v>
      </c>
    </row>
    <row r="3455" spans="2:4" x14ac:dyDescent="0.2">
      <c r="B3455" s="1341">
        <v>4049</v>
      </c>
      <c r="C3455" s="1341" t="s">
        <v>4462</v>
      </c>
      <c r="D3455" s="1310">
        <v>772.870001</v>
      </c>
    </row>
    <row r="3456" spans="2:4" x14ac:dyDescent="0.2">
      <c r="B3456" s="1341">
        <v>4050</v>
      </c>
      <c r="C3456" s="1341" t="s">
        <v>4463</v>
      </c>
      <c r="D3456" s="1310">
        <v>792.02223000000004</v>
      </c>
    </row>
    <row r="3457" spans="2:4" x14ac:dyDescent="0.2">
      <c r="B3457" s="1341">
        <v>4051</v>
      </c>
      <c r="C3457" s="1341" t="s">
        <v>4464</v>
      </c>
      <c r="D3457" s="1310">
        <v>773.22001999999998</v>
      </c>
    </row>
    <row r="3458" spans="2:4" x14ac:dyDescent="0.2">
      <c r="B3458" s="1341">
        <v>4052</v>
      </c>
      <c r="C3458" s="1341" t="s">
        <v>4465</v>
      </c>
      <c r="D3458" s="1310">
        <v>696.10000600000001</v>
      </c>
    </row>
    <row r="3459" spans="2:4" x14ac:dyDescent="0.2">
      <c r="B3459" s="1341">
        <v>4053</v>
      </c>
      <c r="C3459" s="1341" t="s">
        <v>4466</v>
      </c>
      <c r="D3459" s="1310">
        <v>712.421426</v>
      </c>
    </row>
    <row r="3460" spans="2:4" x14ac:dyDescent="0.2">
      <c r="B3460" s="1341">
        <v>4054</v>
      </c>
      <c r="C3460" s="1341" t="s">
        <v>4467</v>
      </c>
      <c r="D3460" s="1310">
        <v>711.31818199999998</v>
      </c>
    </row>
    <row r="3461" spans="2:4" x14ac:dyDescent="0.2">
      <c r="B3461" s="1341">
        <v>4055</v>
      </c>
      <c r="C3461" s="1341" t="s">
        <v>4468</v>
      </c>
      <c r="D3461" s="1310">
        <v>633.92941099999996</v>
      </c>
    </row>
    <row r="3462" spans="2:4" x14ac:dyDescent="0.2">
      <c r="B3462" s="1341">
        <v>4056</v>
      </c>
      <c r="C3462" s="1341" t="s">
        <v>4469</v>
      </c>
      <c r="D3462" s="1310">
        <v>665.61250299999995</v>
      </c>
    </row>
    <row r="3463" spans="2:4" x14ac:dyDescent="0.2">
      <c r="B3463" s="1341">
        <v>4057</v>
      </c>
      <c r="C3463" s="1341" t="s">
        <v>4470</v>
      </c>
      <c r="D3463" s="1310">
        <v>677.54210499999999</v>
      </c>
    </row>
    <row r="3464" spans="2:4" x14ac:dyDescent="0.2">
      <c r="B3464" s="1341">
        <v>4058</v>
      </c>
      <c r="C3464" s="1341" t="s">
        <v>4471</v>
      </c>
      <c r="D3464" s="1310">
        <v>660.64286600000003</v>
      </c>
    </row>
    <row r="3465" spans="2:4" x14ac:dyDescent="0.2">
      <c r="B3465" s="1341">
        <v>4059</v>
      </c>
      <c r="C3465" s="1341" t="s">
        <v>4472</v>
      </c>
      <c r="D3465" s="1310">
        <v>637.06249200000002</v>
      </c>
    </row>
    <row r="3466" spans="2:4" x14ac:dyDescent="0.2">
      <c r="B3466" s="1341">
        <v>4060</v>
      </c>
      <c r="C3466" s="1341" t="s">
        <v>4473</v>
      </c>
      <c r="D3466" s="1310">
        <v>655.68571299999996</v>
      </c>
    </row>
    <row r="3467" spans="2:4" x14ac:dyDescent="0.2">
      <c r="B3467" s="1341">
        <v>4061</v>
      </c>
      <c r="C3467" s="1341" t="s">
        <v>4474</v>
      </c>
      <c r="D3467" s="1310">
        <v>632.32000700000003</v>
      </c>
    </row>
    <row r="3468" spans="2:4" x14ac:dyDescent="0.2">
      <c r="B3468" s="1341">
        <v>4062</v>
      </c>
      <c r="C3468" s="1341" t="s">
        <v>4475</v>
      </c>
      <c r="D3468" s="1310">
        <v>635.44999700000005</v>
      </c>
    </row>
    <row r="3469" spans="2:4" x14ac:dyDescent="0.2">
      <c r="B3469" s="1341">
        <v>4063</v>
      </c>
      <c r="C3469" s="1341" t="s">
        <v>4476</v>
      </c>
      <c r="D3469" s="1310">
        <v>663.40001199999995</v>
      </c>
    </row>
    <row r="3470" spans="2:4" x14ac:dyDescent="0.2">
      <c r="B3470" s="1341">
        <v>4064</v>
      </c>
      <c r="C3470" s="1341" t="s">
        <v>4477</v>
      </c>
      <c r="D3470" s="1310">
        <v>650.32142899999997</v>
      </c>
    </row>
    <row r="3471" spans="2:4" x14ac:dyDescent="0.2">
      <c r="B3471" s="1341">
        <v>4065</v>
      </c>
      <c r="C3471" s="1341" t="s">
        <v>4478</v>
      </c>
      <c r="D3471" s="1310">
        <v>662.78571399999998</v>
      </c>
    </row>
    <row r="3472" spans="2:4" x14ac:dyDescent="0.2">
      <c r="B3472" s="1341">
        <v>4066</v>
      </c>
      <c r="C3472" s="1341" t="s">
        <v>4479</v>
      </c>
      <c r="D3472" s="1310">
        <v>725.93998999999997</v>
      </c>
    </row>
    <row r="3473" spans="2:4" x14ac:dyDescent="0.2">
      <c r="B3473" s="1341">
        <v>4101</v>
      </c>
      <c r="C3473" s="1341" t="s">
        <v>2808</v>
      </c>
      <c r="D3473" s="1310">
        <v>644.58928400000002</v>
      </c>
    </row>
    <row r="3474" spans="2:4" x14ac:dyDescent="0.2">
      <c r="B3474" s="1341">
        <v>4102</v>
      </c>
      <c r="C3474" s="1341" t="s">
        <v>4480</v>
      </c>
      <c r="D3474" s="1310">
        <v>656.39999799999998</v>
      </c>
    </row>
    <row r="3475" spans="2:4" x14ac:dyDescent="0.2">
      <c r="B3475" s="1341">
        <v>4103</v>
      </c>
      <c r="C3475" s="1341" t="s">
        <v>4481</v>
      </c>
      <c r="D3475" s="1310">
        <v>704.23331700000006</v>
      </c>
    </row>
    <row r="3476" spans="2:4" x14ac:dyDescent="0.2">
      <c r="B3476" s="1341">
        <v>4104</v>
      </c>
      <c r="C3476" s="1341" t="s">
        <v>4482</v>
      </c>
      <c r="D3476" s="1310">
        <v>589.95999800000004</v>
      </c>
    </row>
    <row r="3477" spans="2:4" x14ac:dyDescent="0.2">
      <c r="B3477" s="1341">
        <v>4105</v>
      </c>
      <c r="C3477" s="1341" t="s">
        <v>4483</v>
      </c>
      <c r="D3477" s="1310">
        <v>614.06666299999995</v>
      </c>
    </row>
    <row r="3478" spans="2:4" x14ac:dyDescent="0.2">
      <c r="B3478" s="1341">
        <v>4106</v>
      </c>
      <c r="C3478" s="1341" t="s">
        <v>4484</v>
      </c>
      <c r="D3478" s="1310">
        <v>900.40002400000003</v>
      </c>
    </row>
    <row r="3479" spans="2:4" x14ac:dyDescent="0.2">
      <c r="B3479" s="1341">
        <v>4107</v>
      </c>
      <c r="C3479" s="1341" t="s">
        <v>4485</v>
      </c>
      <c r="D3479" s="1310">
        <v>846.28572299999996</v>
      </c>
    </row>
    <row r="3480" spans="2:4" x14ac:dyDescent="0.2">
      <c r="B3480" s="1341">
        <v>4108</v>
      </c>
      <c r="C3480" s="1341" t="s">
        <v>4486</v>
      </c>
      <c r="D3480" s="1310">
        <v>753.34999800000003</v>
      </c>
    </row>
    <row r="3481" spans="2:4" x14ac:dyDescent="0.2">
      <c r="B3481" s="1341">
        <v>4109</v>
      </c>
      <c r="C3481" s="1341" t="s">
        <v>4487</v>
      </c>
      <c r="D3481" s="1310">
        <v>759.45</v>
      </c>
    </row>
    <row r="3482" spans="2:4" x14ac:dyDescent="0.2">
      <c r="B3482" s="1341">
        <v>4110</v>
      </c>
      <c r="C3482" s="1341" t="s">
        <v>2825</v>
      </c>
      <c r="D3482" s="1310">
        <v>807.38334099999997</v>
      </c>
    </row>
    <row r="3483" spans="2:4" x14ac:dyDescent="0.2">
      <c r="B3483" s="1341">
        <v>4111</v>
      </c>
      <c r="C3483" s="1341" t="s">
        <v>4488</v>
      </c>
      <c r="D3483" s="1310">
        <v>775.41666699999996</v>
      </c>
    </row>
    <row r="3484" spans="2:4" x14ac:dyDescent="0.2">
      <c r="B3484" s="1341">
        <v>4112</v>
      </c>
      <c r="C3484" s="1341" t="s">
        <v>2861</v>
      </c>
      <c r="D3484" s="1310">
        <v>816.81999499999995</v>
      </c>
    </row>
    <row r="3485" spans="2:4" x14ac:dyDescent="0.2">
      <c r="B3485" s="1341">
        <v>4113</v>
      </c>
      <c r="C3485" s="1341" t="s">
        <v>4489</v>
      </c>
      <c r="D3485" s="1310">
        <v>834.52777800000001</v>
      </c>
    </row>
    <row r="3486" spans="2:4" x14ac:dyDescent="0.2">
      <c r="B3486" s="1341">
        <v>4114</v>
      </c>
      <c r="C3486" s="1341" t="s">
        <v>4490</v>
      </c>
      <c r="D3486" s="1310">
        <v>665.73999600000002</v>
      </c>
    </row>
    <row r="3487" spans="2:4" x14ac:dyDescent="0.2">
      <c r="B3487" s="1341">
        <v>4115</v>
      </c>
      <c r="C3487" s="1341" t="s">
        <v>4491</v>
      </c>
      <c r="D3487" s="1310">
        <v>722.33333300000004</v>
      </c>
    </row>
    <row r="3488" spans="2:4" x14ac:dyDescent="0.2">
      <c r="B3488" s="1341">
        <v>4116</v>
      </c>
      <c r="C3488" s="1341" t="s">
        <v>4492</v>
      </c>
      <c r="D3488" s="1310">
        <v>724.54634499999997</v>
      </c>
    </row>
    <row r="3489" spans="2:4" x14ac:dyDescent="0.2">
      <c r="B3489" s="1341">
        <v>4117</v>
      </c>
      <c r="C3489" s="1341" t="s">
        <v>4493</v>
      </c>
      <c r="D3489" s="1310">
        <v>682.28332499999999</v>
      </c>
    </row>
    <row r="3490" spans="2:4" x14ac:dyDescent="0.2">
      <c r="B3490" s="1341">
        <v>4118</v>
      </c>
      <c r="C3490" s="1341" t="s">
        <v>4494</v>
      </c>
      <c r="D3490" s="1310">
        <v>654.47501399999999</v>
      </c>
    </row>
    <row r="3491" spans="2:4" x14ac:dyDescent="0.2">
      <c r="B3491" s="1341">
        <v>4119</v>
      </c>
      <c r="C3491" s="1341" t="s">
        <v>4495</v>
      </c>
      <c r="D3491" s="1310">
        <v>656.31071499999996</v>
      </c>
    </row>
    <row r="3492" spans="2:4" x14ac:dyDescent="0.2">
      <c r="B3492" s="1341">
        <v>4120</v>
      </c>
      <c r="C3492" s="1341" t="s">
        <v>4496</v>
      </c>
      <c r="D3492" s="1310">
        <v>666.41875100000004</v>
      </c>
    </row>
    <row r="3493" spans="2:4" x14ac:dyDescent="0.2">
      <c r="B3493" s="1341">
        <v>4121</v>
      </c>
      <c r="C3493" s="1341" t="s">
        <v>4497</v>
      </c>
      <c r="D3493" s="1310">
        <v>680.51429099999996</v>
      </c>
    </row>
    <row r="3494" spans="2:4" x14ac:dyDescent="0.2">
      <c r="B3494" s="1341">
        <v>4122</v>
      </c>
      <c r="C3494" s="1341" t="s">
        <v>4498</v>
      </c>
      <c r="D3494" s="1310">
        <v>641.22962600000005</v>
      </c>
    </row>
    <row r="3495" spans="2:4" x14ac:dyDescent="0.2">
      <c r="B3495" s="1341">
        <v>4123</v>
      </c>
      <c r="C3495" s="1341" t="s">
        <v>4499</v>
      </c>
      <c r="D3495" s="1310">
        <v>694.76363900000001</v>
      </c>
    </row>
    <row r="3496" spans="2:4" x14ac:dyDescent="0.2">
      <c r="B3496" s="1341">
        <v>4124</v>
      </c>
      <c r="C3496" s="1341" t="s">
        <v>4500</v>
      </c>
      <c r="D3496" s="1310">
        <v>677.74999600000001</v>
      </c>
    </row>
    <row r="3497" spans="2:4" x14ac:dyDescent="0.2">
      <c r="B3497" s="1341">
        <v>4125</v>
      </c>
      <c r="C3497" s="1341" t="s">
        <v>4501</v>
      </c>
      <c r="D3497" s="1310">
        <v>752.20714899999996</v>
      </c>
    </row>
    <row r="3498" spans="2:4" x14ac:dyDescent="0.2">
      <c r="B3498" s="1341">
        <v>4126</v>
      </c>
      <c r="C3498" s="1341" t="s">
        <v>4502</v>
      </c>
      <c r="D3498" s="1310">
        <v>704.24583399999995</v>
      </c>
    </row>
    <row r="3499" spans="2:4" x14ac:dyDescent="0.2">
      <c r="B3499" s="1341">
        <v>4127</v>
      </c>
      <c r="C3499" s="1341" t="s">
        <v>4503</v>
      </c>
      <c r="D3499" s="1310">
        <v>687.47499600000003</v>
      </c>
    </row>
    <row r="3500" spans="2:4" x14ac:dyDescent="0.2">
      <c r="B3500" s="1341">
        <v>4128</v>
      </c>
      <c r="C3500" s="1341" t="s">
        <v>4504</v>
      </c>
      <c r="D3500" s="1310">
        <v>796.03332499999999</v>
      </c>
    </row>
    <row r="3501" spans="2:4" x14ac:dyDescent="0.2">
      <c r="B3501" s="1341">
        <v>4129</v>
      </c>
      <c r="C3501" s="1341" t="s">
        <v>4505</v>
      </c>
      <c r="D3501" s="1310">
        <v>731.64545199999998</v>
      </c>
    </row>
    <row r="3502" spans="2:4" x14ac:dyDescent="0.2">
      <c r="B3502" s="1341">
        <v>4130</v>
      </c>
      <c r="C3502" s="1341" t="s">
        <v>4506</v>
      </c>
      <c r="D3502" s="1310">
        <v>705.258331</v>
      </c>
    </row>
    <row r="3503" spans="2:4" x14ac:dyDescent="0.2">
      <c r="B3503" s="1341">
        <v>4131</v>
      </c>
      <c r="C3503" s="1341" t="s">
        <v>4507</v>
      </c>
      <c r="D3503" s="1310">
        <v>675.51817200000005</v>
      </c>
    </row>
    <row r="3504" spans="2:4" x14ac:dyDescent="0.2">
      <c r="B3504" s="1341">
        <v>4132</v>
      </c>
      <c r="C3504" s="1341" t="s">
        <v>4508</v>
      </c>
      <c r="D3504" s="1310">
        <v>687.98333200000002</v>
      </c>
    </row>
    <row r="3505" spans="2:4" x14ac:dyDescent="0.2">
      <c r="B3505" s="1341">
        <v>4133</v>
      </c>
      <c r="C3505" s="1341" t="s">
        <v>4509</v>
      </c>
      <c r="D3505" s="1310">
        <v>848.64999399999999</v>
      </c>
    </row>
    <row r="3506" spans="2:4" x14ac:dyDescent="0.2">
      <c r="B3506" s="1341">
        <v>4134</v>
      </c>
      <c r="C3506" s="1341" t="s">
        <v>4510</v>
      </c>
      <c r="D3506" s="1310">
        <v>806.629999</v>
      </c>
    </row>
    <row r="3507" spans="2:4" x14ac:dyDescent="0.2">
      <c r="B3507" s="1341">
        <v>4135</v>
      </c>
      <c r="C3507" s="1341" t="s">
        <v>4511</v>
      </c>
      <c r="D3507" s="1310">
        <v>770.70000900000002</v>
      </c>
    </row>
    <row r="3508" spans="2:4" x14ac:dyDescent="0.2">
      <c r="B3508" s="1341">
        <v>4136</v>
      </c>
      <c r="C3508" s="1341" t="s">
        <v>4512</v>
      </c>
      <c r="D3508" s="1310">
        <v>757.76666299999999</v>
      </c>
    </row>
    <row r="3509" spans="2:4" x14ac:dyDescent="0.2">
      <c r="B3509" s="1341">
        <v>4137</v>
      </c>
      <c r="C3509" s="1341" t="s">
        <v>4513</v>
      </c>
      <c r="D3509" s="1310">
        <v>784.07367899999997</v>
      </c>
    </row>
    <row r="3510" spans="2:4" x14ac:dyDescent="0.2">
      <c r="B3510" s="1341">
        <v>4138</v>
      </c>
      <c r="C3510" s="1341" t="s">
        <v>4514</v>
      </c>
      <c r="D3510" s="1310">
        <v>712.42000700000006</v>
      </c>
    </row>
    <row r="3511" spans="2:4" x14ac:dyDescent="0.2">
      <c r="B3511" s="1341">
        <v>4139</v>
      </c>
      <c r="C3511" s="1341" t="s">
        <v>4515</v>
      </c>
      <c r="D3511" s="1310">
        <v>700.25</v>
      </c>
    </row>
    <row r="3512" spans="2:4" x14ac:dyDescent="0.2">
      <c r="B3512" s="1341">
        <v>4140</v>
      </c>
      <c r="C3512" s="1341" t="s">
        <v>4516</v>
      </c>
      <c r="D3512" s="1310">
        <v>748.94999700000005</v>
      </c>
    </row>
    <row r="3513" spans="2:4" x14ac:dyDescent="0.2">
      <c r="B3513" s="1341">
        <v>4141</v>
      </c>
      <c r="C3513" s="1341" t="s">
        <v>4517</v>
      </c>
      <c r="D3513" s="1310">
        <v>721.44998199999998</v>
      </c>
    </row>
    <row r="3514" spans="2:4" x14ac:dyDescent="0.2">
      <c r="B3514" s="1341">
        <v>4142</v>
      </c>
      <c r="C3514" s="1341" t="s">
        <v>4518</v>
      </c>
      <c r="D3514" s="1310">
        <v>704.70000800000003</v>
      </c>
    </row>
    <row r="3515" spans="2:4" x14ac:dyDescent="0.2">
      <c r="B3515" s="1341">
        <v>4143</v>
      </c>
      <c r="C3515" s="1341" t="s">
        <v>4519</v>
      </c>
      <c r="D3515" s="1310">
        <v>701.41666699999996</v>
      </c>
    </row>
    <row r="3516" spans="2:4" x14ac:dyDescent="0.2">
      <c r="B3516" s="1341">
        <v>4144</v>
      </c>
      <c r="C3516" s="1341" t="s">
        <v>4520</v>
      </c>
      <c r="D3516" s="1310">
        <v>702.36363100000005</v>
      </c>
    </row>
    <row r="3517" spans="2:4" x14ac:dyDescent="0.2">
      <c r="B3517" s="1341">
        <v>4145</v>
      </c>
      <c r="C3517" s="1341" t="s">
        <v>4521</v>
      </c>
      <c r="D3517" s="1310">
        <v>666.72999900000002</v>
      </c>
    </row>
    <row r="3518" spans="2:4" x14ac:dyDescent="0.2">
      <c r="B3518" s="1341">
        <v>4146</v>
      </c>
      <c r="C3518" s="1341" t="s">
        <v>4522</v>
      </c>
      <c r="D3518" s="1310">
        <v>690.01428199999998</v>
      </c>
    </row>
    <row r="3519" spans="2:4" x14ac:dyDescent="0.2">
      <c r="B3519" s="1341">
        <v>4147</v>
      </c>
      <c r="C3519" s="1341" t="s">
        <v>4523</v>
      </c>
      <c r="D3519" s="1310">
        <v>652.77500399999997</v>
      </c>
    </row>
    <row r="3520" spans="2:4" x14ac:dyDescent="0.2">
      <c r="B3520" s="1341">
        <v>4148</v>
      </c>
      <c r="C3520" s="1341" t="s">
        <v>4524</v>
      </c>
      <c r="D3520" s="1310">
        <v>668.21428600000002</v>
      </c>
    </row>
    <row r="3521" spans="2:4" x14ac:dyDescent="0.2">
      <c r="B3521" s="1341">
        <v>4149</v>
      </c>
      <c r="C3521" s="1341" t="s">
        <v>410</v>
      </c>
      <c r="D3521" s="1310">
        <v>649.29048399999999</v>
      </c>
    </row>
    <row r="3522" spans="2:4" x14ac:dyDescent="0.2">
      <c r="B3522" s="1341">
        <v>4150</v>
      </c>
      <c r="C3522" s="1341" t="s">
        <v>4525</v>
      </c>
      <c r="D3522" s="1310">
        <v>690.70666900000003</v>
      </c>
    </row>
    <row r="3523" spans="2:4" x14ac:dyDescent="0.2">
      <c r="B3523" s="1341">
        <v>4151</v>
      </c>
      <c r="C3523" s="1341" t="s">
        <v>4526</v>
      </c>
      <c r="D3523" s="1310">
        <v>700.04117699999995</v>
      </c>
    </row>
    <row r="3524" spans="2:4" x14ac:dyDescent="0.2">
      <c r="B3524" s="1341">
        <v>4152</v>
      </c>
      <c r="C3524" s="1341" t="s">
        <v>4527</v>
      </c>
      <c r="D3524" s="1310">
        <v>727.42800299999999</v>
      </c>
    </row>
    <row r="3525" spans="2:4" x14ac:dyDescent="0.2">
      <c r="B3525" s="1341">
        <v>4153</v>
      </c>
      <c r="C3525" s="1341" t="s">
        <v>3249</v>
      </c>
      <c r="D3525" s="1310">
        <v>749.73076900000001</v>
      </c>
    </row>
    <row r="3526" spans="2:4" x14ac:dyDescent="0.2">
      <c r="B3526" s="1341">
        <v>4154</v>
      </c>
      <c r="C3526" s="1341" t="s">
        <v>4528</v>
      </c>
      <c r="D3526" s="1310">
        <v>711.80000600000005</v>
      </c>
    </row>
    <row r="3527" spans="2:4" x14ac:dyDescent="0.2">
      <c r="B3527" s="1341">
        <v>4155</v>
      </c>
      <c r="C3527" s="1341" t="s">
        <v>4529</v>
      </c>
      <c r="D3527" s="1310">
        <v>778.02257899999995</v>
      </c>
    </row>
    <row r="3528" spans="2:4" x14ac:dyDescent="0.2">
      <c r="B3528" s="1341">
        <v>4156</v>
      </c>
      <c r="C3528" s="1341" t="s">
        <v>3574</v>
      </c>
      <c r="D3528" s="1310">
        <v>735.89999399999999</v>
      </c>
    </row>
    <row r="3529" spans="2:4" x14ac:dyDescent="0.2">
      <c r="B3529" s="1341">
        <v>4157</v>
      </c>
      <c r="C3529" s="1341" t="s">
        <v>4530</v>
      </c>
      <c r="D3529" s="1310">
        <v>793.81999900000005</v>
      </c>
    </row>
    <row r="3530" spans="2:4" x14ac:dyDescent="0.2">
      <c r="B3530" s="1341">
        <v>4158</v>
      </c>
      <c r="C3530" s="1341" t="s">
        <v>4531</v>
      </c>
      <c r="D3530" s="1310">
        <v>785.67273499999999</v>
      </c>
    </row>
    <row r="3531" spans="2:4" x14ac:dyDescent="0.2">
      <c r="B3531" s="1341">
        <v>4159</v>
      </c>
      <c r="C3531" s="1341" t="s">
        <v>4532</v>
      </c>
      <c r="D3531" s="1310">
        <v>762.00713900000005</v>
      </c>
    </row>
    <row r="3532" spans="2:4" x14ac:dyDescent="0.2">
      <c r="B3532" s="1341">
        <v>4160</v>
      </c>
      <c r="C3532" s="1341" t="s">
        <v>4533</v>
      </c>
      <c r="D3532" s="1310">
        <v>763.66250600000001</v>
      </c>
    </row>
    <row r="3533" spans="2:4" x14ac:dyDescent="0.2">
      <c r="B3533" s="1341">
        <v>4161</v>
      </c>
      <c r="C3533" s="1341" t="s">
        <v>4534</v>
      </c>
      <c r="D3533" s="1310">
        <v>696.16874700000005</v>
      </c>
    </row>
    <row r="3534" spans="2:4" x14ac:dyDescent="0.2">
      <c r="B3534" s="1341">
        <v>4162</v>
      </c>
      <c r="C3534" s="1341" t="s">
        <v>4535</v>
      </c>
      <c r="D3534" s="1310">
        <v>703.09997599999997</v>
      </c>
    </row>
    <row r="3535" spans="2:4" x14ac:dyDescent="0.2">
      <c r="B3535" s="1341">
        <v>4163</v>
      </c>
      <c r="C3535" s="1341" t="s">
        <v>4536</v>
      </c>
      <c r="D3535" s="1310">
        <v>696.64165800000001</v>
      </c>
    </row>
    <row r="3536" spans="2:4" x14ac:dyDescent="0.2">
      <c r="B3536" s="1341">
        <v>4164</v>
      </c>
      <c r="C3536" s="1341" t="s">
        <v>4537</v>
      </c>
      <c r="D3536" s="1310">
        <v>700.10555399999998</v>
      </c>
    </row>
    <row r="3537" spans="2:4" x14ac:dyDescent="0.2">
      <c r="B3537" s="1341">
        <v>4165</v>
      </c>
      <c r="C3537" s="1341" t="s">
        <v>4538</v>
      </c>
      <c r="D3537" s="1310">
        <v>712.63999000000001</v>
      </c>
    </row>
    <row r="3538" spans="2:4" x14ac:dyDescent="0.2">
      <c r="B3538" s="1341">
        <v>4166</v>
      </c>
      <c r="C3538" s="1341" t="s">
        <v>4539</v>
      </c>
      <c r="D3538" s="1310">
        <v>714.71111399999995</v>
      </c>
    </row>
    <row r="3539" spans="2:4" x14ac:dyDescent="0.2">
      <c r="B3539" s="1341">
        <v>4167</v>
      </c>
      <c r="C3539" s="1341" t="s">
        <v>4540</v>
      </c>
      <c r="D3539" s="1310">
        <v>738.97499600000003</v>
      </c>
    </row>
    <row r="3540" spans="2:4" x14ac:dyDescent="0.2">
      <c r="B3540" s="1341">
        <v>4201</v>
      </c>
      <c r="C3540" s="1341" t="s">
        <v>2985</v>
      </c>
      <c r="D3540" s="1310">
        <v>917.16999499999997</v>
      </c>
    </row>
    <row r="3541" spans="2:4" x14ac:dyDescent="0.2">
      <c r="B3541" s="1341">
        <v>4202</v>
      </c>
      <c r="C3541" s="1341" t="s">
        <v>4541</v>
      </c>
      <c r="D3541" s="1310">
        <v>884.47499600000003</v>
      </c>
    </row>
    <row r="3542" spans="2:4" x14ac:dyDescent="0.2">
      <c r="B3542" s="1341">
        <v>4203</v>
      </c>
      <c r="C3542" s="1341" t="s">
        <v>4542</v>
      </c>
      <c r="D3542" s="1310">
        <v>858.55384200000003</v>
      </c>
    </row>
    <row r="3543" spans="2:4" x14ac:dyDescent="0.2">
      <c r="B3543" s="1341">
        <v>4204</v>
      </c>
      <c r="C3543" s="1341" t="s">
        <v>4543</v>
      </c>
      <c r="D3543" s="1310">
        <v>780.44000200000005</v>
      </c>
    </row>
    <row r="3544" spans="2:4" x14ac:dyDescent="0.2">
      <c r="B3544" s="1341">
        <v>4205</v>
      </c>
      <c r="C3544" s="1341" t="s">
        <v>4544</v>
      </c>
      <c r="D3544" s="1310">
        <v>882.75</v>
      </c>
    </row>
    <row r="3545" spans="2:4" x14ac:dyDescent="0.2">
      <c r="B3545" s="1341">
        <v>4206</v>
      </c>
      <c r="C3545" s="1341" t="s">
        <v>4545</v>
      </c>
      <c r="D3545" s="1310">
        <v>845.46667500000001</v>
      </c>
    </row>
    <row r="3546" spans="2:4" x14ac:dyDescent="0.2">
      <c r="B3546" s="1341">
        <v>4207</v>
      </c>
      <c r="C3546" s="1341" t="s">
        <v>2894</v>
      </c>
      <c r="D3546" s="1310">
        <v>804.64999399999999</v>
      </c>
    </row>
    <row r="3547" spans="2:4" x14ac:dyDescent="0.2">
      <c r="B3547" s="1341">
        <v>4208</v>
      </c>
      <c r="C3547" s="1341" t="s">
        <v>3305</v>
      </c>
      <c r="D3547" s="1310">
        <v>792.79998799999998</v>
      </c>
    </row>
    <row r="3548" spans="2:4" x14ac:dyDescent="0.2">
      <c r="B3548" s="1341">
        <v>4209</v>
      </c>
      <c r="C3548" s="1341" t="s">
        <v>4546</v>
      </c>
      <c r="D3548" s="1310">
        <v>839.14999399999999</v>
      </c>
    </row>
    <row r="3549" spans="2:4" x14ac:dyDescent="0.2">
      <c r="B3549" s="1341">
        <v>4210</v>
      </c>
      <c r="C3549" s="1341" t="s">
        <v>4547</v>
      </c>
      <c r="D3549" s="1310">
        <v>853.31538699999999</v>
      </c>
    </row>
    <row r="3550" spans="2:4" x14ac:dyDescent="0.2">
      <c r="B3550" s="1341">
        <v>4211</v>
      </c>
      <c r="C3550" s="1341" t="s">
        <v>4548</v>
      </c>
      <c r="D3550" s="1310">
        <v>799.13999000000001</v>
      </c>
    </row>
    <row r="3551" spans="2:4" x14ac:dyDescent="0.2">
      <c r="B3551" s="1341">
        <v>4212</v>
      </c>
      <c r="C3551" s="1341" t="s">
        <v>4549</v>
      </c>
      <c r="D3551" s="1310">
        <v>780.43076699999995</v>
      </c>
    </row>
    <row r="3552" spans="2:4" x14ac:dyDescent="0.2">
      <c r="B3552" s="1341">
        <v>4213</v>
      </c>
      <c r="C3552" s="1341" t="s">
        <v>4550</v>
      </c>
      <c r="D3552" s="1310">
        <v>807.79998799999998</v>
      </c>
    </row>
    <row r="3553" spans="2:4" x14ac:dyDescent="0.2">
      <c r="B3553" s="1341">
        <v>4214</v>
      </c>
      <c r="C3553" s="1341" t="s">
        <v>2824</v>
      </c>
      <c r="D3553" s="1310">
        <v>946.19230300000004</v>
      </c>
    </row>
    <row r="3554" spans="2:4" x14ac:dyDescent="0.2">
      <c r="B3554" s="1341">
        <v>4215</v>
      </c>
      <c r="C3554" s="1341" t="s">
        <v>4551</v>
      </c>
      <c r="D3554" s="1310">
        <v>843.55998499999998</v>
      </c>
    </row>
    <row r="3555" spans="2:4" x14ac:dyDescent="0.2">
      <c r="B3555" s="1341">
        <v>4216</v>
      </c>
      <c r="C3555" s="1341" t="s">
        <v>4552</v>
      </c>
      <c r="D3555" s="1310">
        <v>768.04285500000003</v>
      </c>
    </row>
    <row r="3556" spans="2:4" x14ac:dyDescent="0.2">
      <c r="B3556" s="1341">
        <v>4217</v>
      </c>
      <c r="C3556" s="1341" t="s">
        <v>4553</v>
      </c>
      <c r="D3556" s="1310">
        <v>907.00714500000004</v>
      </c>
    </row>
    <row r="3557" spans="2:4" x14ac:dyDescent="0.2">
      <c r="B3557" s="1341">
        <v>4218</v>
      </c>
      <c r="C3557" s="1341" t="s">
        <v>4554</v>
      </c>
      <c r="D3557" s="1310">
        <v>730.79998799999998</v>
      </c>
    </row>
    <row r="3558" spans="2:4" x14ac:dyDescent="0.2">
      <c r="B3558" s="1341">
        <v>4219</v>
      </c>
      <c r="C3558" s="1341" t="s">
        <v>4555</v>
      </c>
      <c r="D3558" s="1310">
        <v>781.92501100000004</v>
      </c>
    </row>
    <row r="3559" spans="2:4" x14ac:dyDescent="0.2">
      <c r="B3559" s="1341">
        <v>4220</v>
      </c>
      <c r="C3559" s="1341" t="s">
        <v>4556</v>
      </c>
      <c r="D3559" s="1310">
        <v>758.86000999999999</v>
      </c>
    </row>
    <row r="3560" spans="2:4" x14ac:dyDescent="0.2">
      <c r="B3560" s="1341">
        <v>4221</v>
      </c>
      <c r="C3560" s="1341" t="s">
        <v>4557</v>
      </c>
      <c r="D3560" s="1310">
        <v>825.51999499999999</v>
      </c>
    </row>
    <row r="3561" spans="2:4" x14ac:dyDescent="0.2">
      <c r="B3561" s="1341">
        <v>4222</v>
      </c>
      <c r="C3561" s="1341" t="s">
        <v>4558</v>
      </c>
      <c r="D3561" s="1310">
        <v>730.84997599999997</v>
      </c>
    </row>
    <row r="3562" spans="2:4" x14ac:dyDescent="0.2">
      <c r="B3562" s="1341">
        <v>4223</v>
      </c>
      <c r="C3562" s="1341" t="s">
        <v>2738</v>
      </c>
      <c r="D3562" s="1310">
        <v>750.29998799999998</v>
      </c>
    </row>
    <row r="3563" spans="2:4" x14ac:dyDescent="0.2">
      <c r="B3563" s="1341">
        <v>4224</v>
      </c>
      <c r="C3563" s="1341" t="s">
        <v>4559</v>
      </c>
      <c r="D3563" s="1310">
        <v>698.59997599999997</v>
      </c>
    </row>
    <row r="3564" spans="2:4" x14ac:dyDescent="0.2">
      <c r="B3564" s="1341">
        <v>4225</v>
      </c>
      <c r="C3564" s="1341" t="s">
        <v>4560</v>
      </c>
      <c r="D3564" s="1310">
        <v>692.26667299999997</v>
      </c>
    </row>
    <row r="3565" spans="2:4" x14ac:dyDescent="0.2">
      <c r="B3565" s="1341">
        <v>4226</v>
      </c>
      <c r="C3565" s="1341" t="s">
        <v>4561</v>
      </c>
      <c r="D3565" s="1310">
        <v>726.1</v>
      </c>
    </row>
    <row r="3566" spans="2:4" x14ac:dyDescent="0.2">
      <c r="B3566" s="1341">
        <v>4227</v>
      </c>
      <c r="C3566" s="1341" t="s">
        <v>4562</v>
      </c>
      <c r="D3566" s="1310">
        <v>728.56664999999998</v>
      </c>
    </row>
    <row r="3567" spans="2:4" x14ac:dyDescent="0.2">
      <c r="B3567" s="1341">
        <v>4228</v>
      </c>
      <c r="C3567" s="1341" t="s">
        <v>4563</v>
      </c>
      <c r="D3567" s="1310">
        <v>736.04999799999996</v>
      </c>
    </row>
    <row r="3568" spans="2:4" x14ac:dyDescent="0.2">
      <c r="B3568" s="1341">
        <v>4229</v>
      </c>
      <c r="C3568" s="1341" t="s">
        <v>3731</v>
      </c>
      <c r="D3568" s="1310">
        <v>754.06001000000003</v>
      </c>
    </row>
    <row r="3569" spans="2:4" x14ac:dyDescent="0.2">
      <c r="B3569" s="1341">
        <v>4230</v>
      </c>
      <c r="C3569" s="1341" t="s">
        <v>4564</v>
      </c>
      <c r="D3569" s="1310">
        <v>803.65999799999997</v>
      </c>
    </row>
    <row r="3570" spans="2:4" x14ac:dyDescent="0.2">
      <c r="B3570" s="1341">
        <v>4231</v>
      </c>
      <c r="C3570" s="1341" t="s">
        <v>4565</v>
      </c>
      <c r="D3570" s="1310">
        <v>710.59999600000003</v>
      </c>
    </row>
    <row r="3571" spans="2:4" x14ac:dyDescent="0.2">
      <c r="B3571" s="1341">
        <v>4232</v>
      </c>
      <c r="C3571" s="1341" t="s">
        <v>4566</v>
      </c>
      <c r="D3571" s="1310">
        <v>693.73333700000001</v>
      </c>
    </row>
    <row r="3572" spans="2:4" x14ac:dyDescent="0.2">
      <c r="B3572" s="1341">
        <v>4233</v>
      </c>
      <c r="C3572" s="1341" t="s">
        <v>4567</v>
      </c>
      <c r="D3572" s="1310">
        <v>718.09997599999997</v>
      </c>
    </row>
    <row r="3573" spans="2:4" x14ac:dyDescent="0.2">
      <c r="B3573" s="1341">
        <v>4234</v>
      </c>
      <c r="C3573" s="1341" t="s">
        <v>4568</v>
      </c>
      <c r="D3573" s="1310">
        <v>726.61427500000002</v>
      </c>
    </row>
    <row r="3574" spans="2:4" x14ac:dyDescent="0.2">
      <c r="B3574" s="1341">
        <v>4235</v>
      </c>
      <c r="C3574" s="1341" t="s">
        <v>2707</v>
      </c>
      <c r="D3574" s="1310">
        <v>765.60000300000002</v>
      </c>
    </row>
    <row r="3575" spans="2:4" x14ac:dyDescent="0.2">
      <c r="B3575" s="1341">
        <v>4237</v>
      </c>
      <c r="C3575" s="1341" t="s">
        <v>4569</v>
      </c>
      <c r="D3575" s="1310">
        <v>707.10001599999998</v>
      </c>
    </row>
    <row r="3576" spans="2:4" x14ac:dyDescent="0.2">
      <c r="B3576" s="1341">
        <v>4238</v>
      </c>
      <c r="C3576" s="1341" t="s">
        <v>4570</v>
      </c>
      <c r="D3576" s="1310">
        <v>660.70001200000002</v>
      </c>
    </row>
    <row r="3577" spans="2:4" x14ac:dyDescent="0.2">
      <c r="B3577" s="1341">
        <v>4239</v>
      </c>
      <c r="C3577" s="1341" t="s">
        <v>4571</v>
      </c>
      <c r="D3577" s="1310">
        <v>697.57691799999998</v>
      </c>
    </row>
    <row r="3578" spans="2:4" x14ac:dyDescent="0.2">
      <c r="B3578" s="1341">
        <v>4240</v>
      </c>
      <c r="C3578" s="1341" t="s">
        <v>4572</v>
      </c>
      <c r="D3578" s="1310">
        <v>645.83333300000004</v>
      </c>
    </row>
    <row r="3579" spans="2:4" x14ac:dyDescent="0.2">
      <c r="B3579" s="1341">
        <v>4241</v>
      </c>
      <c r="C3579" s="1341" t="s">
        <v>2653</v>
      </c>
      <c r="D3579" s="1310">
        <v>768.16154100000006</v>
      </c>
    </row>
    <row r="3580" spans="2:4" x14ac:dyDescent="0.2">
      <c r="B3580" s="1341">
        <v>4242</v>
      </c>
      <c r="C3580" s="1341" t="s">
        <v>4573</v>
      </c>
      <c r="D3580" s="1310">
        <v>818.74999200000002</v>
      </c>
    </row>
    <row r="3581" spans="2:4" x14ac:dyDescent="0.2">
      <c r="B3581" s="1341">
        <v>4243</v>
      </c>
      <c r="C3581" s="1341" t="s">
        <v>4574</v>
      </c>
      <c r="D3581" s="1310">
        <v>749.89999399999999</v>
      </c>
    </row>
    <row r="3582" spans="2:4" x14ac:dyDescent="0.2">
      <c r="B3582" s="1341">
        <v>4244</v>
      </c>
      <c r="C3582" s="1341" t="s">
        <v>4575</v>
      </c>
      <c r="D3582" s="1310">
        <v>820.18333399999995</v>
      </c>
    </row>
    <row r="3583" spans="2:4" x14ac:dyDescent="0.2">
      <c r="B3583" s="1341">
        <v>4245</v>
      </c>
      <c r="C3583" s="1341" t="s">
        <v>4576</v>
      </c>
      <c r="D3583" s="1310">
        <v>752.18181800000002</v>
      </c>
    </row>
    <row r="3584" spans="2:4" x14ac:dyDescent="0.2">
      <c r="B3584" s="1341">
        <v>4246</v>
      </c>
      <c r="C3584" s="1341" t="s">
        <v>4577</v>
      </c>
      <c r="D3584" s="1310">
        <v>720.83332299999995</v>
      </c>
    </row>
    <row r="3585" spans="2:4" x14ac:dyDescent="0.2">
      <c r="B3585" s="1341">
        <v>4247</v>
      </c>
      <c r="C3585" s="1341" t="s">
        <v>4578</v>
      </c>
      <c r="D3585" s="1310">
        <v>688.86665900000003</v>
      </c>
    </row>
    <row r="3586" spans="2:4" x14ac:dyDescent="0.2">
      <c r="B3586" s="1341">
        <v>4248</v>
      </c>
      <c r="C3586" s="1341" t="s">
        <v>4579</v>
      </c>
      <c r="D3586" s="1310">
        <v>680.44286199999999</v>
      </c>
    </row>
    <row r="3587" spans="2:4" x14ac:dyDescent="0.2">
      <c r="B3587" s="1341">
        <v>4249</v>
      </c>
      <c r="C3587" s="1341" t="s">
        <v>3452</v>
      </c>
      <c r="D3587" s="1310">
        <v>689.5625</v>
      </c>
    </row>
    <row r="3588" spans="2:4" x14ac:dyDescent="0.2">
      <c r="B3588" s="1341">
        <v>4250</v>
      </c>
      <c r="C3588" s="1341" t="s">
        <v>1895</v>
      </c>
      <c r="D3588" s="1310">
        <v>682.60714299999995</v>
      </c>
    </row>
    <row r="3589" spans="2:4" x14ac:dyDescent="0.2">
      <c r="B3589" s="1341">
        <v>4251</v>
      </c>
      <c r="C3589" s="1341" t="s">
        <v>4560</v>
      </c>
      <c r="D3589" s="1310">
        <v>680.70001200000002</v>
      </c>
    </row>
    <row r="3590" spans="2:4" x14ac:dyDescent="0.2">
      <c r="B3590" s="1341">
        <v>4252</v>
      </c>
      <c r="C3590" s="1341" t="s">
        <v>3193</v>
      </c>
      <c r="D3590" s="1310">
        <v>685.24998500000004</v>
      </c>
    </row>
    <row r="3591" spans="2:4" x14ac:dyDescent="0.2">
      <c r="B3591" s="1341">
        <v>4253</v>
      </c>
      <c r="C3591" s="1341" t="s">
        <v>4580</v>
      </c>
      <c r="D3591" s="1310">
        <v>668.83749399999999</v>
      </c>
    </row>
    <row r="3592" spans="2:4" x14ac:dyDescent="0.2">
      <c r="B3592" s="1341">
        <v>4254</v>
      </c>
      <c r="C3592" s="1341" t="s">
        <v>4581</v>
      </c>
      <c r="D3592" s="1310">
        <v>684.78000499999996</v>
      </c>
    </row>
    <row r="3593" spans="2:4" x14ac:dyDescent="0.2">
      <c r="B3593" s="1341">
        <v>4255</v>
      </c>
      <c r="C3593" s="1341" t="s">
        <v>4582</v>
      </c>
      <c r="D3593" s="1310">
        <v>665.57999299999994</v>
      </c>
    </row>
    <row r="3594" spans="2:4" x14ac:dyDescent="0.2">
      <c r="B3594" s="1341">
        <v>4256</v>
      </c>
      <c r="C3594" s="1341" t="s">
        <v>4583</v>
      </c>
      <c r="D3594" s="1310">
        <v>664.116669</v>
      </c>
    </row>
    <row r="3595" spans="2:4" x14ac:dyDescent="0.2">
      <c r="B3595" s="1341">
        <v>4257</v>
      </c>
      <c r="C3595" s="1341" t="s">
        <v>4584</v>
      </c>
      <c r="D3595" s="1310">
        <v>665.221047</v>
      </c>
    </row>
    <row r="3596" spans="2:4" x14ac:dyDescent="0.2">
      <c r="B3596" s="1341">
        <v>4258</v>
      </c>
      <c r="C3596" s="1341" t="s">
        <v>4585</v>
      </c>
      <c r="D3596" s="1310">
        <v>648.08333300000004</v>
      </c>
    </row>
    <row r="3597" spans="2:4" x14ac:dyDescent="0.2">
      <c r="B3597" s="1341">
        <v>4259</v>
      </c>
      <c r="C3597" s="1341" t="s">
        <v>4586</v>
      </c>
      <c r="D3597" s="1310">
        <v>660.19999900000005</v>
      </c>
    </row>
    <row r="3598" spans="2:4" x14ac:dyDescent="0.2">
      <c r="B3598" s="1341">
        <v>4260</v>
      </c>
      <c r="C3598" s="1341" t="s">
        <v>4587</v>
      </c>
      <c r="D3598" s="1310">
        <v>654.23332500000004</v>
      </c>
    </row>
    <row r="3599" spans="2:4" x14ac:dyDescent="0.2">
      <c r="B3599" s="1341">
        <v>4261</v>
      </c>
      <c r="C3599" s="1341" t="s">
        <v>4588</v>
      </c>
      <c r="D3599" s="1310">
        <v>642.942858</v>
      </c>
    </row>
    <row r="3600" spans="2:4" x14ac:dyDescent="0.2">
      <c r="B3600" s="1341">
        <v>4262</v>
      </c>
      <c r="C3600" s="1341" t="s">
        <v>4589</v>
      </c>
      <c r="D3600" s="1310">
        <v>660.87273100000004</v>
      </c>
    </row>
    <row r="3601" spans="2:4" x14ac:dyDescent="0.2">
      <c r="B3601" s="1341">
        <v>4263</v>
      </c>
      <c r="C3601" s="1341" t="s">
        <v>4590</v>
      </c>
      <c r="D3601" s="1310">
        <v>658.32500500000003</v>
      </c>
    </row>
    <row r="3602" spans="2:4" x14ac:dyDescent="0.2">
      <c r="B3602" s="1341">
        <v>4264</v>
      </c>
      <c r="C3602" s="1341" t="s">
        <v>4591</v>
      </c>
      <c r="D3602" s="1310">
        <v>677.67500299999995</v>
      </c>
    </row>
    <row r="3603" spans="2:4" x14ac:dyDescent="0.2">
      <c r="B3603" s="1341">
        <v>4265</v>
      </c>
      <c r="C3603" s="1341" t="s">
        <v>4592</v>
      </c>
      <c r="D3603" s="1310">
        <v>651.21666500000003</v>
      </c>
    </row>
    <row r="3604" spans="2:4" x14ac:dyDescent="0.2">
      <c r="B3604" s="1341">
        <v>4266</v>
      </c>
      <c r="C3604" s="1341" t="s">
        <v>4593</v>
      </c>
      <c r="D3604" s="1310">
        <v>669.68332899999996</v>
      </c>
    </row>
    <row r="3605" spans="2:4" x14ac:dyDescent="0.2">
      <c r="B3605" s="1341">
        <v>4267</v>
      </c>
      <c r="C3605" s="1341" t="s">
        <v>4594</v>
      </c>
      <c r="D3605" s="1310">
        <v>712.29069500000003</v>
      </c>
    </row>
    <row r="3606" spans="2:4" x14ac:dyDescent="0.2">
      <c r="B3606" s="1341">
        <v>4268</v>
      </c>
      <c r="C3606" s="1341" t="s">
        <v>4595</v>
      </c>
      <c r="D3606" s="1310">
        <v>700.26666299999999</v>
      </c>
    </row>
    <row r="3607" spans="2:4" x14ac:dyDescent="0.2">
      <c r="B3607" s="1341">
        <v>4269</v>
      </c>
      <c r="C3607" s="1341" t="s">
        <v>4596</v>
      </c>
      <c r="D3607" s="1310">
        <v>697.01999899999998</v>
      </c>
    </row>
    <row r="3608" spans="2:4" x14ac:dyDescent="0.2">
      <c r="B3608" s="1341">
        <v>4270</v>
      </c>
      <c r="C3608" s="1341" t="s">
        <v>4597</v>
      </c>
      <c r="D3608" s="1310">
        <v>641.72499800000003</v>
      </c>
    </row>
    <row r="3609" spans="2:4" x14ac:dyDescent="0.2">
      <c r="B3609" s="1341">
        <v>4271</v>
      </c>
      <c r="C3609" s="1341" t="s">
        <v>4598</v>
      </c>
      <c r="D3609" s="1310">
        <v>707.65174100000002</v>
      </c>
    </row>
    <row r="3610" spans="2:4" x14ac:dyDescent="0.2">
      <c r="B3610" s="1341">
        <v>4272</v>
      </c>
      <c r="C3610" s="1341" t="s">
        <v>4599</v>
      </c>
      <c r="D3610" s="1310">
        <v>637.70000000000005</v>
      </c>
    </row>
    <row r="3611" spans="2:4" x14ac:dyDescent="0.2">
      <c r="B3611" s="1341">
        <v>4273</v>
      </c>
      <c r="C3611" s="1341" t="s">
        <v>4600</v>
      </c>
      <c r="D3611" s="1310">
        <v>625.93332899999996</v>
      </c>
    </row>
    <row r="3612" spans="2:4" x14ac:dyDescent="0.2">
      <c r="B3612" s="1341">
        <v>4274</v>
      </c>
      <c r="C3612" s="1341" t="s">
        <v>4601</v>
      </c>
      <c r="D3612" s="1310">
        <v>831.64999399999999</v>
      </c>
    </row>
    <row r="3613" spans="2:4" x14ac:dyDescent="0.2">
      <c r="B3613" s="1341">
        <v>4275</v>
      </c>
      <c r="C3613" s="1341" t="s">
        <v>3057</v>
      </c>
      <c r="D3613" s="1310">
        <v>856.10999800000002</v>
      </c>
    </row>
    <row r="3614" spans="2:4" x14ac:dyDescent="0.2">
      <c r="B3614" s="1341">
        <v>4276</v>
      </c>
      <c r="C3614" s="1341" t="s">
        <v>4602</v>
      </c>
      <c r="D3614" s="1310">
        <v>807.11998300000005</v>
      </c>
    </row>
    <row r="3615" spans="2:4" x14ac:dyDescent="0.2">
      <c r="B3615" s="1341">
        <v>4277</v>
      </c>
      <c r="C3615" s="1341" t="s">
        <v>4603</v>
      </c>
      <c r="D3615" s="1310">
        <v>835.64998400000002</v>
      </c>
    </row>
    <row r="3616" spans="2:4" x14ac:dyDescent="0.2">
      <c r="B3616" s="1341">
        <v>4278</v>
      </c>
      <c r="C3616" s="1341" t="s">
        <v>4604</v>
      </c>
      <c r="D3616" s="1310">
        <v>868.19999199999995</v>
      </c>
    </row>
    <row r="3617" spans="2:4" x14ac:dyDescent="0.2">
      <c r="B3617" s="1341">
        <v>4279</v>
      </c>
      <c r="C3617" s="1341" t="s">
        <v>4605</v>
      </c>
      <c r="D3617" s="1310">
        <v>841.19999199999995</v>
      </c>
    </row>
    <row r="3618" spans="2:4" x14ac:dyDescent="0.2">
      <c r="B3618" s="1341">
        <v>4280</v>
      </c>
      <c r="C3618" s="1341" t="s">
        <v>2289</v>
      </c>
      <c r="D3618" s="1310">
        <v>784.01666599999999</v>
      </c>
    </row>
    <row r="3619" spans="2:4" x14ac:dyDescent="0.2">
      <c r="B3619" s="1341">
        <v>4281</v>
      </c>
      <c r="C3619" s="1341" t="s">
        <v>4606</v>
      </c>
      <c r="D3619" s="1310">
        <v>727.96667500000001</v>
      </c>
    </row>
    <row r="3620" spans="2:4" x14ac:dyDescent="0.2">
      <c r="B3620" s="1341">
        <v>4282</v>
      </c>
      <c r="C3620" s="1341" t="s">
        <v>4607</v>
      </c>
      <c r="D3620" s="1310">
        <v>806.72500400000001</v>
      </c>
    </row>
    <row r="3621" spans="2:4" x14ac:dyDescent="0.2">
      <c r="B3621" s="1341">
        <v>4283</v>
      </c>
      <c r="C3621" s="1341" t="s">
        <v>4608</v>
      </c>
      <c r="D3621" s="1310">
        <v>834.5</v>
      </c>
    </row>
    <row r="3622" spans="2:4" x14ac:dyDescent="0.2">
      <c r="B3622" s="1341">
        <v>4284</v>
      </c>
      <c r="C3622" s="1341" t="s">
        <v>375</v>
      </c>
      <c r="D3622" s="1310">
        <v>800.5</v>
      </c>
    </row>
    <row r="3623" spans="2:4" x14ac:dyDescent="0.2">
      <c r="B3623" s="1341">
        <v>4301</v>
      </c>
      <c r="C3623" s="1341" t="s">
        <v>2974</v>
      </c>
      <c r="D3623" s="1310">
        <v>700.44545100000005</v>
      </c>
    </row>
    <row r="3624" spans="2:4" x14ac:dyDescent="0.2">
      <c r="B3624" s="1341">
        <v>4302</v>
      </c>
      <c r="C3624" s="1341" t="s">
        <v>4609</v>
      </c>
      <c r="D3624" s="1310">
        <v>719.65000399999997</v>
      </c>
    </row>
    <row r="3625" spans="2:4" x14ac:dyDescent="0.2">
      <c r="B3625" s="1341">
        <v>4303</v>
      </c>
      <c r="C3625" s="1341" t="s">
        <v>2833</v>
      </c>
      <c r="D3625" s="1310">
        <v>699.47142699999995</v>
      </c>
    </row>
    <row r="3626" spans="2:4" x14ac:dyDescent="0.2">
      <c r="B3626" s="1341">
        <v>4304</v>
      </c>
      <c r="C3626" s="1341" t="s">
        <v>4610</v>
      </c>
      <c r="D3626" s="1310">
        <v>707.06249200000002</v>
      </c>
    </row>
    <row r="3627" spans="2:4" x14ac:dyDescent="0.2">
      <c r="B3627" s="1341">
        <v>4305</v>
      </c>
      <c r="C3627" s="1341" t="s">
        <v>2366</v>
      </c>
      <c r="D3627" s="1310">
        <v>709.60000600000001</v>
      </c>
    </row>
    <row r="3628" spans="2:4" x14ac:dyDescent="0.2">
      <c r="B3628" s="1341">
        <v>4306</v>
      </c>
      <c r="C3628" s="1341" t="s">
        <v>2662</v>
      </c>
      <c r="D3628" s="1310">
        <v>706.33998999999994</v>
      </c>
    </row>
    <row r="3629" spans="2:4" x14ac:dyDescent="0.2">
      <c r="B3629" s="1341">
        <v>4307</v>
      </c>
      <c r="C3629" s="1341" t="s">
        <v>4611</v>
      </c>
      <c r="D3629" s="1310">
        <v>686.04999799999996</v>
      </c>
    </row>
    <row r="3630" spans="2:4" x14ac:dyDescent="0.2">
      <c r="B3630" s="1341">
        <v>4308</v>
      </c>
      <c r="C3630" s="1341" t="s">
        <v>4612</v>
      </c>
      <c r="D3630" s="1310">
        <v>674.56667100000004</v>
      </c>
    </row>
    <row r="3631" spans="2:4" x14ac:dyDescent="0.2">
      <c r="B3631" s="1341">
        <v>4309</v>
      </c>
      <c r="C3631" s="1341" t="s">
        <v>4613</v>
      </c>
      <c r="D3631" s="1310">
        <v>677.13749700000005</v>
      </c>
    </row>
    <row r="3632" spans="2:4" x14ac:dyDescent="0.2">
      <c r="B3632" s="1341">
        <v>4310</v>
      </c>
      <c r="C3632" s="1341" t="s">
        <v>4614</v>
      </c>
      <c r="D3632" s="1310">
        <v>708.22500600000001</v>
      </c>
    </row>
    <row r="3633" spans="2:4" x14ac:dyDescent="0.2">
      <c r="B3633" s="1341">
        <v>4311</v>
      </c>
      <c r="C3633" s="1341" t="s">
        <v>4615</v>
      </c>
      <c r="D3633" s="1310">
        <v>739.58000500000003</v>
      </c>
    </row>
    <row r="3634" spans="2:4" x14ac:dyDescent="0.2">
      <c r="B3634" s="1341">
        <v>4312</v>
      </c>
      <c r="C3634" s="1341" t="s">
        <v>4616</v>
      </c>
      <c r="D3634" s="1310">
        <v>694.70001200000002</v>
      </c>
    </row>
    <row r="3635" spans="2:4" x14ac:dyDescent="0.2">
      <c r="B3635" s="1341">
        <v>4313</v>
      </c>
      <c r="C3635" s="1341" t="s">
        <v>4617</v>
      </c>
      <c r="D3635" s="1310">
        <v>680.27500899999995</v>
      </c>
    </row>
    <row r="3636" spans="2:4" x14ac:dyDescent="0.2">
      <c r="B3636" s="1341">
        <v>4314</v>
      </c>
      <c r="C3636" s="1341" t="s">
        <v>4618</v>
      </c>
      <c r="D3636" s="1310">
        <v>693.81999499999995</v>
      </c>
    </row>
    <row r="3637" spans="2:4" x14ac:dyDescent="0.2">
      <c r="B3637" s="1341">
        <v>4315</v>
      </c>
      <c r="C3637" s="1341" t="s">
        <v>4619</v>
      </c>
      <c r="D3637" s="1310">
        <v>671.16001000000006</v>
      </c>
    </row>
    <row r="3638" spans="2:4" x14ac:dyDescent="0.2">
      <c r="B3638" s="1341">
        <v>4316</v>
      </c>
      <c r="C3638" s="1341" t="s">
        <v>2668</v>
      </c>
      <c r="D3638" s="1310">
        <v>687.40769599999999</v>
      </c>
    </row>
    <row r="3639" spans="2:4" x14ac:dyDescent="0.2">
      <c r="B3639" s="1341">
        <v>4317</v>
      </c>
      <c r="C3639" s="1341" t="s">
        <v>4620</v>
      </c>
      <c r="D3639" s="1310">
        <v>703.54998799999998</v>
      </c>
    </row>
    <row r="3640" spans="2:4" x14ac:dyDescent="0.2">
      <c r="B3640" s="1341">
        <v>4318</v>
      </c>
      <c r="C3640" s="1341" t="s">
        <v>4621</v>
      </c>
      <c r="D3640" s="1310">
        <v>707.48000500000001</v>
      </c>
    </row>
    <row r="3641" spans="2:4" x14ac:dyDescent="0.2">
      <c r="B3641" s="1341">
        <v>4319</v>
      </c>
      <c r="C3641" s="1341" t="s">
        <v>4622</v>
      </c>
      <c r="D3641" s="1310">
        <v>674.53333499999997</v>
      </c>
    </row>
    <row r="3642" spans="2:4" x14ac:dyDescent="0.2">
      <c r="B3642" s="1341">
        <v>4320</v>
      </c>
      <c r="C3642" s="1341" t="s">
        <v>4623</v>
      </c>
      <c r="D3642" s="1310">
        <v>673.740002</v>
      </c>
    </row>
    <row r="3643" spans="2:4" x14ac:dyDescent="0.2">
      <c r="B3643" s="1341">
        <v>4321</v>
      </c>
      <c r="C3643" s="1341" t="s">
        <v>4624</v>
      </c>
      <c r="D3643" s="1310">
        <v>702.16001000000006</v>
      </c>
    </row>
    <row r="3644" spans="2:4" x14ac:dyDescent="0.2">
      <c r="B3644" s="1341">
        <v>4322</v>
      </c>
      <c r="C3644" s="1341" t="s">
        <v>4625</v>
      </c>
      <c r="D3644" s="1310">
        <v>708.78750600000001</v>
      </c>
    </row>
    <row r="3645" spans="2:4" x14ac:dyDescent="0.2">
      <c r="B3645" s="1341">
        <v>4323</v>
      </c>
      <c r="C3645" s="1341" t="s">
        <v>4626</v>
      </c>
      <c r="D3645" s="1310">
        <v>742.86249499999997</v>
      </c>
    </row>
    <row r="3646" spans="2:4" x14ac:dyDescent="0.2">
      <c r="B3646" s="1341">
        <v>4324</v>
      </c>
      <c r="C3646" s="1341" t="s">
        <v>4627</v>
      </c>
      <c r="D3646" s="1310">
        <v>749.1875</v>
      </c>
    </row>
    <row r="3647" spans="2:4" x14ac:dyDescent="0.2">
      <c r="B3647" s="1341">
        <v>4325</v>
      </c>
      <c r="C3647" s="1341" t="s">
        <v>4628</v>
      </c>
      <c r="D3647" s="1310">
        <v>703.28332499999999</v>
      </c>
    </row>
    <row r="3648" spans="2:4" x14ac:dyDescent="0.2">
      <c r="B3648" s="1341">
        <v>4326</v>
      </c>
      <c r="C3648" s="1341" t="s">
        <v>4629</v>
      </c>
      <c r="D3648" s="1310">
        <v>718.87143400000002</v>
      </c>
    </row>
    <row r="3649" spans="2:4" x14ac:dyDescent="0.2">
      <c r="B3649" s="1341">
        <v>4327</v>
      </c>
      <c r="C3649" s="1341" t="s">
        <v>4630</v>
      </c>
      <c r="D3649" s="1310">
        <v>741</v>
      </c>
    </row>
    <row r="3650" spans="2:4" x14ac:dyDescent="0.2">
      <c r="B3650" s="1341">
        <v>4328</v>
      </c>
      <c r="C3650" s="1341" t="s">
        <v>4631</v>
      </c>
      <c r="D3650" s="1310">
        <v>747.29999799999996</v>
      </c>
    </row>
    <row r="3651" spans="2:4" x14ac:dyDescent="0.2">
      <c r="B3651" s="1341">
        <v>4329</v>
      </c>
      <c r="C3651" s="1341" t="s">
        <v>4632</v>
      </c>
      <c r="D3651" s="1310">
        <v>689.73331700000006</v>
      </c>
    </row>
    <row r="3652" spans="2:4" x14ac:dyDescent="0.2">
      <c r="B3652" s="1341">
        <v>4330</v>
      </c>
      <c r="C3652" s="1341" t="s">
        <v>2098</v>
      </c>
      <c r="D3652" s="1310">
        <v>725.889996</v>
      </c>
    </row>
    <row r="3653" spans="2:4" x14ac:dyDescent="0.2">
      <c r="B3653" s="1341">
        <v>4331</v>
      </c>
      <c r="C3653" s="1341" t="s">
        <v>4633</v>
      </c>
      <c r="D3653" s="1310">
        <v>712.51428199999998</v>
      </c>
    </row>
    <row r="3654" spans="2:4" x14ac:dyDescent="0.2">
      <c r="B3654" s="1341">
        <v>4332</v>
      </c>
      <c r="C3654" s="1341" t="s">
        <v>2960</v>
      </c>
      <c r="D3654" s="1310">
        <v>726.32499700000005</v>
      </c>
    </row>
    <row r="3655" spans="2:4" x14ac:dyDescent="0.2">
      <c r="B3655" s="1341">
        <v>4333</v>
      </c>
      <c r="C3655" s="1341" t="s">
        <v>4634</v>
      </c>
      <c r="D3655" s="1310">
        <v>784.90869399999997</v>
      </c>
    </row>
    <row r="3656" spans="2:4" x14ac:dyDescent="0.2">
      <c r="B3656" s="1341">
        <v>4334</v>
      </c>
      <c r="C3656" s="1341" t="s">
        <v>2922</v>
      </c>
      <c r="D3656" s="1310">
        <v>750.72222199999999</v>
      </c>
    </row>
    <row r="3657" spans="2:4" x14ac:dyDescent="0.2">
      <c r="B3657" s="1341">
        <v>4335</v>
      </c>
      <c r="C3657" s="1341" t="s">
        <v>4635</v>
      </c>
      <c r="D3657" s="1310">
        <v>693.327271</v>
      </c>
    </row>
    <row r="3658" spans="2:4" x14ac:dyDescent="0.2">
      <c r="B3658" s="1341">
        <v>4336</v>
      </c>
      <c r="C3658" s="1341" t="s">
        <v>4636</v>
      </c>
      <c r="D3658" s="1310">
        <v>731.95713599999999</v>
      </c>
    </row>
    <row r="3659" spans="2:4" x14ac:dyDescent="0.2">
      <c r="B3659" s="1341">
        <v>4337</v>
      </c>
      <c r="C3659" s="1341" t="s">
        <v>4637</v>
      </c>
      <c r="D3659" s="1310">
        <v>773.93636800000002</v>
      </c>
    </row>
    <row r="3660" spans="2:4" x14ac:dyDescent="0.2">
      <c r="B3660" s="1341">
        <v>4338</v>
      </c>
      <c r="C3660" s="1341" t="s">
        <v>4638</v>
      </c>
      <c r="D3660" s="1310">
        <v>793.09999600000003</v>
      </c>
    </row>
    <row r="3661" spans="2:4" x14ac:dyDescent="0.2">
      <c r="B3661" s="1341">
        <v>4339</v>
      </c>
      <c r="C3661" s="1341" t="s">
        <v>2204</v>
      </c>
      <c r="D3661" s="1310">
        <v>786.92941099999996</v>
      </c>
    </row>
    <row r="3662" spans="2:4" x14ac:dyDescent="0.2">
      <c r="B3662" s="1341">
        <v>4340</v>
      </c>
      <c r="C3662" s="1341" t="s">
        <v>4639</v>
      </c>
      <c r="D3662" s="1310">
        <v>767.5</v>
      </c>
    </row>
    <row r="3663" spans="2:4" x14ac:dyDescent="0.2">
      <c r="B3663" s="1341">
        <v>4341</v>
      </c>
      <c r="C3663" s="1341" t="s">
        <v>4640</v>
      </c>
      <c r="D3663" s="1310">
        <v>775.616669</v>
      </c>
    </row>
    <row r="3664" spans="2:4" x14ac:dyDescent="0.2">
      <c r="B3664" s="1341">
        <v>4342</v>
      </c>
      <c r="C3664" s="1341" t="s">
        <v>3762</v>
      </c>
      <c r="D3664" s="1310">
        <v>786.75</v>
      </c>
    </row>
    <row r="3665" spans="2:4" x14ac:dyDescent="0.2">
      <c r="B3665" s="1341">
        <v>4343</v>
      </c>
      <c r="C3665" s="1341" t="s">
        <v>4641</v>
      </c>
      <c r="D3665" s="1310">
        <v>763.52141900000004</v>
      </c>
    </row>
    <row r="3666" spans="2:4" x14ac:dyDescent="0.2">
      <c r="B3666" s="1341">
        <v>4344</v>
      </c>
      <c r="C3666" s="1341" t="s">
        <v>4642</v>
      </c>
      <c r="D3666" s="1310">
        <v>719.30000399999994</v>
      </c>
    </row>
    <row r="3667" spans="2:4" x14ac:dyDescent="0.2">
      <c r="B3667" s="1341">
        <v>4345</v>
      </c>
      <c r="C3667" s="1341" t="s">
        <v>4643</v>
      </c>
      <c r="D3667" s="1310">
        <v>719.55999799999995</v>
      </c>
    </row>
    <row r="3668" spans="2:4" x14ac:dyDescent="0.2">
      <c r="B3668" s="1341">
        <v>4346</v>
      </c>
      <c r="C3668" s="1341" t="s">
        <v>4644</v>
      </c>
      <c r="D3668" s="1310">
        <v>671.20001200000002</v>
      </c>
    </row>
    <row r="3669" spans="2:4" x14ac:dyDescent="0.2">
      <c r="B3669" s="1341">
        <v>4347</v>
      </c>
      <c r="C3669" s="1341" t="s">
        <v>4645</v>
      </c>
      <c r="D3669" s="1310">
        <v>682.21250199999997</v>
      </c>
    </row>
    <row r="3670" spans="2:4" x14ac:dyDescent="0.2">
      <c r="B3670" s="1341">
        <v>4348</v>
      </c>
      <c r="C3670" s="1341" t="s">
        <v>4646</v>
      </c>
      <c r="D3670" s="1310">
        <v>733.44546000000003</v>
      </c>
    </row>
    <row r="3671" spans="2:4" x14ac:dyDescent="0.2">
      <c r="B3671" s="1341">
        <v>4349</v>
      </c>
      <c r="C3671" s="1341" t="s">
        <v>4647</v>
      </c>
      <c r="D3671" s="1310">
        <v>694.25384499999996</v>
      </c>
    </row>
    <row r="3672" spans="2:4" x14ac:dyDescent="0.2">
      <c r="B3672" s="1341">
        <v>4350</v>
      </c>
      <c r="C3672" s="1341" t="s">
        <v>4648</v>
      </c>
      <c r="D3672" s="1310">
        <v>632.79998799999998</v>
      </c>
    </row>
    <row r="3673" spans="2:4" x14ac:dyDescent="0.2">
      <c r="B3673" s="1341">
        <v>4351</v>
      </c>
      <c r="C3673" s="1341" t="s">
        <v>3574</v>
      </c>
      <c r="D3673" s="1310">
        <v>652.94210699999996</v>
      </c>
    </row>
    <row r="3674" spans="2:4" x14ac:dyDescent="0.2">
      <c r="B3674" s="1341">
        <v>4352</v>
      </c>
      <c r="C3674" s="1341" t="s">
        <v>4649</v>
      </c>
      <c r="D3674" s="1310">
        <v>637.25160700000004</v>
      </c>
    </row>
    <row r="3675" spans="2:4" x14ac:dyDescent="0.2">
      <c r="B3675" s="1341">
        <v>4353</v>
      </c>
      <c r="C3675" s="1341" t="s">
        <v>4650</v>
      </c>
      <c r="D3675" s="1310">
        <v>657.84737399999995</v>
      </c>
    </row>
    <row r="3676" spans="2:4" x14ac:dyDescent="0.2">
      <c r="B3676" s="1341">
        <v>4354</v>
      </c>
      <c r="C3676" s="1341" t="s">
        <v>4651</v>
      </c>
      <c r="D3676" s="1310">
        <v>670.03001099999994</v>
      </c>
    </row>
    <row r="3677" spans="2:4" x14ac:dyDescent="0.2">
      <c r="B3677" s="1341">
        <v>4355</v>
      </c>
      <c r="C3677" s="1341" t="s">
        <v>408</v>
      </c>
      <c r="D3677" s="1310">
        <v>674.53333899999996</v>
      </c>
    </row>
    <row r="3678" spans="2:4" x14ac:dyDescent="0.2">
      <c r="B3678" s="1341">
        <v>4356</v>
      </c>
      <c r="C3678" s="1341" t="s">
        <v>4652</v>
      </c>
      <c r="D3678" s="1310">
        <v>656.18332899999996</v>
      </c>
    </row>
    <row r="3679" spans="2:4" x14ac:dyDescent="0.2">
      <c r="B3679" s="1341">
        <v>4357</v>
      </c>
      <c r="C3679" s="1341" t="s">
        <v>4653</v>
      </c>
      <c r="D3679" s="1310">
        <v>656.20000300000004</v>
      </c>
    </row>
    <row r="3680" spans="2:4" x14ac:dyDescent="0.2">
      <c r="B3680" s="1341">
        <v>4358</v>
      </c>
      <c r="C3680" s="1341" t="s">
        <v>4654</v>
      </c>
      <c r="D3680" s="1310">
        <v>665.17999299999997</v>
      </c>
    </row>
    <row r="3681" spans="2:4" x14ac:dyDescent="0.2">
      <c r="B3681" s="1341">
        <v>4359</v>
      </c>
      <c r="C3681" s="1341" t="s">
        <v>4655</v>
      </c>
      <c r="D3681" s="1310">
        <v>624.4375</v>
      </c>
    </row>
    <row r="3682" spans="2:4" x14ac:dyDescent="0.2">
      <c r="B3682" s="1341">
        <v>4360</v>
      </c>
      <c r="C3682" s="1341" t="s">
        <v>404</v>
      </c>
      <c r="D3682" s="1310">
        <v>648.49443900000006</v>
      </c>
    </row>
    <row r="3683" spans="2:4" x14ac:dyDescent="0.2">
      <c r="B3683" s="1341">
        <v>4361</v>
      </c>
      <c r="C3683" s="1341" t="s">
        <v>4656</v>
      </c>
      <c r="D3683" s="1310">
        <v>773.63334099999997</v>
      </c>
    </row>
    <row r="3684" spans="2:4" x14ac:dyDescent="0.2">
      <c r="B3684" s="1341">
        <v>4362</v>
      </c>
      <c r="C3684" s="1341" t="s">
        <v>4657</v>
      </c>
      <c r="D3684" s="1310">
        <v>728.37143400000002</v>
      </c>
    </row>
    <row r="3685" spans="2:4" x14ac:dyDescent="0.2">
      <c r="B3685" s="1341">
        <v>4363</v>
      </c>
      <c r="C3685" s="1341" t="s">
        <v>4658</v>
      </c>
      <c r="D3685" s="1310">
        <v>685.53846599999997</v>
      </c>
    </row>
    <row r="3686" spans="2:4" x14ac:dyDescent="0.2">
      <c r="B3686" s="1341">
        <v>4364</v>
      </c>
      <c r="C3686" s="1341" t="s">
        <v>4659</v>
      </c>
      <c r="D3686" s="1310">
        <v>717.39999699999998</v>
      </c>
    </row>
    <row r="3687" spans="2:4" x14ac:dyDescent="0.2">
      <c r="B3687" s="1341">
        <v>4365</v>
      </c>
      <c r="C3687" s="1341" t="s">
        <v>4660</v>
      </c>
      <c r="D3687" s="1310">
        <v>717.65882099999999</v>
      </c>
    </row>
    <row r="3688" spans="2:4" x14ac:dyDescent="0.2">
      <c r="B3688" s="1341">
        <v>4366</v>
      </c>
      <c r="C3688" s="1341" t="s">
        <v>4661</v>
      </c>
      <c r="D3688" s="1310">
        <v>748.29998799999998</v>
      </c>
    </row>
    <row r="3689" spans="2:4" x14ac:dyDescent="0.2">
      <c r="B3689" s="1341">
        <v>4367</v>
      </c>
      <c r="C3689" s="1341" t="s">
        <v>4662</v>
      </c>
      <c r="D3689" s="1310">
        <v>705.16667700000005</v>
      </c>
    </row>
    <row r="3690" spans="2:4" x14ac:dyDescent="0.2">
      <c r="B3690" s="1341">
        <v>4368</v>
      </c>
      <c r="C3690" s="1341" t="s">
        <v>4663</v>
      </c>
      <c r="D3690" s="1310">
        <v>696.75</v>
      </c>
    </row>
    <row r="3691" spans="2:4" x14ac:dyDescent="0.2">
      <c r="B3691" s="1341">
        <v>4369</v>
      </c>
      <c r="C3691" s="1341" t="s">
        <v>4664</v>
      </c>
      <c r="D3691" s="1310">
        <v>667.59997599999997</v>
      </c>
    </row>
    <row r="3692" spans="2:4" x14ac:dyDescent="0.2">
      <c r="B3692" s="1341">
        <v>4370</v>
      </c>
      <c r="C3692" s="1341" t="s">
        <v>4665</v>
      </c>
      <c r="D3692" s="1310">
        <v>673.87999300000001</v>
      </c>
    </row>
    <row r="3693" spans="2:4" x14ac:dyDescent="0.2">
      <c r="B3693" s="1341">
        <v>4371</v>
      </c>
      <c r="C3693" s="1341" t="s">
        <v>4666</v>
      </c>
      <c r="D3693" s="1310">
        <v>689.1875</v>
      </c>
    </row>
    <row r="3694" spans="2:4" x14ac:dyDescent="0.2">
      <c r="B3694" s="1341">
        <v>4372</v>
      </c>
      <c r="C3694" s="1341" t="s">
        <v>4667</v>
      </c>
      <c r="D3694" s="1310">
        <v>732.20001200000002</v>
      </c>
    </row>
    <row r="3695" spans="2:4" x14ac:dyDescent="0.2">
      <c r="B3695" s="1341">
        <v>4373</v>
      </c>
      <c r="C3695" s="1341" t="s">
        <v>4668</v>
      </c>
      <c r="D3695" s="1310">
        <v>685.80000800000005</v>
      </c>
    </row>
    <row r="3696" spans="2:4" x14ac:dyDescent="0.2">
      <c r="B3696" s="1341">
        <v>4374</v>
      </c>
      <c r="C3696" s="1341" t="s">
        <v>4669</v>
      </c>
      <c r="D3696" s="1310">
        <v>684.08332299999995</v>
      </c>
    </row>
    <row r="3697" spans="2:4" x14ac:dyDescent="0.2">
      <c r="B3697" s="1341">
        <v>4375</v>
      </c>
      <c r="C3697" s="1341" t="s">
        <v>4670</v>
      </c>
      <c r="D3697" s="1310">
        <v>699.59999400000004</v>
      </c>
    </row>
    <row r="3698" spans="2:4" x14ac:dyDescent="0.2">
      <c r="B3698" s="1341">
        <v>4376</v>
      </c>
      <c r="C3698" s="1341" t="s">
        <v>3822</v>
      </c>
      <c r="D3698" s="1310">
        <v>698.02857300000005</v>
      </c>
    </row>
    <row r="3699" spans="2:4" x14ac:dyDescent="0.2">
      <c r="B3699" s="1341">
        <v>4377</v>
      </c>
      <c r="C3699" s="1341" t="s">
        <v>4671</v>
      </c>
      <c r="D3699" s="1310">
        <v>712.44000200000005</v>
      </c>
    </row>
    <row r="3700" spans="2:4" x14ac:dyDescent="0.2">
      <c r="B3700" s="1341">
        <v>4378</v>
      </c>
      <c r="C3700" s="1341" t="s">
        <v>4672</v>
      </c>
      <c r="D3700" s="1310">
        <v>750.11665900000003</v>
      </c>
    </row>
    <row r="3701" spans="2:4" x14ac:dyDescent="0.2">
      <c r="B3701" s="1341">
        <v>4379</v>
      </c>
      <c r="C3701" s="1341" t="s">
        <v>4673</v>
      </c>
      <c r="D3701" s="1310">
        <v>739.18332899999996</v>
      </c>
    </row>
    <row r="3702" spans="2:4" x14ac:dyDescent="0.2">
      <c r="B3702" s="1341">
        <v>4380</v>
      </c>
      <c r="C3702" s="1341" t="s">
        <v>4674</v>
      </c>
      <c r="D3702" s="1310">
        <v>781.85000600000001</v>
      </c>
    </row>
    <row r="3703" spans="2:4" x14ac:dyDescent="0.2">
      <c r="B3703" s="1341">
        <v>4381</v>
      </c>
      <c r="C3703" s="1341" t="s">
        <v>4675</v>
      </c>
      <c r="D3703" s="1310">
        <v>758.30000500000006</v>
      </c>
    </row>
    <row r="3704" spans="2:4" x14ac:dyDescent="0.2">
      <c r="B3704" s="1341">
        <v>4382</v>
      </c>
      <c r="C3704" s="1341" t="s">
        <v>4676</v>
      </c>
      <c r="D3704" s="1310">
        <v>749.97142699999995</v>
      </c>
    </row>
    <row r="3705" spans="2:4" x14ac:dyDescent="0.2">
      <c r="B3705" s="1341">
        <v>4383</v>
      </c>
      <c r="C3705" s="1341" t="s">
        <v>4677</v>
      </c>
      <c r="D3705" s="1310">
        <v>751.05714599999999</v>
      </c>
    </row>
    <row r="3706" spans="2:4" x14ac:dyDescent="0.2">
      <c r="B3706" s="1341">
        <v>4384</v>
      </c>
      <c r="C3706" s="1341" t="s">
        <v>4678</v>
      </c>
      <c r="D3706" s="1310">
        <v>632.75</v>
      </c>
    </row>
    <row r="3707" spans="2:4" x14ac:dyDescent="0.2">
      <c r="B3707" s="1341">
        <v>4385</v>
      </c>
      <c r="C3707" s="1341" t="s">
        <v>4679</v>
      </c>
      <c r="D3707" s="1310">
        <v>638.13334099999997</v>
      </c>
    </row>
    <row r="3708" spans="2:4" x14ac:dyDescent="0.2">
      <c r="B3708" s="1341">
        <v>4386</v>
      </c>
      <c r="C3708" s="1341" t="s">
        <v>4680</v>
      </c>
      <c r="D3708" s="1310">
        <v>621.06667100000004</v>
      </c>
    </row>
    <row r="3709" spans="2:4" x14ac:dyDescent="0.2">
      <c r="B3709" s="1341">
        <v>4387</v>
      </c>
      <c r="C3709" s="1341" t="s">
        <v>2416</v>
      </c>
      <c r="D3709" s="1310">
        <v>657.75262799999996</v>
      </c>
    </row>
    <row r="3710" spans="2:4" x14ac:dyDescent="0.2">
      <c r="B3710" s="1341">
        <v>4388</v>
      </c>
      <c r="C3710" s="1341" t="s">
        <v>2979</v>
      </c>
      <c r="D3710" s="1310">
        <v>650.41333399999996</v>
      </c>
    </row>
    <row r="3711" spans="2:4" x14ac:dyDescent="0.2">
      <c r="B3711" s="1341">
        <v>4389</v>
      </c>
      <c r="C3711" s="1341" t="s">
        <v>4681</v>
      </c>
      <c r="D3711" s="1310">
        <v>625.783997</v>
      </c>
    </row>
    <row r="3712" spans="2:4" x14ac:dyDescent="0.2">
      <c r="B3712" s="1341">
        <v>4390</v>
      </c>
      <c r="C3712" s="1341" t="s">
        <v>4682</v>
      </c>
      <c r="D3712" s="1310">
        <v>677.45001200000002</v>
      </c>
    </row>
    <row r="3713" spans="2:4" x14ac:dyDescent="0.2">
      <c r="B3713" s="1341">
        <v>4391</v>
      </c>
      <c r="C3713" s="1341" t="s">
        <v>4683</v>
      </c>
      <c r="D3713" s="1310">
        <v>674.85555699999998</v>
      </c>
    </row>
    <row r="3714" spans="2:4" x14ac:dyDescent="0.2">
      <c r="B3714" s="1341">
        <v>4392</v>
      </c>
      <c r="C3714" s="1341" t="s">
        <v>4684</v>
      </c>
      <c r="D3714" s="1310">
        <v>676.60909800000002</v>
      </c>
    </row>
    <row r="3715" spans="2:4" x14ac:dyDescent="0.2">
      <c r="B3715" s="1341">
        <v>4393</v>
      </c>
      <c r="C3715" s="1341" t="s">
        <v>4685</v>
      </c>
      <c r="D3715" s="1310">
        <v>636.759998</v>
      </c>
    </row>
    <row r="3716" spans="2:4" x14ac:dyDescent="0.2">
      <c r="B3716" s="1341">
        <v>4394</v>
      </c>
      <c r="C3716" s="1341" t="s">
        <v>4686</v>
      </c>
      <c r="D3716" s="1310">
        <v>607.95001200000002</v>
      </c>
    </row>
    <row r="3717" spans="2:4" x14ac:dyDescent="0.2">
      <c r="B3717" s="1341">
        <v>4395</v>
      </c>
      <c r="C3717" s="1341" t="s">
        <v>4687</v>
      </c>
      <c r="D3717" s="1310">
        <v>643.70000200000004</v>
      </c>
    </row>
    <row r="3718" spans="2:4" x14ac:dyDescent="0.2">
      <c r="B3718" s="1341">
        <v>4396</v>
      </c>
      <c r="C3718" s="1341" t="s">
        <v>4688</v>
      </c>
      <c r="D3718" s="1310">
        <v>627.93999599999995</v>
      </c>
    </row>
    <row r="3719" spans="2:4" x14ac:dyDescent="0.2">
      <c r="B3719" s="1341">
        <v>4397</v>
      </c>
      <c r="C3719" s="1341" t="s">
        <v>4689</v>
      </c>
      <c r="D3719" s="1310">
        <v>633.69374500000004</v>
      </c>
    </row>
    <row r="3720" spans="2:4" x14ac:dyDescent="0.2">
      <c r="B3720" s="1341">
        <v>4398</v>
      </c>
      <c r="C3720" s="1341" t="s">
        <v>4690</v>
      </c>
      <c r="D3720" s="1310">
        <v>639.42500299999995</v>
      </c>
    </row>
    <row r="3721" spans="2:4" x14ac:dyDescent="0.2">
      <c r="B3721" s="1341">
        <v>4399</v>
      </c>
      <c r="C3721" s="1341" t="s">
        <v>4691</v>
      </c>
      <c r="D3721" s="1310">
        <v>686.07499700000005</v>
      </c>
    </row>
    <row r="3722" spans="2:4" x14ac:dyDescent="0.2">
      <c r="B3722" s="1341">
        <v>4400</v>
      </c>
      <c r="C3722" s="1341" t="s">
        <v>4692</v>
      </c>
      <c r="D3722" s="1310">
        <v>670.34997599999997</v>
      </c>
    </row>
    <row r="3723" spans="2:4" x14ac:dyDescent="0.2">
      <c r="B3723" s="1341">
        <v>4401</v>
      </c>
      <c r="C3723" s="1341" t="s">
        <v>4693</v>
      </c>
      <c r="D3723" s="1310">
        <v>660.875</v>
      </c>
    </row>
    <row r="3724" spans="2:4" x14ac:dyDescent="0.2">
      <c r="B3724" s="1341">
        <v>4402</v>
      </c>
      <c r="C3724" s="1341" t="s">
        <v>4694</v>
      </c>
      <c r="D3724" s="1310">
        <v>627.37272499999995</v>
      </c>
    </row>
    <row r="3725" spans="2:4" x14ac:dyDescent="0.2">
      <c r="B3725" s="1341">
        <v>4403</v>
      </c>
      <c r="C3725" s="1341" t="s">
        <v>4695</v>
      </c>
      <c r="D3725" s="1310">
        <v>657.35554999999999</v>
      </c>
    </row>
    <row r="3726" spans="2:4" x14ac:dyDescent="0.2">
      <c r="B3726" s="1341">
        <v>4404</v>
      </c>
      <c r="C3726" s="1341" t="s">
        <v>4696</v>
      </c>
      <c r="D3726" s="1310">
        <v>651.677775</v>
      </c>
    </row>
    <row r="3727" spans="2:4" x14ac:dyDescent="0.2">
      <c r="B3727" s="1341">
        <v>4405</v>
      </c>
      <c r="C3727" s="1341" t="s">
        <v>4697</v>
      </c>
      <c r="D3727" s="1310">
        <v>674.35714299999995</v>
      </c>
    </row>
    <row r="3728" spans="2:4" x14ac:dyDescent="0.2">
      <c r="B3728" s="1341">
        <v>4406</v>
      </c>
      <c r="C3728" s="1341" t="s">
        <v>4698</v>
      </c>
      <c r="D3728" s="1310">
        <v>686.44998799999996</v>
      </c>
    </row>
    <row r="3729" spans="2:4" x14ac:dyDescent="0.2">
      <c r="B3729" s="1341">
        <v>4407</v>
      </c>
      <c r="C3729" s="1341" t="s">
        <v>4699</v>
      </c>
      <c r="D3729" s="1310">
        <v>709.91999499999997</v>
      </c>
    </row>
    <row r="3730" spans="2:4" x14ac:dyDescent="0.2">
      <c r="B3730" s="1341">
        <v>4408</v>
      </c>
      <c r="C3730" s="1341" t="s">
        <v>2728</v>
      </c>
      <c r="D3730" s="1310">
        <v>680.08000500000003</v>
      </c>
    </row>
    <row r="3731" spans="2:4" x14ac:dyDescent="0.2">
      <c r="B3731" s="1341">
        <v>4409</v>
      </c>
      <c r="C3731" s="1341" t="s">
        <v>4700</v>
      </c>
      <c r="D3731" s="1310">
        <v>679.44000200000005</v>
      </c>
    </row>
    <row r="3732" spans="2:4" x14ac:dyDescent="0.2">
      <c r="B3732" s="1341">
        <v>4410</v>
      </c>
      <c r="C3732" s="1341" t="s">
        <v>4701</v>
      </c>
      <c r="D3732" s="1310">
        <v>699.52500899999995</v>
      </c>
    </row>
    <row r="3733" spans="2:4" x14ac:dyDescent="0.2">
      <c r="B3733" s="1341">
        <v>4411</v>
      </c>
      <c r="C3733" s="1341" t="s">
        <v>4702</v>
      </c>
      <c r="D3733" s="1310">
        <v>680.72857699999997</v>
      </c>
    </row>
    <row r="3734" spans="2:4" x14ac:dyDescent="0.2">
      <c r="B3734" s="1341">
        <v>4412</v>
      </c>
      <c r="C3734" s="1341" t="s">
        <v>4703</v>
      </c>
      <c r="D3734" s="1310">
        <v>753.69686899999999</v>
      </c>
    </row>
    <row r="3735" spans="2:4" x14ac:dyDescent="0.2">
      <c r="B3735" s="1341">
        <v>4451</v>
      </c>
      <c r="C3735" s="1341" t="s">
        <v>4704</v>
      </c>
      <c r="D3735" s="1310">
        <v>826.635716</v>
      </c>
    </row>
    <row r="3736" spans="2:4" x14ac:dyDescent="0.2">
      <c r="B3736" s="1341">
        <v>4452</v>
      </c>
      <c r="C3736" s="1341" t="s">
        <v>4705</v>
      </c>
      <c r="D3736" s="1310">
        <v>792.63750500000003</v>
      </c>
    </row>
    <row r="3737" spans="2:4" x14ac:dyDescent="0.2">
      <c r="B3737" s="1341">
        <v>4453</v>
      </c>
      <c r="C3737" s="1341" t="s">
        <v>4706</v>
      </c>
      <c r="D3737" s="1310">
        <v>744.55001800000002</v>
      </c>
    </row>
    <row r="3738" spans="2:4" x14ac:dyDescent="0.2">
      <c r="B3738" s="1341">
        <v>4454</v>
      </c>
      <c r="C3738" s="1341" t="s">
        <v>4707</v>
      </c>
      <c r="D3738" s="1310">
        <v>765.80908799999997</v>
      </c>
    </row>
    <row r="3739" spans="2:4" x14ac:dyDescent="0.2">
      <c r="B3739" s="1341">
        <v>4455</v>
      </c>
      <c r="C3739" s="1341" t="s">
        <v>4708</v>
      </c>
      <c r="D3739" s="1310">
        <v>717.11333400000001</v>
      </c>
    </row>
    <row r="3740" spans="2:4" x14ac:dyDescent="0.2">
      <c r="B3740" s="1341">
        <v>4456</v>
      </c>
      <c r="C3740" s="1341" t="s">
        <v>4709</v>
      </c>
      <c r="D3740" s="1310">
        <v>668.91110600000002</v>
      </c>
    </row>
    <row r="3741" spans="2:4" x14ac:dyDescent="0.2">
      <c r="B3741" s="1341">
        <v>4457</v>
      </c>
      <c r="C3741" s="1341" t="s">
        <v>4710</v>
      </c>
      <c r="D3741" s="1310">
        <v>700.49999500000001</v>
      </c>
    </row>
    <row r="3742" spans="2:4" x14ac:dyDescent="0.2">
      <c r="B3742" s="1341">
        <v>4458</v>
      </c>
      <c r="C3742" s="1341" t="s">
        <v>4711</v>
      </c>
      <c r="D3742" s="1310">
        <v>689.24445900000001</v>
      </c>
    </row>
    <row r="3743" spans="2:4" x14ac:dyDescent="0.2">
      <c r="B3743" s="1341">
        <v>4459</v>
      </c>
      <c r="C3743" s="1341" t="s">
        <v>4712</v>
      </c>
      <c r="D3743" s="1310">
        <v>656.34999100000005</v>
      </c>
    </row>
    <row r="3744" spans="2:4" x14ac:dyDescent="0.2">
      <c r="B3744" s="1341">
        <v>4460</v>
      </c>
      <c r="C3744" s="1341" t="s">
        <v>4713</v>
      </c>
      <c r="D3744" s="1310">
        <v>655.48095999999998</v>
      </c>
    </row>
    <row r="3745" spans="2:4" x14ac:dyDescent="0.2">
      <c r="B3745" s="1341">
        <v>4461</v>
      </c>
      <c r="C3745" s="1341" t="s">
        <v>4714</v>
      </c>
      <c r="D3745" s="1310">
        <v>665.09999100000005</v>
      </c>
    </row>
    <row r="3746" spans="2:4" x14ac:dyDescent="0.2">
      <c r="B3746" s="1341">
        <v>4462</v>
      </c>
      <c r="C3746" s="1341" t="s">
        <v>4715</v>
      </c>
      <c r="D3746" s="1310">
        <v>663.79998799999998</v>
      </c>
    </row>
    <row r="3747" spans="2:4" x14ac:dyDescent="0.2">
      <c r="B3747" s="1341">
        <v>4463</v>
      </c>
      <c r="C3747" s="1341" t="s">
        <v>4716</v>
      </c>
      <c r="D3747" s="1310">
        <v>668.33845899999994</v>
      </c>
    </row>
    <row r="3748" spans="2:4" x14ac:dyDescent="0.2">
      <c r="B3748" s="1341">
        <v>4464</v>
      </c>
      <c r="C3748" s="1341" t="s">
        <v>4717</v>
      </c>
      <c r="D3748" s="1310">
        <v>663.04998799999998</v>
      </c>
    </row>
    <row r="3749" spans="2:4" x14ac:dyDescent="0.2">
      <c r="B3749" s="1341">
        <v>4465</v>
      </c>
      <c r="C3749" s="1341" t="s">
        <v>4718</v>
      </c>
      <c r="D3749" s="1310">
        <v>692.66923599999996</v>
      </c>
    </row>
    <row r="3750" spans="2:4" x14ac:dyDescent="0.2">
      <c r="B3750" s="1341">
        <v>4466</v>
      </c>
      <c r="C3750" s="1341" t="s">
        <v>4719</v>
      </c>
      <c r="D3750" s="1310">
        <v>809.95417499999996</v>
      </c>
    </row>
    <row r="3751" spans="2:4" x14ac:dyDescent="0.2">
      <c r="B3751" s="1341">
        <v>4467</v>
      </c>
      <c r="C3751" s="1341" t="s">
        <v>4720</v>
      </c>
      <c r="D3751" s="1310">
        <v>811.80001800000002</v>
      </c>
    </row>
    <row r="3752" spans="2:4" x14ac:dyDescent="0.2">
      <c r="B3752" s="1341">
        <v>4468</v>
      </c>
      <c r="C3752" s="1341" t="s">
        <v>4721</v>
      </c>
      <c r="D3752" s="1310">
        <v>771.06249200000002</v>
      </c>
    </row>
    <row r="3753" spans="2:4" x14ac:dyDescent="0.2">
      <c r="B3753" s="1341">
        <v>4469</v>
      </c>
      <c r="C3753" s="1341" t="s">
        <v>4722</v>
      </c>
      <c r="D3753" s="1310">
        <v>763.23333100000002</v>
      </c>
    </row>
    <row r="3754" spans="2:4" x14ac:dyDescent="0.2">
      <c r="B3754" s="1341">
        <v>4470</v>
      </c>
      <c r="C3754" s="1341" t="s">
        <v>4723</v>
      </c>
      <c r="D3754" s="1310">
        <v>757.17142200000001</v>
      </c>
    </row>
    <row r="3755" spans="2:4" x14ac:dyDescent="0.2">
      <c r="B3755" s="1341">
        <v>4471</v>
      </c>
      <c r="C3755" s="1341" t="s">
        <v>4724</v>
      </c>
      <c r="D3755" s="1310">
        <v>739.32499700000005</v>
      </c>
    </row>
    <row r="3756" spans="2:4" x14ac:dyDescent="0.2">
      <c r="B3756" s="1341">
        <v>4472</v>
      </c>
      <c r="C3756" s="1341" t="s">
        <v>4725</v>
      </c>
      <c r="D3756" s="1310">
        <v>693.15713900000003</v>
      </c>
    </row>
    <row r="3757" spans="2:4" x14ac:dyDescent="0.2">
      <c r="B3757" s="1341">
        <v>4473</v>
      </c>
      <c r="C3757" s="1341" t="s">
        <v>4726</v>
      </c>
      <c r="D3757" s="1310">
        <v>660.42500299999995</v>
      </c>
    </row>
    <row r="3758" spans="2:4" x14ac:dyDescent="0.2">
      <c r="B3758" s="1341">
        <v>4474</v>
      </c>
      <c r="C3758" s="1341" t="s">
        <v>4727</v>
      </c>
      <c r="D3758" s="1310">
        <v>713.75454400000001</v>
      </c>
    </row>
    <row r="3759" spans="2:4" x14ac:dyDescent="0.2">
      <c r="B3759" s="1341">
        <v>4475</v>
      </c>
      <c r="C3759" s="1341" t="s">
        <v>4728</v>
      </c>
      <c r="D3759" s="1310">
        <v>698.34667200000001</v>
      </c>
    </row>
    <row r="3760" spans="2:4" x14ac:dyDescent="0.2">
      <c r="B3760" s="1341">
        <v>4476</v>
      </c>
      <c r="C3760" s="1341" t="s">
        <v>4729</v>
      </c>
      <c r="D3760" s="1310">
        <v>699.57500700000003</v>
      </c>
    </row>
    <row r="3761" spans="2:4" x14ac:dyDescent="0.2">
      <c r="B3761" s="1341">
        <v>4477</v>
      </c>
      <c r="C3761" s="1341" t="s">
        <v>4730</v>
      </c>
      <c r="D3761" s="1310">
        <v>832.57498199999998</v>
      </c>
    </row>
    <row r="3762" spans="2:4" x14ac:dyDescent="0.2">
      <c r="B3762" s="1341">
        <v>4478</v>
      </c>
      <c r="C3762" s="1341" t="s">
        <v>4731</v>
      </c>
      <c r="D3762" s="1310">
        <v>787.54444699999999</v>
      </c>
    </row>
    <row r="3763" spans="2:4" x14ac:dyDescent="0.2">
      <c r="B3763" s="1341">
        <v>4479</v>
      </c>
      <c r="C3763" s="1341" t="s">
        <v>4732</v>
      </c>
      <c r="D3763" s="1310">
        <v>763.49998800000003</v>
      </c>
    </row>
    <row r="3764" spans="2:4" x14ac:dyDescent="0.2">
      <c r="B3764" s="1341">
        <v>4480</v>
      </c>
      <c r="C3764" s="1341" t="s">
        <v>4733</v>
      </c>
      <c r="D3764" s="1310">
        <v>736.59999300000004</v>
      </c>
    </row>
    <row r="3765" spans="2:4" x14ac:dyDescent="0.2">
      <c r="B3765" s="1341">
        <v>4481</v>
      </c>
      <c r="C3765" s="1341" t="s">
        <v>4734</v>
      </c>
      <c r="D3765" s="1310">
        <v>716.95000200000004</v>
      </c>
    </row>
    <row r="3766" spans="2:4" x14ac:dyDescent="0.2">
      <c r="B3766" s="1341">
        <v>4482</v>
      </c>
      <c r="C3766" s="1341" t="s">
        <v>4735</v>
      </c>
      <c r="D3766" s="1310">
        <v>730.22857199999999</v>
      </c>
    </row>
    <row r="3767" spans="2:4" x14ac:dyDescent="0.2">
      <c r="B3767" s="1341">
        <v>4483</v>
      </c>
      <c r="C3767" s="1341" t="s">
        <v>4736</v>
      </c>
      <c r="D3767" s="1310">
        <v>729.72307899999998</v>
      </c>
    </row>
    <row r="3768" spans="2:4" x14ac:dyDescent="0.2">
      <c r="B3768" s="1341">
        <v>4484</v>
      </c>
      <c r="C3768" s="1341" t="s">
        <v>4737</v>
      </c>
      <c r="D3768" s="1310">
        <v>691.97857699999997</v>
      </c>
    </row>
    <row r="3769" spans="2:4" x14ac:dyDescent="0.2">
      <c r="B3769" s="1341">
        <v>4485</v>
      </c>
      <c r="C3769" s="1341" t="s">
        <v>4738</v>
      </c>
      <c r="D3769" s="1310">
        <v>668.98334799999998</v>
      </c>
    </row>
    <row r="3770" spans="2:4" x14ac:dyDescent="0.2">
      <c r="B3770" s="1341">
        <v>4486</v>
      </c>
      <c r="C3770" s="1341" t="s">
        <v>4739</v>
      </c>
      <c r="D3770" s="1310">
        <v>686.42222100000004</v>
      </c>
    </row>
    <row r="3771" spans="2:4" x14ac:dyDescent="0.2">
      <c r="B3771" s="1341">
        <v>4487</v>
      </c>
      <c r="C3771" s="1341" t="s">
        <v>4740</v>
      </c>
      <c r="D3771" s="1310">
        <v>702.90000399999997</v>
      </c>
    </row>
    <row r="3772" spans="2:4" x14ac:dyDescent="0.2">
      <c r="B3772" s="1341">
        <v>4488</v>
      </c>
      <c r="C3772" s="1341" t="s">
        <v>4741</v>
      </c>
      <c r="D3772" s="1310">
        <v>707.65</v>
      </c>
    </row>
    <row r="3773" spans="2:4" x14ac:dyDescent="0.2">
      <c r="B3773" s="1341">
        <v>4489</v>
      </c>
      <c r="C3773" s="1341" t="s">
        <v>4742</v>
      </c>
      <c r="D3773" s="1310">
        <v>686.06667100000004</v>
      </c>
    </row>
    <row r="3774" spans="2:4" x14ac:dyDescent="0.2">
      <c r="B3774" s="1341">
        <v>4490</v>
      </c>
      <c r="C3774" s="1341" t="s">
        <v>4743</v>
      </c>
      <c r="D3774" s="1310">
        <v>663.94643099999996</v>
      </c>
    </row>
    <row r="3775" spans="2:4" x14ac:dyDescent="0.2">
      <c r="B3775" s="1341">
        <v>4491</v>
      </c>
      <c r="C3775" s="1341" t="s">
        <v>4744</v>
      </c>
      <c r="D3775" s="1310">
        <v>639.59997599999997</v>
      </c>
    </row>
    <row r="3776" spans="2:4" x14ac:dyDescent="0.2">
      <c r="B3776" s="1341">
        <v>4492</v>
      </c>
      <c r="C3776" s="1341" t="s">
        <v>4745</v>
      </c>
      <c r="D3776" s="1310">
        <v>649.53889000000004</v>
      </c>
    </row>
    <row r="3777" spans="2:4" x14ac:dyDescent="0.2">
      <c r="B3777" s="1341">
        <v>4493</v>
      </c>
      <c r="C3777" s="1341" t="s">
        <v>2046</v>
      </c>
      <c r="D3777" s="1310">
        <v>679.28749100000005</v>
      </c>
    </row>
    <row r="3778" spans="2:4" x14ac:dyDescent="0.2">
      <c r="B3778" s="1341">
        <v>4494</v>
      </c>
      <c r="C3778" s="1341" t="s">
        <v>4746</v>
      </c>
      <c r="D3778" s="1310">
        <v>637.375</v>
      </c>
    </row>
    <row r="3779" spans="2:4" x14ac:dyDescent="0.2">
      <c r="B3779" s="1341">
        <v>4495</v>
      </c>
      <c r="C3779" s="1341" t="s">
        <v>4747</v>
      </c>
      <c r="D3779" s="1310">
        <v>729.12307999999996</v>
      </c>
    </row>
    <row r="3780" spans="2:4" x14ac:dyDescent="0.2">
      <c r="B3780" s="1341">
        <v>4496</v>
      </c>
      <c r="C3780" s="1341" t="s">
        <v>4748</v>
      </c>
      <c r="D3780" s="1310">
        <v>706.64616000000001</v>
      </c>
    </row>
    <row r="3781" spans="2:4" x14ac:dyDescent="0.2">
      <c r="B3781" s="1341">
        <v>4497</v>
      </c>
      <c r="C3781" s="1341" t="s">
        <v>4749</v>
      </c>
      <c r="D3781" s="1310">
        <v>700.29091000000005</v>
      </c>
    </row>
    <row r="3782" spans="2:4" x14ac:dyDescent="0.2">
      <c r="B3782" s="1341">
        <v>4498</v>
      </c>
      <c r="C3782" s="1341" t="s">
        <v>1964</v>
      </c>
      <c r="D3782" s="1310">
        <v>718.01110200000005</v>
      </c>
    </row>
    <row r="3783" spans="2:4" x14ac:dyDescent="0.2">
      <c r="B3783" s="1341">
        <v>4499</v>
      </c>
      <c r="C3783" s="1341" t="s">
        <v>4750</v>
      </c>
      <c r="D3783" s="1310">
        <v>679.077766</v>
      </c>
    </row>
    <row r="3784" spans="2:4" x14ac:dyDescent="0.2">
      <c r="B3784" s="1341">
        <v>4500</v>
      </c>
      <c r="C3784" s="1341" t="s">
        <v>4751</v>
      </c>
      <c r="D3784" s="1310">
        <v>670.75556099999994</v>
      </c>
    </row>
    <row r="3785" spans="2:4" x14ac:dyDescent="0.2">
      <c r="B3785" s="1341">
        <v>4501</v>
      </c>
      <c r="C3785" s="1341" t="s">
        <v>4752</v>
      </c>
      <c r="D3785" s="1310">
        <v>666.64999399999999</v>
      </c>
    </row>
    <row r="3786" spans="2:4" x14ac:dyDescent="0.2">
      <c r="B3786" s="1341">
        <v>4502</v>
      </c>
      <c r="C3786" s="1341" t="s">
        <v>4753</v>
      </c>
      <c r="D3786" s="1310">
        <v>699.12222599999996</v>
      </c>
    </row>
    <row r="3787" spans="2:4" x14ac:dyDescent="0.2">
      <c r="B3787" s="1341">
        <v>4503</v>
      </c>
      <c r="C3787" s="1341" t="s">
        <v>3257</v>
      </c>
      <c r="D3787" s="1310">
        <v>717.28888600000005</v>
      </c>
    </row>
    <row r="3788" spans="2:4" x14ac:dyDescent="0.2">
      <c r="B3788" s="1341">
        <v>4504</v>
      </c>
      <c r="C3788" s="1341" t="s">
        <v>4754</v>
      </c>
      <c r="D3788" s="1310">
        <v>735.05998499999998</v>
      </c>
    </row>
    <row r="3789" spans="2:4" x14ac:dyDescent="0.2">
      <c r="B3789" s="1341">
        <v>4505</v>
      </c>
      <c r="C3789" s="1341" t="s">
        <v>4755</v>
      </c>
      <c r="D3789" s="1310">
        <v>736.21111399999995</v>
      </c>
    </row>
    <row r="3790" spans="2:4" x14ac:dyDescent="0.2">
      <c r="B3790" s="1341">
        <v>4506</v>
      </c>
      <c r="C3790" s="1341" t="s">
        <v>4756</v>
      </c>
      <c r="D3790" s="1310">
        <v>797.50000499999999</v>
      </c>
    </row>
    <row r="3791" spans="2:4" x14ac:dyDescent="0.2">
      <c r="B3791" s="1341">
        <v>4507</v>
      </c>
      <c r="C3791" s="1341" t="s">
        <v>4757</v>
      </c>
      <c r="D3791" s="1310">
        <v>769.03333999999995</v>
      </c>
    </row>
    <row r="3792" spans="2:4" x14ac:dyDescent="0.2">
      <c r="B3792" s="1341">
        <v>4508</v>
      </c>
      <c r="C3792" s="1341" t="s">
        <v>4758</v>
      </c>
      <c r="D3792" s="1310">
        <v>718.41874700000005</v>
      </c>
    </row>
    <row r="3793" spans="2:4" x14ac:dyDescent="0.2">
      <c r="B3793" s="1341">
        <v>4509</v>
      </c>
      <c r="C3793" s="1341" t="s">
        <v>4759</v>
      </c>
      <c r="D3793" s="1310">
        <v>731.13635799999997</v>
      </c>
    </row>
    <row r="3794" spans="2:4" x14ac:dyDescent="0.2">
      <c r="B3794" s="1341">
        <v>4510</v>
      </c>
      <c r="C3794" s="1341" t="s">
        <v>4760</v>
      </c>
      <c r="D3794" s="1310">
        <v>686.23333200000002</v>
      </c>
    </row>
    <row r="3795" spans="2:4" x14ac:dyDescent="0.2">
      <c r="B3795" s="1341">
        <v>4511</v>
      </c>
      <c r="C3795" s="1341" t="s">
        <v>4761</v>
      </c>
      <c r="D3795" s="1310">
        <v>699.25714100000005</v>
      </c>
    </row>
    <row r="3796" spans="2:4" x14ac:dyDescent="0.2">
      <c r="B3796" s="1341">
        <v>4512</v>
      </c>
      <c r="C3796" s="1341" t="s">
        <v>4762</v>
      </c>
      <c r="D3796" s="1310">
        <v>664.66667700000005</v>
      </c>
    </row>
    <row r="3797" spans="2:4" x14ac:dyDescent="0.2">
      <c r="B3797" s="1341">
        <v>4513</v>
      </c>
      <c r="C3797" s="1341" t="s">
        <v>4763</v>
      </c>
      <c r="D3797" s="1310">
        <v>678.63332100000002</v>
      </c>
    </row>
    <row r="3798" spans="2:4" x14ac:dyDescent="0.2">
      <c r="B3798" s="1341">
        <v>4514</v>
      </c>
      <c r="C3798" s="1341" t="s">
        <v>4764</v>
      </c>
      <c r="D3798" s="1310">
        <v>651.15999799999997</v>
      </c>
    </row>
    <row r="3799" spans="2:4" x14ac:dyDescent="0.2">
      <c r="B3799" s="1341">
        <v>4515</v>
      </c>
      <c r="C3799" s="1341" t="s">
        <v>4765</v>
      </c>
      <c r="D3799" s="1310">
        <v>640.46249399999999</v>
      </c>
    </row>
    <row r="3800" spans="2:4" x14ac:dyDescent="0.2">
      <c r="B3800" s="1341">
        <v>4516</v>
      </c>
      <c r="C3800" s="1341" t="s">
        <v>4766</v>
      </c>
      <c r="D3800" s="1310">
        <v>650.08333300000004</v>
      </c>
    </row>
    <row r="3801" spans="2:4" x14ac:dyDescent="0.2">
      <c r="B3801" s="1341">
        <v>4517</v>
      </c>
      <c r="C3801" s="1341" t="s">
        <v>402</v>
      </c>
      <c r="D3801" s="1310">
        <v>639.879999</v>
      </c>
    </row>
    <row r="3802" spans="2:4" x14ac:dyDescent="0.2">
      <c r="B3802" s="1341">
        <v>4518</v>
      </c>
      <c r="C3802" s="1341" t="s">
        <v>4767</v>
      </c>
      <c r="D3802" s="1310">
        <v>649.40002400000003</v>
      </c>
    </row>
    <row r="3803" spans="2:4" x14ac:dyDescent="0.2">
      <c r="B3803" s="1341">
        <v>4519</v>
      </c>
      <c r="C3803" s="1341" t="s">
        <v>1457</v>
      </c>
      <c r="D3803" s="1310">
        <v>695.56363699999997</v>
      </c>
    </row>
    <row r="3804" spans="2:4" x14ac:dyDescent="0.2">
      <c r="B3804" s="1341">
        <v>4520</v>
      </c>
      <c r="C3804" s="1341" t="s">
        <v>4768</v>
      </c>
      <c r="D3804" s="1310">
        <v>665.36665900000003</v>
      </c>
    </row>
    <row r="3805" spans="2:4" x14ac:dyDescent="0.2">
      <c r="B3805" s="1341">
        <v>4521</v>
      </c>
      <c r="C3805" s="1341" t="s">
        <v>4769</v>
      </c>
      <c r="D3805" s="1310">
        <v>686.614284</v>
      </c>
    </row>
    <row r="3806" spans="2:4" x14ac:dyDescent="0.2">
      <c r="B3806" s="1341">
        <v>4522</v>
      </c>
      <c r="C3806" s="1341" t="s">
        <v>4770</v>
      </c>
      <c r="D3806" s="1310">
        <v>727.33076800000003</v>
      </c>
    </row>
    <row r="3807" spans="2:4" x14ac:dyDescent="0.2">
      <c r="B3807" s="1341">
        <v>4523</v>
      </c>
      <c r="C3807" s="1341" t="s">
        <v>4771</v>
      </c>
      <c r="D3807" s="1310">
        <v>741.46668299999999</v>
      </c>
    </row>
    <row r="3808" spans="2:4" x14ac:dyDescent="0.2">
      <c r="B3808" s="1341">
        <v>4524</v>
      </c>
      <c r="C3808" s="1341" t="s">
        <v>4772</v>
      </c>
      <c r="D3808" s="1310">
        <v>674.93685100000005</v>
      </c>
    </row>
    <row r="3809" spans="2:4" x14ac:dyDescent="0.2">
      <c r="B3809" s="1341">
        <v>4525</v>
      </c>
      <c r="C3809" s="1341" t="s">
        <v>4773</v>
      </c>
      <c r="D3809" s="1310">
        <v>775.86667199999999</v>
      </c>
    </row>
    <row r="3810" spans="2:4" x14ac:dyDescent="0.2">
      <c r="B3810" s="1341">
        <v>4526</v>
      </c>
      <c r="C3810" s="1341" t="s">
        <v>4774</v>
      </c>
      <c r="D3810" s="1310">
        <v>800.12222599999996</v>
      </c>
    </row>
    <row r="3811" spans="2:4" x14ac:dyDescent="0.2">
      <c r="B3811" s="1341">
        <v>4527</v>
      </c>
      <c r="C3811" s="1341" t="s">
        <v>4775</v>
      </c>
      <c r="D3811" s="1310">
        <v>789.91334199999994</v>
      </c>
    </row>
    <row r="3812" spans="2:4" x14ac:dyDescent="0.2">
      <c r="B3812" s="1341">
        <v>4528</v>
      </c>
      <c r="C3812" s="1341" t="s">
        <v>4776</v>
      </c>
      <c r="D3812" s="1310">
        <v>745</v>
      </c>
    </row>
    <row r="3813" spans="2:4" x14ac:dyDescent="0.2">
      <c r="B3813" s="1341">
        <v>4529</v>
      </c>
      <c r="C3813" s="1341" t="s">
        <v>4777</v>
      </c>
      <c r="D3813" s="1310">
        <v>718.33845899999994</v>
      </c>
    </row>
    <row r="3814" spans="2:4" x14ac:dyDescent="0.2">
      <c r="B3814" s="1341">
        <v>4530</v>
      </c>
      <c r="C3814" s="1341" t="s">
        <v>3417</v>
      </c>
      <c r="D3814" s="1310">
        <v>705.77272700000003</v>
      </c>
    </row>
    <row r="3815" spans="2:4" x14ac:dyDescent="0.2">
      <c r="B3815" s="1341">
        <v>4531</v>
      </c>
      <c r="C3815" s="1341" t="s">
        <v>4778</v>
      </c>
      <c r="D3815" s="1310">
        <v>669.77500199999997</v>
      </c>
    </row>
    <row r="3816" spans="2:4" x14ac:dyDescent="0.2">
      <c r="B3816" s="1341">
        <v>4532</v>
      </c>
      <c r="C3816" s="1341" t="s">
        <v>4779</v>
      </c>
      <c r="D3816" s="1310">
        <v>687.03334600000005</v>
      </c>
    </row>
    <row r="3817" spans="2:4" x14ac:dyDescent="0.2">
      <c r="B3817" s="1341">
        <v>4533</v>
      </c>
      <c r="C3817" s="1341" t="s">
        <v>4780</v>
      </c>
      <c r="D3817" s="1310">
        <v>675.52499399999999</v>
      </c>
    </row>
    <row r="3818" spans="2:4" x14ac:dyDescent="0.2">
      <c r="B3818" s="1341">
        <v>4534</v>
      </c>
      <c r="C3818" s="1341" t="s">
        <v>3341</v>
      </c>
      <c r="D3818" s="1310">
        <v>648.00000799999998</v>
      </c>
    </row>
    <row r="3819" spans="2:4" x14ac:dyDescent="0.2">
      <c r="B3819" s="1341">
        <v>4535</v>
      </c>
      <c r="C3819" s="1341" t="s">
        <v>4781</v>
      </c>
      <c r="D3819" s="1310">
        <v>632.64999399999999</v>
      </c>
    </row>
    <row r="3820" spans="2:4" x14ac:dyDescent="0.2">
      <c r="B3820" s="1341">
        <v>4536</v>
      </c>
      <c r="C3820" s="1341" t="s">
        <v>4782</v>
      </c>
      <c r="D3820" s="1310">
        <v>627.63888499999996</v>
      </c>
    </row>
    <row r="3821" spans="2:4" x14ac:dyDescent="0.2">
      <c r="B3821" s="1341">
        <v>4537</v>
      </c>
      <c r="C3821" s="1341" t="s">
        <v>4783</v>
      </c>
      <c r="D3821" s="1310">
        <v>636.21000400000003</v>
      </c>
    </row>
    <row r="3822" spans="2:4" x14ac:dyDescent="0.2">
      <c r="B3822" s="1341">
        <v>4538</v>
      </c>
      <c r="C3822" s="1341" t="s">
        <v>4784</v>
      </c>
      <c r="D3822" s="1310">
        <v>630.27500199999997</v>
      </c>
    </row>
    <row r="3823" spans="2:4" x14ac:dyDescent="0.2">
      <c r="B3823" s="1341">
        <v>4539</v>
      </c>
      <c r="C3823" s="1341" t="s">
        <v>4785</v>
      </c>
      <c r="D3823" s="1310">
        <v>630.90952600000003</v>
      </c>
    </row>
    <row r="3824" spans="2:4" x14ac:dyDescent="0.2">
      <c r="B3824" s="1341">
        <v>4540</v>
      </c>
      <c r="C3824" s="1341" t="s">
        <v>4786</v>
      </c>
      <c r="D3824" s="1310">
        <v>625.31000400000005</v>
      </c>
    </row>
    <row r="3825" spans="2:4" x14ac:dyDescent="0.2">
      <c r="B3825" s="1341">
        <v>4541</v>
      </c>
      <c r="C3825" s="1341" t="s">
        <v>4787</v>
      </c>
      <c r="D3825" s="1310">
        <v>655.77856899999995</v>
      </c>
    </row>
    <row r="3826" spans="2:4" x14ac:dyDescent="0.2">
      <c r="B3826" s="1341">
        <v>4542</v>
      </c>
      <c r="C3826" s="1341" t="s">
        <v>3696</v>
      </c>
      <c r="D3826" s="1310">
        <v>764.41666699999996</v>
      </c>
    </row>
    <row r="3827" spans="2:4" x14ac:dyDescent="0.2">
      <c r="B3827" s="1341">
        <v>4543</v>
      </c>
      <c r="C3827" s="1341" t="s">
        <v>4571</v>
      </c>
      <c r="D3827" s="1310">
        <v>735.40909099999999</v>
      </c>
    </row>
    <row r="3828" spans="2:4" x14ac:dyDescent="0.2">
      <c r="B3828" s="1341">
        <v>4544</v>
      </c>
      <c r="C3828" s="1341" t="s">
        <v>4788</v>
      </c>
      <c r="D3828" s="1310">
        <v>714.33333700000003</v>
      </c>
    </row>
    <row r="3829" spans="2:4" x14ac:dyDescent="0.2">
      <c r="B3829" s="1341">
        <v>4545</v>
      </c>
      <c r="C3829" s="1341" t="s">
        <v>1290</v>
      </c>
      <c r="D3829" s="1310">
        <v>686.366669</v>
      </c>
    </row>
    <row r="3830" spans="2:4" x14ac:dyDescent="0.2">
      <c r="B3830" s="1341">
        <v>4546</v>
      </c>
      <c r="C3830" s="1341" t="s">
        <v>4789</v>
      </c>
      <c r="D3830" s="1310">
        <v>682.34999400000004</v>
      </c>
    </row>
    <row r="3831" spans="2:4" x14ac:dyDescent="0.2">
      <c r="B3831" s="1341">
        <v>4547</v>
      </c>
      <c r="C3831" s="1341" t="s">
        <v>4790</v>
      </c>
      <c r="D3831" s="1310">
        <v>675.16060600000003</v>
      </c>
    </row>
    <row r="3832" spans="2:4" x14ac:dyDescent="0.2">
      <c r="B3832" s="1341">
        <v>4548</v>
      </c>
      <c r="C3832" s="1341" t="s">
        <v>4791</v>
      </c>
      <c r="D3832" s="1310">
        <v>717.79998799999998</v>
      </c>
    </row>
    <row r="3833" spans="2:4" x14ac:dyDescent="0.2">
      <c r="B3833" s="1341">
        <v>4549</v>
      </c>
      <c r="C3833" s="1341" t="s">
        <v>3296</v>
      </c>
      <c r="D3833" s="1310">
        <v>647.35833200000002</v>
      </c>
    </row>
    <row r="3834" spans="2:4" x14ac:dyDescent="0.2">
      <c r="B3834" s="1341">
        <v>4550</v>
      </c>
      <c r="C3834" s="1341" t="s">
        <v>4792</v>
      </c>
      <c r="D3834" s="1310">
        <v>690.08570599999996</v>
      </c>
    </row>
    <row r="3835" spans="2:4" x14ac:dyDescent="0.2">
      <c r="B3835" s="1341">
        <v>4551</v>
      </c>
      <c r="C3835" s="1341" t="s">
        <v>4793</v>
      </c>
      <c r="D3835" s="1310">
        <v>665</v>
      </c>
    </row>
    <row r="3836" spans="2:4" x14ac:dyDescent="0.2">
      <c r="B3836" s="1341">
        <v>4552</v>
      </c>
      <c r="C3836" s="1341" t="s">
        <v>4794</v>
      </c>
      <c r="D3836" s="1310">
        <v>634.33999600000004</v>
      </c>
    </row>
    <row r="3837" spans="2:4" x14ac:dyDescent="0.2">
      <c r="B3837" s="1341">
        <v>4553</v>
      </c>
      <c r="C3837" s="1341" t="s">
        <v>4795</v>
      </c>
      <c r="D3837" s="1310">
        <v>608.88260600000001</v>
      </c>
    </row>
    <row r="3838" spans="2:4" x14ac:dyDescent="0.2">
      <c r="B3838" s="1341">
        <v>4554</v>
      </c>
      <c r="C3838" s="1341" t="s">
        <v>2642</v>
      </c>
      <c r="D3838" s="1310">
        <v>633.77499399999999</v>
      </c>
    </row>
    <row r="3839" spans="2:4" x14ac:dyDescent="0.2">
      <c r="B3839" s="1341">
        <v>4555</v>
      </c>
      <c r="C3839" s="1341" t="s">
        <v>1678</v>
      </c>
      <c r="D3839" s="1310">
        <v>627</v>
      </c>
    </row>
    <row r="3840" spans="2:4" x14ac:dyDescent="0.2">
      <c r="B3840" s="1341">
        <v>4556</v>
      </c>
      <c r="C3840" s="1341" t="s">
        <v>4796</v>
      </c>
      <c r="D3840" s="1310">
        <v>727.65</v>
      </c>
    </row>
    <row r="3841" spans="2:4" x14ac:dyDescent="0.2">
      <c r="B3841" s="1341">
        <v>4557</v>
      </c>
      <c r="C3841" s="1341" t="s">
        <v>4797</v>
      </c>
      <c r="D3841" s="1310">
        <v>702.53332499999999</v>
      </c>
    </row>
    <row r="3842" spans="2:4" x14ac:dyDescent="0.2">
      <c r="B3842" s="1341">
        <v>4558</v>
      </c>
      <c r="C3842" s="1341" t="s">
        <v>4798</v>
      </c>
      <c r="D3842" s="1310">
        <v>668.02856399999996</v>
      </c>
    </row>
    <row r="3843" spans="2:4" x14ac:dyDescent="0.2">
      <c r="B3843" s="1341">
        <v>4559</v>
      </c>
      <c r="C3843" s="1341" t="s">
        <v>4799</v>
      </c>
      <c r="D3843" s="1310">
        <v>649.71176700000001</v>
      </c>
    </row>
    <row r="3844" spans="2:4" x14ac:dyDescent="0.2">
      <c r="B3844" s="1341">
        <v>4560</v>
      </c>
      <c r="C3844" s="1341" t="s">
        <v>4800</v>
      </c>
      <c r="D3844" s="1310">
        <v>582.90002400000003</v>
      </c>
    </row>
    <row r="3845" spans="2:4" x14ac:dyDescent="0.2">
      <c r="B3845" s="1341">
        <v>4561</v>
      </c>
      <c r="C3845" s="1341" t="s">
        <v>4801</v>
      </c>
      <c r="D3845" s="1310">
        <v>612.53332499999999</v>
      </c>
    </row>
    <row r="3846" spans="2:4" x14ac:dyDescent="0.2">
      <c r="B3846" s="1341">
        <v>4562</v>
      </c>
      <c r="C3846" s="1341" t="s">
        <v>4802</v>
      </c>
      <c r="D3846" s="1310">
        <v>636.54284700000005</v>
      </c>
    </row>
    <row r="3847" spans="2:4" x14ac:dyDescent="0.2">
      <c r="B3847" s="1341">
        <v>4563</v>
      </c>
      <c r="C3847" s="1341" t="s">
        <v>4803</v>
      </c>
      <c r="D3847" s="1310">
        <v>641.35000600000001</v>
      </c>
    </row>
    <row r="3848" spans="2:4" x14ac:dyDescent="0.2">
      <c r="B3848" s="1341">
        <v>4564</v>
      </c>
      <c r="C3848" s="1341" t="s">
        <v>4804</v>
      </c>
      <c r="D3848" s="1310">
        <v>677.86428799999999</v>
      </c>
    </row>
    <row r="3849" spans="2:4" x14ac:dyDescent="0.2">
      <c r="B3849" s="1341">
        <v>4565</v>
      </c>
      <c r="C3849" s="1341" t="s">
        <v>4805</v>
      </c>
      <c r="D3849" s="1310">
        <v>653.58750199999997</v>
      </c>
    </row>
    <row r="3850" spans="2:4" x14ac:dyDescent="0.2">
      <c r="B3850" s="1341">
        <v>4566</v>
      </c>
      <c r="C3850" s="1341" t="s">
        <v>1830</v>
      </c>
      <c r="D3850" s="1310">
        <v>665.47142699999995</v>
      </c>
    </row>
    <row r="3851" spans="2:4" x14ac:dyDescent="0.2">
      <c r="B3851" s="1341">
        <v>4567</v>
      </c>
      <c r="C3851" s="1341" t="s">
        <v>4806</v>
      </c>
      <c r="D3851" s="1310">
        <v>647.17500299999995</v>
      </c>
    </row>
    <row r="3852" spans="2:4" x14ac:dyDescent="0.2">
      <c r="B3852" s="1341">
        <v>4568</v>
      </c>
      <c r="C3852" s="1341" t="s">
        <v>4807</v>
      </c>
      <c r="D3852" s="1310">
        <v>645.49091099999998</v>
      </c>
    </row>
    <row r="3853" spans="2:4" x14ac:dyDescent="0.2">
      <c r="B3853" s="1341">
        <v>4569</v>
      </c>
      <c r="C3853" s="1341" t="s">
        <v>4808</v>
      </c>
      <c r="D3853" s="1310">
        <v>656.106673</v>
      </c>
    </row>
    <row r="3854" spans="2:4" x14ac:dyDescent="0.2">
      <c r="B3854" s="1341">
        <v>4570</v>
      </c>
      <c r="C3854" s="1341" t="s">
        <v>4809</v>
      </c>
      <c r="D3854" s="1310">
        <v>667.82501200000002</v>
      </c>
    </row>
    <row r="3855" spans="2:4" x14ac:dyDescent="0.2">
      <c r="B3855" s="1341">
        <v>4601</v>
      </c>
      <c r="C3855" s="1341" t="s">
        <v>4810</v>
      </c>
      <c r="D3855" s="1310">
        <v>732.18000500000005</v>
      </c>
    </row>
    <row r="3856" spans="2:4" x14ac:dyDescent="0.2">
      <c r="B3856" s="1341">
        <v>4602</v>
      </c>
      <c r="C3856" s="1341" t="s">
        <v>4811</v>
      </c>
      <c r="D3856" s="1310">
        <v>712.3</v>
      </c>
    </row>
    <row r="3857" spans="2:4" x14ac:dyDescent="0.2">
      <c r="B3857" s="1341">
        <v>4603</v>
      </c>
      <c r="C3857" s="1341" t="s">
        <v>4812</v>
      </c>
      <c r="D3857" s="1310">
        <v>668.15999799999997</v>
      </c>
    </row>
    <row r="3858" spans="2:4" x14ac:dyDescent="0.2">
      <c r="B3858" s="1341">
        <v>4604</v>
      </c>
      <c r="C3858" s="1341" t="s">
        <v>4813</v>
      </c>
      <c r="D3858" s="1310">
        <v>705.71999500000004</v>
      </c>
    </row>
    <row r="3859" spans="2:4" x14ac:dyDescent="0.2">
      <c r="B3859" s="1341">
        <v>4605</v>
      </c>
      <c r="C3859" s="1341" t="s">
        <v>4814</v>
      </c>
      <c r="D3859" s="1310">
        <v>737.366669</v>
      </c>
    </row>
    <row r="3860" spans="2:4" x14ac:dyDescent="0.2">
      <c r="B3860" s="1341">
        <v>4606</v>
      </c>
      <c r="C3860" s="1341" t="s">
        <v>4815</v>
      </c>
      <c r="D3860" s="1310">
        <v>734.77856399999996</v>
      </c>
    </row>
    <row r="3861" spans="2:4" x14ac:dyDescent="0.2">
      <c r="B3861" s="1341">
        <v>4607</v>
      </c>
      <c r="C3861" s="1341" t="s">
        <v>3010</v>
      </c>
      <c r="D3861" s="1310">
        <v>788.11249499999997</v>
      </c>
    </row>
    <row r="3862" spans="2:4" x14ac:dyDescent="0.2">
      <c r="B3862" s="1341">
        <v>4608</v>
      </c>
      <c r="C3862" s="1341" t="s">
        <v>1939</v>
      </c>
      <c r="D3862" s="1310">
        <v>743.05001800000002</v>
      </c>
    </row>
    <row r="3863" spans="2:4" x14ac:dyDescent="0.2">
      <c r="B3863" s="1341">
        <v>4609</v>
      </c>
      <c r="C3863" s="1341" t="s">
        <v>4816</v>
      </c>
      <c r="D3863" s="1310">
        <v>693.78749800000003</v>
      </c>
    </row>
    <row r="3864" spans="2:4" x14ac:dyDescent="0.2">
      <c r="B3864" s="1341">
        <v>4610</v>
      </c>
      <c r="C3864" s="1341" t="s">
        <v>4817</v>
      </c>
      <c r="D3864" s="1310">
        <v>740</v>
      </c>
    </row>
    <row r="3865" spans="2:4" x14ac:dyDescent="0.2">
      <c r="B3865" s="1341">
        <v>4611</v>
      </c>
      <c r="C3865" s="1341" t="s">
        <v>4818</v>
      </c>
      <c r="D3865" s="1310">
        <v>852.75715000000002</v>
      </c>
    </row>
    <row r="3866" spans="2:4" x14ac:dyDescent="0.2">
      <c r="B3866" s="1341">
        <v>4612</v>
      </c>
      <c r="C3866" s="1341" t="s">
        <v>4819</v>
      </c>
      <c r="D3866" s="1310">
        <v>768.38750500000003</v>
      </c>
    </row>
    <row r="3867" spans="2:4" x14ac:dyDescent="0.2">
      <c r="B3867" s="1341">
        <v>4613</v>
      </c>
      <c r="C3867" s="1341" t="s">
        <v>4820</v>
      </c>
      <c r="D3867" s="1310">
        <v>846.01668299999994</v>
      </c>
    </row>
    <row r="3868" spans="2:4" x14ac:dyDescent="0.2">
      <c r="B3868" s="1341">
        <v>4614</v>
      </c>
      <c r="C3868" s="1341" t="s">
        <v>4821</v>
      </c>
      <c r="D3868" s="1310">
        <v>745.75453900000002</v>
      </c>
    </row>
    <row r="3869" spans="2:4" x14ac:dyDescent="0.2">
      <c r="B3869" s="1341">
        <v>4615</v>
      </c>
      <c r="C3869" s="1341" t="s">
        <v>4822</v>
      </c>
      <c r="D3869" s="1310">
        <v>807.03999399999998</v>
      </c>
    </row>
    <row r="3870" spans="2:4" x14ac:dyDescent="0.2">
      <c r="B3870" s="1341">
        <v>4616</v>
      </c>
      <c r="C3870" s="1341" t="s">
        <v>4823</v>
      </c>
      <c r="D3870" s="1310">
        <v>707.62856599999998</v>
      </c>
    </row>
    <row r="3871" spans="2:4" x14ac:dyDescent="0.2">
      <c r="B3871" s="1341">
        <v>4617</v>
      </c>
      <c r="C3871" s="1341" t="s">
        <v>4824</v>
      </c>
      <c r="D3871" s="1310">
        <v>774.375</v>
      </c>
    </row>
    <row r="3872" spans="2:4" x14ac:dyDescent="0.2">
      <c r="B3872" s="1341">
        <v>4618</v>
      </c>
      <c r="C3872" s="1341" t="s">
        <v>415</v>
      </c>
      <c r="D3872" s="1310">
        <v>641.17499499999997</v>
      </c>
    </row>
    <row r="3873" spans="2:4" x14ac:dyDescent="0.2">
      <c r="B3873" s="1341">
        <v>4619</v>
      </c>
      <c r="C3873" s="1341" t="s">
        <v>2046</v>
      </c>
      <c r="D3873" s="1310">
        <v>684.82726500000001</v>
      </c>
    </row>
    <row r="3874" spans="2:4" x14ac:dyDescent="0.2">
      <c r="B3874" s="1341">
        <v>4620</v>
      </c>
      <c r="C3874" s="1341" t="s">
        <v>4825</v>
      </c>
      <c r="D3874" s="1310">
        <v>681.82499700000005</v>
      </c>
    </row>
    <row r="3875" spans="2:4" x14ac:dyDescent="0.2">
      <c r="B3875" s="1341">
        <v>4621</v>
      </c>
      <c r="C3875" s="1341" t="s">
        <v>4826</v>
      </c>
      <c r="D3875" s="1310">
        <v>797.82000700000003</v>
      </c>
    </row>
    <row r="3876" spans="2:4" x14ac:dyDescent="0.2">
      <c r="B3876" s="1341">
        <v>4622</v>
      </c>
      <c r="C3876" s="1341" t="s">
        <v>4827</v>
      </c>
      <c r="D3876" s="1310">
        <v>813.47141799999997</v>
      </c>
    </row>
    <row r="3877" spans="2:4" x14ac:dyDescent="0.2">
      <c r="B3877" s="1341">
        <v>4623</v>
      </c>
      <c r="C3877" s="1341" t="s">
        <v>4828</v>
      </c>
      <c r="D3877" s="1310">
        <v>764.47058500000003</v>
      </c>
    </row>
    <row r="3878" spans="2:4" x14ac:dyDescent="0.2">
      <c r="B3878" s="1341">
        <v>4624</v>
      </c>
      <c r="C3878" s="1341" t="s">
        <v>4829</v>
      </c>
      <c r="D3878" s="1310">
        <v>854.57999299999994</v>
      </c>
    </row>
    <row r="3879" spans="2:4" x14ac:dyDescent="0.2">
      <c r="B3879" s="1341">
        <v>4625</v>
      </c>
      <c r="C3879" s="1341" t="s">
        <v>4830</v>
      </c>
      <c r="D3879" s="1310">
        <v>755.63750500000003</v>
      </c>
    </row>
    <row r="3880" spans="2:4" x14ac:dyDescent="0.2">
      <c r="B3880" s="1341">
        <v>4626</v>
      </c>
      <c r="C3880" s="1341" t="s">
        <v>4831</v>
      </c>
      <c r="D3880" s="1310">
        <v>695.34999100000005</v>
      </c>
    </row>
    <row r="3881" spans="2:4" x14ac:dyDescent="0.2">
      <c r="B3881" s="1341">
        <v>4627</v>
      </c>
      <c r="C3881" s="1341" t="s">
        <v>4832</v>
      </c>
      <c r="D3881" s="1310">
        <v>775.31818199999998</v>
      </c>
    </row>
    <row r="3882" spans="2:4" x14ac:dyDescent="0.2">
      <c r="B3882" s="1341">
        <v>4628</v>
      </c>
      <c r="C3882" s="1341" t="s">
        <v>4833</v>
      </c>
      <c r="D3882" s="1310">
        <v>795.40002400000003</v>
      </c>
    </row>
    <row r="3883" spans="2:4" x14ac:dyDescent="0.2">
      <c r="B3883" s="1341">
        <v>4629</v>
      </c>
      <c r="C3883" s="1341" t="s">
        <v>4834</v>
      </c>
      <c r="D3883" s="1310">
        <v>793.14000199999998</v>
      </c>
    </row>
    <row r="3884" spans="2:4" x14ac:dyDescent="0.2">
      <c r="B3884" s="1341">
        <v>4630</v>
      </c>
      <c r="C3884" s="1341" t="s">
        <v>4835</v>
      </c>
      <c r="D3884" s="1310">
        <v>831.97142699999995</v>
      </c>
    </row>
    <row r="3885" spans="2:4" x14ac:dyDescent="0.2">
      <c r="B3885" s="1341">
        <v>4631</v>
      </c>
      <c r="C3885" s="1341" t="s">
        <v>4836</v>
      </c>
      <c r="D3885" s="1310">
        <v>788.13076100000001</v>
      </c>
    </row>
    <row r="3886" spans="2:4" x14ac:dyDescent="0.2">
      <c r="B3886" s="1341">
        <v>4632</v>
      </c>
      <c r="C3886" s="1341" t="s">
        <v>4837</v>
      </c>
      <c r="D3886" s="1310">
        <v>803.96667000000002</v>
      </c>
    </row>
    <row r="3887" spans="2:4" x14ac:dyDescent="0.2">
      <c r="B3887" s="1341">
        <v>4633</v>
      </c>
      <c r="C3887" s="1341" t="s">
        <v>4838</v>
      </c>
      <c r="D3887" s="1310">
        <v>780.38570700000002</v>
      </c>
    </row>
    <row r="3888" spans="2:4" x14ac:dyDescent="0.2">
      <c r="B3888" s="1341">
        <v>4634</v>
      </c>
      <c r="C3888" s="1341" t="s">
        <v>3072</v>
      </c>
      <c r="D3888" s="1310">
        <v>633.23333700000001</v>
      </c>
    </row>
    <row r="3889" spans="2:4" x14ac:dyDescent="0.2">
      <c r="B3889" s="1341">
        <v>4635</v>
      </c>
      <c r="C3889" s="1341" t="s">
        <v>4722</v>
      </c>
      <c r="D3889" s="1310">
        <v>713.78571399999998</v>
      </c>
    </row>
    <row r="3890" spans="2:4" x14ac:dyDescent="0.2">
      <c r="B3890" s="1341">
        <v>4636</v>
      </c>
      <c r="C3890" s="1341" t="s">
        <v>4839</v>
      </c>
      <c r="D3890" s="1310">
        <v>761.69999199999995</v>
      </c>
    </row>
    <row r="3891" spans="2:4" x14ac:dyDescent="0.2">
      <c r="B3891" s="1341">
        <v>4637</v>
      </c>
      <c r="C3891" s="1341" t="s">
        <v>4090</v>
      </c>
      <c r="D3891" s="1310">
        <v>689.45715299999995</v>
      </c>
    </row>
    <row r="3892" spans="2:4" x14ac:dyDescent="0.2">
      <c r="B3892" s="1341">
        <v>4638</v>
      </c>
      <c r="C3892" s="1341" t="s">
        <v>4840</v>
      </c>
      <c r="D3892" s="1310">
        <v>869.46250899999995</v>
      </c>
    </row>
    <row r="3893" spans="2:4" x14ac:dyDescent="0.2">
      <c r="B3893" s="1341">
        <v>4639</v>
      </c>
      <c r="C3893" s="1341" t="s">
        <v>4841</v>
      </c>
      <c r="D3893" s="1310">
        <v>795.75001499999996</v>
      </c>
    </row>
    <row r="3894" spans="2:4" x14ac:dyDescent="0.2">
      <c r="B3894" s="1341">
        <v>4640</v>
      </c>
      <c r="C3894" s="1341" t="s">
        <v>2913</v>
      </c>
      <c r="D3894" s="1310">
        <v>607.59999600000003</v>
      </c>
    </row>
    <row r="3895" spans="2:4" x14ac:dyDescent="0.2">
      <c r="B3895" s="1341">
        <v>4641</v>
      </c>
      <c r="C3895" s="1341" t="s">
        <v>4842</v>
      </c>
      <c r="D3895" s="1310">
        <v>792.59167000000002</v>
      </c>
    </row>
    <row r="3896" spans="2:4" x14ac:dyDescent="0.2">
      <c r="B3896" s="1341">
        <v>4642</v>
      </c>
      <c r="C3896" s="1341" t="s">
        <v>4843</v>
      </c>
      <c r="D3896" s="1310">
        <v>755.47691899999995</v>
      </c>
    </row>
    <row r="3897" spans="2:4" x14ac:dyDescent="0.2">
      <c r="B3897" s="1341">
        <v>4643</v>
      </c>
      <c r="C3897" s="1341" t="s">
        <v>3463</v>
      </c>
      <c r="D3897" s="1310">
        <v>774.83076800000003</v>
      </c>
    </row>
    <row r="3898" spans="2:4" x14ac:dyDescent="0.2">
      <c r="B3898" s="1341">
        <v>4644</v>
      </c>
      <c r="C3898" s="1341" t="s">
        <v>4844</v>
      </c>
      <c r="D3898" s="1310">
        <v>816.58570199999997</v>
      </c>
    </row>
    <row r="3899" spans="2:4" x14ac:dyDescent="0.2">
      <c r="B3899" s="1341">
        <v>4645</v>
      </c>
      <c r="C3899" s="1341" t="s">
        <v>4845</v>
      </c>
      <c r="D3899" s="1310">
        <v>844.69167100000004</v>
      </c>
    </row>
    <row r="3900" spans="2:4" x14ac:dyDescent="0.2">
      <c r="B3900" s="1341">
        <v>4646</v>
      </c>
      <c r="C3900" s="1341" t="s">
        <v>4846</v>
      </c>
      <c r="D3900" s="1310">
        <v>749.97499100000005</v>
      </c>
    </row>
    <row r="3901" spans="2:4" x14ac:dyDescent="0.2">
      <c r="B3901" s="1341">
        <v>4647</v>
      </c>
      <c r="C3901" s="1341" t="s">
        <v>4847</v>
      </c>
      <c r="D3901" s="1310">
        <v>743.875</v>
      </c>
    </row>
    <row r="3902" spans="2:4" x14ac:dyDescent="0.2">
      <c r="B3902" s="1341">
        <v>4648</v>
      </c>
      <c r="C3902" s="1341" t="s">
        <v>1555</v>
      </c>
      <c r="D3902" s="1310">
        <v>678.73333700000001</v>
      </c>
    </row>
    <row r="3903" spans="2:4" x14ac:dyDescent="0.2">
      <c r="B3903" s="1341">
        <v>4649</v>
      </c>
      <c r="C3903" s="1341" t="s">
        <v>4848</v>
      </c>
      <c r="D3903" s="1310">
        <v>708.36665900000003</v>
      </c>
    </row>
    <row r="3904" spans="2:4" x14ac:dyDescent="0.2">
      <c r="B3904" s="1341">
        <v>4650</v>
      </c>
      <c r="C3904" s="1341" t="s">
        <v>4849</v>
      </c>
      <c r="D3904" s="1310">
        <v>756.192858</v>
      </c>
    </row>
    <row r="3905" spans="2:4" x14ac:dyDescent="0.2">
      <c r="B3905" s="1341">
        <v>4651</v>
      </c>
      <c r="C3905" s="1341" t="s">
        <v>4850</v>
      </c>
      <c r="D3905" s="1310">
        <v>723</v>
      </c>
    </row>
    <row r="3906" spans="2:4" x14ac:dyDescent="0.2">
      <c r="B3906" s="1341">
        <v>4652</v>
      </c>
      <c r="C3906" s="1341" t="s">
        <v>4851</v>
      </c>
      <c r="D3906" s="1310">
        <v>699.78572299999996</v>
      </c>
    </row>
    <row r="3907" spans="2:4" x14ac:dyDescent="0.2">
      <c r="B3907" s="1341">
        <v>4653</v>
      </c>
      <c r="C3907" s="1341" t="s">
        <v>4852</v>
      </c>
      <c r="D3907" s="1310">
        <v>776.95000500000003</v>
      </c>
    </row>
    <row r="3908" spans="2:4" x14ac:dyDescent="0.2">
      <c r="B3908" s="1341">
        <v>4654</v>
      </c>
      <c r="C3908" s="1341" t="s">
        <v>1846</v>
      </c>
      <c r="D3908" s="1310">
        <v>703.52499399999999</v>
      </c>
    </row>
    <row r="3909" spans="2:4" x14ac:dyDescent="0.2">
      <c r="B3909" s="1341">
        <v>4655</v>
      </c>
      <c r="C3909" s="1341" t="s">
        <v>407</v>
      </c>
      <c r="D3909" s="1310">
        <v>741.82142399999998</v>
      </c>
    </row>
    <row r="3910" spans="2:4" x14ac:dyDescent="0.2">
      <c r="B3910" s="1341">
        <v>4656</v>
      </c>
      <c r="C3910" s="1341" t="s">
        <v>4853</v>
      </c>
      <c r="D3910" s="1310">
        <v>788.642875</v>
      </c>
    </row>
    <row r="3911" spans="2:4" x14ac:dyDescent="0.2">
      <c r="B3911" s="1341">
        <v>4657</v>
      </c>
      <c r="C3911" s="1341" t="s">
        <v>4854</v>
      </c>
      <c r="D3911" s="1310">
        <v>699.38000199999999</v>
      </c>
    </row>
    <row r="3912" spans="2:4" x14ac:dyDescent="0.2">
      <c r="B3912" s="1341">
        <v>4658</v>
      </c>
      <c r="C3912" s="1341" t="s">
        <v>1794</v>
      </c>
      <c r="D3912" s="1310">
        <v>672.54285500000003</v>
      </c>
    </row>
    <row r="3913" spans="2:4" x14ac:dyDescent="0.2">
      <c r="B3913" s="1341">
        <v>4659</v>
      </c>
      <c r="C3913" s="1341" t="s">
        <v>4855</v>
      </c>
      <c r="D3913" s="1310">
        <v>738.56250799999998</v>
      </c>
    </row>
    <row r="3914" spans="2:4" x14ac:dyDescent="0.2">
      <c r="B3914" s="1341">
        <v>4660</v>
      </c>
      <c r="C3914" s="1341" t="s">
        <v>4856</v>
      </c>
      <c r="D3914" s="1310">
        <v>729.5</v>
      </c>
    </row>
    <row r="3915" spans="2:4" x14ac:dyDescent="0.2">
      <c r="B3915" s="1341">
        <v>4661</v>
      </c>
      <c r="C3915" s="1341" t="s">
        <v>4857</v>
      </c>
      <c r="D3915" s="1310">
        <v>811.27499699999998</v>
      </c>
    </row>
    <row r="3916" spans="2:4" x14ac:dyDescent="0.2">
      <c r="B3916" s="1341">
        <v>4662</v>
      </c>
      <c r="C3916" s="1341" t="s">
        <v>4858</v>
      </c>
      <c r="D3916" s="1310">
        <v>723.419983</v>
      </c>
    </row>
    <row r="3917" spans="2:4" x14ac:dyDescent="0.2">
      <c r="B3917" s="1341">
        <v>4663</v>
      </c>
      <c r="C3917" s="1341" t="s">
        <v>4859</v>
      </c>
      <c r="D3917" s="1310">
        <v>729.91111899999999</v>
      </c>
    </row>
    <row r="3918" spans="2:4" x14ac:dyDescent="0.2">
      <c r="B3918" s="1341">
        <v>4664</v>
      </c>
      <c r="C3918" s="1341" t="s">
        <v>4860</v>
      </c>
      <c r="D3918" s="1310">
        <v>846.79999799999996</v>
      </c>
    </row>
    <row r="3919" spans="2:4" x14ac:dyDescent="0.2">
      <c r="B3919" s="1341">
        <v>4665</v>
      </c>
      <c r="C3919" s="1341" t="s">
        <v>4861</v>
      </c>
      <c r="D3919" s="1310">
        <v>834.42999299999997</v>
      </c>
    </row>
    <row r="3920" spans="2:4" x14ac:dyDescent="0.2">
      <c r="B3920" s="1341">
        <v>4666</v>
      </c>
      <c r="C3920" s="1341" t="s">
        <v>4862</v>
      </c>
      <c r="D3920" s="1310">
        <v>847.990002</v>
      </c>
    </row>
    <row r="3921" spans="2:4" x14ac:dyDescent="0.2">
      <c r="B3921" s="1341">
        <v>4667</v>
      </c>
      <c r="C3921" s="1341" t="s">
        <v>4863</v>
      </c>
      <c r="D3921" s="1310">
        <v>808.81428700000004</v>
      </c>
    </row>
    <row r="3922" spans="2:4" x14ac:dyDescent="0.2">
      <c r="B3922" s="1341">
        <v>4668</v>
      </c>
      <c r="C3922" s="1341" t="s">
        <v>4864</v>
      </c>
      <c r="D3922" s="1310">
        <v>697.62000699999999</v>
      </c>
    </row>
    <row r="3923" spans="2:4" x14ac:dyDescent="0.2">
      <c r="B3923" s="1341">
        <v>4669</v>
      </c>
      <c r="C3923" s="1341" t="s">
        <v>4865</v>
      </c>
      <c r="D3923" s="1310">
        <v>741.253333</v>
      </c>
    </row>
    <row r="3924" spans="2:4" x14ac:dyDescent="0.2">
      <c r="B3924" s="1341">
        <v>4670</v>
      </c>
      <c r="C3924" s="1341" t="s">
        <v>4866</v>
      </c>
      <c r="D3924" s="1310">
        <v>758.54444699999999</v>
      </c>
    </row>
    <row r="3925" spans="2:4" x14ac:dyDescent="0.2">
      <c r="B3925" s="1341">
        <v>4671</v>
      </c>
      <c r="C3925" s="1341" t="s">
        <v>4867</v>
      </c>
      <c r="D3925" s="1310">
        <v>794.759998</v>
      </c>
    </row>
    <row r="3926" spans="2:4" x14ac:dyDescent="0.2">
      <c r="B3926" s="1341">
        <v>4672</v>
      </c>
      <c r="C3926" s="1341" t="s">
        <v>4868</v>
      </c>
      <c r="D3926" s="1310">
        <v>744.51333</v>
      </c>
    </row>
    <row r="3927" spans="2:4" x14ac:dyDescent="0.2">
      <c r="B3927" s="1341">
        <v>4673</v>
      </c>
      <c r="C3927" s="1341" t="s">
        <v>4869</v>
      </c>
      <c r="D3927" s="1310">
        <v>726.31666399999995</v>
      </c>
    </row>
    <row r="3928" spans="2:4" x14ac:dyDescent="0.2">
      <c r="B3928" s="1341">
        <v>4674</v>
      </c>
      <c r="C3928" s="1341" t="s">
        <v>4233</v>
      </c>
      <c r="D3928" s="1310">
        <v>714.21999500000004</v>
      </c>
    </row>
    <row r="3929" spans="2:4" x14ac:dyDescent="0.2">
      <c r="B3929" s="1341">
        <v>4675</v>
      </c>
      <c r="C3929" s="1341" t="s">
        <v>4870</v>
      </c>
      <c r="D3929" s="1310">
        <v>711.10000600000001</v>
      </c>
    </row>
    <row r="3930" spans="2:4" x14ac:dyDescent="0.2">
      <c r="B3930" s="1341">
        <v>4676</v>
      </c>
      <c r="C3930" s="1341" t="s">
        <v>4871</v>
      </c>
      <c r="D3930" s="1310">
        <v>763.57692799999995</v>
      </c>
    </row>
    <row r="3931" spans="2:4" x14ac:dyDescent="0.2">
      <c r="B3931" s="1341">
        <v>4677</v>
      </c>
      <c r="C3931" s="1341" t="s">
        <v>4872</v>
      </c>
      <c r="D3931" s="1310">
        <v>720.30000800000005</v>
      </c>
    </row>
    <row r="3932" spans="2:4" x14ac:dyDescent="0.2">
      <c r="B3932" s="1341">
        <v>4678</v>
      </c>
      <c r="C3932" s="1341" t="s">
        <v>4873</v>
      </c>
      <c r="D3932" s="1310">
        <v>727.10000600000001</v>
      </c>
    </row>
    <row r="3933" spans="2:4" x14ac:dyDescent="0.2">
      <c r="B3933" s="1341">
        <v>4679</v>
      </c>
      <c r="C3933" s="1341" t="s">
        <v>4874</v>
      </c>
      <c r="D3933" s="1310">
        <v>742.92999899999995</v>
      </c>
    </row>
    <row r="3934" spans="2:4" x14ac:dyDescent="0.2">
      <c r="B3934" s="1341">
        <v>4680</v>
      </c>
      <c r="C3934" s="1341" t="s">
        <v>4875</v>
      </c>
      <c r="D3934" s="1310">
        <v>783.14285700000005</v>
      </c>
    </row>
    <row r="3935" spans="2:4" x14ac:dyDescent="0.2">
      <c r="B3935" s="1341">
        <v>4681</v>
      </c>
      <c r="C3935" s="1341" t="s">
        <v>4876</v>
      </c>
      <c r="D3935" s="1310">
        <v>593.14999399999999</v>
      </c>
    </row>
    <row r="3936" spans="2:4" x14ac:dyDescent="0.2">
      <c r="B3936" s="1341">
        <v>4682</v>
      </c>
      <c r="C3936" s="1341" t="s">
        <v>4877</v>
      </c>
      <c r="D3936" s="1310">
        <v>715.77499399999999</v>
      </c>
    </row>
    <row r="3937" spans="2:4" x14ac:dyDescent="0.2">
      <c r="B3937" s="1341">
        <v>4683</v>
      </c>
      <c r="C3937" s="1341" t="s">
        <v>4878</v>
      </c>
      <c r="D3937" s="1310">
        <v>735.23999600000002</v>
      </c>
    </row>
    <row r="3938" spans="2:4" x14ac:dyDescent="0.2">
      <c r="B3938" s="1341">
        <v>4684</v>
      </c>
      <c r="C3938" s="1341" t="s">
        <v>4879</v>
      </c>
      <c r="D3938" s="1310">
        <v>821.91818000000001</v>
      </c>
    </row>
    <row r="3939" spans="2:4" x14ac:dyDescent="0.2">
      <c r="B3939" s="1341">
        <v>4685</v>
      </c>
      <c r="C3939" s="1341" t="s">
        <v>4880</v>
      </c>
      <c r="D3939" s="1310">
        <v>746.639996</v>
      </c>
    </row>
    <row r="3940" spans="2:4" x14ac:dyDescent="0.2">
      <c r="B3940" s="1341">
        <v>4686</v>
      </c>
      <c r="C3940" s="1341" t="s">
        <v>4881</v>
      </c>
      <c r="D3940" s="1310">
        <v>697.25556800000004</v>
      </c>
    </row>
    <row r="3941" spans="2:4" x14ac:dyDescent="0.2">
      <c r="B3941" s="1341">
        <v>4687</v>
      </c>
      <c r="C3941" s="1341" t="s">
        <v>4360</v>
      </c>
      <c r="D3941" s="1310">
        <v>737.26248899999996</v>
      </c>
    </row>
    <row r="3942" spans="2:4" x14ac:dyDescent="0.2">
      <c r="B3942" s="1341">
        <v>4688</v>
      </c>
      <c r="C3942" s="1341" t="s">
        <v>4882</v>
      </c>
      <c r="D3942" s="1310">
        <v>723.77272700000003</v>
      </c>
    </row>
    <row r="3943" spans="2:4" x14ac:dyDescent="0.2">
      <c r="B3943" s="1341">
        <v>4689</v>
      </c>
      <c r="C3943" s="1341" t="s">
        <v>4883</v>
      </c>
      <c r="D3943" s="1310">
        <v>766.67500299999995</v>
      </c>
    </row>
    <row r="3944" spans="2:4" x14ac:dyDescent="0.2">
      <c r="B3944" s="1341">
        <v>4690</v>
      </c>
      <c r="C3944" s="1341" t="s">
        <v>4884</v>
      </c>
      <c r="D3944" s="1310">
        <v>811.21112100000005</v>
      </c>
    </row>
    <row r="3945" spans="2:4" x14ac:dyDescent="0.2">
      <c r="B3945" s="1341">
        <v>4691</v>
      </c>
      <c r="C3945" s="1341" t="s">
        <v>4885</v>
      </c>
      <c r="D3945" s="1310">
        <v>719.90000399999997</v>
      </c>
    </row>
    <row r="3946" spans="2:4" x14ac:dyDescent="0.2">
      <c r="B3946" s="1341">
        <v>4692</v>
      </c>
      <c r="C3946" s="1341" t="s">
        <v>4886</v>
      </c>
      <c r="D3946" s="1310">
        <v>658.27500899999995</v>
      </c>
    </row>
    <row r="3947" spans="2:4" x14ac:dyDescent="0.2">
      <c r="B3947" s="1341">
        <v>4693</v>
      </c>
      <c r="C3947" s="1341" t="s">
        <v>2519</v>
      </c>
      <c r="D3947" s="1310">
        <v>748.62857499999996</v>
      </c>
    </row>
    <row r="3948" spans="2:4" x14ac:dyDescent="0.2">
      <c r="B3948" s="1341">
        <v>4694</v>
      </c>
      <c r="C3948" s="1341" t="s">
        <v>4145</v>
      </c>
      <c r="D3948" s="1310">
        <v>671.125</v>
      </c>
    </row>
    <row r="3949" spans="2:4" x14ac:dyDescent="0.2">
      <c r="B3949" s="1341">
        <v>4695</v>
      </c>
      <c r="C3949" s="1341" t="s">
        <v>4887</v>
      </c>
      <c r="D3949" s="1310">
        <v>698</v>
      </c>
    </row>
    <row r="3950" spans="2:4" x14ac:dyDescent="0.2">
      <c r="B3950" s="1341">
        <v>4696</v>
      </c>
      <c r="C3950" s="1341" t="s">
        <v>4888</v>
      </c>
      <c r="D3950" s="1310">
        <v>854.49999100000002</v>
      </c>
    </row>
    <row r="3951" spans="2:4" x14ac:dyDescent="0.2">
      <c r="B3951" s="1341">
        <v>4697</v>
      </c>
      <c r="C3951" s="1341" t="s">
        <v>4889</v>
      </c>
      <c r="D3951" s="1310">
        <v>844.20000500000003</v>
      </c>
    </row>
    <row r="3952" spans="2:4" x14ac:dyDescent="0.2">
      <c r="B3952" s="1341">
        <v>4698</v>
      </c>
      <c r="C3952" s="1341" t="s">
        <v>4890</v>
      </c>
      <c r="D3952" s="1310">
        <v>768.09999600000003</v>
      </c>
    </row>
    <row r="3953" spans="2:4" x14ac:dyDescent="0.2">
      <c r="B3953" s="1341">
        <v>4699</v>
      </c>
      <c r="C3953" s="1341" t="s">
        <v>4891</v>
      </c>
      <c r="D3953" s="1310">
        <v>725</v>
      </c>
    </row>
    <row r="3954" spans="2:4" x14ac:dyDescent="0.2">
      <c r="B3954" s="1341">
        <v>4700</v>
      </c>
      <c r="C3954" s="1341" t="s">
        <v>4892</v>
      </c>
      <c r="D3954" s="1310">
        <v>763.45000600000003</v>
      </c>
    </row>
    <row r="3955" spans="2:4" x14ac:dyDescent="0.2">
      <c r="B3955" s="1341">
        <v>4701</v>
      </c>
      <c r="C3955" s="1341" t="s">
        <v>4893</v>
      </c>
      <c r="D3955" s="1310">
        <v>734.83749399999999</v>
      </c>
    </row>
    <row r="3956" spans="2:4" x14ac:dyDescent="0.2">
      <c r="B3956" s="1341">
        <v>4702</v>
      </c>
      <c r="C3956" s="1341" t="s">
        <v>4894</v>
      </c>
      <c r="D3956" s="1310">
        <v>711.07142899999997</v>
      </c>
    </row>
    <row r="3957" spans="2:4" x14ac:dyDescent="0.2">
      <c r="B3957" s="1341">
        <v>4703</v>
      </c>
      <c r="C3957" s="1341" t="s">
        <v>4895</v>
      </c>
      <c r="D3957" s="1310">
        <v>729.04999799999996</v>
      </c>
    </row>
    <row r="3958" spans="2:4" x14ac:dyDescent="0.2">
      <c r="B3958" s="1341">
        <v>4704</v>
      </c>
      <c r="C3958" s="1341" t="s">
        <v>4896</v>
      </c>
      <c r="D3958" s="1310">
        <v>760.79998799999998</v>
      </c>
    </row>
    <row r="3959" spans="2:4" x14ac:dyDescent="0.2">
      <c r="B3959" s="1341">
        <v>4705</v>
      </c>
      <c r="C3959" s="1341" t="s">
        <v>4897</v>
      </c>
      <c r="D3959" s="1310">
        <v>794.61999500000002</v>
      </c>
    </row>
    <row r="3960" spans="2:4" x14ac:dyDescent="0.2">
      <c r="B3960" s="1341">
        <v>4706</v>
      </c>
      <c r="C3960" s="1341" t="s">
        <v>4898</v>
      </c>
      <c r="D3960" s="1310">
        <v>718.240002</v>
      </c>
    </row>
    <row r="3961" spans="2:4" x14ac:dyDescent="0.2">
      <c r="B3961" s="1341">
        <v>4751</v>
      </c>
      <c r="C3961" s="1341" t="s">
        <v>4899</v>
      </c>
      <c r="D3961" s="1310">
        <v>602.08000100000004</v>
      </c>
    </row>
    <row r="3962" spans="2:4" x14ac:dyDescent="0.2">
      <c r="B3962" s="1341">
        <v>4752</v>
      </c>
      <c r="C3962" s="1341" t="s">
        <v>4900</v>
      </c>
      <c r="D3962" s="1310">
        <v>604.33333300000004</v>
      </c>
    </row>
    <row r="3963" spans="2:4" x14ac:dyDescent="0.2">
      <c r="B3963" s="1341">
        <v>4753</v>
      </c>
      <c r="C3963" s="1341" t="s">
        <v>4901</v>
      </c>
      <c r="D3963" s="1310">
        <v>617.02500599999996</v>
      </c>
    </row>
    <row r="3964" spans="2:4" x14ac:dyDescent="0.2">
      <c r="B3964" s="1341">
        <v>4754</v>
      </c>
      <c r="C3964" s="1341" t="s">
        <v>4902</v>
      </c>
      <c r="D3964" s="1310">
        <v>611.23750299999995</v>
      </c>
    </row>
    <row r="3965" spans="2:4" x14ac:dyDescent="0.2">
      <c r="B3965" s="1341">
        <v>4755</v>
      </c>
      <c r="C3965" s="1341" t="s">
        <v>4903</v>
      </c>
      <c r="D3965" s="1310">
        <v>585.55714599999999</v>
      </c>
    </row>
    <row r="3966" spans="2:4" x14ac:dyDescent="0.2">
      <c r="B3966" s="1341">
        <v>4756</v>
      </c>
      <c r="C3966" s="1341" t="s">
        <v>4904</v>
      </c>
      <c r="D3966" s="1310">
        <v>658.90000499999996</v>
      </c>
    </row>
    <row r="3967" spans="2:4" x14ac:dyDescent="0.2">
      <c r="B3967" s="1341">
        <v>4757</v>
      </c>
      <c r="C3967" s="1341" t="s">
        <v>4905</v>
      </c>
      <c r="D3967" s="1310">
        <v>648.09999100000005</v>
      </c>
    </row>
    <row r="3968" spans="2:4" x14ac:dyDescent="0.2">
      <c r="B3968" s="1341">
        <v>4758</v>
      </c>
      <c r="C3968" s="1341" t="s">
        <v>2461</v>
      </c>
      <c r="D3968" s="1310">
        <v>642.75454999999999</v>
      </c>
    </row>
    <row r="3969" spans="2:4" x14ac:dyDescent="0.2">
      <c r="B3969" s="1341">
        <v>4759</v>
      </c>
      <c r="C3969" s="1341" t="s">
        <v>4906</v>
      </c>
      <c r="D3969" s="1310">
        <v>598.41665599999999</v>
      </c>
    </row>
    <row r="3970" spans="2:4" x14ac:dyDescent="0.2">
      <c r="B3970" s="1341">
        <v>4760</v>
      </c>
      <c r="C3970" s="1341" t="s">
        <v>409</v>
      </c>
      <c r="D3970" s="1310">
        <v>600.311103</v>
      </c>
    </row>
    <row r="3971" spans="2:4" x14ac:dyDescent="0.2">
      <c r="B3971" s="1341">
        <v>4761</v>
      </c>
      <c r="C3971" s="1341" t="s">
        <v>3746</v>
      </c>
      <c r="D3971" s="1310">
        <v>619.133331</v>
      </c>
    </row>
    <row r="3972" spans="2:4" x14ac:dyDescent="0.2">
      <c r="B3972" s="1341">
        <v>4762</v>
      </c>
      <c r="C3972" s="1341" t="s">
        <v>4907</v>
      </c>
      <c r="D3972" s="1310">
        <v>676.75714100000005</v>
      </c>
    </row>
    <row r="3973" spans="2:4" x14ac:dyDescent="0.2">
      <c r="B3973" s="1341">
        <v>4763</v>
      </c>
      <c r="C3973" s="1341" t="s">
        <v>4908</v>
      </c>
      <c r="D3973" s="1310">
        <v>671.58571500000005</v>
      </c>
    </row>
    <row r="3974" spans="2:4" x14ac:dyDescent="0.2">
      <c r="B3974" s="1341">
        <v>4764</v>
      </c>
      <c r="C3974" s="1341" t="s">
        <v>4909</v>
      </c>
      <c r="D3974" s="1310">
        <v>653.77500899999995</v>
      </c>
    </row>
    <row r="3975" spans="2:4" x14ac:dyDescent="0.2">
      <c r="B3975" s="1341">
        <v>4765</v>
      </c>
      <c r="C3975" s="1341" t="s">
        <v>4910</v>
      </c>
      <c r="D3975" s="1310">
        <v>583.02727200000004</v>
      </c>
    </row>
    <row r="3976" spans="2:4" x14ac:dyDescent="0.2">
      <c r="B3976" s="1341">
        <v>4766</v>
      </c>
      <c r="C3976" s="1341" t="s">
        <v>4911</v>
      </c>
      <c r="D3976" s="1310">
        <v>652.34999100000005</v>
      </c>
    </row>
    <row r="3977" spans="2:4" x14ac:dyDescent="0.2">
      <c r="B3977" s="1341">
        <v>4767</v>
      </c>
      <c r="C3977" s="1341" t="s">
        <v>4912</v>
      </c>
      <c r="D3977" s="1310">
        <v>660.51665200000002</v>
      </c>
    </row>
    <row r="3978" spans="2:4" x14ac:dyDescent="0.2">
      <c r="B3978" s="1341">
        <v>4768</v>
      </c>
      <c r="C3978" s="1341" t="s">
        <v>4913</v>
      </c>
      <c r="D3978" s="1310">
        <v>586.70000500000003</v>
      </c>
    </row>
    <row r="3979" spans="2:4" x14ac:dyDescent="0.2">
      <c r="B3979" s="1341">
        <v>4769</v>
      </c>
      <c r="C3979" s="1341" t="s">
        <v>4914</v>
      </c>
      <c r="D3979" s="1310">
        <v>631.79374700000005</v>
      </c>
    </row>
    <row r="3980" spans="2:4" x14ac:dyDescent="0.2">
      <c r="B3980" s="1341">
        <v>4770</v>
      </c>
      <c r="C3980" s="1341" t="s">
        <v>2589</v>
      </c>
      <c r="D3980" s="1310">
        <v>624.75</v>
      </c>
    </row>
    <row r="3981" spans="2:4" x14ac:dyDescent="0.2">
      <c r="B3981" s="1341">
        <v>4771</v>
      </c>
      <c r="C3981" s="1341" t="s">
        <v>4915</v>
      </c>
      <c r="D3981" s="1310">
        <v>665.30000299999995</v>
      </c>
    </row>
    <row r="3982" spans="2:4" x14ac:dyDescent="0.2">
      <c r="B3982" s="1341">
        <v>4772</v>
      </c>
      <c r="C3982" s="1341" t="s">
        <v>4916</v>
      </c>
      <c r="D3982" s="1310">
        <v>672.633331</v>
      </c>
    </row>
    <row r="3983" spans="2:4" x14ac:dyDescent="0.2">
      <c r="B3983" s="1341">
        <v>4773</v>
      </c>
      <c r="C3983" s="1341" t="s">
        <v>4917</v>
      </c>
      <c r="D3983" s="1310">
        <v>609.93749200000002</v>
      </c>
    </row>
    <row r="3984" spans="2:4" x14ac:dyDescent="0.2">
      <c r="B3984" s="1341">
        <v>4774</v>
      </c>
      <c r="C3984" s="1341" t="s">
        <v>4918</v>
      </c>
      <c r="D3984" s="1310">
        <v>598.41499899999997</v>
      </c>
    </row>
    <row r="3985" spans="2:4" x14ac:dyDescent="0.2">
      <c r="B3985" s="1341">
        <v>4775</v>
      </c>
      <c r="C3985" s="1341" t="s">
        <v>4919</v>
      </c>
      <c r="D3985" s="1310">
        <v>654.92500299999995</v>
      </c>
    </row>
    <row r="3986" spans="2:4" x14ac:dyDescent="0.2">
      <c r="B3986" s="1341">
        <v>4776</v>
      </c>
      <c r="C3986" s="1341" t="s">
        <v>4920</v>
      </c>
      <c r="D3986" s="1310">
        <v>645.21818399999995</v>
      </c>
    </row>
    <row r="3987" spans="2:4" x14ac:dyDescent="0.2">
      <c r="B3987" s="1341">
        <v>4777</v>
      </c>
      <c r="C3987" s="1341" t="s">
        <v>4921</v>
      </c>
      <c r="D3987" s="1310">
        <v>613.94000200000005</v>
      </c>
    </row>
    <row r="3988" spans="2:4" x14ac:dyDescent="0.2">
      <c r="B3988" s="1341">
        <v>4778</v>
      </c>
      <c r="C3988" s="1341" t="s">
        <v>4922</v>
      </c>
      <c r="D3988" s="1310">
        <v>631.30001800000002</v>
      </c>
    </row>
    <row r="3989" spans="2:4" x14ac:dyDescent="0.2">
      <c r="B3989" s="1341">
        <v>4779</v>
      </c>
      <c r="C3989" s="1341" t="s">
        <v>4923</v>
      </c>
      <c r="D3989" s="1310">
        <v>582.01999499999999</v>
      </c>
    </row>
    <row r="3990" spans="2:4" x14ac:dyDescent="0.2">
      <c r="B3990" s="1341">
        <v>4780</v>
      </c>
      <c r="C3990" s="1341" t="s">
        <v>4924</v>
      </c>
      <c r="D3990" s="1310">
        <v>589.11998300000005</v>
      </c>
    </row>
    <row r="3991" spans="2:4" x14ac:dyDescent="0.2">
      <c r="B3991" s="1341">
        <v>4781</v>
      </c>
      <c r="C3991" s="1341" t="s">
        <v>4925</v>
      </c>
      <c r="D3991" s="1310">
        <v>648.89999399999999</v>
      </c>
    </row>
    <row r="3992" spans="2:4" x14ac:dyDescent="0.2">
      <c r="B3992" s="1341">
        <v>4782</v>
      </c>
      <c r="C3992" s="1341" t="s">
        <v>4926</v>
      </c>
      <c r="D3992" s="1310">
        <v>633.97500600000001</v>
      </c>
    </row>
    <row r="3993" spans="2:4" x14ac:dyDescent="0.2">
      <c r="B3993" s="1341">
        <v>4783</v>
      </c>
      <c r="C3993" s="1341" t="s">
        <v>4927</v>
      </c>
      <c r="D3993" s="1310">
        <v>603.79583700000001</v>
      </c>
    </row>
    <row r="3994" spans="2:4" x14ac:dyDescent="0.2">
      <c r="B3994" s="1341">
        <v>4784</v>
      </c>
      <c r="C3994" s="1341" t="s">
        <v>4928</v>
      </c>
      <c r="D3994" s="1310">
        <v>612.63571200000001</v>
      </c>
    </row>
    <row r="3995" spans="2:4" x14ac:dyDescent="0.2">
      <c r="B3995" s="1341">
        <v>4785</v>
      </c>
      <c r="C3995" s="1341" t="s">
        <v>4929</v>
      </c>
      <c r="D3995" s="1310">
        <v>635.04284700000005</v>
      </c>
    </row>
    <row r="3996" spans="2:4" x14ac:dyDescent="0.2">
      <c r="B3996" s="1341">
        <v>4786</v>
      </c>
      <c r="C3996" s="1341" t="s">
        <v>4494</v>
      </c>
      <c r="D3996" s="1310">
        <v>640.03750600000001</v>
      </c>
    </row>
    <row r="3997" spans="2:4" x14ac:dyDescent="0.2">
      <c r="B3997" s="1341">
        <v>4787</v>
      </c>
      <c r="C3997" s="1341" t="s">
        <v>4930</v>
      </c>
      <c r="D3997" s="1310">
        <v>597.64999399999999</v>
      </c>
    </row>
    <row r="3998" spans="2:4" x14ac:dyDescent="0.2">
      <c r="B3998" s="1341">
        <v>4788</v>
      </c>
      <c r="C3998" s="1341" t="s">
        <v>4931</v>
      </c>
      <c r="D3998" s="1310">
        <v>606.40002400000003</v>
      </c>
    </row>
    <row r="3999" spans="2:4" x14ac:dyDescent="0.2">
      <c r="B3999" s="1341">
        <v>4789</v>
      </c>
      <c r="C3999" s="1341" t="s">
        <v>4932</v>
      </c>
      <c r="D3999" s="1310">
        <v>605.46665399999995</v>
      </c>
    </row>
    <row r="4000" spans="2:4" x14ac:dyDescent="0.2">
      <c r="B4000" s="1341">
        <v>4801</v>
      </c>
      <c r="C4000" s="1341" t="s">
        <v>4933</v>
      </c>
      <c r="D4000" s="1310">
        <v>678.84999600000003</v>
      </c>
    </row>
    <row r="4001" spans="2:4" x14ac:dyDescent="0.2">
      <c r="B4001" s="1341">
        <v>4802</v>
      </c>
      <c r="C4001" s="1341" t="s">
        <v>4934</v>
      </c>
      <c r="D4001" s="1310">
        <v>698.59999800000003</v>
      </c>
    </row>
    <row r="4002" spans="2:4" x14ac:dyDescent="0.2">
      <c r="B4002" s="1341">
        <v>4803</v>
      </c>
      <c r="C4002" s="1341" t="s">
        <v>4935</v>
      </c>
      <c r="D4002" s="1310">
        <v>628.40909599999998</v>
      </c>
    </row>
    <row r="4003" spans="2:4" x14ac:dyDescent="0.2">
      <c r="B4003" s="1341">
        <v>4804</v>
      </c>
      <c r="C4003" s="1341" t="s">
        <v>4936</v>
      </c>
      <c r="D4003" s="1310">
        <v>644.17999299999997</v>
      </c>
    </row>
    <row r="4004" spans="2:4" x14ac:dyDescent="0.2">
      <c r="B4004" s="1341">
        <v>4805</v>
      </c>
      <c r="C4004" s="1341" t="s">
        <v>4937</v>
      </c>
      <c r="D4004" s="1310">
        <v>717.66666699999996</v>
      </c>
    </row>
    <row r="4005" spans="2:4" x14ac:dyDescent="0.2">
      <c r="B4005" s="1341">
        <v>4806</v>
      </c>
      <c r="C4005" s="1341" t="s">
        <v>4938</v>
      </c>
      <c r="D4005" s="1310">
        <v>627.82501200000002</v>
      </c>
    </row>
    <row r="4006" spans="2:4" x14ac:dyDescent="0.2">
      <c r="B4006" s="1341">
        <v>4807</v>
      </c>
      <c r="C4006" s="1341" t="s">
        <v>4939</v>
      </c>
      <c r="D4006" s="1310">
        <v>655.16316300000005</v>
      </c>
    </row>
    <row r="4007" spans="2:4" x14ac:dyDescent="0.2">
      <c r="B4007" s="1341">
        <v>4808</v>
      </c>
      <c r="C4007" s="1341" t="s">
        <v>4940</v>
      </c>
      <c r="D4007" s="1310">
        <v>672.66666699999996</v>
      </c>
    </row>
    <row r="4008" spans="2:4" x14ac:dyDescent="0.2">
      <c r="B4008" s="1341">
        <v>4809</v>
      </c>
      <c r="C4008" s="1341" t="s">
        <v>4941</v>
      </c>
      <c r="D4008" s="1310">
        <v>694.01110200000005</v>
      </c>
    </row>
    <row r="4009" spans="2:4" x14ac:dyDescent="0.2">
      <c r="B4009" s="1341">
        <v>4810</v>
      </c>
      <c r="C4009" s="1341" t="s">
        <v>4942</v>
      </c>
      <c r="D4009" s="1310">
        <v>647.94999700000005</v>
      </c>
    </row>
    <row r="4010" spans="2:4" x14ac:dyDescent="0.2">
      <c r="B4010" s="1341">
        <v>4811</v>
      </c>
      <c r="C4010" s="1341" t="s">
        <v>4943</v>
      </c>
      <c r="D4010" s="1310">
        <v>665.82501200000002</v>
      </c>
    </row>
    <row r="4011" spans="2:4" x14ac:dyDescent="0.2">
      <c r="B4011" s="1341">
        <v>4812</v>
      </c>
      <c r="C4011" s="1341" t="s">
        <v>4944</v>
      </c>
      <c r="D4011" s="1310">
        <v>657.99999400000002</v>
      </c>
    </row>
    <row r="4012" spans="2:4" x14ac:dyDescent="0.2">
      <c r="B4012" s="1341">
        <v>4813</v>
      </c>
      <c r="C4012" s="1341" t="s">
        <v>3970</v>
      </c>
      <c r="D4012" s="1310">
        <v>658.13999000000001</v>
      </c>
    </row>
    <row r="4013" spans="2:4" x14ac:dyDescent="0.2">
      <c r="B4013" s="1341">
        <v>4814</v>
      </c>
      <c r="C4013" s="1341" t="s">
        <v>4945</v>
      </c>
      <c r="D4013" s="1310">
        <v>712.56667100000004</v>
      </c>
    </row>
    <row r="4014" spans="2:4" x14ac:dyDescent="0.2">
      <c r="B4014" s="1341">
        <v>4815</v>
      </c>
      <c r="C4014" s="1341" t="s">
        <v>4946</v>
      </c>
      <c r="D4014" s="1310">
        <v>663.72499100000005</v>
      </c>
    </row>
    <row r="4015" spans="2:4" x14ac:dyDescent="0.2">
      <c r="B4015" s="1341">
        <v>4816</v>
      </c>
      <c r="C4015" s="1341" t="s">
        <v>4947</v>
      </c>
      <c r="D4015" s="1310">
        <v>633.40909599999998</v>
      </c>
    </row>
    <row r="4016" spans="2:4" x14ac:dyDescent="0.2">
      <c r="B4016" s="1341">
        <v>4817</v>
      </c>
      <c r="C4016" s="1341" t="s">
        <v>4948</v>
      </c>
      <c r="D4016" s="1310">
        <v>696.135716</v>
      </c>
    </row>
    <row r="4017" spans="2:4" x14ac:dyDescent="0.2">
      <c r="B4017" s="1341">
        <v>4818</v>
      </c>
      <c r="C4017" s="1341" t="s">
        <v>4949</v>
      </c>
      <c r="D4017" s="1310">
        <v>679.19999199999995</v>
      </c>
    </row>
    <row r="4018" spans="2:4" x14ac:dyDescent="0.2">
      <c r="B4018" s="1341">
        <v>4819</v>
      </c>
      <c r="C4018" s="1341" t="s">
        <v>4950</v>
      </c>
      <c r="D4018" s="1310">
        <v>699.71250199999997</v>
      </c>
    </row>
    <row r="4019" spans="2:4" x14ac:dyDescent="0.2">
      <c r="B4019" s="1341">
        <v>4820</v>
      </c>
      <c r="C4019" s="1341" t="s">
        <v>4951</v>
      </c>
      <c r="D4019" s="1310">
        <v>771.89090799999997</v>
      </c>
    </row>
    <row r="4020" spans="2:4" x14ac:dyDescent="0.2">
      <c r="B4020" s="1341">
        <v>4821</v>
      </c>
      <c r="C4020" s="1341" t="s">
        <v>4952</v>
      </c>
      <c r="D4020" s="1310">
        <v>754.11250299999995</v>
      </c>
    </row>
    <row r="4021" spans="2:4" x14ac:dyDescent="0.2">
      <c r="B4021" s="1341">
        <v>4822</v>
      </c>
      <c r="C4021" s="1341" t="s">
        <v>4953</v>
      </c>
      <c r="D4021" s="1310">
        <v>718.75001499999996</v>
      </c>
    </row>
    <row r="4022" spans="2:4" x14ac:dyDescent="0.2">
      <c r="B4022" s="1341">
        <v>4823</v>
      </c>
      <c r="C4022" s="1341" t="s">
        <v>4954</v>
      </c>
      <c r="D4022" s="1310">
        <v>683.67142999999999</v>
      </c>
    </row>
    <row r="4023" spans="2:4" x14ac:dyDescent="0.2">
      <c r="B4023" s="1341">
        <v>4824</v>
      </c>
      <c r="C4023" s="1341" t="s">
        <v>4955</v>
      </c>
      <c r="D4023" s="1310">
        <v>706.93077200000005</v>
      </c>
    </row>
    <row r="4024" spans="2:4" x14ac:dyDescent="0.2">
      <c r="B4024" s="1341">
        <v>4825</v>
      </c>
      <c r="C4024" s="1341" t="s">
        <v>4956</v>
      </c>
      <c r="D4024" s="1310">
        <v>675.43332899999996</v>
      </c>
    </row>
    <row r="4025" spans="2:4" x14ac:dyDescent="0.2">
      <c r="B4025" s="1341">
        <v>4826</v>
      </c>
      <c r="C4025" s="1341" t="s">
        <v>4957</v>
      </c>
      <c r="D4025" s="1310">
        <v>701.20000200000004</v>
      </c>
    </row>
    <row r="4026" spans="2:4" x14ac:dyDescent="0.2">
      <c r="B4026" s="1341">
        <v>4827</v>
      </c>
      <c r="C4026" s="1341" t="s">
        <v>4958</v>
      </c>
      <c r="D4026" s="1310">
        <v>680.25</v>
      </c>
    </row>
    <row r="4027" spans="2:4" x14ac:dyDescent="0.2">
      <c r="B4027" s="1341">
        <v>4828</v>
      </c>
      <c r="C4027" s="1341" t="s">
        <v>4959</v>
      </c>
      <c r="D4027" s="1310">
        <v>720.90000199999997</v>
      </c>
    </row>
    <row r="4028" spans="2:4" x14ac:dyDescent="0.2">
      <c r="B4028" s="1341">
        <v>4829</v>
      </c>
      <c r="C4028" s="1341" t="s">
        <v>1703</v>
      </c>
      <c r="D4028" s="1310">
        <v>750.80000299999995</v>
      </c>
    </row>
    <row r="4029" spans="2:4" x14ac:dyDescent="0.2">
      <c r="B4029" s="1341">
        <v>4830</v>
      </c>
      <c r="C4029" s="1341" t="s">
        <v>4960</v>
      </c>
      <c r="D4029" s="1310">
        <v>787.20001200000002</v>
      </c>
    </row>
    <row r="4030" spans="2:4" x14ac:dyDescent="0.2">
      <c r="B4030" s="1341">
        <v>4831</v>
      </c>
      <c r="C4030" s="1341" t="s">
        <v>4961</v>
      </c>
      <c r="D4030" s="1310">
        <v>706.29090499999995</v>
      </c>
    </row>
    <row r="4031" spans="2:4" x14ac:dyDescent="0.2">
      <c r="B4031" s="1341">
        <v>4832</v>
      </c>
      <c r="C4031" s="1341" t="s">
        <v>4962</v>
      </c>
      <c r="D4031" s="1310">
        <v>737.49090000000001</v>
      </c>
    </row>
    <row r="4032" spans="2:4" x14ac:dyDescent="0.2">
      <c r="B4032" s="1341">
        <v>4833</v>
      </c>
      <c r="C4032" s="1341" t="s">
        <v>4963</v>
      </c>
      <c r="D4032" s="1310">
        <v>735.58572000000004</v>
      </c>
    </row>
    <row r="4033" spans="2:4" x14ac:dyDescent="0.2">
      <c r="B4033" s="1341">
        <v>4834</v>
      </c>
      <c r="C4033" s="1341" t="s">
        <v>3341</v>
      </c>
      <c r="D4033" s="1310">
        <v>776.22499100000005</v>
      </c>
    </row>
    <row r="4034" spans="2:4" x14ac:dyDescent="0.2">
      <c r="B4034" s="1341">
        <v>4835</v>
      </c>
      <c r="C4034" s="1341" t="s">
        <v>4964</v>
      </c>
      <c r="D4034" s="1310">
        <v>786.07272599999999</v>
      </c>
    </row>
    <row r="4035" spans="2:4" x14ac:dyDescent="0.2">
      <c r="B4035" s="1341">
        <v>4836</v>
      </c>
      <c r="C4035" s="1341" t="s">
        <v>4965</v>
      </c>
      <c r="D4035" s="1310">
        <v>749.06664999999998</v>
      </c>
    </row>
    <row r="4036" spans="2:4" x14ac:dyDescent="0.2">
      <c r="B4036" s="1341">
        <v>4837</v>
      </c>
      <c r="C4036" s="1341" t="s">
        <v>4966</v>
      </c>
      <c r="D4036" s="1310">
        <v>760.59999600000003</v>
      </c>
    </row>
    <row r="4037" spans="2:4" x14ac:dyDescent="0.2">
      <c r="B4037" s="1341">
        <v>4838</v>
      </c>
      <c r="C4037" s="1341" t="s">
        <v>4967</v>
      </c>
      <c r="D4037" s="1310">
        <v>755.06000200000005</v>
      </c>
    </row>
    <row r="4038" spans="2:4" x14ac:dyDescent="0.2">
      <c r="B4038" s="1341">
        <v>4839</v>
      </c>
      <c r="C4038" s="1341" t="s">
        <v>414</v>
      </c>
      <c r="D4038" s="1310">
        <v>688.67999299999997</v>
      </c>
    </row>
    <row r="4039" spans="2:4" x14ac:dyDescent="0.2">
      <c r="B4039" s="1341">
        <v>4840</v>
      </c>
      <c r="C4039" s="1341" t="s">
        <v>4968</v>
      </c>
      <c r="D4039" s="1310">
        <v>692.130765</v>
      </c>
    </row>
    <row r="4040" spans="2:4" x14ac:dyDescent="0.2">
      <c r="B4040" s="1341">
        <v>4841</v>
      </c>
      <c r="C4040" s="1341" t="s">
        <v>4969</v>
      </c>
      <c r="D4040" s="1310">
        <v>707.54000199999996</v>
      </c>
    </row>
    <row r="4041" spans="2:4" x14ac:dyDescent="0.2">
      <c r="B4041" s="1341">
        <v>4842</v>
      </c>
      <c r="C4041" s="1341" t="s">
        <v>4970</v>
      </c>
      <c r="D4041" s="1310">
        <v>691.26668299999994</v>
      </c>
    </row>
    <row r="4042" spans="2:4" x14ac:dyDescent="0.2">
      <c r="B4042" s="1341">
        <v>4843</v>
      </c>
      <c r="C4042" s="1341" t="s">
        <v>4971</v>
      </c>
      <c r="D4042" s="1310">
        <v>712.93335000000002</v>
      </c>
    </row>
    <row r="4043" spans="2:4" x14ac:dyDescent="0.2">
      <c r="B4043" s="1341">
        <v>4844</v>
      </c>
      <c r="C4043" s="1341" t="s">
        <v>4972</v>
      </c>
      <c r="D4043" s="1310">
        <v>828.54998799999998</v>
      </c>
    </row>
    <row r="4044" spans="2:4" x14ac:dyDescent="0.2">
      <c r="B4044" s="1341">
        <v>4845</v>
      </c>
      <c r="C4044" s="1341" t="s">
        <v>2366</v>
      </c>
      <c r="D4044" s="1310">
        <v>853.20001200000002</v>
      </c>
    </row>
    <row r="4045" spans="2:4" x14ac:dyDescent="0.2">
      <c r="B4045" s="1341">
        <v>4846</v>
      </c>
      <c r="C4045" s="1341" t="s">
        <v>2662</v>
      </c>
      <c r="D4045" s="1310">
        <v>845.13750500000003</v>
      </c>
    </row>
    <row r="4046" spans="2:4" x14ac:dyDescent="0.2">
      <c r="B4046" s="1341">
        <v>4847</v>
      </c>
      <c r="C4046" s="1341" t="s">
        <v>4973</v>
      </c>
      <c r="D4046" s="1310">
        <v>852.31817899999999</v>
      </c>
    </row>
    <row r="4047" spans="2:4" x14ac:dyDescent="0.2">
      <c r="B4047" s="1341">
        <v>4848</v>
      </c>
      <c r="C4047" s="1341" t="s">
        <v>4974</v>
      </c>
      <c r="D4047" s="1310">
        <v>784.09999100000005</v>
      </c>
    </row>
    <row r="4048" spans="2:4" x14ac:dyDescent="0.2">
      <c r="B4048" s="1341">
        <v>4849</v>
      </c>
      <c r="C4048" s="1341" t="s">
        <v>4975</v>
      </c>
      <c r="D4048" s="1310">
        <v>824.99545599999999</v>
      </c>
    </row>
    <row r="4049" spans="2:4" x14ac:dyDescent="0.2">
      <c r="B4049" s="1341">
        <v>4850</v>
      </c>
      <c r="C4049" s="1341" t="s">
        <v>4976</v>
      </c>
      <c r="D4049" s="1310">
        <v>829.12221999999997</v>
      </c>
    </row>
    <row r="4050" spans="2:4" x14ac:dyDescent="0.2">
      <c r="B4050" s="1341">
        <v>4851</v>
      </c>
      <c r="C4050" s="1341" t="s">
        <v>1867</v>
      </c>
      <c r="D4050" s="1310">
        <v>658.24614999999994</v>
      </c>
    </row>
    <row r="4051" spans="2:4" x14ac:dyDescent="0.2">
      <c r="B4051" s="1341">
        <v>4852</v>
      </c>
      <c r="C4051" s="1341" t="s">
        <v>4977</v>
      </c>
      <c r="D4051" s="1310">
        <v>665.375</v>
      </c>
    </row>
    <row r="4052" spans="2:4" x14ac:dyDescent="0.2">
      <c r="B4052" s="1341">
        <v>4853</v>
      </c>
      <c r="C4052" s="1341" t="s">
        <v>4978</v>
      </c>
      <c r="D4052" s="1310">
        <v>643.36999500000002</v>
      </c>
    </row>
    <row r="4053" spans="2:4" x14ac:dyDescent="0.2">
      <c r="B4053" s="1341">
        <v>4854</v>
      </c>
      <c r="C4053" s="1341" t="s">
        <v>4979</v>
      </c>
      <c r="D4053" s="1310">
        <v>628.93000500000005</v>
      </c>
    </row>
    <row r="4054" spans="2:4" x14ac:dyDescent="0.2">
      <c r="B4054" s="1341">
        <v>4855</v>
      </c>
      <c r="C4054" s="1341" t="s">
        <v>4980</v>
      </c>
      <c r="D4054" s="1310">
        <v>605.64167299999997</v>
      </c>
    </row>
    <row r="4055" spans="2:4" x14ac:dyDescent="0.2">
      <c r="B4055" s="1341">
        <v>4856</v>
      </c>
      <c r="C4055" s="1341" t="s">
        <v>4981</v>
      </c>
      <c r="D4055" s="1310">
        <v>633.64999399999999</v>
      </c>
    </row>
    <row r="4056" spans="2:4" x14ac:dyDescent="0.2">
      <c r="B4056" s="1341">
        <v>4857</v>
      </c>
      <c r="C4056" s="1341" t="s">
        <v>4982</v>
      </c>
      <c r="D4056" s="1310">
        <v>604.33750199999997</v>
      </c>
    </row>
    <row r="4057" spans="2:4" x14ac:dyDescent="0.2">
      <c r="B4057" s="1341">
        <v>4858</v>
      </c>
      <c r="C4057" s="1341" t="s">
        <v>4983</v>
      </c>
      <c r="D4057" s="1310">
        <v>606.75999100000001</v>
      </c>
    </row>
    <row r="4058" spans="2:4" x14ac:dyDescent="0.2">
      <c r="B4058" s="1341">
        <v>4859</v>
      </c>
      <c r="C4058" s="1341" t="s">
        <v>4984</v>
      </c>
      <c r="D4058" s="1310">
        <v>628.95001200000002</v>
      </c>
    </row>
    <row r="4059" spans="2:4" x14ac:dyDescent="0.2">
      <c r="B4059" s="1341">
        <v>4860</v>
      </c>
      <c r="C4059" s="1341" t="s">
        <v>4985</v>
      </c>
      <c r="D4059" s="1310">
        <v>635.85000600000001</v>
      </c>
    </row>
    <row r="4060" spans="2:4" x14ac:dyDescent="0.2">
      <c r="B4060" s="1341">
        <v>4861</v>
      </c>
      <c r="C4060" s="1341" t="s">
        <v>4986</v>
      </c>
      <c r="D4060" s="1310">
        <v>704.72000100000002</v>
      </c>
    </row>
    <row r="4061" spans="2:4" x14ac:dyDescent="0.2">
      <c r="B4061" s="1341">
        <v>4862</v>
      </c>
      <c r="C4061" s="1341" t="s">
        <v>4987</v>
      </c>
      <c r="D4061" s="1310">
        <v>671.85714700000005</v>
      </c>
    </row>
    <row r="4062" spans="2:4" x14ac:dyDescent="0.2">
      <c r="B4062" s="1341">
        <v>4863</v>
      </c>
      <c r="C4062" s="1341" t="s">
        <v>4988</v>
      </c>
      <c r="D4062" s="1310">
        <v>652.06666099999995</v>
      </c>
    </row>
    <row r="4063" spans="2:4" x14ac:dyDescent="0.2">
      <c r="B4063" s="1341">
        <v>4864</v>
      </c>
      <c r="C4063" s="1341" t="s">
        <v>4989</v>
      </c>
      <c r="D4063" s="1310">
        <v>665.02940799999999</v>
      </c>
    </row>
    <row r="4064" spans="2:4" x14ac:dyDescent="0.2">
      <c r="B4064" s="1341">
        <v>4865</v>
      </c>
      <c r="C4064" s="1341" t="s">
        <v>4990</v>
      </c>
      <c r="D4064" s="1310">
        <v>703.81666600000005</v>
      </c>
    </row>
    <row r="4065" spans="2:4" x14ac:dyDescent="0.2">
      <c r="B4065" s="1341">
        <v>4866</v>
      </c>
      <c r="C4065" s="1341" t="s">
        <v>4991</v>
      </c>
      <c r="D4065" s="1310">
        <v>719.37143400000002</v>
      </c>
    </row>
    <row r="4066" spans="2:4" x14ac:dyDescent="0.2">
      <c r="B4066" s="1341">
        <v>4867</v>
      </c>
      <c r="C4066" s="1341" t="s">
        <v>4992</v>
      </c>
      <c r="D4066" s="1310">
        <v>714.04285500000003</v>
      </c>
    </row>
    <row r="4067" spans="2:4" x14ac:dyDescent="0.2">
      <c r="B4067" s="1341">
        <v>4868</v>
      </c>
      <c r="C4067" s="1341" t="s">
        <v>4993</v>
      </c>
      <c r="D4067" s="1310">
        <v>688.73749499999997</v>
      </c>
    </row>
    <row r="4068" spans="2:4" x14ac:dyDescent="0.2">
      <c r="B4068" s="1341">
        <v>4869</v>
      </c>
      <c r="C4068" s="1341" t="s">
        <v>4994</v>
      </c>
      <c r="D4068" s="1310">
        <v>705.44999700000005</v>
      </c>
    </row>
    <row r="4069" spans="2:4" x14ac:dyDescent="0.2">
      <c r="B4069" s="1341">
        <v>4870</v>
      </c>
      <c r="C4069" s="1341" t="s">
        <v>2995</v>
      </c>
      <c r="D4069" s="1310">
        <v>693.01999499999999</v>
      </c>
    </row>
    <row r="4070" spans="2:4" x14ac:dyDescent="0.2">
      <c r="B4070" s="1341">
        <v>4871</v>
      </c>
      <c r="C4070" s="1341" t="s">
        <v>4995</v>
      </c>
      <c r="D4070" s="1310">
        <v>710.70001200000002</v>
      </c>
    </row>
    <row r="4071" spans="2:4" x14ac:dyDescent="0.2">
      <c r="B4071" s="1341">
        <v>4872</v>
      </c>
      <c r="C4071" s="1341" t="s">
        <v>4996</v>
      </c>
      <c r="D4071" s="1310">
        <v>624.57332399999996</v>
      </c>
    </row>
    <row r="4072" spans="2:4" x14ac:dyDescent="0.2">
      <c r="B4072" s="1341">
        <v>4873</v>
      </c>
      <c r="C4072" s="1341" t="s">
        <v>4997</v>
      </c>
      <c r="D4072" s="1310">
        <v>624.36251100000004</v>
      </c>
    </row>
    <row r="4073" spans="2:4" x14ac:dyDescent="0.2">
      <c r="B4073" s="1341">
        <v>4874</v>
      </c>
      <c r="C4073" s="1341" t="s">
        <v>4998</v>
      </c>
      <c r="D4073" s="1310">
        <v>630.71666500000003</v>
      </c>
    </row>
    <row r="4074" spans="2:4" x14ac:dyDescent="0.2">
      <c r="B4074" s="1341">
        <v>4875</v>
      </c>
      <c r="C4074" s="1341" t="s">
        <v>4999</v>
      </c>
      <c r="D4074" s="1310">
        <v>659.08888100000001</v>
      </c>
    </row>
    <row r="4075" spans="2:4" x14ac:dyDescent="0.2">
      <c r="B4075" s="1341">
        <v>4876</v>
      </c>
      <c r="C4075" s="1341" t="s">
        <v>5000</v>
      </c>
      <c r="D4075" s="1310">
        <v>657.70000300000004</v>
      </c>
    </row>
    <row r="4076" spans="2:4" x14ac:dyDescent="0.2">
      <c r="B4076" s="1341">
        <v>4877</v>
      </c>
      <c r="C4076" s="1341" t="s">
        <v>5001</v>
      </c>
      <c r="D4076" s="1310">
        <v>680.97999300000004</v>
      </c>
    </row>
    <row r="4077" spans="2:4" x14ac:dyDescent="0.2">
      <c r="B4077" s="1341">
        <v>4878</v>
      </c>
      <c r="C4077" s="1341" t="s">
        <v>5002</v>
      </c>
      <c r="D4077" s="1310">
        <v>707.06667100000004</v>
      </c>
    </row>
    <row r="4078" spans="2:4" x14ac:dyDescent="0.2">
      <c r="B4078" s="1341">
        <v>4879</v>
      </c>
      <c r="C4078" s="1341" t="s">
        <v>5003</v>
      </c>
      <c r="D4078" s="1310">
        <v>646.66666699999996</v>
      </c>
    </row>
    <row r="4079" spans="2:4" x14ac:dyDescent="0.2">
      <c r="B4079" s="1341">
        <v>4901</v>
      </c>
      <c r="C4079" s="1341" t="s">
        <v>5004</v>
      </c>
      <c r="D4079" s="1310">
        <v>712.90000399999997</v>
      </c>
    </row>
    <row r="4080" spans="2:4" x14ac:dyDescent="0.2">
      <c r="B4080" s="1341">
        <v>4902</v>
      </c>
      <c r="C4080" s="1341" t="s">
        <v>5005</v>
      </c>
      <c r="D4080" s="1310">
        <v>759.85714299999995</v>
      </c>
    </row>
    <row r="4081" spans="2:4" x14ac:dyDescent="0.2">
      <c r="B4081" s="1341">
        <v>4903</v>
      </c>
      <c r="C4081" s="1341" t="s">
        <v>5006</v>
      </c>
      <c r="D4081" s="1310">
        <v>742.36250299999995</v>
      </c>
    </row>
    <row r="4082" spans="2:4" x14ac:dyDescent="0.2">
      <c r="B4082" s="1341">
        <v>4904</v>
      </c>
      <c r="C4082" s="1341" t="s">
        <v>5007</v>
      </c>
      <c r="D4082" s="1310">
        <v>719.69999700000005</v>
      </c>
    </row>
    <row r="4083" spans="2:4" x14ac:dyDescent="0.2">
      <c r="B4083" s="1341">
        <v>4905</v>
      </c>
      <c r="C4083" s="1341" t="s">
        <v>5008</v>
      </c>
      <c r="D4083" s="1310">
        <v>703.31110999999999</v>
      </c>
    </row>
    <row r="4084" spans="2:4" x14ac:dyDescent="0.2">
      <c r="B4084" s="1341">
        <v>4906</v>
      </c>
      <c r="C4084" s="1341" t="s">
        <v>5009</v>
      </c>
      <c r="D4084" s="1310">
        <v>683.2</v>
      </c>
    </row>
    <row r="4085" spans="2:4" x14ac:dyDescent="0.2">
      <c r="B4085" s="1341">
        <v>4907</v>
      </c>
      <c r="C4085" s="1341" t="s">
        <v>5010</v>
      </c>
      <c r="D4085" s="1310">
        <v>721.72222199999999</v>
      </c>
    </row>
    <row r="4086" spans="2:4" x14ac:dyDescent="0.2">
      <c r="B4086" s="1341">
        <v>4908</v>
      </c>
      <c r="C4086" s="1341" t="s">
        <v>5011</v>
      </c>
      <c r="D4086" s="1310">
        <v>758.35454800000002</v>
      </c>
    </row>
    <row r="4087" spans="2:4" x14ac:dyDescent="0.2">
      <c r="B4087" s="1341">
        <v>4909</v>
      </c>
      <c r="C4087" s="1341" t="s">
        <v>5012</v>
      </c>
      <c r="D4087" s="1310">
        <v>743.80000800000005</v>
      </c>
    </row>
    <row r="4088" spans="2:4" x14ac:dyDescent="0.2">
      <c r="B4088" s="1341">
        <v>4910</v>
      </c>
      <c r="C4088" s="1341" t="s">
        <v>5013</v>
      </c>
      <c r="D4088" s="1310">
        <v>747.02499399999999</v>
      </c>
    </row>
    <row r="4089" spans="2:4" x14ac:dyDescent="0.2">
      <c r="B4089" s="1341">
        <v>4911</v>
      </c>
      <c r="C4089" s="1341" t="s">
        <v>5014</v>
      </c>
      <c r="D4089" s="1310">
        <v>780.58571099999995</v>
      </c>
    </row>
    <row r="4090" spans="2:4" x14ac:dyDescent="0.2">
      <c r="B4090" s="1341">
        <v>4912</v>
      </c>
      <c r="C4090" s="1341" t="s">
        <v>2793</v>
      </c>
      <c r="D4090" s="1310">
        <v>733.10000600000001</v>
      </c>
    </row>
    <row r="4091" spans="2:4" x14ac:dyDescent="0.2">
      <c r="B4091" s="1341">
        <v>4913</v>
      </c>
      <c r="C4091" s="1341" t="s">
        <v>5015</v>
      </c>
      <c r="D4091" s="1310">
        <v>773.84285199999999</v>
      </c>
    </row>
    <row r="4092" spans="2:4" x14ac:dyDescent="0.2">
      <c r="B4092" s="1341">
        <v>4914</v>
      </c>
      <c r="C4092" s="1341" t="s">
        <v>5016</v>
      </c>
      <c r="D4092" s="1310">
        <v>734.98889199999996</v>
      </c>
    </row>
    <row r="4093" spans="2:4" x14ac:dyDescent="0.2">
      <c r="B4093" s="1341">
        <v>4915</v>
      </c>
      <c r="C4093" s="1341" t="s">
        <v>5017</v>
      </c>
      <c r="D4093" s="1310">
        <v>730.37500499999999</v>
      </c>
    </row>
    <row r="4094" spans="2:4" x14ac:dyDescent="0.2">
      <c r="B4094" s="1341">
        <v>4916</v>
      </c>
      <c r="C4094" s="1341" t="s">
        <v>5018</v>
      </c>
      <c r="D4094" s="1310">
        <v>741.01667299999997</v>
      </c>
    </row>
    <row r="4095" spans="2:4" x14ac:dyDescent="0.2">
      <c r="B4095" s="1341">
        <v>4917</v>
      </c>
      <c r="C4095" s="1341" t="s">
        <v>5019</v>
      </c>
      <c r="D4095" s="1310">
        <v>722.92666799999995</v>
      </c>
    </row>
    <row r="4096" spans="2:4" x14ac:dyDescent="0.2">
      <c r="B4096" s="1341">
        <v>4918</v>
      </c>
      <c r="C4096" s="1341" t="s">
        <v>5020</v>
      </c>
      <c r="D4096" s="1310">
        <v>724.59997599999997</v>
      </c>
    </row>
    <row r="4097" spans="2:4" x14ac:dyDescent="0.2">
      <c r="B4097" s="1341">
        <v>4919</v>
      </c>
      <c r="C4097" s="1341" t="s">
        <v>5021</v>
      </c>
      <c r="D4097" s="1310">
        <v>713.11666500000001</v>
      </c>
    </row>
    <row r="4098" spans="2:4" x14ac:dyDescent="0.2">
      <c r="B4098" s="1341">
        <v>4920</v>
      </c>
      <c r="C4098" s="1341" t="s">
        <v>5022</v>
      </c>
      <c r="D4098" s="1310">
        <v>743.64999399999999</v>
      </c>
    </row>
    <row r="4099" spans="2:4" x14ac:dyDescent="0.2">
      <c r="B4099" s="1341">
        <v>4921</v>
      </c>
      <c r="C4099" s="1341" t="s">
        <v>1866</v>
      </c>
      <c r="D4099" s="1310">
        <v>761.10000600000001</v>
      </c>
    </row>
    <row r="4100" spans="2:4" x14ac:dyDescent="0.2">
      <c r="B4100" s="1341">
        <v>4922</v>
      </c>
      <c r="C4100" s="1341" t="s">
        <v>5023</v>
      </c>
      <c r="D4100" s="1310">
        <v>716</v>
      </c>
    </row>
    <row r="4101" spans="2:4" x14ac:dyDescent="0.2">
      <c r="B4101" s="1341">
        <v>4923</v>
      </c>
      <c r="C4101" s="1341" t="s">
        <v>5024</v>
      </c>
      <c r="D4101" s="1310">
        <v>734.9375</v>
      </c>
    </row>
    <row r="4102" spans="2:4" x14ac:dyDescent="0.2">
      <c r="B4102" s="1341">
        <v>4924</v>
      </c>
      <c r="C4102" s="1341" t="s">
        <v>5025</v>
      </c>
      <c r="D4102" s="1310">
        <v>757.860004</v>
      </c>
    </row>
    <row r="4103" spans="2:4" x14ac:dyDescent="0.2">
      <c r="B4103" s="1341">
        <v>4925</v>
      </c>
      <c r="C4103" s="1341" t="s">
        <v>5026</v>
      </c>
      <c r="D4103" s="1310">
        <v>737.866669</v>
      </c>
    </row>
    <row r="4104" spans="2:4" x14ac:dyDescent="0.2">
      <c r="B4104" s="1341">
        <v>4926</v>
      </c>
      <c r="C4104" s="1341" t="s">
        <v>2519</v>
      </c>
      <c r="D4104" s="1310">
        <v>751.26666299999999</v>
      </c>
    </row>
    <row r="4105" spans="2:4" x14ac:dyDescent="0.2">
      <c r="B4105" s="1341">
        <v>4927</v>
      </c>
      <c r="C4105" s="1341" t="s">
        <v>5027</v>
      </c>
      <c r="D4105" s="1310">
        <v>719.19999199999995</v>
      </c>
    </row>
    <row r="4106" spans="2:4" x14ac:dyDescent="0.2">
      <c r="B4106" s="1341">
        <v>4928</v>
      </c>
      <c r="C4106" s="1341" t="s">
        <v>5028</v>
      </c>
      <c r="D4106" s="1310">
        <v>664.64286200000004</v>
      </c>
    </row>
    <row r="4107" spans="2:4" x14ac:dyDescent="0.2">
      <c r="B4107" s="1341">
        <v>4929</v>
      </c>
      <c r="C4107" s="1341" t="s">
        <v>5029</v>
      </c>
      <c r="D4107" s="1310">
        <v>664.51666299999999</v>
      </c>
    </row>
    <row r="4108" spans="2:4" x14ac:dyDescent="0.2">
      <c r="B4108" s="1341">
        <v>4930</v>
      </c>
      <c r="C4108" s="1341" t="s">
        <v>5030</v>
      </c>
      <c r="D4108" s="1310">
        <v>725.42000700000006</v>
      </c>
    </row>
    <row r="4109" spans="2:4" x14ac:dyDescent="0.2">
      <c r="B4109" s="1341">
        <v>4931</v>
      </c>
      <c r="C4109" s="1341" t="s">
        <v>5031</v>
      </c>
      <c r="D4109" s="1310">
        <v>696.44999199999995</v>
      </c>
    </row>
    <row r="4110" spans="2:4" x14ac:dyDescent="0.2">
      <c r="B4110" s="1341">
        <v>4932</v>
      </c>
      <c r="C4110" s="1341" t="s">
        <v>5032</v>
      </c>
      <c r="D4110" s="1310">
        <v>681.26315499999998</v>
      </c>
    </row>
    <row r="4111" spans="2:4" x14ac:dyDescent="0.2">
      <c r="B4111" s="1341">
        <v>4933</v>
      </c>
      <c r="C4111" s="1341" t="s">
        <v>5033</v>
      </c>
      <c r="D4111" s="1310">
        <v>709</v>
      </c>
    </row>
    <row r="4112" spans="2:4" x14ac:dyDescent="0.2">
      <c r="B4112" s="1341">
        <v>4934</v>
      </c>
      <c r="C4112" s="1341" t="s">
        <v>3342</v>
      </c>
      <c r="D4112" s="1310">
        <v>711.51111500000002</v>
      </c>
    </row>
    <row r="4113" spans="2:4" x14ac:dyDescent="0.2">
      <c r="B4113" s="1341">
        <v>4935</v>
      </c>
      <c r="C4113" s="1341" t="s">
        <v>5034</v>
      </c>
      <c r="D4113" s="1310">
        <v>699.36000100000001</v>
      </c>
    </row>
    <row r="4114" spans="2:4" x14ac:dyDescent="0.2">
      <c r="B4114" s="1341">
        <v>4936</v>
      </c>
      <c r="C4114" s="1341" t="s">
        <v>5035</v>
      </c>
      <c r="D4114" s="1310">
        <v>644.17498799999998</v>
      </c>
    </row>
    <row r="4115" spans="2:4" x14ac:dyDescent="0.2">
      <c r="B4115" s="1341">
        <v>4937</v>
      </c>
      <c r="C4115" s="1341" t="s">
        <v>5036</v>
      </c>
      <c r="D4115" s="1310">
        <v>715.95001200000002</v>
      </c>
    </row>
    <row r="4116" spans="2:4" x14ac:dyDescent="0.2">
      <c r="B4116" s="1341">
        <v>4938</v>
      </c>
      <c r="C4116" s="1341" t="s">
        <v>5037</v>
      </c>
      <c r="D4116" s="1310">
        <v>663.15714800000001</v>
      </c>
    </row>
    <row r="4117" spans="2:4" x14ac:dyDescent="0.2">
      <c r="B4117" s="1341">
        <v>4939</v>
      </c>
      <c r="C4117" s="1341" t="s">
        <v>5038</v>
      </c>
      <c r="D4117" s="1310">
        <v>687.28181600000005</v>
      </c>
    </row>
    <row r="4118" spans="2:4" x14ac:dyDescent="0.2">
      <c r="B4118" s="1341">
        <v>4940</v>
      </c>
      <c r="C4118" s="1341" t="s">
        <v>5039</v>
      </c>
      <c r="D4118" s="1310">
        <v>659.36667899999998</v>
      </c>
    </row>
    <row r="4119" spans="2:4" x14ac:dyDescent="0.2">
      <c r="B4119" s="1341">
        <v>4941</v>
      </c>
      <c r="C4119" s="1341" t="s">
        <v>5040</v>
      </c>
      <c r="D4119" s="1310">
        <v>666.04614700000002</v>
      </c>
    </row>
    <row r="4120" spans="2:4" x14ac:dyDescent="0.2">
      <c r="B4120" s="1341">
        <v>4942</v>
      </c>
      <c r="C4120" s="1341" t="s">
        <v>5041</v>
      </c>
      <c r="D4120" s="1310">
        <v>650.70000000000005</v>
      </c>
    </row>
    <row r="4121" spans="2:4" x14ac:dyDescent="0.2">
      <c r="B4121" s="1341">
        <v>4943</v>
      </c>
      <c r="C4121" s="1341" t="s">
        <v>5042</v>
      </c>
      <c r="D4121" s="1310">
        <v>684.82000100000005</v>
      </c>
    </row>
    <row r="4122" spans="2:4" x14ac:dyDescent="0.2">
      <c r="B4122" s="1341">
        <v>4944</v>
      </c>
      <c r="C4122" s="1341" t="s">
        <v>5043</v>
      </c>
      <c r="D4122" s="1310">
        <v>657.77778499999999</v>
      </c>
    </row>
    <row r="4123" spans="2:4" x14ac:dyDescent="0.2">
      <c r="B4123" s="1341">
        <v>4945</v>
      </c>
      <c r="C4123" s="1341" t="s">
        <v>5044</v>
      </c>
      <c r="D4123" s="1310">
        <v>640.14666299999999</v>
      </c>
    </row>
    <row r="4124" spans="2:4" x14ac:dyDescent="0.2">
      <c r="B4124" s="1341">
        <v>4946</v>
      </c>
      <c r="C4124" s="1341" t="s">
        <v>5045</v>
      </c>
      <c r="D4124" s="1310">
        <v>608.63334099999997</v>
      </c>
    </row>
    <row r="4125" spans="2:4" x14ac:dyDescent="0.2">
      <c r="B4125" s="1341">
        <v>4947</v>
      </c>
      <c r="C4125" s="1341" t="s">
        <v>5046</v>
      </c>
      <c r="D4125" s="1310">
        <v>631.42500299999995</v>
      </c>
    </row>
    <row r="4126" spans="2:4" x14ac:dyDescent="0.2">
      <c r="B4126" s="1341">
        <v>4948</v>
      </c>
      <c r="C4126" s="1341" t="s">
        <v>5047</v>
      </c>
      <c r="D4126" s="1310">
        <v>672.51430800000003</v>
      </c>
    </row>
    <row r="4127" spans="2:4" x14ac:dyDescent="0.2">
      <c r="B4127" s="1341">
        <v>4949</v>
      </c>
      <c r="C4127" s="1341" t="s">
        <v>2380</v>
      </c>
      <c r="D4127" s="1310">
        <v>668.31363499999998</v>
      </c>
    </row>
    <row r="4128" spans="2:4" x14ac:dyDescent="0.2">
      <c r="B4128" s="1341">
        <v>4950</v>
      </c>
      <c r="C4128" s="1341" t="s">
        <v>5048</v>
      </c>
      <c r="D4128" s="1310">
        <v>675.29998799999998</v>
      </c>
    </row>
    <row r="4129" spans="2:4" x14ac:dyDescent="0.2">
      <c r="B4129" s="1341">
        <v>4951</v>
      </c>
      <c r="C4129" s="1341" t="s">
        <v>2833</v>
      </c>
      <c r="D4129" s="1310">
        <v>590.59997599999997</v>
      </c>
    </row>
    <row r="4130" spans="2:4" x14ac:dyDescent="0.2">
      <c r="B4130" s="1341">
        <v>4952</v>
      </c>
      <c r="C4130" s="1341" t="s">
        <v>5049</v>
      </c>
      <c r="D4130" s="1310">
        <v>676.66249800000003</v>
      </c>
    </row>
    <row r="4131" spans="2:4" x14ac:dyDescent="0.2">
      <c r="B4131" s="1341">
        <v>4953</v>
      </c>
      <c r="C4131" s="1341" t="s">
        <v>5050</v>
      </c>
      <c r="D4131" s="1310">
        <v>653.89999699999998</v>
      </c>
    </row>
    <row r="4132" spans="2:4" x14ac:dyDescent="0.2">
      <c r="B4132" s="1341">
        <v>4954</v>
      </c>
      <c r="C4132" s="1341" t="s">
        <v>5051</v>
      </c>
      <c r="D4132" s="1310">
        <v>636.733341</v>
      </c>
    </row>
    <row r="4133" spans="2:4" x14ac:dyDescent="0.2">
      <c r="B4133" s="1341">
        <v>4955</v>
      </c>
      <c r="C4133" s="1341" t="s">
        <v>5052</v>
      </c>
      <c r="D4133" s="1310">
        <v>727.25714100000005</v>
      </c>
    </row>
    <row r="4134" spans="2:4" x14ac:dyDescent="0.2">
      <c r="B4134" s="1341">
        <v>4956</v>
      </c>
      <c r="C4134" s="1341" t="s">
        <v>2738</v>
      </c>
      <c r="D4134" s="1310">
        <v>712.10000600000001</v>
      </c>
    </row>
    <row r="4135" spans="2:4" x14ac:dyDescent="0.2">
      <c r="B4135" s="1341">
        <v>4957</v>
      </c>
      <c r="C4135" s="1341" t="s">
        <v>5053</v>
      </c>
      <c r="D4135" s="1310">
        <v>761.09999800000003</v>
      </c>
    </row>
    <row r="4136" spans="2:4" x14ac:dyDescent="0.2">
      <c r="B4136" s="1341">
        <v>4958</v>
      </c>
      <c r="C4136" s="1341" t="s">
        <v>5054</v>
      </c>
      <c r="D4136" s="1310">
        <v>755.25</v>
      </c>
    </row>
    <row r="4137" spans="2:4" x14ac:dyDescent="0.2">
      <c r="B4137" s="1341">
        <v>4959</v>
      </c>
      <c r="C4137" s="1341" t="s">
        <v>5055</v>
      </c>
      <c r="D4137" s="1310">
        <v>712.55000299999995</v>
      </c>
    </row>
    <row r="4138" spans="2:4" x14ac:dyDescent="0.2">
      <c r="B4138" s="1341">
        <v>4960</v>
      </c>
      <c r="C4138" s="1341" t="s">
        <v>4599</v>
      </c>
      <c r="D4138" s="1310">
        <v>721.39998400000002</v>
      </c>
    </row>
    <row r="4139" spans="2:4" x14ac:dyDescent="0.2">
      <c r="B4139" s="1341">
        <v>4961</v>
      </c>
      <c r="C4139" s="1341" t="s">
        <v>5056</v>
      </c>
      <c r="D4139" s="1310">
        <v>712.27499399999999</v>
      </c>
    </row>
    <row r="4140" spans="2:4" x14ac:dyDescent="0.2">
      <c r="B4140" s="1341">
        <v>4962</v>
      </c>
      <c r="C4140" s="1341" t="s">
        <v>5057</v>
      </c>
      <c r="D4140" s="1310">
        <v>724.43332899999996</v>
      </c>
    </row>
    <row r="4141" spans="2:4" x14ac:dyDescent="0.2">
      <c r="B4141" s="1341">
        <v>4963</v>
      </c>
      <c r="C4141" s="1341" t="s">
        <v>5058</v>
      </c>
      <c r="D4141" s="1310">
        <v>743.56667100000004</v>
      </c>
    </row>
    <row r="4142" spans="2:4" x14ac:dyDescent="0.2">
      <c r="B4142" s="1341">
        <v>4964</v>
      </c>
      <c r="C4142" s="1341" t="s">
        <v>5059</v>
      </c>
      <c r="D4142" s="1310">
        <v>748.77499399999999</v>
      </c>
    </row>
    <row r="4143" spans="2:4" x14ac:dyDescent="0.2">
      <c r="B4143" s="1341">
        <v>4965</v>
      </c>
      <c r="C4143" s="1341" t="s">
        <v>5060</v>
      </c>
      <c r="D4143" s="1310">
        <v>714.85999800000002</v>
      </c>
    </row>
    <row r="4144" spans="2:4" x14ac:dyDescent="0.2">
      <c r="B4144" s="1341">
        <v>4966</v>
      </c>
      <c r="C4144" s="1341" t="s">
        <v>5061</v>
      </c>
      <c r="D4144" s="1310">
        <v>718.77499399999999</v>
      </c>
    </row>
    <row r="4145" spans="2:4" x14ac:dyDescent="0.2">
      <c r="B4145" s="1341">
        <v>4967</v>
      </c>
      <c r="C4145" s="1341" t="s">
        <v>5062</v>
      </c>
      <c r="D4145" s="1310">
        <v>767.13334099999997</v>
      </c>
    </row>
    <row r="4146" spans="2:4" x14ac:dyDescent="0.2">
      <c r="B4146" s="1341">
        <v>4968</v>
      </c>
      <c r="C4146" s="1341" t="s">
        <v>5063</v>
      </c>
      <c r="D4146" s="1310">
        <v>760.79999799999996</v>
      </c>
    </row>
    <row r="4147" spans="2:4" x14ac:dyDescent="0.2">
      <c r="B4147" s="1341">
        <v>4969</v>
      </c>
      <c r="C4147" s="1341" t="s">
        <v>5064</v>
      </c>
      <c r="D4147" s="1310">
        <v>709.96667500000001</v>
      </c>
    </row>
    <row r="4148" spans="2:4" x14ac:dyDescent="0.2">
      <c r="B4148" s="1341">
        <v>4970</v>
      </c>
      <c r="C4148" s="1341" t="s">
        <v>5065</v>
      </c>
      <c r="D4148" s="1310">
        <v>710.514274</v>
      </c>
    </row>
    <row r="4149" spans="2:4" x14ac:dyDescent="0.2">
      <c r="B4149" s="1341">
        <v>4971</v>
      </c>
      <c r="C4149" s="1341" t="s">
        <v>5066</v>
      </c>
      <c r="D4149" s="1310">
        <v>744.63332600000001</v>
      </c>
    </row>
    <row r="4150" spans="2:4" x14ac:dyDescent="0.2">
      <c r="B4150" s="1341">
        <v>4972</v>
      </c>
      <c r="C4150" s="1341" t="s">
        <v>5067</v>
      </c>
      <c r="D4150" s="1310">
        <v>702.69999199999995</v>
      </c>
    </row>
    <row r="4151" spans="2:4" x14ac:dyDescent="0.2">
      <c r="B4151" s="1341">
        <v>4973</v>
      </c>
      <c r="C4151" s="1341" t="s">
        <v>5068</v>
      </c>
      <c r="D4151" s="1310">
        <v>699.65713900000003</v>
      </c>
    </row>
    <row r="4152" spans="2:4" x14ac:dyDescent="0.2">
      <c r="B4152" s="1341">
        <v>4974</v>
      </c>
      <c r="C4152" s="1341" t="s">
        <v>5069</v>
      </c>
      <c r="D4152" s="1310">
        <v>706.59999600000003</v>
      </c>
    </row>
    <row r="4153" spans="2:4" x14ac:dyDescent="0.2">
      <c r="B4153" s="1341">
        <v>4975</v>
      </c>
      <c r="C4153" s="1341" t="s">
        <v>5070</v>
      </c>
      <c r="D4153" s="1310">
        <v>786.64000199999998</v>
      </c>
    </row>
    <row r="4154" spans="2:4" x14ac:dyDescent="0.2">
      <c r="B4154" s="1341">
        <v>4976</v>
      </c>
      <c r="C4154" s="1341" t="s">
        <v>5071</v>
      </c>
      <c r="D4154" s="1310">
        <v>708.60000600000001</v>
      </c>
    </row>
    <row r="4155" spans="2:4" x14ac:dyDescent="0.2">
      <c r="B4155" s="1341">
        <v>5001</v>
      </c>
      <c r="C4155" s="1341" t="s">
        <v>4428</v>
      </c>
      <c r="D4155" s="1310">
        <v>769.98001099999999</v>
      </c>
    </row>
    <row r="4156" spans="2:4" x14ac:dyDescent="0.2">
      <c r="B4156" s="1341">
        <v>5002</v>
      </c>
      <c r="C4156" s="1341" t="s">
        <v>5072</v>
      </c>
      <c r="D4156" s="1310">
        <v>799.39999399999999</v>
      </c>
    </row>
    <row r="4157" spans="2:4" x14ac:dyDescent="0.2">
      <c r="B4157" s="1341">
        <v>5003</v>
      </c>
      <c r="C4157" s="1341" t="s">
        <v>5073</v>
      </c>
      <c r="D4157" s="1310">
        <v>798.2</v>
      </c>
    </row>
    <row r="4158" spans="2:4" x14ac:dyDescent="0.2">
      <c r="B4158" s="1341">
        <v>5004</v>
      </c>
      <c r="C4158" s="1341" t="s">
        <v>5074</v>
      </c>
      <c r="D4158" s="1310">
        <v>791.28333499999997</v>
      </c>
    </row>
    <row r="4159" spans="2:4" x14ac:dyDescent="0.2">
      <c r="B4159" s="1341">
        <v>5005</v>
      </c>
      <c r="C4159" s="1341" t="s">
        <v>5075</v>
      </c>
      <c r="D4159" s="1310">
        <v>849.80001800000002</v>
      </c>
    </row>
    <row r="4160" spans="2:4" x14ac:dyDescent="0.2">
      <c r="B4160" s="1341">
        <v>5006</v>
      </c>
      <c r="C4160" s="1341" t="s">
        <v>4363</v>
      </c>
      <c r="D4160" s="1310">
        <v>816.70769800000005</v>
      </c>
    </row>
    <row r="4161" spans="2:4" x14ac:dyDescent="0.2">
      <c r="B4161" s="1341">
        <v>5007</v>
      </c>
      <c r="C4161" s="1341" t="s">
        <v>5076</v>
      </c>
      <c r="D4161" s="1310">
        <v>791.875</v>
      </c>
    </row>
    <row r="4162" spans="2:4" x14ac:dyDescent="0.2">
      <c r="B4162" s="1341">
        <v>5008</v>
      </c>
      <c r="C4162" s="1341" t="s">
        <v>5077</v>
      </c>
      <c r="D4162" s="1310">
        <v>717.89999399999999</v>
      </c>
    </row>
    <row r="4163" spans="2:4" x14ac:dyDescent="0.2">
      <c r="B4163" s="1341">
        <v>5009</v>
      </c>
      <c r="C4163" s="1341" t="s">
        <v>5078</v>
      </c>
      <c r="D4163" s="1310">
        <v>759.8125</v>
      </c>
    </row>
    <row r="4164" spans="2:4" x14ac:dyDescent="0.2">
      <c r="B4164" s="1341">
        <v>5010</v>
      </c>
      <c r="C4164" s="1341" t="s">
        <v>4374</v>
      </c>
      <c r="D4164" s="1310">
        <v>717.07777199999998</v>
      </c>
    </row>
    <row r="4165" spans="2:4" x14ac:dyDescent="0.2">
      <c r="B4165" s="1341">
        <v>5011</v>
      </c>
      <c r="C4165" s="1341" t="s">
        <v>5079</v>
      </c>
      <c r="D4165" s="1310">
        <v>786.07499700000005</v>
      </c>
    </row>
    <row r="4166" spans="2:4" x14ac:dyDescent="0.2">
      <c r="B4166" s="1341">
        <v>5012</v>
      </c>
      <c r="C4166" s="1341" t="s">
        <v>2922</v>
      </c>
      <c r="D4166" s="1310">
        <v>743.87142500000004</v>
      </c>
    </row>
    <row r="4167" spans="2:4" x14ac:dyDescent="0.2">
      <c r="B4167" s="1341">
        <v>5013</v>
      </c>
      <c r="C4167" s="1341" t="s">
        <v>5080</v>
      </c>
      <c r="D4167" s="1310">
        <v>749.39999399999999</v>
      </c>
    </row>
    <row r="4168" spans="2:4" x14ac:dyDescent="0.2">
      <c r="B4168" s="1341">
        <v>5014</v>
      </c>
      <c r="C4168" s="1341" t="s">
        <v>2080</v>
      </c>
      <c r="D4168" s="1310">
        <v>852.866669</v>
      </c>
    </row>
    <row r="4169" spans="2:4" x14ac:dyDescent="0.2">
      <c r="B4169" s="1341">
        <v>5015</v>
      </c>
      <c r="C4169" s="1341" t="s">
        <v>5081</v>
      </c>
      <c r="D4169" s="1310">
        <v>738.44999700000005</v>
      </c>
    </row>
    <row r="4170" spans="2:4" x14ac:dyDescent="0.2">
      <c r="B4170" s="1341">
        <v>5016</v>
      </c>
      <c r="C4170" s="1341" t="s">
        <v>5082</v>
      </c>
      <c r="D4170" s="1310">
        <v>713.04998799999998</v>
      </c>
    </row>
    <row r="4171" spans="2:4" x14ac:dyDescent="0.2">
      <c r="B4171" s="1341">
        <v>5017</v>
      </c>
      <c r="C4171" s="1341" t="s">
        <v>5083</v>
      </c>
      <c r="D4171" s="1310">
        <v>733.85000600000001</v>
      </c>
    </row>
    <row r="4172" spans="2:4" x14ac:dyDescent="0.2">
      <c r="B4172" s="1341">
        <v>5018</v>
      </c>
      <c r="C4172" s="1341" t="s">
        <v>5084</v>
      </c>
      <c r="D4172" s="1310">
        <v>795.53636600000004</v>
      </c>
    </row>
    <row r="4173" spans="2:4" x14ac:dyDescent="0.2">
      <c r="B4173" s="1341">
        <v>5019</v>
      </c>
      <c r="C4173" s="1341" t="s">
        <v>5085</v>
      </c>
      <c r="D4173" s="1310">
        <v>789.40001199999995</v>
      </c>
    </row>
    <row r="4174" spans="2:4" x14ac:dyDescent="0.2">
      <c r="B4174" s="1341">
        <v>5020</v>
      </c>
      <c r="C4174" s="1341" t="s">
        <v>5086</v>
      </c>
      <c r="D4174" s="1310">
        <v>785.64999399999999</v>
      </c>
    </row>
    <row r="4175" spans="2:4" x14ac:dyDescent="0.2">
      <c r="B4175" s="1341">
        <v>5021</v>
      </c>
      <c r="C4175" s="1341" t="s">
        <v>5087</v>
      </c>
      <c r="D4175" s="1310">
        <v>706.36665900000003</v>
      </c>
    </row>
    <row r="4176" spans="2:4" x14ac:dyDescent="0.2">
      <c r="B4176" s="1341">
        <v>5022</v>
      </c>
      <c r="C4176" s="1341" t="s">
        <v>5088</v>
      </c>
      <c r="D4176" s="1310">
        <v>797.10999100000004</v>
      </c>
    </row>
    <row r="4177" spans="2:4" x14ac:dyDescent="0.2">
      <c r="B4177" s="1341">
        <v>5023</v>
      </c>
      <c r="C4177" s="1341" t="s">
        <v>5089</v>
      </c>
      <c r="D4177" s="1310">
        <v>751.1</v>
      </c>
    </row>
    <row r="4178" spans="2:4" x14ac:dyDescent="0.2">
      <c r="B4178" s="1341">
        <v>5024</v>
      </c>
      <c r="C4178" s="1341" t="s">
        <v>5090</v>
      </c>
      <c r="D4178" s="1310">
        <v>837.74545000000001</v>
      </c>
    </row>
    <row r="4179" spans="2:4" x14ac:dyDescent="0.2">
      <c r="B4179" s="1341">
        <v>5025</v>
      </c>
      <c r="C4179" s="1341" t="s">
        <v>5091</v>
      </c>
      <c r="D4179" s="1310">
        <v>785.07501200000002</v>
      </c>
    </row>
    <row r="4180" spans="2:4" x14ac:dyDescent="0.2">
      <c r="B4180" s="1341">
        <v>5026</v>
      </c>
      <c r="C4180" s="1341" t="s">
        <v>5092</v>
      </c>
      <c r="D4180" s="1310">
        <v>825.00001499999996</v>
      </c>
    </row>
    <row r="4181" spans="2:4" x14ac:dyDescent="0.2">
      <c r="B4181" s="1341">
        <v>5027</v>
      </c>
      <c r="C4181" s="1341" t="s">
        <v>5093</v>
      </c>
      <c r="D4181" s="1310">
        <v>839.28750600000001</v>
      </c>
    </row>
    <row r="4182" spans="2:4" x14ac:dyDescent="0.2">
      <c r="B4182" s="1341">
        <v>5028</v>
      </c>
      <c r="C4182" s="1341" t="s">
        <v>5094</v>
      </c>
      <c r="D4182" s="1310">
        <v>886.09997599999997</v>
      </c>
    </row>
    <row r="4183" spans="2:4" x14ac:dyDescent="0.2">
      <c r="B4183" s="1341">
        <v>5029</v>
      </c>
      <c r="C4183" s="1341" t="s">
        <v>5095</v>
      </c>
      <c r="D4183" s="1310">
        <v>695.86667199999999</v>
      </c>
    </row>
    <row r="4184" spans="2:4" x14ac:dyDescent="0.2">
      <c r="B4184" s="1341">
        <v>5030</v>
      </c>
      <c r="C4184" s="1341" t="s">
        <v>5096</v>
      </c>
      <c r="D4184" s="1310">
        <v>746.86667899999998</v>
      </c>
    </row>
    <row r="4185" spans="2:4" x14ac:dyDescent="0.2">
      <c r="B4185" s="1341">
        <v>5031</v>
      </c>
      <c r="C4185" s="1341" t="s">
        <v>5097</v>
      </c>
      <c r="D4185" s="1310">
        <v>671.35001399999999</v>
      </c>
    </row>
    <row r="4186" spans="2:4" x14ac:dyDescent="0.2">
      <c r="B4186" s="1341">
        <v>5032</v>
      </c>
      <c r="C4186" s="1341" t="s">
        <v>5098</v>
      </c>
      <c r="D4186" s="1310">
        <v>715.03637100000003</v>
      </c>
    </row>
    <row r="4187" spans="2:4" x14ac:dyDescent="0.2">
      <c r="B4187" s="1341">
        <v>5033</v>
      </c>
      <c r="C4187" s="1341" t="s">
        <v>5099</v>
      </c>
      <c r="D4187" s="1310">
        <v>674.03998999999999</v>
      </c>
    </row>
    <row r="4188" spans="2:4" x14ac:dyDescent="0.2">
      <c r="B4188" s="1341">
        <v>5034</v>
      </c>
      <c r="C4188" s="1341" t="s">
        <v>5100</v>
      </c>
      <c r="D4188" s="1310">
        <v>682.40000399999997</v>
      </c>
    </row>
    <row r="4189" spans="2:4" x14ac:dyDescent="0.2">
      <c r="B4189" s="1341">
        <v>5035</v>
      </c>
      <c r="C4189" s="1341" t="s">
        <v>5101</v>
      </c>
      <c r="D4189" s="1310">
        <v>681.51999499999999</v>
      </c>
    </row>
    <row r="4190" spans="2:4" x14ac:dyDescent="0.2">
      <c r="B4190" s="1341">
        <v>5036</v>
      </c>
      <c r="C4190" s="1341" t="s">
        <v>5102</v>
      </c>
      <c r="D4190" s="1310">
        <v>656.70908999999995</v>
      </c>
    </row>
    <row r="4191" spans="2:4" x14ac:dyDescent="0.2">
      <c r="B4191" s="1341">
        <v>5037</v>
      </c>
      <c r="C4191" s="1341" t="s">
        <v>5103</v>
      </c>
      <c r="D4191" s="1310">
        <v>840.74999500000001</v>
      </c>
    </row>
    <row r="4192" spans="2:4" x14ac:dyDescent="0.2">
      <c r="B4192" s="1341">
        <v>5038</v>
      </c>
      <c r="C4192" s="1341" t="s">
        <v>5104</v>
      </c>
      <c r="D4192" s="1310">
        <v>736.47143600000004</v>
      </c>
    </row>
    <row r="4193" spans="2:4" x14ac:dyDescent="0.2">
      <c r="B4193" s="1341">
        <v>5039</v>
      </c>
      <c r="C4193" s="1341" t="s">
        <v>5105</v>
      </c>
      <c r="D4193" s="1310">
        <v>709.90002400000003</v>
      </c>
    </row>
    <row r="4194" spans="2:4" x14ac:dyDescent="0.2">
      <c r="B4194" s="1341">
        <v>5040</v>
      </c>
      <c r="C4194" s="1341" t="s">
        <v>5106</v>
      </c>
      <c r="D4194" s="1310">
        <v>777.10999800000002</v>
      </c>
    </row>
    <row r="4195" spans="2:4" x14ac:dyDescent="0.2">
      <c r="B4195" s="1341">
        <v>5041</v>
      </c>
      <c r="C4195" s="1341" t="s">
        <v>5107</v>
      </c>
      <c r="D4195" s="1310">
        <v>687.73846000000003</v>
      </c>
    </row>
    <row r="4196" spans="2:4" x14ac:dyDescent="0.2">
      <c r="B4196" s="1341">
        <v>5042</v>
      </c>
      <c r="C4196" s="1341" t="s">
        <v>5108</v>
      </c>
      <c r="D4196" s="1310">
        <v>879.55715499999997</v>
      </c>
    </row>
    <row r="4197" spans="2:4" x14ac:dyDescent="0.2">
      <c r="B4197" s="1341">
        <v>5043</v>
      </c>
      <c r="C4197" s="1341" t="s">
        <v>5109</v>
      </c>
      <c r="D4197" s="1310">
        <v>828.84999100000005</v>
      </c>
    </row>
    <row r="4198" spans="2:4" x14ac:dyDescent="0.2">
      <c r="B4198" s="1341">
        <v>5044</v>
      </c>
      <c r="C4198" s="1341" t="s">
        <v>5110</v>
      </c>
      <c r="D4198" s="1310">
        <v>790.84999600000003</v>
      </c>
    </row>
    <row r="4199" spans="2:4" x14ac:dyDescent="0.2">
      <c r="B4199" s="1341">
        <v>5045</v>
      </c>
      <c r="C4199" s="1341" t="s">
        <v>5111</v>
      </c>
      <c r="D4199" s="1310">
        <v>728.49998800000003</v>
      </c>
    </row>
    <row r="4200" spans="2:4" x14ac:dyDescent="0.2">
      <c r="B4200" s="1341">
        <v>5046</v>
      </c>
      <c r="C4200" s="1341" t="s">
        <v>5112</v>
      </c>
      <c r="D4200" s="1310">
        <v>768.90000599999996</v>
      </c>
    </row>
    <row r="4201" spans="2:4" x14ac:dyDescent="0.2">
      <c r="B4201" s="1341">
        <v>5047</v>
      </c>
      <c r="C4201" s="1341" t="s">
        <v>2286</v>
      </c>
      <c r="D4201" s="1310">
        <v>806.27333599999997</v>
      </c>
    </row>
    <row r="4202" spans="2:4" x14ac:dyDescent="0.2">
      <c r="B4202" s="1341">
        <v>5048</v>
      </c>
      <c r="C4202" s="1341" t="s">
        <v>5113</v>
      </c>
      <c r="D4202" s="1310">
        <v>831.42222100000004</v>
      </c>
    </row>
    <row r="4203" spans="2:4" x14ac:dyDescent="0.2">
      <c r="B4203" s="1341">
        <v>5049</v>
      </c>
      <c r="C4203" s="1341" t="s">
        <v>5114</v>
      </c>
      <c r="D4203" s="1310">
        <v>796.23846400000002</v>
      </c>
    </row>
    <row r="4204" spans="2:4" x14ac:dyDescent="0.2">
      <c r="B4204" s="1341">
        <v>5050</v>
      </c>
      <c r="C4204" s="1341" t="s">
        <v>4975</v>
      </c>
      <c r="D4204" s="1310">
        <v>771.366669</v>
      </c>
    </row>
    <row r="4205" spans="2:4" x14ac:dyDescent="0.2">
      <c r="B4205" s="1341">
        <v>5051</v>
      </c>
      <c r="C4205" s="1341" t="s">
        <v>4212</v>
      </c>
      <c r="D4205" s="1310">
        <v>782.05998499999998</v>
      </c>
    </row>
    <row r="4206" spans="2:4" x14ac:dyDescent="0.2">
      <c r="B4206" s="1341">
        <v>5052</v>
      </c>
      <c r="C4206" s="1341" t="s">
        <v>5115</v>
      </c>
      <c r="D4206" s="1310">
        <v>782.485726</v>
      </c>
    </row>
    <row r="4207" spans="2:4" x14ac:dyDescent="0.2">
      <c r="B4207" s="1341">
        <v>5053</v>
      </c>
      <c r="C4207" s="1341" t="s">
        <v>5116</v>
      </c>
      <c r="D4207" s="1310">
        <v>783.64000899999996</v>
      </c>
    </row>
    <row r="4208" spans="2:4" x14ac:dyDescent="0.2">
      <c r="B4208" s="1341">
        <v>5054</v>
      </c>
      <c r="C4208" s="1341" t="s">
        <v>5117</v>
      </c>
      <c r="D4208" s="1310">
        <v>801.66999499999997</v>
      </c>
    </row>
    <row r="4209" spans="2:4" x14ac:dyDescent="0.2">
      <c r="B4209" s="1341">
        <v>5055</v>
      </c>
      <c r="C4209" s="1341" t="s">
        <v>5118</v>
      </c>
      <c r="D4209" s="1310">
        <v>744.41999499999997</v>
      </c>
    </row>
    <row r="4210" spans="2:4" x14ac:dyDescent="0.2">
      <c r="B4210" s="1341">
        <v>5056</v>
      </c>
      <c r="C4210" s="1341" t="s">
        <v>5119</v>
      </c>
      <c r="D4210" s="1310">
        <v>802.90000399999997</v>
      </c>
    </row>
    <row r="4211" spans="2:4" x14ac:dyDescent="0.2">
      <c r="B4211" s="1341">
        <v>5057</v>
      </c>
      <c r="C4211" s="1341" t="s">
        <v>5120</v>
      </c>
      <c r="D4211" s="1310">
        <v>789.87037299999997</v>
      </c>
    </row>
    <row r="4212" spans="2:4" x14ac:dyDescent="0.2">
      <c r="B4212" s="1341">
        <v>5058</v>
      </c>
      <c r="C4212" s="1341" t="s">
        <v>5121</v>
      </c>
      <c r="D4212" s="1310">
        <v>772.827271</v>
      </c>
    </row>
    <row r="4213" spans="2:4" x14ac:dyDescent="0.2">
      <c r="B4213" s="1341">
        <v>5059</v>
      </c>
      <c r="C4213" s="1341" t="s">
        <v>5122</v>
      </c>
      <c r="D4213" s="1310">
        <v>773.53571399999998</v>
      </c>
    </row>
    <row r="4214" spans="2:4" x14ac:dyDescent="0.2">
      <c r="B4214" s="1341">
        <v>5060</v>
      </c>
      <c r="C4214" s="1341" t="s">
        <v>5123</v>
      </c>
      <c r="D4214" s="1310">
        <v>742.53635499999996</v>
      </c>
    </row>
    <row r="4215" spans="2:4" x14ac:dyDescent="0.2">
      <c r="B4215" s="1341">
        <v>5061</v>
      </c>
      <c r="C4215" s="1341" t="s">
        <v>5124</v>
      </c>
      <c r="D4215" s="1310">
        <v>752.19999700000005</v>
      </c>
    </row>
    <row r="4216" spans="2:4" x14ac:dyDescent="0.2">
      <c r="B4216" s="1341">
        <v>5062</v>
      </c>
      <c r="C4216" s="1341" t="s">
        <v>5125</v>
      </c>
      <c r="D4216" s="1310">
        <v>738.06667100000004</v>
      </c>
    </row>
    <row r="4217" spans="2:4" x14ac:dyDescent="0.2">
      <c r="B4217" s="1341">
        <v>5063</v>
      </c>
      <c r="C4217" s="1341" t="s">
        <v>5126</v>
      </c>
      <c r="D4217" s="1310">
        <v>759.04999499999997</v>
      </c>
    </row>
    <row r="4218" spans="2:4" x14ac:dyDescent="0.2">
      <c r="B4218" s="1341">
        <v>5064</v>
      </c>
      <c r="C4218" s="1341" t="s">
        <v>5127</v>
      </c>
      <c r="D4218" s="1310">
        <v>805.70832800000005</v>
      </c>
    </row>
    <row r="4219" spans="2:4" x14ac:dyDescent="0.2">
      <c r="B4219" s="1341">
        <v>5065</v>
      </c>
      <c r="C4219" s="1341" t="s">
        <v>2311</v>
      </c>
      <c r="D4219" s="1310">
        <v>697.91249500000004</v>
      </c>
    </row>
    <row r="4220" spans="2:4" x14ac:dyDescent="0.2">
      <c r="B4220" s="1341">
        <v>5066</v>
      </c>
      <c r="C4220" s="1341" t="s">
        <v>5128</v>
      </c>
      <c r="D4220" s="1310">
        <v>873.76666299999999</v>
      </c>
    </row>
    <row r="4221" spans="2:4" x14ac:dyDescent="0.2">
      <c r="B4221" s="1341">
        <v>5067</v>
      </c>
      <c r="C4221" s="1341" t="s">
        <v>5129</v>
      </c>
      <c r="D4221" s="1310">
        <v>812.73999800000001</v>
      </c>
    </row>
    <row r="4222" spans="2:4" x14ac:dyDescent="0.2">
      <c r="B4222" s="1341">
        <v>5068</v>
      </c>
      <c r="C4222" s="1341" t="s">
        <v>5130</v>
      </c>
      <c r="D4222" s="1310">
        <v>931.86428799999999</v>
      </c>
    </row>
    <row r="4223" spans="2:4" x14ac:dyDescent="0.2">
      <c r="B4223" s="1341">
        <v>5069</v>
      </c>
      <c r="C4223" s="1341" t="s">
        <v>5131</v>
      </c>
      <c r="D4223" s="1310">
        <v>1102.1555510000001</v>
      </c>
    </row>
    <row r="4224" spans="2:4" x14ac:dyDescent="0.2">
      <c r="B4224" s="1341">
        <v>5070</v>
      </c>
      <c r="C4224" s="1341" t="s">
        <v>5132</v>
      </c>
      <c r="D4224" s="1310">
        <v>932.39999399999999</v>
      </c>
    </row>
    <row r="4225" spans="2:4" x14ac:dyDescent="0.2">
      <c r="B4225" s="1341">
        <v>5071</v>
      </c>
      <c r="C4225" s="1341" t="s">
        <v>5133</v>
      </c>
      <c r="D4225" s="1310">
        <v>687</v>
      </c>
    </row>
    <row r="4226" spans="2:4" x14ac:dyDescent="0.2">
      <c r="B4226" s="1341">
        <v>5072</v>
      </c>
      <c r="C4226" s="1341" t="s">
        <v>5134</v>
      </c>
      <c r="D4226" s="1310">
        <v>681.875</v>
      </c>
    </row>
    <row r="4227" spans="2:4" x14ac:dyDescent="0.2">
      <c r="B4227" s="1341">
        <v>5073</v>
      </c>
      <c r="C4227" s="1341" t="s">
        <v>5135</v>
      </c>
      <c r="D4227" s="1310">
        <v>680.63636599999995</v>
      </c>
    </row>
    <row r="4228" spans="2:4" x14ac:dyDescent="0.2">
      <c r="B4228" s="1341">
        <v>5074</v>
      </c>
      <c r="C4228" s="1341" t="s">
        <v>5136</v>
      </c>
      <c r="D4228" s="1310">
        <v>675.73750299999995</v>
      </c>
    </row>
    <row r="4229" spans="2:4" x14ac:dyDescent="0.2">
      <c r="B4229" s="1341">
        <v>5075</v>
      </c>
      <c r="C4229" s="1341" t="s">
        <v>5137</v>
      </c>
      <c r="D4229" s="1310">
        <v>680.2</v>
      </c>
    </row>
    <row r="4230" spans="2:4" x14ac:dyDescent="0.2">
      <c r="B4230" s="1341">
        <v>5076</v>
      </c>
      <c r="C4230" s="1341" t="s">
        <v>5138</v>
      </c>
      <c r="D4230" s="1310">
        <v>664.35</v>
      </c>
    </row>
    <row r="4231" spans="2:4" x14ac:dyDescent="0.2">
      <c r="B4231" s="1341">
        <v>5077</v>
      </c>
      <c r="C4231" s="1341" t="s">
        <v>5139</v>
      </c>
      <c r="D4231" s="1310">
        <v>650.80000800000005</v>
      </c>
    </row>
    <row r="4232" spans="2:4" x14ac:dyDescent="0.2">
      <c r="B4232" s="1341">
        <v>5078</v>
      </c>
      <c r="C4232" s="1341" t="s">
        <v>5140</v>
      </c>
      <c r="D4232" s="1310">
        <v>675.28000499999996</v>
      </c>
    </row>
    <row r="4233" spans="2:4" x14ac:dyDescent="0.2">
      <c r="B4233" s="1341">
        <v>5079</v>
      </c>
      <c r="C4233" s="1341" t="s">
        <v>5141</v>
      </c>
      <c r="D4233" s="1310">
        <v>692.90000899999995</v>
      </c>
    </row>
    <row r="4234" spans="2:4" x14ac:dyDescent="0.2">
      <c r="B4234" s="1341">
        <v>5080</v>
      </c>
      <c r="C4234" s="1341" t="s">
        <v>5142</v>
      </c>
      <c r="D4234" s="1310">
        <v>667.20001200000002</v>
      </c>
    </row>
    <row r="4235" spans="2:4" x14ac:dyDescent="0.2">
      <c r="B4235" s="1341">
        <v>5081</v>
      </c>
      <c r="C4235" s="1341" t="s">
        <v>5143</v>
      </c>
      <c r="D4235" s="1310">
        <v>698.20001200000002</v>
      </c>
    </row>
    <row r="4236" spans="2:4" x14ac:dyDescent="0.2">
      <c r="B4236" s="1341">
        <v>5082</v>
      </c>
      <c r="C4236" s="1341" t="s">
        <v>5144</v>
      </c>
      <c r="D4236" s="1310">
        <v>719.72499100000005</v>
      </c>
    </row>
    <row r="4237" spans="2:4" x14ac:dyDescent="0.2">
      <c r="B4237" s="1341">
        <v>5083</v>
      </c>
      <c r="C4237" s="1341" t="s">
        <v>5145</v>
      </c>
      <c r="D4237" s="1310">
        <v>727.42857100000003</v>
      </c>
    </row>
    <row r="4238" spans="2:4" x14ac:dyDescent="0.2">
      <c r="B4238" s="1341">
        <v>5084</v>
      </c>
      <c r="C4238" s="1341" t="s">
        <v>5146</v>
      </c>
      <c r="D4238" s="1310">
        <v>716.63999000000001</v>
      </c>
    </row>
    <row r="4239" spans="2:4" x14ac:dyDescent="0.2">
      <c r="B4239" s="1341">
        <v>5085</v>
      </c>
      <c r="C4239" s="1341" t="s">
        <v>5147</v>
      </c>
      <c r="D4239" s="1310">
        <v>767.09000200000003</v>
      </c>
    </row>
    <row r="4240" spans="2:4" x14ac:dyDescent="0.2">
      <c r="B4240" s="1341">
        <v>5086</v>
      </c>
      <c r="C4240" s="1341" t="s">
        <v>5148</v>
      </c>
      <c r="D4240" s="1310">
        <v>693.17501800000002</v>
      </c>
    </row>
    <row r="4241" spans="2:4" x14ac:dyDescent="0.2">
      <c r="B4241" s="1341">
        <v>5087</v>
      </c>
      <c r="C4241" s="1341" t="s">
        <v>5149</v>
      </c>
      <c r="D4241" s="1310">
        <v>720.79998799999998</v>
      </c>
    </row>
    <row r="4242" spans="2:4" x14ac:dyDescent="0.2">
      <c r="B4242" s="1341">
        <v>5088</v>
      </c>
      <c r="C4242" s="1341" t="s">
        <v>5150</v>
      </c>
      <c r="D4242" s="1310">
        <v>753.80000299999995</v>
      </c>
    </row>
    <row r="4243" spans="2:4" x14ac:dyDescent="0.2">
      <c r="B4243" s="1341">
        <v>5089</v>
      </c>
      <c r="C4243" s="1341" t="s">
        <v>406</v>
      </c>
      <c r="D4243" s="1310">
        <v>699.97500100000002</v>
      </c>
    </row>
    <row r="4244" spans="2:4" x14ac:dyDescent="0.2">
      <c r="B4244" s="1341">
        <v>5090</v>
      </c>
      <c r="C4244" s="1341" t="s">
        <v>5151</v>
      </c>
      <c r="D4244" s="1310">
        <v>668.629999</v>
      </c>
    </row>
    <row r="4245" spans="2:4" x14ac:dyDescent="0.2">
      <c r="B4245" s="1341">
        <v>5091</v>
      </c>
      <c r="C4245" s="1341" t="s">
        <v>5152</v>
      </c>
      <c r="D4245" s="1310">
        <v>673.42666799999995</v>
      </c>
    </row>
    <row r="4246" spans="2:4" x14ac:dyDescent="0.2">
      <c r="B4246" s="1341">
        <v>5092</v>
      </c>
      <c r="C4246" s="1341" t="s">
        <v>5153</v>
      </c>
      <c r="D4246" s="1310">
        <v>703.5</v>
      </c>
    </row>
    <row r="4247" spans="2:4" x14ac:dyDescent="0.2">
      <c r="B4247" s="1341">
        <v>5093</v>
      </c>
      <c r="C4247" s="1341" t="s">
        <v>5154</v>
      </c>
      <c r="D4247" s="1310">
        <v>690.30000299999995</v>
      </c>
    </row>
    <row r="4248" spans="2:4" x14ac:dyDescent="0.2">
      <c r="B4248" s="1341">
        <v>5094</v>
      </c>
      <c r="C4248" s="1341" t="s">
        <v>414</v>
      </c>
      <c r="D4248" s="1310">
        <v>723.29998799999998</v>
      </c>
    </row>
    <row r="4249" spans="2:4" x14ac:dyDescent="0.2">
      <c r="B4249" s="1341">
        <v>5095</v>
      </c>
      <c r="C4249" s="1341" t="s">
        <v>5155</v>
      </c>
      <c r="D4249" s="1310">
        <v>690.40002400000003</v>
      </c>
    </row>
    <row r="4250" spans="2:4" x14ac:dyDescent="0.2">
      <c r="B4250" s="1341">
        <v>5096</v>
      </c>
      <c r="C4250" s="1341" t="s">
        <v>5156</v>
      </c>
      <c r="D4250" s="1310">
        <v>744.8125</v>
      </c>
    </row>
    <row r="4251" spans="2:4" x14ac:dyDescent="0.2">
      <c r="B4251" s="1341">
        <v>5097</v>
      </c>
      <c r="C4251" s="1341" t="s">
        <v>5157</v>
      </c>
      <c r="D4251" s="1310">
        <v>704.41249100000005</v>
      </c>
    </row>
    <row r="4252" spans="2:4" x14ac:dyDescent="0.2">
      <c r="B4252" s="1341">
        <v>5098</v>
      </c>
      <c r="C4252" s="1341" t="s">
        <v>5158</v>
      </c>
      <c r="D4252" s="1310">
        <v>711.94999700000005</v>
      </c>
    </row>
    <row r="4253" spans="2:4" x14ac:dyDescent="0.2">
      <c r="B4253" s="1341">
        <v>5099</v>
      </c>
      <c r="C4253" s="1341" t="s">
        <v>5159</v>
      </c>
      <c r="D4253" s="1310">
        <v>761.98332700000003</v>
      </c>
    </row>
    <row r="4254" spans="2:4" x14ac:dyDescent="0.2">
      <c r="B4254" s="1341">
        <v>5100</v>
      </c>
      <c r="C4254" s="1341" t="s">
        <v>5160</v>
      </c>
      <c r="D4254" s="1310">
        <v>717.90000399999997</v>
      </c>
    </row>
    <row r="4255" spans="2:4" x14ac:dyDescent="0.2">
      <c r="B4255" s="1341">
        <v>5101</v>
      </c>
      <c r="C4255" s="1341" t="s">
        <v>5161</v>
      </c>
      <c r="D4255" s="1310">
        <v>799.84000200000003</v>
      </c>
    </row>
    <row r="4256" spans="2:4" x14ac:dyDescent="0.2">
      <c r="B4256" s="1341">
        <v>5102</v>
      </c>
      <c r="C4256" s="1341" t="s">
        <v>5162</v>
      </c>
      <c r="D4256" s="1310">
        <v>741.385716</v>
      </c>
    </row>
    <row r="4257" spans="2:4" x14ac:dyDescent="0.2">
      <c r="B4257" s="1341">
        <v>5103</v>
      </c>
      <c r="C4257" s="1341" t="s">
        <v>5163</v>
      </c>
      <c r="D4257" s="1310">
        <v>818.59999600000003</v>
      </c>
    </row>
    <row r="4258" spans="2:4" x14ac:dyDescent="0.2">
      <c r="B4258" s="1341">
        <v>5104</v>
      </c>
      <c r="C4258" s="1341" t="s">
        <v>5164</v>
      </c>
      <c r="D4258" s="1310">
        <v>828.54999499999997</v>
      </c>
    </row>
    <row r="4259" spans="2:4" x14ac:dyDescent="0.2">
      <c r="B4259" s="1341">
        <v>5105</v>
      </c>
      <c r="C4259" s="1341" t="s">
        <v>5165</v>
      </c>
      <c r="D4259" s="1310">
        <v>868.79999799999996</v>
      </c>
    </row>
    <row r="4260" spans="2:4" x14ac:dyDescent="0.2">
      <c r="B4260" s="1341">
        <v>5106</v>
      </c>
      <c r="C4260" s="1341" t="s">
        <v>2198</v>
      </c>
      <c r="D4260" s="1310">
        <v>731.32857000000001</v>
      </c>
    </row>
    <row r="4261" spans="2:4" x14ac:dyDescent="0.2">
      <c r="B4261" s="1341">
        <v>5107</v>
      </c>
      <c r="C4261" s="1341" t="s">
        <v>5166</v>
      </c>
      <c r="D4261" s="1310">
        <v>819.94999700000005</v>
      </c>
    </row>
    <row r="4262" spans="2:4" x14ac:dyDescent="0.2">
      <c r="B4262" s="1341">
        <v>5108</v>
      </c>
      <c r="C4262" s="1341" t="s">
        <v>5167</v>
      </c>
      <c r="D4262" s="1310">
        <v>814.82501200000002</v>
      </c>
    </row>
    <row r="4263" spans="2:4" x14ac:dyDescent="0.2">
      <c r="B4263" s="1341">
        <v>5109</v>
      </c>
      <c r="C4263" s="1341" t="s">
        <v>5168</v>
      </c>
      <c r="D4263" s="1310">
        <v>970.99999300000002</v>
      </c>
    </row>
    <row r="4264" spans="2:4" x14ac:dyDescent="0.2">
      <c r="B4264" s="1341">
        <v>5110</v>
      </c>
      <c r="C4264" s="1341" t="s">
        <v>5169</v>
      </c>
      <c r="D4264" s="1310">
        <v>855.70001200000002</v>
      </c>
    </row>
    <row r="4265" spans="2:4" x14ac:dyDescent="0.2">
      <c r="B4265" s="1341">
        <v>5111</v>
      </c>
      <c r="C4265" s="1341" t="s">
        <v>5170</v>
      </c>
      <c r="D4265" s="1310">
        <v>796.71538399999997</v>
      </c>
    </row>
    <row r="4266" spans="2:4" x14ac:dyDescent="0.2">
      <c r="B4266" s="1341">
        <v>5112</v>
      </c>
      <c r="C4266" s="1341" t="s">
        <v>5171</v>
      </c>
      <c r="D4266" s="1310">
        <v>875.6875</v>
      </c>
    </row>
    <row r="4267" spans="2:4" x14ac:dyDescent="0.2">
      <c r="B4267" s="1341">
        <v>5113</v>
      </c>
      <c r="C4267" s="1341" t="s">
        <v>5172</v>
      </c>
      <c r="D4267" s="1310">
        <v>944.34999600000003</v>
      </c>
    </row>
    <row r="4268" spans="2:4" x14ac:dyDescent="0.2">
      <c r="B4268" s="1341">
        <v>5114</v>
      </c>
      <c r="C4268" s="1341" t="s">
        <v>5173</v>
      </c>
      <c r="D4268" s="1310">
        <v>994.54737299999999</v>
      </c>
    </row>
    <row r="4269" spans="2:4" x14ac:dyDescent="0.2">
      <c r="B4269" s="1341">
        <v>5115</v>
      </c>
      <c r="C4269" s="1341" t="s">
        <v>5174</v>
      </c>
      <c r="D4269" s="1310">
        <v>999.01667299999997</v>
      </c>
    </row>
    <row r="4270" spans="2:4" x14ac:dyDescent="0.2">
      <c r="B4270" s="1341">
        <v>5116</v>
      </c>
      <c r="C4270" s="1341" t="s">
        <v>5175</v>
      </c>
      <c r="D4270" s="1310">
        <v>1092.125006</v>
      </c>
    </row>
    <row r="4271" spans="2:4" x14ac:dyDescent="0.2">
      <c r="B4271" s="1341">
        <v>5117</v>
      </c>
      <c r="C4271" s="1341" t="s">
        <v>5176</v>
      </c>
      <c r="D4271" s="1310">
        <v>1153.3929740000001</v>
      </c>
    </row>
    <row r="4272" spans="2:4" x14ac:dyDescent="0.2">
      <c r="B4272" s="1341">
        <v>5118</v>
      </c>
      <c r="C4272" s="1341" t="s">
        <v>5177</v>
      </c>
      <c r="D4272" s="1310">
        <v>707.94546200000002</v>
      </c>
    </row>
    <row r="4273" spans="2:4" x14ac:dyDescent="0.2">
      <c r="B4273" s="1341">
        <v>5119</v>
      </c>
      <c r="C4273" s="1341" t="s">
        <v>5178</v>
      </c>
      <c r="D4273" s="1310">
        <v>682.27999299999999</v>
      </c>
    </row>
    <row r="4274" spans="2:4" x14ac:dyDescent="0.2">
      <c r="B4274" s="1341">
        <v>5120</v>
      </c>
      <c r="C4274" s="1341" t="s">
        <v>5179</v>
      </c>
      <c r="D4274" s="1310">
        <v>669.125</v>
      </c>
    </row>
    <row r="4275" spans="2:4" x14ac:dyDescent="0.2">
      <c r="B4275" s="1341">
        <v>5121</v>
      </c>
      <c r="C4275" s="1341" t="s">
        <v>5180</v>
      </c>
      <c r="D4275" s="1310">
        <v>685.40909099999999</v>
      </c>
    </row>
    <row r="4276" spans="2:4" x14ac:dyDescent="0.2">
      <c r="B4276" s="1341">
        <v>5122</v>
      </c>
      <c r="C4276" s="1341" t="s">
        <v>5181</v>
      </c>
      <c r="D4276" s="1310">
        <v>654.27999299999999</v>
      </c>
    </row>
    <row r="4277" spans="2:4" x14ac:dyDescent="0.2">
      <c r="B4277" s="1341">
        <v>5123</v>
      </c>
      <c r="C4277" s="1341" t="s">
        <v>4363</v>
      </c>
      <c r="D4277" s="1310">
        <v>668.04999799999996</v>
      </c>
    </row>
    <row r="4278" spans="2:4" x14ac:dyDescent="0.2">
      <c r="B4278" s="1341">
        <v>5124</v>
      </c>
      <c r="C4278" s="1341" t="s">
        <v>1460</v>
      </c>
      <c r="D4278" s="1310">
        <v>663.26666299999999</v>
      </c>
    </row>
    <row r="4279" spans="2:4" x14ac:dyDescent="0.2">
      <c r="B4279" s="1341">
        <v>5125</v>
      </c>
      <c r="C4279" s="1341" t="s">
        <v>4127</v>
      </c>
      <c r="D4279" s="1310">
        <v>765.36429299999998</v>
      </c>
    </row>
    <row r="4280" spans="2:4" x14ac:dyDescent="0.2">
      <c r="B4280" s="1341">
        <v>5126</v>
      </c>
      <c r="C4280" s="1341" t="s">
        <v>5182</v>
      </c>
      <c r="D4280" s="1310">
        <v>758.47500600000001</v>
      </c>
    </row>
    <row r="4281" spans="2:4" x14ac:dyDescent="0.2">
      <c r="B4281" s="1341">
        <v>5127</v>
      </c>
      <c r="C4281" s="1341" t="s">
        <v>5183</v>
      </c>
      <c r="D4281" s="1310">
        <v>777.48181199999999</v>
      </c>
    </row>
    <row r="4282" spans="2:4" x14ac:dyDescent="0.2">
      <c r="B4282" s="1341">
        <v>5128</v>
      </c>
      <c r="C4282" s="1341" t="s">
        <v>5184</v>
      </c>
      <c r="D4282" s="1310">
        <v>767.16666699999996</v>
      </c>
    </row>
    <row r="4283" spans="2:4" x14ac:dyDescent="0.2">
      <c r="B4283" s="1341">
        <v>5129</v>
      </c>
      <c r="C4283" s="1341" t="s">
        <v>5185</v>
      </c>
      <c r="D4283" s="1310">
        <v>767.01667299999997</v>
      </c>
    </row>
    <row r="4284" spans="2:4" x14ac:dyDescent="0.2">
      <c r="B4284" s="1341">
        <v>5130</v>
      </c>
      <c r="C4284" s="1341" t="s">
        <v>5186</v>
      </c>
      <c r="D4284" s="1310">
        <v>717.24615900000003</v>
      </c>
    </row>
    <row r="4285" spans="2:4" x14ac:dyDescent="0.2">
      <c r="B4285" s="1341">
        <v>5131</v>
      </c>
      <c r="C4285" s="1341" t="s">
        <v>1998</v>
      </c>
      <c r="D4285" s="1310">
        <v>761.01428699999997</v>
      </c>
    </row>
    <row r="4286" spans="2:4" x14ac:dyDescent="0.2">
      <c r="B4286" s="1341">
        <v>5133</v>
      </c>
      <c r="C4286" s="1341" t="s">
        <v>5187</v>
      </c>
      <c r="D4286" s="1310">
        <v>827.57501200000002</v>
      </c>
    </row>
    <row r="4287" spans="2:4" x14ac:dyDescent="0.2">
      <c r="B4287" s="1341">
        <v>5134</v>
      </c>
      <c r="C4287" s="1341" t="s">
        <v>2642</v>
      </c>
      <c r="D4287" s="1310">
        <v>765.74999700000001</v>
      </c>
    </row>
    <row r="4288" spans="2:4" x14ac:dyDescent="0.2">
      <c r="B4288" s="1341">
        <v>5135</v>
      </c>
      <c r="C4288" s="1341" t="s">
        <v>2111</v>
      </c>
      <c r="D4288" s="1310">
        <v>822.00768600000004</v>
      </c>
    </row>
    <row r="4289" spans="2:4" x14ac:dyDescent="0.2">
      <c r="B4289" s="1341">
        <v>5136</v>
      </c>
      <c r="C4289" s="1341" t="s">
        <v>5173</v>
      </c>
      <c r="D4289" s="1310">
        <v>870.70588199999997</v>
      </c>
    </row>
    <row r="4290" spans="2:4" x14ac:dyDescent="0.2">
      <c r="B4290" s="1341">
        <v>5137</v>
      </c>
      <c r="C4290" s="1341" t="s">
        <v>5188</v>
      </c>
      <c r="D4290" s="1310">
        <v>842.76363300000003</v>
      </c>
    </row>
    <row r="4291" spans="2:4" x14ac:dyDescent="0.2">
      <c r="B4291" s="1341">
        <v>5138</v>
      </c>
      <c r="C4291" s="1341" t="s">
        <v>5189</v>
      </c>
      <c r="D4291" s="1310">
        <v>856.32499700000005</v>
      </c>
    </row>
    <row r="4292" spans="2:4" x14ac:dyDescent="0.2">
      <c r="B4292" s="1341">
        <v>5139</v>
      </c>
      <c r="C4292" s="1341" t="s">
        <v>3341</v>
      </c>
      <c r="D4292" s="1310">
        <v>838.53635499999996</v>
      </c>
    </row>
    <row r="4293" spans="2:4" x14ac:dyDescent="0.2">
      <c r="B4293" s="1341">
        <v>5140</v>
      </c>
      <c r="C4293" s="1341" t="s">
        <v>5190</v>
      </c>
      <c r="D4293" s="1310">
        <v>816.32812699999999</v>
      </c>
    </row>
    <row r="4294" spans="2:4" x14ac:dyDescent="0.2">
      <c r="B4294" s="1341">
        <v>5141</v>
      </c>
      <c r="C4294" s="1341" t="s">
        <v>5191</v>
      </c>
      <c r="D4294" s="1310">
        <v>684.02999899999998</v>
      </c>
    </row>
    <row r="4295" spans="2:4" x14ac:dyDescent="0.2">
      <c r="B4295" s="1341">
        <v>5142</v>
      </c>
      <c r="C4295" s="1341" t="s">
        <v>5025</v>
      </c>
      <c r="D4295" s="1310">
        <v>670.56666399999995</v>
      </c>
    </row>
    <row r="4296" spans="2:4" x14ac:dyDescent="0.2">
      <c r="B4296" s="1341">
        <v>5143</v>
      </c>
      <c r="C4296" s="1341" t="s">
        <v>5192</v>
      </c>
      <c r="D4296" s="1310">
        <v>663.79998799999998</v>
      </c>
    </row>
    <row r="4297" spans="2:4" x14ac:dyDescent="0.2">
      <c r="B4297" s="1341">
        <v>5144</v>
      </c>
      <c r="C4297" s="1341" t="s">
        <v>5193</v>
      </c>
      <c r="D4297" s="1310">
        <v>716.16665999999998</v>
      </c>
    </row>
    <row r="4298" spans="2:4" x14ac:dyDescent="0.2">
      <c r="B4298" s="1341">
        <v>5145</v>
      </c>
      <c r="C4298" s="1341" t="s">
        <v>5194</v>
      </c>
      <c r="D4298" s="1310">
        <v>703.35714299999995</v>
      </c>
    </row>
    <row r="4299" spans="2:4" x14ac:dyDescent="0.2">
      <c r="B4299" s="1341">
        <v>5146</v>
      </c>
      <c r="C4299" s="1341" t="s">
        <v>2833</v>
      </c>
      <c r="D4299" s="1310">
        <v>739.23332700000003</v>
      </c>
    </row>
    <row r="4300" spans="2:4" x14ac:dyDescent="0.2">
      <c r="B4300" s="1341">
        <v>5147</v>
      </c>
      <c r="C4300" s="1341" t="s">
        <v>5195</v>
      </c>
      <c r="D4300" s="1310">
        <v>695.16668700000002</v>
      </c>
    </row>
    <row r="4301" spans="2:4" x14ac:dyDescent="0.2">
      <c r="B4301" s="1341">
        <v>5148</v>
      </c>
      <c r="C4301" s="1341" t="s">
        <v>5196</v>
      </c>
      <c r="D4301" s="1310">
        <v>698.29090499999995</v>
      </c>
    </row>
    <row r="4302" spans="2:4" x14ac:dyDescent="0.2">
      <c r="B4302" s="1341">
        <v>5149</v>
      </c>
      <c r="C4302" s="1341" t="s">
        <v>5197</v>
      </c>
      <c r="D4302" s="1310">
        <v>783.81764799999996</v>
      </c>
    </row>
    <row r="4303" spans="2:4" x14ac:dyDescent="0.2">
      <c r="B4303" s="1341">
        <v>5150</v>
      </c>
      <c r="C4303" s="1341" t="s">
        <v>5198</v>
      </c>
      <c r="D4303" s="1310">
        <v>761.35000600000001</v>
      </c>
    </row>
    <row r="4304" spans="2:4" x14ac:dyDescent="0.2">
      <c r="B4304" s="1341">
        <v>5151</v>
      </c>
      <c r="C4304" s="1341" t="s">
        <v>5199</v>
      </c>
      <c r="D4304" s="1310">
        <v>782.95001200000002</v>
      </c>
    </row>
    <row r="4305" spans="2:4" x14ac:dyDescent="0.2">
      <c r="B4305" s="1341">
        <v>5152</v>
      </c>
      <c r="C4305" s="1341" t="s">
        <v>5200</v>
      </c>
      <c r="D4305" s="1310">
        <v>815.13332100000002</v>
      </c>
    </row>
    <row r="4306" spans="2:4" x14ac:dyDescent="0.2">
      <c r="B4306" s="1341">
        <v>5153</v>
      </c>
      <c r="C4306" s="1341" t="s">
        <v>5201</v>
      </c>
      <c r="D4306" s="1310">
        <v>805.30001800000002</v>
      </c>
    </row>
    <row r="4307" spans="2:4" x14ac:dyDescent="0.2">
      <c r="B4307" s="1341">
        <v>5154</v>
      </c>
      <c r="C4307" s="1341" t="s">
        <v>4447</v>
      </c>
      <c r="D4307" s="1310">
        <v>746.04166199999997</v>
      </c>
    </row>
    <row r="4308" spans="2:4" x14ac:dyDescent="0.2">
      <c r="B4308" s="1341">
        <v>5155</v>
      </c>
      <c r="C4308" s="1341" t="s">
        <v>5202</v>
      </c>
      <c r="D4308" s="1310">
        <v>770.240002</v>
      </c>
    </row>
    <row r="4309" spans="2:4" x14ac:dyDescent="0.2">
      <c r="B4309" s="1341">
        <v>5156</v>
      </c>
      <c r="C4309" s="1341" t="s">
        <v>2600</v>
      </c>
      <c r="D4309" s="1310">
        <v>732.76666299999999</v>
      </c>
    </row>
    <row r="4310" spans="2:4" x14ac:dyDescent="0.2">
      <c r="B4310" s="1341">
        <v>5157</v>
      </c>
      <c r="C4310" s="1341" t="s">
        <v>3053</v>
      </c>
      <c r="D4310" s="1310">
        <v>778.92500299999995</v>
      </c>
    </row>
    <row r="4311" spans="2:4" x14ac:dyDescent="0.2">
      <c r="B4311" s="1341">
        <v>5158</v>
      </c>
      <c r="C4311" s="1341" t="s">
        <v>5203</v>
      </c>
      <c r="D4311" s="1310">
        <v>752.37142500000004</v>
      </c>
    </row>
    <row r="4312" spans="2:4" x14ac:dyDescent="0.2">
      <c r="B4312" s="1341">
        <v>5159</v>
      </c>
      <c r="C4312" s="1341" t="s">
        <v>1794</v>
      </c>
      <c r="D4312" s="1310">
        <v>699</v>
      </c>
    </row>
    <row r="4313" spans="2:4" x14ac:dyDescent="0.2">
      <c r="B4313" s="1341">
        <v>5160</v>
      </c>
      <c r="C4313" s="1341" t="s">
        <v>3982</v>
      </c>
      <c r="D4313" s="1310">
        <v>767.16666699999996</v>
      </c>
    </row>
    <row r="4314" spans="2:4" x14ac:dyDescent="0.2">
      <c r="B4314" s="1341">
        <v>5161</v>
      </c>
      <c r="C4314" s="1341" t="s">
        <v>5204</v>
      </c>
      <c r="D4314" s="1310">
        <v>738.25</v>
      </c>
    </row>
    <row r="4315" spans="2:4" x14ac:dyDescent="0.2">
      <c r="B4315" s="1341">
        <v>5162</v>
      </c>
      <c r="C4315" s="1341" t="s">
        <v>5205</v>
      </c>
      <c r="D4315" s="1310">
        <v>769.51818300000002</v>
      </c>
    </row>
    <row r="4316" spans="2:4" x14ac:dyDescent="0.2">
      <c r="B4316" s="1341">
        <v>5163</v>
      </c>
      <c r="C4316" s="1341" t="s">
        <v>5206</v>
      </c>
      <c r="D4316" s="1310">
        <v>751.58572000000004</v>
      </c>
    </row>
    <row r="4317" spans="2:4" x14ac:dyDescent="0.2">
      <c r="B4317" s="1341">
        <v>5164</v>
      </c>
      <c r="C4317" s="1341" t="s">
        <v>4204</v>
      </c>
      <c r="D4317" s="1310">
        <v>795.07499700000005</v>
      </c>
    </row>
    <row r="4318" spans="2:4" x14ac:dyDescent="0.2">
      <c r="B4318" s="1341">
        <v>5165</v>
      </c>
      <c r="C4318" s="1341" t="s">
        <v>4534</v>
      </c>
      <c r="D4318" s="1310">
        <v>844.37778000000003</v>
      </c>
    </row>
    <row r="4319" spans="2:4" x14ac:dyDescent="0.2">
      <c r="B4319" s="1341">
        <v>5166</v>
      </c>
      <c r="C4319" s="1341" t="s">
        <v>5177</v>
      </c>
      <c r="D4319" s="1310">
        <v>826.79998799999998</v>
      </c>
    </row>
    <row r="4320" spans="2:4" x14ac:dyDescent="0.2">
      <c r="B4320" s="1341">
        <v>5167</v>
      </c>
      <c r="C4320" s="1341" t="s">
        <v>5207</v>
      </c>
      <c r="D4320" s="1310">
        <v>829.59998599999994</v>
      </c>
    </row>
    <row r="4321" spans="2:4" x14ac:dyDescent="0.2">
      <c r="B4321" s="1341">
        <v>5168</v>
      </c>
      <c r="C4321" s="1341" t="s">
        <v>5208</v>
      </c>
      <c r="D4321" s="1310">
        <v>810.05000299999995</v>
      </c>
    </row>
    <row r="4322" spans="2:4" x14ac:dyDescent="0.2">
      <c r="B4322" s="1341">
        <v>5169</v>
      </c>
      <c r="C4322" s="1341" t="s">
        <v>5209</v>
      </c>
      <c r="D4322" s="1310">
        <v>854.64999399999999</v>
      </c>
    </row>
    <row r="4323" spans="2:4" x14ac:dyDescent="0.2">
      <c r="B4323" s="1341">
        <v>5170</v>
      </c>
      <c r="C4323" s="1341" t="s">
        <v>5210</v>
      </c>
      <c r="D4323" s="1310">
        <v>799.133331</v>
      </c>
    </row>
    <row r="4324" spans="2:4" x14ac:dyDescent="0.2">
      <c r="B4324" s="1341">
        <v>5171</v>
      </c>
      <c r="C4324" s="1341" t="s">
        <v>5211</v>
      </c>
      <c r="D4324" s="1310">
        <v>937.21332199999995</v>
      </c>
    </row>
    <row r="4325" spans="2:4" x14ac:dyDescent="0.2">
      <c r="B4325" s="1341">
        <v>5172</v>
      </c>
      <c r="C4325" s="1341" t="s">
        <v>5212</v>
      </c>
      <c r="D4325" s="1310">
        <v>816.77500899999995</v>
      </c>
    </row>
    <row r="4326" spans="2:4" x14ac:dyDescent="0.2">
      <c r="B4326" s="1341">
        <v>5173</v>
      </c>
      <c r="C4326" s="1341" t="s">
        <v>5213</v>
      </c>
      <c r="D4326" s="1310">
        <v>893.45555999999999</v>
      </c>
    </row>
    <row r="4327" spans="2:4" x14ac:dyDescent="0.2">
      <c r="B4327" s="1341">
        <v>5201</v>
      </c>
      <c r="C4327" s="1341" t="s">
        <v>5214</v>
      </c>
      <c r="D4327" s="1310">
        <v>710.93335000000002</v>
      </c>
    </row>
    <row r="4328" spans="2:4" x14ac:dyDescent="0.2">
      <c r="B4328" s="1341">
        <v>5202</v>
      </c>
      <c r="C4328" s="1341" t="s">
        <v>5215</v>
      </c>
      <c r="D4328" s="1310">
        <v>715.72222199999999</v>
      </c>
    </row>
    <row r="4329" spans="2:4" x14ac:dyDescent="0.2">
      <c r="B4329" s="1341">
        <v>5203</v>
      </c>
      <c r="C4329" s="1341" t="s">
        <v>5216</v>
      </c>
      <c r="D4329" s="1310">
        <v>656.01537599999995</v>
      </c>
    </row>
    <row r="4330" spans="2:4" x14ac:dyDescent="0.2">
      <c r="B4330" s="1341">
        <v>5204</v>
      </c>
      <c r="C4330" s="1341" t="s">
        <v>3974</v>
      </c>
      <c r="D4330" s="1310">
        <v>706.14000899999996</v>
      </c>
    </row>
    <row r="4331" spans="2:4" x14ac:dyDescent="0.2">
      <c r="B4331" s="1341">
        <v>5205</v>
      </c>
      <c r="C4331" s="1341" t="s">
        <v>5217</v>
      </c>
      <c r="D4331" s="1310">
        <v>642.36665900000003</v>
      </c>
    </row>
    <row r="4332" spans="2:4" x14ac:dyDescent="0.2">
      <c r="B4332" s="1341">
        <v>5206</v>
      </c>
      <c r="C4332" s="1341" t="s">
        <v>5218</v>
      </c>
      <c r="D4332" s="1310">
        <v>664.08749399999999</v>
      </c>
    </row>
    <row r="4333" spans="2:4" x14ac:dyDescent="0.2">
      <c r="B4333" s="1341">
        <v>5207</v>
      </c>
      <c r="C4333" s="1341" t="s">
        <v>5219</v>
      </c>
      <c r="D4333" s="1310">
        <v>644.69999700000005</v>
      </c>
    </row>
    <row r="4334" spans="2:4" x14ac:dyDescent="0.2">
      <c r="B4334" s="1341">
        <v>5208</v>
      </c>
      <c r="C4334" s="1341" t="s">
        <v>5220</v>
      </c>
      <c r="D4334" s="1310">
        <v>619.67498799999998</v>
      </c>
    </row>
    <row r="4335" spans="2:4" x14ac:dyDescent="0.2">
      <c r="B4335" s="1341">
        <v>5209</v>
      </c>
      <c r="C4335" s="1341" t="s">
        <v>5221</v>
      </c>
      <c r="D4335" s="1310">
        <v>748.59997599999997</v>
      </c>
    </row>
    <row r="4336" spans="2:4" x14ac:dyDescent="0.2">
      <c r="B4336" s="1341">
        <v>5210</v>
      </c>
      <c r="C4336" s="1341" t="s">
        <v>5222</v>
      </c>
      <c r="D4336" s="1310">
        <v>664.15000899999995</v>
      </c>
    </row>
    <row r="4337" spans="2:4" x14ac:dyDescent="0.2">
      <c r="B4337" s="1341">
        <v>5211</v>
      </c>
      <c r="C4337" s="1341" t="s">
        <v>5223</v>
      </c>
      <c r="D4337" s="1310">
        <v>718.83333300000004</v>
      </c>
    </row>
    <row r="4338" spans="2:4" x14ac:dyDescent="0.2">
      <c r="B4338" s="1341">
        <v>5212</v>
      </c>
      <c r="C4338" s="1341" t="s">
        <v>5224</v>
      </c>
      <c r="D4338" s="1310">
        <v>785.94375200000002</v>
      </c>
    </row>
    <row r="4339" spans="2:4" x14ac:dyDescent="0.2">
      <c r="B4339" s="1341">
        <v>5213</v>
      </c>
      <c r="C4339" s="1341" t="s">
        <v>5225</v>
      </c>
      <c r="D4339" s="1310">
        <v>802.07777899999996</v>
      </c>
    </row>
    <row r="4340" spans="2:4" x14ac:dyDescent="0.2">
      <c r="B4340" s="1341">
        <v>5215</v>
      </c>
      <c r="C4340" s="1341" t="s">
        <v>5226</v>
      </c>
      <c r="D4340" s="1310">
        <v>641.29998799999998</v>
      </c>
    </row>
    <row r="4341" spans="2:4" x14ac:dyDescent="0.2">
      <c r="B4341" s="1341">
        <v>5216</v>
      </c>
      <c r="C4341" s="1341" t="s">
        <v>5227</v>
      </c>
      <c r="D4341" s="1310">
        <v>696.77222400000005</v>
      </c>
    </row>
    <row r="4342" spans="2:4" x14ac:dyDescent="0.2">
      <c r="B4342" s="1341">
        <v>5217</v>
      </c>
      <c r="C4342" s="1341" t="s">
        <v>5228</v>
      </c>
      <c r="D4342" s="1310">
        <v>635.088888</v>
      </c>
    </row>
    <row r="4343" spans="2:4" x14ac:dyDescent="0.2">
      <c r="B4343" s="1341">
        <v>5218</v>
      </c>
      <c r="C4343" s="1341" t="s">
        <v>5229</v>
      </c>
      <c r="D4343" s="1310">
        <v>681.5</v>
      </c>
    </row>
    <row r="4344" spans="2:4" x14ac:dyDescent="0.2">
      <c r="B4344" s="1341">
        <v>5219</v>
      </c>
      <c r="C4344" s="1341" t="s">
        <v>5230</v>
      </c>
      <c r="D4344" s="1310">
        <v>688.133331</v>
      </c>
    </row>
    <row r="4345" spans="2:4" x14ac:dyDescent="0.2">
      <c r="B4345" s="1341">
        <v>5220</v>
      </c>
      <c r="C4345" s="1341" t="s">
        <v>5231</v>
      </c>
      <c r="D4345" s="1310">
        <v>645.84286899999995</v>
      </c>
    </row>
    <row r="4346" spans="2:4" x14ac:dyDescent="0.2">
      <c r="B4346" s="1341">
        <v>5221</v>
      </c>
      <c r="C4346" s="1341" t="s">
        <v>5232</v>
      </c>
      <c r="D4346" s="1310">
        <v>612.08333800000003</v>
      </c>
    </row>
    <row r="4347" spans="2:4" x14ac:dyDescent="0.2">
      <c r="B4347" s="1341">
        <v>5222</v>
      </c>
      <c r="C4347" s="1341" t="s">
        <v>5233</v>
      </c>
      <c r="D4347" s="1310">
        <v>707.72500100000002</v>
      </c>
    </row>
    <row r="4348" spans="2:4" x14ac:dyDescent="0.2">
      <c r="B4348" s="1341">
        <v>5223</v>
      </c>
      <c r="C4348" s="1341" t="s">
        <v>5234</v>
      </c>
      <c r="D4348" s="1310">
        <v>642.81666099999995</v>
      </c>
    </row>
    <row r="4349" spans="2:4" x14ac:dyDescent="0.2">
      <c r="B4349" s="1341">
        <v>5224</v>
      </c>
      <c r="C4349" s="1341" t="s">
        <v>5235</v>
      </c>
      <c r="D4349" s="1310">
        <v>657.71428600000002</v>
      </c>
    </row>
    <row r="4350" spans="2:4" x14ac:dyDescent="0.2">
      <c r="B4350" s="1341">
        <v>5225</v>
      </c>
      <c r="C4350" s="1341" t="s">
        <v>5236</v>
      </c>
      <c r="D4350" s="1310">
        <v>619.44443799999999</v>
      </c>
    </row>
    <row r="4351" spans="2:4" x14ac:dyDescent="0.2">
      <c r="B4351" s="1341">
        <v>5226</v>
      </c>
      <c r="C4351" s="1341" t="s">
        <v>5237</v>
      </c>
      <c r="D4351" s="1310">
        <v>720.05998499999998</v>
      </c>
    </row>
    <row r="4352" spans="2:4" x14ac:dyDescent="0.2">
      <c r="B4352" s="1341">
        <v>5227</v>
      </c>
      <c r="C4352" s="1341" t="s">
        <v>5238</v>
      </c>
      <c r="D4352" s="1310">
        <v>624.66666699999996</v>
      </c>
    </row>
    <row r="4353" spans="2:4" x14ac:dyDescent="0.2">
      <c r="B4353" s="1341">
        <v>5228</v>
      </c>
      <c r="C4353" s="1341" t="s">
        <v>5239</v>
      </c>
      <c r="D4353" s="1310">
        <v>637.65000399999997</v>
      </c>
    </row>
    <row r="4354" spans="2:4" x14ac:dyDescent="0.2">
      <c r="B4354" s="1341">
        <v>5229</v>
      </c>
      <c r="C4354" s="1341" t="s">
        <v>3775</v>
      </c>
      <c r="D4354" s="1310">
        <v>658.25</v>
      </c>
    </row>
    <row r="4355" spans="2:4" x14ac:dyDescent="0.2">
      <c r="B4355" s="1341">
        <v>5230</v>
      </c>
      <c r="C4355" s="1341" t="s">
        <v>5240</v>
      </c>
      <c r="D4355" s="1310">
        <v>642.29999999999995</v>
      </c>
    </row>
    <row r="4356" spans="2:4" x14ac:dyDescent="0.2">
      <c r="B4356" s="1341">
        <v>5231</v>
      </c>
      <c r="C4356" s="1341" t="s">
        <v>5241</v>
      </c>
      <c r="D4356" s="1310">
        <v>771.88648899999998</v>
      </c>
    </row>
    <row r="4357" spans="2:4" x14ac:dyDescent="0.2">
      <c r="B4357" s="1341">
        <v>5232</v>
      </c>
      <c r="C4357" s="1341" t="s">
        <v>5242</v>
      </c>
      <c r="D4357" s="1310">
        <v>809.55000299999995</v>
      </c>
    </row>
    <row r="4358" spans="2:4" x14ac:dyDescent="0.2">
      <c r="B4358" s="1341">
        <v>5233</v>
      </c>
      <c r="C4358" s="1341" t="s">
        <v>5243</v>
      </c>
      <c r="D4358" s="1310">
        <v>814.79998799999998</v>
      </c>
    </row>
    <row r="4359" spans="2:4" x14ac:dyDescent="0.2">
      <c r="B4359" s="1341">
        <v>5234</v>
      </c>
      <c r="C4359" s="1341" t="s">
        <v>5244</v>
      </c>
      <c r="D4359" s="1310">
        <v>633.5</v>
      </c>
    </row>
    <row r="4360" spans="2:4" x14ac:dyDescent="0.2">
      <c r="B4360" s="1341">
        <v>5235</v>
      </c>
      <c r="C4360" s="1341" t="s">
        <v>5245</v>
      </c>
      <c r="D4360" s="1310">
        <v>627.57501200000002</v>
      </c>
    </row>
    <row r="4361" spans="2:4" x14ac:dyDescent="0.2">
      <c r="B4361" s="1341">
        <v>5236</v>
      </c>
      <c r="C4361" s="1341" t="s">
        <v>5246</v>
      </c>
      <c r="D4361" s="1310">
        <v>665.79998799999998</v>
      </c>
    </row>
    <row r="4362" spans="2:4" x14ac:dyDescent="0.2">
      <c r="B4362" s="1341">
        <v>5237</v>
      </c>
      <c r="C4362" s="1341" t="s">
        <v>5247</v>
      </c>
      <c r="D4362" s="1310">
        <v>655.60000600000001</v>
      </c>
    </row>
    <row r="4363" spans="2:4" x14ac:dyDescent="0.2">
      <c r="B4363" s="1341">
        <v>5238</v>
      </c>
      <c r="C4363" s="1341" t="s">
        <v>5248</v>
      </c>
      <c r="D4363" s="1310">
        <v>641.25454400000001</v>
      </c>
    </row>
    <row r="4364" spans="2:4" x14ac:dyDescent="0.2">
      <c r="B4364" s="1341">
        <v>5239</v>
      </c>
      <c r="C4364" s="1341" t="s">
        <v>5249</v>
      </c>
      <c r="D4364" s="1310">
        <v>698.19999199999995</v>
      </c>
    </row>
    <row r="4365" spans="2:4" x14ac:dyDescent="0.2">
      <c r="B4365" s="1341">
        <v>5240</v>
      </c>
      <c r="C4365" s="1341" t="s">
        <v>4599</v>
      </c>
      <c r="D4365" s="1310">
        <v>657.21109999999999</v>
      </c>
    </row>
    <row r="4366" spans="2:4" x14ac:dyDescent="0.2">
      <c r="B4366" s="1341">
        <v>5241</v>
      </c>
      <c r="C4366" s="1341" t="s">
        <v>5250</v>
      </c>
      <c r="D4366" s="1310">
        <v>699.98332700000003</v>
      </c>
    </row>
    <row r="4367" spans="2:4" x14ac:dyDescent="0.2">
      <c r="B4367" s="1341">
        <v>5242</v>
      </c>
      <c r="C4367" s="1341" t="s">
        <v>5251</v>
      </c>
      <c r="D4367" s="1310">
        <v>706.12222599999996</v>
      </c>
    </row>
    <row r="4368" spans="2:4" x14ac:dyDescent="0.2">
      <c r="B4368" s="1341">
        <v>5243</v>
      </c>
      <c r="C4368" s="1341" t="s">
        <v>5252</v>
      </c>
      <c r="D4368" s="1310">
        <v>704.09999600000003</v>
      </c>
    </row>
    <row r="4369" spans="2:4" x14ac:dyDescent="0.2">
      <c r="B4369" s="1341">
        <v>5244</v>
      </c>
      <c r="C4369" s="1341" t="s">
        <v>5253</v>
      </c>
      <c r="D4369" s="1310">
        <v>673.25</v>
      </c>
    </row>
    <row r="4370" spans="2:4" x14ac:dyDescent="0.2">
      <c r="B4370" s="1341">
        <v>5245</v>
      </c>
      <c r="C4370" s="1341" t="s">
        <v>5254</v>
      </c>
      <c r="D4370" s="1310">
        <v>654.57499700000005</v>
      </c>
    </row>
    <row r="4371" spans="2:4" x14ac:dyDescent="0.2">
      <c r="B4371" s="1341">
        <v>5246</v>
      </c>
      <c r="C4371" s="1341" t="s">
        <v>5255</v>
      </c>
      <c r="D4371" s="1310">
        <v>664.59997599999997</v>
      </c>
    </row>
    <row r="4372" spans="2:4" x14ac:dyDescent="0.2">
      <c r="B4372" s="1341">
        <v>5247</v>
      </c>
      <c r="C4372" s="1341" t="s">
        <v>5256</v>
      </c>
      <c r="D4372" s="1310">
        <v>636.36665900000003</v>
      </c>
    </row>
    <row r="4373" spans="2:4" x14ac:dyDescent="0.2">
      <c r="B4373" s="1341">
        <v>5248</v>
      </c>
      <c r="C4373" s="1341" t="s">
        <v>5257</v>
      </c>
      <c r="D4373" s="1310">
        <v>695.70001200000002</v>
      </c>
    </row>
    <row r="4374" spans="2:4" x14ac:dyDescent="0.2">
      <c r="B4374" s="1341">
        <v>5249</v>
      </c>
      <c r="C4374" s="1341" t="s">
        <v>5258</v>
      </c>
      <c r="D4374" s="1310">
        <v>657.48750299999995</v>
      </c>
    </row>
    <row r="4375" spans="2:4" x14ac:dyDescent="0.2">
      <c r="B4375" s="1341">
        <v>5250</v>
      </c>
      <c r="C4375" s="1341" t="s">
        <v>5259</v>
      </c>
      <c r="D4375" s="1310">
        <v>741.10000600000001</v>
      </c>
    </row>
    <row r="4376" spans="2:4" x14ac:dyDescent="0.2">
      <c r="B4376" s="1341">
        <v>5251</v>
      </c>
      <c r="C4376" s="1341" t="s">
        <v>5260</v>
      </c>
      <c r="D4376" s="1310">
        <v>669.03332499999999</v>
      </c>
    </row>
    <row r="4377" spans="2:4" x14ac:dyDescent="0.2">
      <c r="B4377" s="1341">
        <v>5252</v>
      </c>
      <c r="C4377" s="1341" t="s">
        <v>3647</v>
      </c>
      <c r="D4377" s="1310">
        <v>586.77500899999995</v>
      </c>
    </row>
    <row r="4378" spans="2:4" x14ac:dyDescent="0.2">
      <c r="B4378" s="1341">
        <v>5253</v>
      </c>
      <c r="C4378" s="1341" t="s">
        <v>5261</v>
      </c>
      <c r="D4378" s="1310">
        <v>665.6</v>
      </c>
    </row>
    <row r="4379" spans="2:4" x14ac:dyDescent="0.2">
      <c r="B4379" s="1341">
        <v>5254</v>
      </c>
      <c r="C4379" s="1341" t="s">
        <v>5262</v>
      </c>
      <c r="D4379" s="1310">
        <v>651.40832499999999</v>
      </c>
    </row>
    <row r="4380" spans="2:4" x14ac:dyDescent="0.2">
      <c r="B4380" s="1341">
        <v>5255</v>
      </c>
      <c r="C4380" s="1341" t="s">
        <v>5263</v>
      </c>
      <c r="D4380" s="1310">
        <v>663.63809600000002</v>
      </c>
    </row>
    <row r="4381" spans="2:4" x14ac:dyDescent="0.2">
      <c r="B4381" s="1341">
        <v>5256</v>
      </c>
      <c r="C4381" s="1341" t="s">
        <v>5264</v>
      </c>
      <c r="D4381" s="1310">
        <v>622.740002</v>
      </c>
    </row>
    <row r="4382" spans="2:4" x14ac:dyDescent="0.2">
      <c r="B4382" s="1341">
        <v>5257</v>
      </c>
      <c r="C4382" s="1341" t="s">
        <v>5265</v>
      </c>
      <c r="D4382" s="1310">
        <v>647.85000600000001</v>
      </c>
    </row>
    <row r="4383" spans="2:4" x14ac:dyDescent="0.2">
      <c r="B4383" s="1341">
        <v>5258</v>
      </c>
      <c r="C4383" s="1341" t="s">
        <v>5266</v>
      </c>
      <c r="D4383" s="1310">
        <v>678.14999399999999</v>
      </c>
    </row>
    <row r="4384" spans="2:4" x14ac:dyDescent="0.2">
      <c r="B4384" s="1341">
        <v>5259</v>
      </c>
      <c r="C4384" s="1341" t="s">
        <v>5267</v>
      </c>
      <c r="D4384" s="1310">
        <v>665.77500899999995</v>
      </c>
    </row>
    <row r="4385" spans="2:4" x14ac:dyDescent="0.2">
      <c r="B4385" s="1341">
        <v>5260</v>
      </c>
      <c r="C4385" s="1341" t="s">
        <v>5268</v>
      </c>
      <c r="D4385" s="1310">
        <v>623.97142699999995</v>
      </c>
    </row>
    <row r="4386" spans="2:4" x14ac:dyDescent="0.2">
      <c r="B4386" s="1341">
        <v>5261</v>
      </c>
      <c r="C4386" s="1341" t="s">
        <v>5269</v>
      </c>
      <c r="D4386" s="1310">
        <v>658.03334600000005</v>
      </c>
    </row>
    <row r="4387" spans="2:4" x14ac:dyDescent="0.2">
      <c r="B4387" s="1341">
        <v>5262</v>
      </c>
      <c r="C4387" s="1341" t="s">
        <v>5270</v>
      </c>
      <c r="D4387" s="1310">
        <v>680.89999399999999</v>
      </c>
    </row>
    <row r="4388" spans="2:4" x14ac:dyDescent="0.2">
      <c r="B4388" s="1341">
        <v>5263</v>
      </c>
      <c r="C4388" s="1341" t="s">
        <v>5271</v>
      </c>
      <c r="D4388" s="1310">
        <v>657.43332899999996</v>
      </c>
    </row>
    <row r="4389" spans="2:4" x14ac:dyDescent="0.2">
      <c r="B4389" s="1341">
        <v>5264</v>
      </c>
      <c r="C4389" s="1341" t="s">
        <v>5272</v>
      </c>
      <c r="D4389" s="1310">
        <v>702.62221999999997</v>
      </c>
    </row>
    <row r="4390" spans="2:4" x14ac:dyDescent="0.2">
      <c r="B4390" s="1341">
        <v>5265</v>
      </c>
      <c r="C4390" s="1341" t="s">
        <v>5273</v>
      </c>
      <c r="D4390" s="1310">
        <v>755.494732</v>
      </c>
    </row>
    <row r="4391" spans="2:4" x14ac:dyDescent="0.2">
      <c r="B4391" s="1341">
        <v>5266</v>
      </c>
      <c r="C4391" s="1341" t="s">
        <v>5274</v>
      </c>
      <c r="D4391" s="1310">
        <v>627.90002400000003</v>
      </c>
    </row>
    <row r="4392" spans="2:4" x14ac:dyDescent="0.2">
      <c r="B4392" s="1341">
        <v>5267</v>
      </c>
      <c r="C4392" s="1341" t="s">
        <v>5275</v>
      </c>
      <c r="D4392" s="1310">
        <v>662.22499100000005</v>
      </c>
    </row>
    <row r="4393" spans="2:4" x14ac:dyDescent="0.2">
      <c r="B4393" s="1341">
        <v>5268</v>
      </c>
      <c r="C4393" s="1341" t="s">
        <v>5276</v>
      </c>
      <c r="D4393" s="1310">
        <v>687.30000299999995</v>
      </c>
    </row>
    <row r="4394" spans="2:4" x14ac:dyDescent="0.2">
      <c r="B4394" s="1341">
        <v>5269</v>
      </c>
      <c r="C4394" s="1341" t="s">
        <v>5277</v>
      </c>
      <c r="D4394" s="1310">
        <v>664.50834699999996</v>
      </c>
    </row>
    <row r="4395" spans="2:4" x14ac:dyDescent="0.2">
      <c r="B4395" s="1341">
        <v>5270</v>
      </c>
      <c r="C4395" s="1341" t="s">
        <v>5278</v>
      </c>
      <c r="D4395" s="1310">
        <v>647.600009</v>
      </c>
    </row>
    <row r="4396" spans="2:4" x14ac:dyDescent="0.2">
      <c r="B4396" s="1341">
        <v>5271</v>
      </c>
      <c r="C4396" s="1341" t="s">
        <v>5279</v>
      </c>
      <c r="D4396" s="1310">
        <v>653.04999799999996</v>
      </c>
    </row>
    <row r="4397" spans="2:4" x14ac:dyDescent="0.2">
      <c r="B4397" s="1341">
        <v>5272</v>
      </c>
      <c r="C4397" s="1341" t="s">
        <v>5280</v>
      </c>
      <c r="D4397" s="1310">
        <v>659.383331</v>
      </c>
    </row>
    <row r="4398" spans="2:4" x14ac:dyDescent="0.2">
      <c r="B4398" s="1341">
        <v>5273</v>
      </c>
      <c r="C4398" s="1341" t="s">
        <v>4782</v>
      </c>
      <c r="D4398" s="1310">
        <v>630.66667700000005</v>
      </c>
    </row>
    <row r="4399" spans="2:4" x14ac:dyDescent="0.2">
      <c r="B4399" s="1341">
        <v>5274</v>
      </c>
      <c r="C4399" s="1341" t="s">
        <v>5281</v>
      </c>
      <c r="D4399" s="1310">
        <v>717.019049</v>
      </c>
    </row>
    <row r="4400" spans="2:4" x14ac:dyDescent="0.2">
      <c r="B4400" s="1341">
        <v>5275</v>
      </c>
      <c r="C4400" s="1341" t="s">
        <v>5282</v>
      </c>
      <c r="D4400" s="1310">
        <v>692.62000699999999</v>
      </c>
    </row>
    <row r="4401" spans="2:4" x14ac:dyDescent="0.2">
      <c r="B4401" s="1341">
        <v>5276</v>
      </c>
      <c r="C4401" s="1341" t="s">
        <v>5283</v>
      </c>
      <c r="D4401" s="1310">
        <v>682.76249700000005</v>
      </c>
    </row>
    <row r="4402" spans="2:4" x14ac:dyDescent="0.2">
      <c r="B4402" s="1341">
        <v>5277</v>
      </c>
      <c r="C4402" s="1341" t="s">
        <v>5284</v>
      </c>
      <c r="D4402" s="1310">
        <v>697.09997599999997</v>
      </c>
    </row>
    <row r="4403" spans="2:4" x14ac:dyDescent="0.2">
      <c r="B4403" s="1341">
        <v>5278</v>
      </c>
      <c r="C4403" s="1341" t="s">
        <v>5285</v>
      </c>
      <c r="D4403" s="1310">
        <v>653.22999900000002</v>
      </c>
    </row>
    <row r="4404" spans="2:4" x14ac:dyDescent="0.2">
      <c r="B4404" s="1341">
        <v>5279</v>
      </c>
      <c r="C4404" s="1341" t="s">
        <v>5286</v>
      </c>
      <c r="D4404" s="1310">
        <v>655.885716</v>
      </c>
    </row>
    <row r="4405" spans="2:4" x14ac:dyDescent="0.2">
      <c r="B4405" s="1341">
        <v>5280</v>
      </c>
      <c r="C4405" s="1341" t="s">
        <v>5287</v>
      </c>
      <c r="D4405" s="1310">
        <v>644.54998799999998</v>
      </c>
    </row>
    <row r="4406" spans="2:4" x14ac:dyDescent="0.2">
      <c r="B4406" s="1341">
        <v>5281</v>
      </c>
      <c r="C4406" s="1341" t="s">
        <v>5288</v>
      </c>
      <c r="D4406" s="1310">
        <v>636.72000700000001</v>
      </c>
    </row>
    <row r="4407" spans="2:4" x14ac:dyDescent="0.2">
      <c r="B4407" s="1341">
        <v>5282</v>
      </c>
      <c r="C4407" s="1341" t="s">
        <v>5289</v>
      </c>
      <c r="D4407" s="1310">
        <v>685.77500899999995</v>
      </c>
    </row>
    <row r="4408" spans="2:4" x14ac:dyDescent="0.2">
      <c r="B4408" s="1341">
        <v>5283</v>
      </c>
      <c r="C4408" s="1341" t="s">
        <v>5290</v>
      </c>
      <c r="D4408" s="1310">
        <v>622.69999700000005</v>
      </c>
    </row>
    <row r="4409" spans="2:4" x14ac:dyDescent="0.2">
      <c r="B4409" s="1341">
        <v>5284</v>
      </c>
      <c r="C4409" s="1341" t="s">
        <v>5291</v>
      </c>
      <c r="D4409" s="1310">
        <v>720.08000500000003</v>
      </c>
    </row>
    <row r="4410" spans="2:4" x14ac:dyDescent="0.2">
      <c r="B4410" s="1341">
        <v>5285</v>
      </c>
      <c r="C4410" s="1341" t="s">
        <v>5292</v>
      </c>
      <c r="D4410" s="1310">
        <v>627.51764600000001</v>
      </c>
    </row>
    <row r="4411" spans="2:4" x14ac:dyDescent="0.2">
      <c r="B4411" s="1341">
        <v>5286</v>
      </c>
      <c r="C4411" s="1341" t="s">
        <v>5293</v>
      </c>
      <c r="D4411" s="1310">
        <v>657.24999200000002</v>
      </c>
    </row>
    <row r="4412" spans="2:4" x14ac:dyDescent="0.2">
      <c r="B4412" s="1341">
        <v>5287</v>
      </c>
      <c r="C4412" s="1341" t="s">
        <v>5294</v>
      </c>
      <c r="D4412" s="1310">
        <v>641.30999799999995</v>
      </c>
    </row>
    <row r="4413" spans="2:4" x14ac:dyDescent="0.2">
      <c r="B4413" s="1341">
        <v>5288</v>
      </c>
      <c r="C4413" s="1341" t="s">
        <v>2204</v>
      </c>
      <c r="D4413" s="1310">
        <v>688.92500299999995</v>
      </c>
    </row>
    <row r="4414" spans="2:4" x14ac:dyDescent="0.2">
      <c r="B4414" s="1341">
        <v>5289</v>
      </c>
      <c r="C4414" s="1341" t="s">
        <v>5295</v>
      </c>
      <c r="D4414" s="1310">
        <v>619.32857799999999</v>
      </c>
    </row>
    <row r="4415" spans="2:4" x14ac:dyDescent="0.2">
      <c r="B4415" s="1341">
        <v>5290</v>
      </c>
      <c r="C4415" s="1341" t="s">
        <v>5296</v>
      </c>
      <c r="D4415" s="1310">
        <v>676.28332499999999</v>
      </c>
    </row>
    <row r="4416" spans="2:4" x14ac:dyDescent="0.2">
      <c r="B4416" s="1341">
        <v>5291</v>
      </c>
      <c r="C4416" s="1341" t="s">
        <v>5297</v>
      </c>
      <c r="D4416" s="1310">
        <v>618.92498799999998</v>
      </c>
    </row>
    <row r="4417" spans="2:4" x14ac:dyDescent="0.2">
      <c r="B4417" s="1341">
        <v>5292</v>
      </c>
      <c r="C4417" s="1341" t="s">
        <v>5298</v>
      </c>
      <c r="D4417" s="1310">
        <v>643.19999299999995</v>
      </c>
    </row>
    <row r="4418" spans="2:4" x14ac:dyDescent="0.2">
      <c r="B4418" s="1341">
        <v>5293</v>
      </c>
      <c r="C4418" s="1341" t="s">
        <v>5299</v>
      </c>
      <c r="D4418" s="1310">
        <v>644.89999399999999</v>
      </c>
    </row>
    <row r="4419" spans="2:4" x14ac:dyDescent="0.2">
      <c r="B4419" s="1341">
        <v>5294</v>
      </c>
      <c r="C4419" s="1341" t="s">
        <v>5300</v>
      </c>
      <c r="D4419" s="1310">
        <v>669.83333300000004</v>
      </c>
    </row>
    <row r="4420" spans="2:4" x14ac:dyDescent="0.2">
      <c r="B4420" s="1341">
        <v>5295</v>
      </c>
      <c r="C4420" s="1341" t="s">
        <v>5301</v>
      </c>
      <c r="D4420" s="1310">
        <v>664.57142899999997</v>
      </c>
    </row>
    <row r="4421" spans="2:4" x14ac:dyDescent="0.2">
      <c r="B4421" s="1341">
        <v>5296</v>
      </c>
      <c r="C4421" s="1341" t="s">
        <v>5302</v>
      </c>
      <c r="D4421" s="1310">
        <v>641.59998900000005</v>
      </c>
    </row>
    <row r="4422" spans="2:4" x14ac:dyDescent="0.2">
      <c r="B4422" s="1341">
        <v>5297</v>
      </c>
      <c r="C4422" s="1341" t="s">
        <v>5303</v>
      </c>
      <c r="D4422" s="1310">
        <v>693.01666299999999</v>
      </c>
    </row>
    <row r="4423" spans="2:4" x14ac:dyDescent="0.2">
      <c r="B4423" s="1341">
        <v>5298</v>
      </c>
      <c r="C4423" s="1341" t="s">
        <v>3320</v>
      </c>
      <c r="D4423" s="1310">
        <v>685.02777400000002</v>
      </c>
    </row>
    <row r="4424" spans="2:4" x14ac:dyDescent="0.2">
      <c r="B4424" s="1341">
        <v>5299</v>
      </c>
      <c r="C4424" s="1341" t="s">
        <v>5304</v>
      </c>
      <c r="D4424" s="1310">
        <v>687.13749700000005</v>
      </c>
    </row>
    <row r="4425" spans="2:4" x14ac:dyDescent="0.2">
      <c r="B4425" s="1341">
        <v>5300</v>
      </c>
      <c r="C4425" s="1341" t="s">
        <v>5305</v>
      </c>
      <c r="D4425" s="1310">
        <v>662.96666500000003</v>
      </c>
    </row>
    <row r="4426" spans="2:4" x14ac:dyDescent="0.2">
      <c r="B4426" s="1341">
        <v>5301</v>
      </c>
      <c r="C4426" s="1341" t="s">
        <v>5306</v>
      </c>
      <c r="D4426" s="1310">
        <v>758.69999700000005</v>
      </c>
    </row>
    <row r="4427" spans="2:4" x14ac:dyDescent="0.2">
      <c r="B4427" s="1341">
        <v>5302</v>
      </c>
      <c r="C4427" s="1341" t="s">
        <v>5307</v>
      </c>
      <c r="D4427" s="1310">
        <v>663.25</v>
      </c>
    </row>
    <row r="4428" spans="2:4" x14ac:dyDescent="0.2">
      <c r="B4428" s="1341">
        <v>5303</v>
      </c>
      <c r="C4428" s="1341" t="s">
        <v>5308</v>
      </c>
      <c r="D4428" s="1310">
        <v>643.67825700000003</v>
      </c>
    </row>
    <row r="4429" spans="2:4" x14ac:dyDescent="0.2">
      <c r="B4429" s="1341">
        <v>5304</v>
      </c>
      <c r="C4429" s="1341" t="s">
        <v>5309</v>
      </c>
      <c r="D4429" s="1310">
        <v>665.79999499999997</v>
      </c>
    </row>
    <row r="4430" spans="2:4" x14ac:dyDescent="0.2">
      <c r="B4430" s="1341">
        <v>5305</v>
      </c>
      <c r="C4430" s="1341" t="s">
        <v>5310</v>
      </c>
      <c r="D4430" s="1310">
        <v>667.55999799999995</v>
      </c>
    </row>
    <row r="4431" spans="2:4" x14ac:dyDescent="0.2">
      <c r="B4431" s="1341">
        <v>5306</v>
      </c>
      <c r="C4431" s="1341" t="s">
        <v>5311</v>
      </c>
      <c r="D4431" s="1310">
        <v>706.17500299999995</v>
      </c>
    </row>
    <row r="4432" spans="2:4" x14ac:dyDescent="0.2">
      <c r="B4432" s="1341">
        <v>5307</v>
      </c>
      <c r="C4432" s="1341" t="s">
        <v>5312</v>
      </c>
      <c r="D4432" s="1310">
        <v>706.89998400000002</v>
      </c>
    </row>
    <row r="4433" spans="2:4" x14ac:dyDescent="0.2">
      <c r="B4433" s="1341">
        <v>5308</v>
      </c>
      <c r="C4433" s="1341" t="s">
        <v>5313</v>
      </c>
      <c r="D4433" s="1310">
        <v>674.69999499999994</v>
      </c>
    </row>
    <row r="4434" spans="2:4" x14ac:dyDescent="0.2">
      <c r="B4434" s="1341">
        <v>5310</v>
      </c>
      <c r="C4434" s="1341" t="s">
        <v>3387</v>
      </c>
      <c r="D4434" s="1310">
        <v>692.14999399999999</v>
      </c>
    </row>
    <row r="4435" spans="2:4" x14ac:dyDescent="0.2">
      <c r="B4435" s="1341">
        <v>5311</v>
      </c>
      <c r="C4435" s="1341" t="s">
        <v>5314</v>
      </c>
      <c r="D4435" s="1310">
        <v>631.31110999999999</v>
      </c>
    </row>
    <row r="4436" spans="2:4" x14ac:dyDescent="0.2">
      <c r="B4436" s="1341">
        <v>5312</v>
      </c>
      <c r="C4436" s="1341" t="s">
        <v>5315</v>
      </c>
      <c r="D4436" s="1310">
        <v>621.64999399999999</v>
      </c>
    </row>
    <row r="4437" spans="2:4" x14ac:dyDescent="0.2">
      <c r="B4437" s="1341">
        <v>5313</v>
      </c>
      <c r="C4437" s="1341" t="s">
        <v>403</v>
      </c>
      <c r="D4437" s="1310">
        <v>630.39473699999996</v>
      </c>
    </row>
    <row r="4438" spans="2:4" x14ac:dyDescent="0.2">
      <c r="B4438" s="1341">
        <v>5314</v>
      </c>
      <c r="C4438" s="1341" t="s">
        <v>5316</v>
      </c>
      <c r="D4438" s="1310">
        <v>637.10000400000001</v>
      </c>
    </row>
    <row r="4439" spans="2:4" x14ac:dyDescent="0.2">
      <c r="B4439" s="1341">
        <v>5315</v>
      </c>
      <c r="C4439" s="1341" t="s">
        <v>5317</v>
      </c>
      <c r="D4439" s="1310">
        <v>718.07142899999997</v>
      </c>
    </row>
    <row r="4440" spans="2:4" x14ac:dyDescent="0.2">
      <c r="B4440" s="1341">
        <v>5316</v>
      </c>
      <c r="C4440" s="1341" t="s">
        <v>5318</v>
      </c>
      <c r="D4440" s="1310">
        <v>614.70000000000005</v>
      </c>
    </row>
    <row r="4441" spans="2:4" x14ac:dyDescent="0.2">
      <c r="B4441" s="1341">
        <v>5317</v>
      </c>
      <c r="C4441" s="1341" t="s">
        <v>5319</v>
      </c>
      <c r="D4441" s="1310">
        <v>643.22999900000002</v>
      </c>
    </row>
    <row r="4442" spans="2:4" x14ac:dyDescent="0.2">
      <c r="B4442" s="1341">
        <v>5318</v>
      </c>
      <c r="C4442" s="1341" t="s">
        <v>5320</v>
      </c>
      <c r="D4442" s="1310">
        <v>661.56001000000003</v>
      </c>
    </row>
    <row r="4443" spans="2:4" x14ac:dyDescent="0.2">
      <c r="B4443" s="1341">
        <v>5319</v>
      </c>
      <c r="C4443" s="1341" t="s">
        <v>5321</v>
      </c>
      <c r="D4443" s="1310">
        <v>626.05000600000005</v>
      </c>
    </row>
    <row r="4444" spans="2:4" x14ac:dyDescent="0.2">
      <c r="B4444" s="1341">
        <v>5320</v>
      </c>
      <c r="C4444" s="1341" t="s">
        <v>5322</v>
      </c>
      <c r="D4444" s="1310">
        <v>646.71249399999999</v>
      </c>
    </row>
    <row r="4445" spans="2:4" x14ac:dyDescent="0.2">
      <c r="B4445" s="1341">
        <v>5321</v>
      </c>
      <c r="C4445" s="1341" t="s">
        <v>5323</v>
      </c>
      <c r="D4445" s="1310">
        <v>677.80000299999995</v>
      </c>
    </row>
    <row r="4446" spans="2:4" x14ac:dyDescent="0.2">
      <c r="B4446" s="1341">
        <v>5322</v>
      </c>
      <c r="C4446" s="1341" t="s">
        <v>5324</v>
      </c>
      <c r="D4446" s="1310">
        <v>617.52857300000005</v>
      </c>
    </row>
    <row r="4447" spans="2:4" x14ac:dyDescent="0.2">
      <c r="B4447" s="1341">
        <v>5323</v>
      </c>
      <c r="C4447" s="1341" t="s">
        <v>5325</v>
      </c>
      <c r="D4447" s="1310">
        <v>656.66189999999995</v>
      </c>
    </row>
    <row r="4448" spans="2:4" x14ac:dyDescent="0.2">
      <c r="B4448" s="1341">
        <v>5324</v>
      </c>
      <c r="C4448" s="1341" t="s">
        <v>5326</v>
      </c>
      <c r="D4448" s="1310">
        <v>715.09997599999997</v>
      </c>
    </row>
    <row r="4449" spans="2:4" x14ac:dyDescent="0.2">
      <c r="B4449" s="1341">
        <v>5325</v>
      </c>
      <c r="C4449" s="1341" t="s">
        <v>5327</v>
      </c>
      <c r="D4449" s="1310">
        <v>658.68888300000003</v>
      </c>
    </row>
    <row r="4450" spans="2:4" x14ac:dyDescent="0.2">
      <c r="B4450" s="1341">
        <v>5326</v>
      </c>
      <c r="C4450" s="1341" t="s">
        <v>5328</v>
      </c>
      <c r="D4450" s="1310">
        <v>664.93335000000002</v>
      </c>
    </row>
    <row r="4451" spans="2:4" x14ac:dyDescent="0.2">
      <c r="B4451" s="1341">
        <v>5327</v>
      </c>
      <c r="C4451" s="1341" t="s">
        <v>5329</v>
      </c>
      <c r="D4451" s="1310">
        <v>616.10000600000001</v>
      </c>
    </row>
    <row r="4452" spans="2:4" x14ac:dyDescent="0.2">
      <c r="B4452" s="1341">
        <v>5328</v>
      </c>
      <c r="C4452" s="1341" t="s">
        <v>5330</v>
      </c>
      <c r="D4452" s="1310">
        <v>663.54999499999997</v>
      </c>
    </row>
    <row r="4453" spans="2:4" x14ac:dyDescent="0.2">
      <c r="B4453" s="1341">
        <v>5329</v>
      </c>
      <c r="C4453" s="1341" t="s">
        <v>5331</v>
      </c>
      <c r="D4453" s="1310">
        <v>678.02222400000005</v>
      </c>
    </row>
    <row r="4454" spans="2:4" x14ac:dyDescent="0.2">
      <c r="B4454" s="1341">
        <v>5330</v>
      </c>
      <c r="C4454" s="1341" t="s">
        <v>5332</v>
      </c>
      <c r="D4454" s="1310">
        <v>641.41428900000005</v>
      </c>
    </row>
    <row r="4455" spans="2:4" x14ac:dyDescent="0.2">
      <c r="B4455" s="1341">
        <v>5331</v>
      </c>
      <c r="C4455" s="1341" t="s">
        <v>5333</v>
      </c>
      <c r="D4455" s="1310">
        <v>703.79167700000005</v>
      </c>
    </row>
    <row r="4456" spans="2:4" x14ac:dyDescent="0.2">
      <c r="B4456" s="1341">
        <v>5332</v>
      </c>
      <c r="C4456" s="1341" t="s">
        <v>5334</v>
      </c>
      <c r="D4456" s="1310">
        <v>615.09088699999995</v>
      </c>
    </row>
    <row r="4457" spans="2:4" x14ac:dyDescent="0.2">
      <c r="B4457" s="1341">
        <v>5333</v>
      </c>
      <c r="C4457" s="1341" t="s">
        <v>5335</v>
      </c>
      <c r="D4457" s="1310">
        <v>655.09997599999997</v>
      </c>
    </row>
    <row r="4458" spans="2:4" x14ac:dyDescent="0.2">
      <c r="B4458" s="1341">
        <v>5334</v>
      </c>
      <c r="C4458" s="1341" t="s">
        <v>5336</v>
      </c>
      <c r="D4458" s="1310">
        <v>634.59997599999997</v>
      </c>
    </row>
    <row r="4459" spans="2:4" x14ac:dyDescent="0.2">
      <c r="B4459" s="1341">
        <v>5335</v>
      </c>
      <c r="C4459" s="1341" t="s">
        <v>5337</v>
      </c>
      <c r="D4459" s="1310">
        <v>663.25000399999999</v>
      </c>
    </row>
    <row r="4460" spans="2:4" x14ac:dyDescent="0.2">
      <c r="B4460" s="1341">
        <v>5336</v>
      </c>
      <c r="C4460" s="1341" t="s">
        <v>5338</v>
      </c>
      <c r="D4460" s="1310">
        <v>643.63332100000002</v>
      </c>
    </row>
    <row r="4461" spans="2:4" x14ac:dyDescent="0.2">
      <c r="B4461" s="1341">
        <v>5337</v>
      </c>
      <c r="C4461" s="1341" t="s">
        <v>5339</v>
      </c>
      <c r="D4461" s="1310">
        <v>646.13333499999999</v>
      </c>
    </row>
    <row r="4462" spans="2:4" x14ac:dyDescent="0.2">
      <c r="B4462" s="1341">
        <v>5338</v>
      </c>
      <c r="C4462" s="1341" t="s">
        <v>5340</v>
      </c>
      <c r="D4462" s="1310">
        <v>675.69230800000003</v>
      </c>
    </row>
    <row r="4463" spans="2:4" x14ac:dyDescent="0.2">
      <c r="B4463" s="1341">
        <v>5339</v>
      </c>
      <c r="C4463" s="1341" t="s">
        <v>5341</v>
      </c>
      <c r="D4463" s="1310">
        <v>656.88181899999995</v>
      </c>
    </row>
    <row r="4464" spans="2:4" x14ac:dyDescent="0.2">
      <c r="B4464" s="1341">
        <v>5340</v>
      </c>
      <c r="C4464" s="1341" t="s">
        <v>5342</v>
      </c>
      <c r="D4464" s="1310">
        <v>632.1</v>
      </c>
    </row>
    <row r="4465" spans="2:4" x14ac:dyDescent="0.2">
      <c r="B4465" s="1341">
        <v>5341</v>
      </c>
      <c r="C4465" s="1341" t="s">
        <v>1818</v>
      </c>
      <c r="D4465" s="1310">
        <v>668.5</v>
      </c>
    </row>
    <row r="4466" spans="2:4" x14ac:dyDescent="0.2">
      <c r="B4466" s="1341">
        <v>5342</v>
      </c>
      <c r="C4466" s="1341" t="s">
        <v>5343</v>
      </c>
      <c r="D4466" s="1310">
        <v>664.09999100000005</v>
      </c>
    </row>
    <row r="4467" spans="2:4" x14ac:dyDescent="0.2">
      <c r="B4467" s="1341">
        <v>5343</v>
      </c>
      <c r="C4467" s="1341" t="s">
        <v>5344</v>
      </c>
      <c r="D4467" s="1310">
        <v>676.01667299999997</v>
      </c>
    </row>
    <row r="4468" spans="2:4" x14ac:dyDescent="0.2">
      <c r="B4468" s="1341">
        <v>5344</v>
      </c>
      <c r="C4468" s="1341" t="s">
        <v>5345</v>
      </c>
      <c r="D4468" s="1310">
        <v>709.33846300000005</v>
      </c>
    </row>
    <row r="4469" spans="2:4" x14ac:dyDescent="0.2">
      <c r="B4469" s="1341">
        <v>5346</v>
      </c>
      <c r="C4469" s="1341" t="s">
        <v>5346</v>
      </c>
      <c r="D4469" s="1310">
        <v>617.40002400000003</v>
      </c>
    </row>
    <row r="4470" spans="2:4" x14ac:dyDescent="0.2">
      <c r="B4470" s="1341">
        <v>5347</v>
      </c>
      <c r="C4470" s="1341" t="s">
        <v>4943</v>
      </c>
      <c r="D4470" s="1310">
        <v>809.53334600000005</v>
      </c>
    </row>
    <row r="4471" spans="2:4" x14ac:dyDescent="0.2">
      <c r="B4471" s="1341">
        <v>5348</v>
      </c>
      <c r="C4471" s="1341" t="s">
        <v>5347</v>
      </c>
      <c r="D4471" s="1310">
        <v>685.46001000000001</v>
      </c>
    </row>
    <row r="4472" spans="2:4" x14ac:dyDescent="0.2">
      <c r="B4472" s="1341">
        <v>5349</v>
      </c>
      <c r="C4472" s="1341" t="s">
        <v>5348</v>
      </c>
      <c r="D4472" s="1310">
        <v>671.728568</v>
      </c>
    </row>
    <row r="4473" spans="2:4" x14ac:dyDescent="0.2">
      <c r="B4473" s="1341">
        <v>5350</v>
      </c>
      <c r="C4473" s="1341" t="s">
        <v>5349</v>
      </c>
      <c r="D4473" s="1310">
        <v>666.87501499999996</v>
      </c>
    </row>
    <row r="4474" spans="2:4" x14ac:dyDescent="0.2">
      <c r="B4474" s="1341">
        <v>5351</v>
      </c>
      <c r="C4474" s="1341" t="s">
        <v>5350</v>
      </c>
      <c r="D4474" s="1310">
        <v>664.30001200000004</v>
      </c>
    </row>
    <row r="4475" spans="2:4" x14ac:dyDescent="0.2">
      <c r="B4475" s="1341">
        <v>5352</v>
      </c>
      <c r="C4475" s="1341" t="s">
        <v>5351</v>
      </c>
      <c r="D4475" s="1310">
        <v>659.99999100000002</v>
      </c>
    </row>
    <row r="4476" spans="2:4" x14ac:dyDescent="0.2">
      <c r="B4476" s="1341">
        <v>5353</v>
      </c>
      <c r="C4476" s="1341" t="s">
        <v>2600</v>
      </c>
      <c r="D4476" s="1310">
        <v>697.76666299999999</v>
      </c>
    </row>
    <row r="4477" spans="2:4" x14ac:dyDescent="0.2">
      <c r="B4477" s="1341">
        <v>5354</v>
      </c>
      <c r="C4477" s="1341" t="s">
        <v>5352</v>
      </c>
      <c r="D4477" s="1310">
        <v>694.12856599999998</v>
      </c>
    </row>
    <row r="4478" spans="2:4" x14ac:dyDescent="0.2">
      <c r="B4478" s="1341">
        <v>5355</v>
      </c>
      <c r="C4478" s="1341" t="s">
        <v>5353</v>
      </c>
      <c r="D4478" s="1310">
        <v>661.98570900000004</v>
      </c>
    </row>
    <row r="4479" spans="2:4" x14ac:dyDescent="0.2">
      <c r="B4479" s="1341">
        <v>5356</v>
      </c>
      <c r="C4479" s="1341" t="s">
        <v>5354</v>
      </c>
      <c r="D4479" s="1310">
        <v>720.70001200000002</v>
      </c>
    </row>
    <row r="4480" spans="2:4" x14ac:dyDescent="0.2">
      <c r="B4480" s="1341">
        <v>5357</v>
      </c>
      <c r="C4480" s="1341" t="s">
        <v>5355</v>
      </c>
      <c r="D4480" s="1310">
        <v>665.41333799999995</v>
      </c>
    </row>
    <row r="4481" spans="2:4" x14ac:dyDescent="0.2">
      <c r="B4481" s="1341">
        <v>5358</v>
      </c>
      <c r="C4481" s="1341" t="s">
        <v>5356</v>
      </c>
      <c r="D4481" s="1310">
        <v>650.88665800000001</v>
      </c>
    </row>
    <row r="4482" spans="2:4" x14ac:dyDescent="0.2">
      <c r="B4482" s="1341">
        <v>5359</v>
      </c>
      <c r="C4482" s="1341" t="s">
        <v>5357</v>
      </c>
      <c r="D4482" s="1310">
        <v>738</v>
      </c>
    </row>
    <row r="4483" spans="2:4" x14ac:dyDescent="0.2">
      <c r="B4483" s="1341">
        <v>5360</v>
      </c>
      <c r="C4483" s="1341" t="s">
        <v>5358</v>
      </c>
      <c r="D4483" s="1310">
        <v>686.06664999999998</v>
      </c>
    </row>
    <row r="4484" spans="2:4" x14ac:dyDescent="0.2">
      <c r="B4484" s="1341">
        <v>5361</v>
      </c>
      <c r="C4484" s="1341" t="s">
        <v>5359</v>
      </c>
      <c r="D4484" s="1310">
        <v>625.30000800000005</v>
      </c>
    </row>
    <row r="4485" spans="2:4" x14ac:dyDescent="0.2">
      <c r="B4485" s="1341">
        <v>5363</v>
      </c>
      <c r="C4485" s="1341" t="s">
        <v>5360</v>
      </c>
      <c r="D4485" s="1310">
        <v>623.79999999999995</v>
      </c>
    </row>
    <row r="4486" spans="2:4" x14ac:dyDescent="0.2">
      <c r="B4486" s="1341">
        <v>5401</v>
      </c>
      <c r="C4486" s="1341" t="s">
        <v>5361</v>
      </c>
      <c r="D4486" s="1310">
        <v>773.07500200000004</v>
      </c>
    </row>
    <row r="4487" spans="2:4" x14ac:dyDescent="0.2">
      <c r="B4487" s="1341">
        <v>5402</v>
      </c>
      <c r="C4487" s="1341" t="s">
        <v>5362</v>
      </c>
      <c r="D4487" s="1310">
        <v>748.57777899999996</v>
      </c>
    </row>
    <row r="4488" spans="2:4" x14ac:dyDescent="0.2">
      <c r="B4488" s="1341">
        <v>5403</v>
      </c>
      <c r="C4488" s="1341" t="s">
        <v>5363</v>
      </c>
      <c r="D4488" s="1310">
        <v>728.40000899999995</v>
      </c>
    </row>
    <row r="4489" spans="2:4" x14ac:dyDescent="0.2">
      <c r="B4489" s="1341">
        <v>5404</v>
      </c>
      <c r="C4489" s="1341" t="s">
        <v>5364</v>
      </c>
      <c r="D4489" s="1310">
        <v>757.24286800000004</v>
      </c>
    </row>
    <row r="4490" spans="2:4" x14ac:dyDescent="0.2">
      <c r="B4490" s="1341">
        <v>5405</v>
      </c>
      <c r="C4490" s="1341" t="s">
        <v>5365</v>
      </c>
      <c r="D4490" s="1310">
        <v>762.64285700000005</v>
      </c>
    </row>
    <row r="4491" spans="2:4" x14ac:dyDescent="0.2">
      <c r="B4491" s="1341">
        <v>5406</v>
      </c>
      <c r="C4491" s="1341" t="s">
        <v>5366</v>
      </c>
      <c r="D4491" s="1310">
        <v>709.259998</v>
      </c>
    </row>
    <row r="4492" spans="2:4" x14ac:dyDescent="0.2">
      <c r="B4492" s="1341">
        <v>5407</v>
      </c>
      <c r="C4492" s="1341" t="s">
        <v>5367</v>
      </c>
      <c r="D4492" s="1310">
        <v>715.64615600000002</v>
      </c>
    </row>
    <row r="4493" spans="2:4" x14ac:dyDescent="0.2">
      <c r="B4493" s="1341">
        <v>5408</v>
      </c>
      <c r="C4493" s="1341" t="s">
        <v>5368</v>
      </c>
      <c r="D4493" s="1310">
        <v>775.19375600000001</v>
      </c>
    </row>
    <row r="4494" spans="2:4" x14ac:dyDescent="0.2">
      <c r="B4494" s="1341">
        <v>5409</v>
      </c>
      <c r="C4494" s="1341" t="s">
        <v>5369</v>
      </c>
      <c r="D4494" s="1310">
        <v>713.41538600000001</v>
      </c>
    </row>
    <row r="4495" spans="2:4" x14ac:dyDescent="0.2">
      <c r="B4495" s="1341">
        <v>5410</v>
      </c>
      <c r="C4495" s="1341" t="s">
        <v>5370</v>
      </c>
      <c r="D4495" s="1310">
        <v>686.15453500000001</v>
      </c>
    </row>
    <row r="4496" spans="2:4" x14ac:dyDescent="0.2">
      <c r="B4496" s="1341">
        <v>5411</v>
      </c>
      <c r="C4496" s="1341" t="s">
        <v>5371</v>
      </c>
      <c r="D4496" s="1310">
        <v>716.41999499999997</v>
      </c>
    </row>
    <row r="4497" spans="2:4" x14ac:dyDescent="0.2">
      <c r="B4497" s="1341">
        <v>5412</v>
      </c>
      <c r="C4497" s="1341" t="s">
        <v>5372</v>
      </c>
      <c r="D4497" s="1310">
        <v>735.60001199999999</v>
      </c>
    </row>
    <row r="4498" spans="2:4" x14ac:dyDescent="0.2">
      <c r="B4498" s="1341">
        <v>5413</v>
      </c>
      <c r="C4498" s="1341" t="s">
        <v>5373</v>
      </c>
      <c r="D4498" s="1310">
        <v>703.43998999999997</v>
      </c>
    </row>
    <row r="4499" spans="2:4" x14ac:dyDescent="0.2">
      <c r="B4499" s="1341">
        <v>5414</v>
      </c>
      <c r="C4499" s="1341" t="s">
        <v>5374</v>
      </c>
      <c r="D4499" s="1310">
        <v>706.68666599999995</v>
      </c>
    </row>
    <row r="4500" spans="2:4" x14ac:dyDescent="0.2">
      <c r="B4500" s="1341">
        <v>5415</v>
      </c>
      <c r="C4500" s="1341" t="s">
        <v>5375</v>
      </c>
      <c r="D4500" s="1310">
        <v>682.95001200000002</v>
      </c>
    </row>
    <row r="4501" spans="2:4" x14ac:dyDescent="0.2">
      <c r="B4501" s="1341">
        <v>5416</v>
      </c>
      <c r="C4501" s="1341" t="s">
        <v>4929</v>
      </c>
      <c r="D4501" s="1310">
        <v>694.87777400000004</v>
      </c>
    </row>
    <row r="4502" spans="2:4" x14ac:dyDescent="0.2">
      <c r="B4502" s="1341">
        <v>5417</v>
      </c>
      <c r="C4502" s="1341" t="s">
        <v>5376</v>
      </c>
      <c r="D4502" s="1310">
        <v>744.20000600000003</v>
      </c>
    </row>
    <row r="4503" spans="2:4" x14ac:dyDescent="0.2">
      <c r="B4503" s="1341">
        <v>5418</v>
      </c>
      <c r="C4503" s="1341" t="s">
        <v>5377</v>
      </c>
      <c r="D4503" s="1310">
        <v>695.08921299999997</v>
      </c>
    </row>
    <row r="4504" spans="2:4" x14ac:dyDescent="0.2">
      <c r="B4504" s="1341">
        <v>5419</v>
      </c>
      <c r="C4504" s="1341" t="s">
        <v>5378</v>
      </c>
      <c r="D4504" s="1310">
        <v>744.24615500000004</v>
      </c>
    </row>
    <row r="4505" spans="2:4" x14ac:dyDescent="0.2">
      <c r="B4505" s="1341">
        <v>5420</v>
      </c>
      <c r="C4505" s="1341" t="s">
        <v>4233</v>
      </c>
      <c r="D4505" s="1310">
        <v>763.93636300000003</v>
      </c>
    </row>
    <row r="4506" spans="2:4" x14ac:dyDescent="0.2">
      <c r="B4506" s="1341">
        <v>5421</v>
      </c>
      <c r="C4506" s="1341" t="s">
        <v>5379</v>
      </c>
      <c r="D4506" s="1310">
        <v>717.31666099999995</v>
      </c>
    </row>
    <row r="4507" spans="2:4" x14ac:dyDescent="0.2">
      <c r="B4507" s="1341">
        <v>5422</v>
      </c>
      <c r="C4507" s="1341" t="s">
        <v>5380</v>
      </c>
      <c r="D4507" s="1310">
        <v>710.45554600000003</v>
      </c>
    </row>
    <row r="4508" spans="2:4" x14ac:dyDescent="0.2">
      <c r="B4508" s="1341">
        <v>5423</v>
      </c>
      <c r="C4508" s="1341" t="s">
        <v>5381</v>
      </c>
      <c r="D4508" s="1310">
        <v>697.758331</v>
      </c>
    </row>
    <row r="4509" spans="2:4" x14ac:dyDescent="0.2">
      <c r="B4509" s="1341">
        <v>5424</v>
      </c>
      <c r="C4509" s="1341" t="s">
        <v>1939</v>
      </c>
      <c r="D4509" s="1310">
        <v>681.26249700000005</v>
      </c>
    </row>
    <row r="4510" spans="2:4" x14ac:dyDescent="0.2">
      <c r="B4510" s="1341">
        <v>5425</v>
      </c>
      <c r="C4510" s="1341" t="s">
        <v>5382</v>
      </c>
      <c r="D4510" s="1310">
        <v>712.92999899999995</v>
      </c>
    </row>
    <row r="4511" spans="2:4" x14ac:dyDescent="0.2">
      <c r="B4511" s="1341">
        <v>5426</v>
      </c>
      <c r="C4511" s="1341" t="s">
        <v>5383</v>
      </c>
      <c r="D4511" s="1310">
        <v>685.38750500000003</v>
      </c>
    </row>
    <row r="4512" spans="2:4" x14ac:dyDescent="0.2">
      <c r="B4512" s="1341">
        <v>5427</v>
      </c>
      <c r="C4512" s="1341" t="s">
        <v>1678</v>
      </c>
      <c r="D4512" s="1310">
        <v>703.70001200000002</v>
      </c>
    </row>
    <row r="4513" spans="2:4" x14ac:dyDescent="0.2">
      <c r="B4513" s="1341">
        <v>5428</v>
      </c>
      <c r="C4513" s="1341" t="s">
        <v>5384</v>
      </c>
      <c r="D4513" s="1310">
        <v>698.740002</v>
      </c>
    </row>
    <row r="4514" spans="2:4" x14ac:dyDescent="0.2">
      <c r="B4514" s="1341">
        <v>5429</v>
      </c>
      <c r="C4514" s="1341" t="s">
        <v>5385</v>
      </c>
      <c r="D4514" s="1310">
        <v>685.81999499999995</v>
      </c>
    </row>
    <row r="4515" spans="2:4" x14ac:dyDescent="0.2">
      <c r="B4515" s="1341">
        <v>5430</v>
      </c>
      <c r="C4515" s="1341" t="s">
        <v>5386</v>
      </c>
      <c r="D4515" s="1310">
        <v>696.59997599999997</v>
      </c>
    </row>
    <row r="4516" spans="2:4" x14ac:dyDescent="0.2">
      <c r="B4516" s="1341">
        <v>5431</v>
      </c>
      <c r="C4516" s="1341" t="s">
        <v>5387</v>
      </c>
      <c r="D4516" s="1310">
        <v>683.13332100000002</v>
      </c>
    </row>
    <row r="4517" spans="2:4" x14ac:dyDescent="0.2">
      <c r="B4517" s="1341">
        <v>5432</v>
      </c>
      <c r="C4517" s="1341" t="s">
        <v>5388</v>
      </c>
      <c r="D4517" s="1310">
        <v>700.83333300000004</v>
      </c>
    </row>
    <row r="4518" spans="2:4" x14ac:dyDescent="0.2">
      <c r="B4518" s="1341">
        <v>5433</v>
      </c>
      <c r="C4518" s="1341" t="s">
        <v>5389</v>
      </c>
      <c r="D4518" s="1310">
        <v>724.91666699999996</v>
      </c>
    </row>
    <row r="4519" spans="2:4" x14ac:dyDescent="0.2">
      <c r="B4519" s="1341">
        <v>5434</v>
      </c>
      <c r="C4519" s="1341" t="s">
        <v>5390</v>
      </c>
      <c r="D4519" s="1310">
        <v>733.94998199999998</v>
      </c>
    </row>
    <row r="4520" spans="2:4" x14ac:dyDescent="0.2">
      <c r="B4520" s="1341">
        <v>5435</v>
      </c>
      <c r="C4520" s="1341" t="s">
        <v>5391</v>
      </c>
      <c r="D4520" s="1310">
        <v>601.60000600000001</v>
      </c>
    </row>
    <row r="4521" spans="2:4" x14ac:dyDescent="0.2">
      <c r="B4521" s="1341">
        <v>5436</v>
      </c>
      <c r="C4521" s="1341" t="s">
        <v>5392</v>
      </c>
      <c r="D4521" s="1310">
        <v>653.69999499999994</v>
      </c>
    </row>
    <row r="4522" spans="2:4" x14ac:dyDescent="0.2">
      <c r="B4522" s="1341">
        <v>5437</v>
      </c>
      <c r="C4522" s="1341" t="s">
        <v>2659</v>
      </c>
      <c r="D4522" s="1310">
        <v>638.53332499999999</v>
      </c>
    </row>
    <row r="4523" spans="2:4" x14ac:dyDescent="0.2">
      <c r="B4523" s="1341">
        <v>5438</v>
      </c>
      <c r="C4523" s="1341" t="s">
        <v>5393</v>
      </c>
      <c r="D4523" s="1310">
        <v>716.76000999999997</v>
      </c>
    </row>
    <row r="4524" spans="2:4" x14ac:dyDescent="0.2">
      <c r="B4524" s="1341">
        <v>5439</v>
      </c>
      <c r="C4524" s="1341" t="s">
        <v>5394</v>
      </c>
      <c r="D4524" s="1310">
        <v>694.27499399999999</v>
      </c>
    </row>
    <row r="4525" spans="2:4" x14ac:dyDescent="0.2">
      <c r="B4525" s="1341">
        <v>5440</v>
      </c>
      <c r="C4525" s="1341" t="s">
        <v>5395</v>
      </c>
      <c r="D4525" s="1310">
        <v>687.5</v>
      </c>
    </row>
    <row r="4526" spans="2:4" x14ac:dyDescent="0.2">
      <c r="B4526" s="1341">
        <v>5441</v>
      </c>
      <c r="C4526" s="1341" t="s">
        <v>5396</v>
      </c>
      <c r="D4526" s="1310">
        <v>628.23999000000003</v>
      </c>
    </row>
    <row r="4527" spans="2:4" x14ac:dyDescent="0.2">
      <c r="B4527" s="1341">
        <v>5442</v>
      </c>
      <c r="C4527" s="1341" t="s">
        <v>5397</v>
      </c>
      <c r="D4527" s="1310">
        <v>641.46667500000001</v>
      </c>
    </row>
    <row r="4528" spans="2:4" x14ac:dyDescent="0.2">
      <c r="B4528" s="1341">
        <v>5443</v>
      </c>
      <c r="C4528" s="1341" t="s">
        <v>1368</v>
      </c>
      <c r="D4528" s="1310">
        <v>677.79998799999998</v>
      </c>
    </row>
    <row r="4529" spans="2:4" x14ac:dyDescent="0.2">
      <c r="B4529" s="1341">
        <v>5444</v>
      </c>
      <c r="C4529" s="1341" t="s">
        <v>5398</v>
      </c>
      <c r="D4529" s="1310">
        <v>731.56001000000003</v>
      </c>
    </row>
    <row r="4530" spans="2:4" x14ac:dyDescent="0.2">
      <c r="B4530" s="1341">
        <v>5445</v>
      </c>
      <c r="C4530" s="1341" t="s">
        <v>5399</v>
      </c>
      <c r="D4530" s="1310">
        <v>703.759998</v>
      </c>
    </row>
    <row r="4531" spans="2:4" x14ac:dyDescent="0.2">
      <c r="B4531" s="1341">
        <v>5446</v>
      </c>
      <c r="C4531" s="1341" t="s">
        <v>5400</v>
      </c>
      <c r="D4531" s="1310">
        <v>732.54999799999996</v>
      </c>
    </row>
    <row r="4532" spans="2:4" x14ac:dyDescent="0.2">
      <c r="B4532" s="1341">
        <v>5447</v>
      </c>
      <c r="C4532" s="1341" t="s">
        <v>1998</v>
      </c>
      <c r="D4532" s="1310">
        <v>669.38889600000005</v>
      </c>
    </row>
    <row r="4533" spans="2:4" x14ac:dyDescent="0.2">
      <c r="B4533" s="1341">
        <v>5450</v>
      </c>
      <c r="C4533" s="1341" t="s">
        <v>5401</v>
      </c>
      <c r="D4533" s="1310">
        <v>721.159088</v>
      </c>
    </row>
    <row r="4534" spans="2:4" x14ac:dyDescent="0.2">
      <c r="B4534" s="1341">
        <v>5451</v>
      </c>
      <c r="C4534" s="1341" t="s">
        <v>5402</v>
      </c>
      <c r="D4534" s="1310">
        <v>744.23750299999995</v>
      </c>
    </row>
    <row r="4535" spans="2:4" x14ac:dyDescent="0.2">
      <c r="B4535" s="1341">
        <v>5452</v>
      </c>
      <c r="C4535" s="1341" t="s">
        <v>5403</v>
      </c>
      <c r="D4535" s="1310">
        <v>709.12221999999997</v>
      </c>
    </row>
    <row r="4536" spans="2:4" x14ac:dyDescent="0.2">
      <c r="B4536" s="1341">
        <v>5453</v>
      </c>
      <c r="C4536" s="1341" t="s">
        <v>5404</v>
      </c>
      <c r="D4536" s="1310">
        <v>698.383331</v>
      </c>
    </row>
    <row r="4537" spans="2:4" x14ac:dyDescent="0.2">
      <c r="B4537" s="1341">
        <v>5454</v>
      </c>
      <c r="C4537" s="1341" t="s">
        <v>5405</v>
      </c>
      <c r="D4537" s="1310">
        <v>718.136841</v>
      </c>
    </row>
    <row r="4538" spans="2:4" x14ac:dyDescent="0.2">
      <c r="B4538" s="1341">
        <v>5455</v>
      </c>
      <c r="C4538" s="1341" t="s">
        <v>5406</v>
      </c>
      <c r="D4538" s="1310">
        <v>703.20001200000002</v>
      </c>
    </row>
    <row r="4539" spans="2:4" x14ac:dyDescent="0.2">
      <c r="B4539" s="1341">
        <v>5456</v>
      </c>
      <c r="C4539" s="1341" t="s">
        <v>5407</v>
      </c>
      <c r="D4539" s="1310">
        <v>731.17999899999995</v>
      </c>
    </row>
    <row r="4540" spans="2:4" x14ac:dyDescent="0.2">
      <c r="B4540" s="1341">
        <v>5457</v>
      </c>
      <c r="C4540" s="1341" t="s">
        <v>5408</v>
      </c>
      <c r="D4540" s="1310">
        <v>722.86000999999999</v>
      </c>
    </row>
    <row r="4541" spans="2:4" x14ac:dyDescent="0.2">
      <c r="B4541" s="1341">
        <v>5458</v>
      </c>
      <c r="C4541" s="1341" t="s">
        <v>1776</v>
      </c>
      <c r="D4541" s="1310">
        <v>679.85000600000001</v>
      </c>
    </row>
    <row r="4542" spans="2:4" x14ac:dyDescent="0.2">
      <c r="B4542" s="1341">
        <v>5459</v>
      </c>
      <c r="C4542" s="1341" t="s">
        <v>5409</v>
      </c>
      <c r="D4542" s="1310">
        <v>616.20001200000002</v>
      </c>
    </row>
    <row r="4543" spans="2:4" x14ac:dyDescent="0.2">
      <c r="B4543" s="1341">
        <v>5460</v>
      </c>
      <c r="C4543" s="1341" t="s">
        <v>5410</v>
      </c>
      <c r="D4543" s="1310">
        <v>652.33333300000004</v>
      </c>
    </row>
    <row r="4544" spans="2:4" x14ac:dyDescent="0.2">
      <c r="B4544" s="1341">
        <v>5461</v>
      </c>
      <c r="C4544" s="1341" t="s">
        <v>5411</v>
      </c>
      <c r="D4544" s="1310">
        <v>655.12000699999999</v>
      </c>
    </row>
    <row r="4545" spans="2:4" x14ac:dyDescent="0.2">
      <c r="B4545" s="1341">
        <v>5462</v>
      </c>
      <c r="C4545" s="1341" t="s">
        <v>2380</v>
      </c>
      <c r="D4545" s="1310">
        <v>612.71999500000004</v>
      </c>
    </row>
    <row r="4546" spans="2:4" x14ac:dyDescent="0.2">
      <c r="B4546" s="1341">
        <v>5463</v>
      </c>
      <c r="C4546" s="1341" t="s">
        <v>5412</v>
      </c>
      <c r="D4546" s="1310">
        <v>673.49998500000004</v>
      </c>
    </row>
    <row r="4547" spans="2:4" x14ac:dyDescent="0.2">
      <c r="B4547" s="1341">
        <v>5464</v>
      </c>
      <c r="C4547" s="1341" t="s">
        <v>5413</v>
      </c>
      <c r="D4547" s="1310">
        <v>656.50000599999998</v>
      </c>
    </row>
    <row r="4548" spans="2:4" x14ac:dyDescent="0.2">
      <c r="B4548" s="1341">
        <v>5465</v>
      </c>
      <c r="C4548" s="1341" t="s">
        <v>5414</v>
      </c>
      <c r="D4548" s="1310">
        <v>640.48000500000001</v>
      </c>
    </row>
    <row r="4549" spans="2:4" x14ac:dyDescent="0.2">
      <c r="B4549" s="1341">
        <v>5466</v>
      </c>
      <c r="C4549" s="1341" t="s">
        <v>5415</v>
      </c>
      <c r="D4549" s="1310">
        <v>714.54444699999999</v>
      </c>
    </row>
    <row r="4550" spans="2:4" x14ac:dyDescent="0.2">
      <c r="B4550" s="1341">
        <v>5467</v>
      </c>
      <c r="C4550" s="1341" t="s">
        <v>5416</v>
      </c>
      <c r="D4550" s="1310">
        <v>727.09997599999997</v>
      </c>
    </row>
    <row r="4551" spans="2:4" x14ac:dyDescent="0.2">
      <c r="B4551" s="1341">
        <v>5468</v>
      </c>
      <c r="C4551" s="1341" t="s">
        <v>5417</v>
      </c>
      <c r="D4551" s="1310">
        <v>651.4</v>
      </c>
    </row>
    <row r="4552" spans="2:4" x14ac:dyDescent="0.2">
      <c r="B4552" s="1341">
        <v>5469</v>
      </c>
      <c r="C4552" s="1341" t="s">
        <v>5418</v>
      </c>
      <c r="D4552" s="1310">
        <v>660.70001200000002</v>
      </c>
    </row>
    <row r="4553" spans="2:4" x14ac:dyDescent="0.2">
      <c r="B4553" s="1341">
        <v>5470</v>
      </c>
      <c r="C4553" s="1341" t="s">
        <v>5419</v>
      </c>
      <c r="D4553" s="1310">
        <v>702.82223199999999</v>
      </c>
    </row>
    <row r="4554" spans="2:4" x14ac:dyDescent="0.2">
      <c r="B4554" s="1341">
        <v>5471</v>
      </c>
      <c r="C4554" s="1341" t="s">
        <v>5420</v>
      </c>
      <c r="D4554" s="1310">
        <v>726.93335000000002</v>
      </c>
    </row>
    <row r="4555" spans="2:4" x14ac:dyDescent="0.2">
      <c r="B4555" s="1341">
        <v>5472</v>
      </c>
      <c r="C4555" s="1341" t="s">
        <v>5421</v>
      </c>
      <c r="D4555" s="1310">
        <v>668.20769299999995</v>
      </c>
    </row>
    <row r="4556" spans="2:4" x14ac:dyDescent="0.2">
      <c r="B4556" s="1341">
        <v>5473</v>
      </c>
      <c r="C4556" s="1341" t="s">
        <v>4840</v>
      </c>
      <c r="D4556" s="1310">
        <v>680.55000299999995</v>
      </c>
    </row>
    <row r="4557" spans="2:4" x14ac:dyDescent="0.2">
      <c r="B4557" s="1341">
        <v>5474</v>
      </c>
      <c r="C4557" s="1341" t="s">
        <v>3010</v>
      </c>
      <c r="D4557" s="1310">
        <v>728.572721</v>
      </c>
    </row>
    <row r="4558" spans="2:4" x14ac:dyDescent="0.2">
      <c r="B4558" s="1341">
        <v>5475</v>
      </c>
      <c r="C4558" s="1341" t="s">
        <v>5422</v>
      </c>
      <c r="D4558" s="1310">
        <v>594.31428700000004</v>
      </c>
    </row>
    <row r="4559" spans="2:4" x14ac:dyDescent="0.2">
      <c r="B4559" s="1341">
        <v>5476</v>
      </c>
      <c r="C4559" s="1341" t="s">
        <v>5423</v>
      </c>
      <c r="D4559" s="1310">
        <v>656.00001199999997</v>
      </c>
    </row>
    <row r="4560" spans="2:4" x14ac:dyDescent="0.2">
      <c r="B4560" s="1341">
        <v>5477</v>
      </c>
      <c r="C4560" s="1341" t="s">
        <v>5424</v>
      </c>
      <c r="D4560" s="1310">
        <v>712.75714100000005</v>
      </c>
    </row>
    <row r="4561" spans="2:4" x14ac:dyDescent="0.2">
      <c r="B4561" s="1341">
        <v>5478</v>
      </c>
      <c r="C4561" s="1341" t="s">
        <v>5425</v>
      </c>
      <c r="D4561" s="1310">
        <v>677.97857199999999</v>
      </c>
    </row>
    <row r="4562" spans="2:4" x14ac:dyDescent="0.2">
      <c r="B4562" s="1341">
        <v>5479</v>
      </c>
      <c r="C4562" s="1341" t="s">
        <v>2461</v>
      </c>
      <c r="D4562" s="1310">
        <v>718.95453399999997</v>
      </c>
    </row>
    <row r="4563" spans="2:4" x14ac:dyDescent="0.2">
      <c r="B4563" s="1341">
        <v>5480</v>
      </c>
      <c r="C4563" s="1341" t="s">
        <v>5426</v>
      </c>
      <c r="D4563" s="1310">
        <v>704.62727500000005</v>
      </c>
    </row>
    <row r="4564" spans="2:4" x14ac:dyDescent="0.2">
      <c r="B4564" s="1341">
        <v>5481</v>
      </c>
      <c r="C4564" s="1341" t="s">
        <v>5427</v>
      </c>
      <c r="D4564" s="1310">
        <v>708.44615299999998</v>
      </c>
    </row>
    <row r="4565" spans="2:4" x14ac:dyDescent="0.2">
      <c r="B4565" s="1341">
        <v>5482</v>
      </c>
      <c r="C4565" s="1341" t="s">
        <v>5428</v>
      </c>
      <c r="D4565" s="1310">
        <v>694.61818100000005</v>
      </c>
    </row>
    <row r="4566" spans="2:4" x14ac:dyDescent="0.2">
      <c r="B4566" s="1341">
        <v>5483</v>
      </c>
      <c r="C4566" s="1341" t="s">
        <v>5429</v>
      </c>
      <c r="D4566" s="1310">
        <v>729.95001200000002</v>
      </c>
    </row>
    <row r="4567" spans="2:4" x14ac:dyDescent="0.2">
      <c r="B4567" s="1341">
        <v>5484</v>
      </c>
      <c r="C4567" s="1341" t="s">
        <v>5430</v>
      </c>
      <c r="D4567" s="1310">
        <v>703.20001200000002</v>
      </c>
    </row>
    <row r="4568" spans="2:4" x14ac:dyDescent="0.2">
      <c r="B4568" s="1341">
        <v>5485</v>
      </c>
      <c r="C4568" s="1341" t="s">
        <v>3341</v>
      </c>
      <c r="D4568" s="1310">
        <v>695.16364099999998</v>
      </c>
    </row>
    <row r="4569" spans="2:4" x14ac:dyDescent="0.2">
      <c r="B4569" s="1341">
        <v>5486</v>
      </c>
      <c r="C4569" s="1341" t="s">
        <v>5431</v>
      </c>
      <c r="D4569" s="1310">
        <v>709.18333900000005</v>
      </c>
    </row>
    <row r="4570" spans="2:4" x14ac:dyDescent="0.2">
      <c r="B4570" s="1341">
        <v>5487</v>
      </c>
      <c r="C4570" s="1341" t="s">
        <v>1941</v>
      </c>
      <c r="D4570" s="1310">
        <v>672.13333599999999</v>
      </c>
    </row>
    <row r="4571" spans="2:4" x14ac:dyDescent="0.2">
      <c r="B4571" s="1341">
        <v>5488</v>
      </c>
      <c r="C4571" s="1341" t="s">
        <v>5432</v>
      </c>
      <c r="D4571" s="1310">
        <v>647.28461200000004</v>
      </c>
    </row>
    <row r="4572" spans="2:4" x14ac:dyDescent="0.2">
      <c r="B4572" s="1341">
        <v>5501</v>
      </c>
      <c r="C4572" s="1341" t="s">
        <v>5433</v>
      </c>
      <c r="D4572" s="1310">
        <v>685.5</v>
      </c>
    </row>
    <row r="4573" spans="2:4" x14ac:dyDescent="0.2">
      <c r="B4573" s="1341">
        <v>5502</v>
      </c>
      <c r="C4573" s="1341" t="s">
        <v>5434</v>
      </c>
      <c r="D4573" s="1310">
        <v>670.9</v>
      </c>
    </row>
    <row r="4574" spans="2:4" x14ac:dyDescent="0.2">
      <c r="B4574" s="1341">
        <v>5503</v>
      </c>
      <c r="C4574" s="1341" t="s">
        <v>5435</v>
      </c>
      <c r="D4574" s="1310">
        <v>718.66666699999996</v>
      </c>
    </row>
    <row r="4575" spans="2:4" x14ac:dyDescent="0.2">
      <c r="B4575" s="1341">
        <v>5504</v>
      </c>
      <c r="C4575" s="1341" t="s">
        <v>5436</v>
      </c>
      <c r="D4575" s="1310">
        <v>763.51666299999999</v>
      </c>
    </row>
    <row r="4576" spans="2:4" x14ac:dyDescent="0.2">
      <c r="B4576" s="1341">
        <v>5505</v>
      </c>
      <c r="C4576" s="1341" t="s">
        <v>5437</v>
      </c>
      <c r="D4576" s="1310">
        <v>768.41999499999997</v>
      </c>
    </row>
    <row r="4577" spans="2:4" x14ac:dyDescent="0.2">
      <c r="B4577" s="1341">
        <v>5506</v>
      </c>
      <c r="C4577" s="1341" t="s">
        <v>5438</v>
      </c>
      <c r="D4577" s="1310">
        <v>644.09999600000003</v>
      </c>
    </row>
    <row r="4578" spans="2:4" x14ac:dyDescent="0.2">
      <c r="B4578" s="1341">
        <v>5507</v>
      </c>
      <c r="C4578" s="1341" t="s">
        <v>2519</v>
      </c>
      <c r="D4578" s="1310">
        <v>673.41428900000005</v>
      </c>
    </row>
    <row r="4579" spans="2:4" x14ac:dyDescent="0.2">
      <c r="B4579" s="1341">
        <v>5508</v>
      </c>
      <c r="C4579" s="1341" t="s">
        <v>5439</v>
      </c>
      <c r="D4579" s="1310">
        <v>696.76250500000003</v>
      </c>
    </row>
    <row r="4580" spans="2:4" x14ac:dyDescent="0.2">
      <c r="B4580" s="1341">
        <v>5509</v>
      </c>
      <c r="C4580" s="1341" t="s">
        <v>5440</v>
      </c>
      <c r="D4580" s="1310">
        <v>689.13635299999999</v>
      </c>
    </row>
    <row r="4581" spans="2:4" x14ac:dyDescent="0.2">
      <c r="B4581" s="1341">
        <v>5510</v>
      </c>
      <c r="C4581" s="1341" t="s">
        <v>5441</v>
      </c>
      <c r="D4581" s="1310">
        <v>758.78333499999997</v>
      </c>
    </row>
    <row r="4582" spans="2:4" x14ac:dyDescent="0.2">
      <c r="B4582" s="1341">
        <v>5511</v>
      </c>
      <c r="C4582" s="1341" t="s">
        <v>5442</v>
      </c>
      <c r="D4582" s="1310">
        <v>721.29998799999998</v>
      </c>
    </row>
    <row r="4583" spans="2:4" x14ac:dyDescent="0.2">
      <c r="B4583" s="1341">
        <v>5512</v>
      </c>
      <c r="C4583" s="1341" t="s">
        <v>3511</v>
      </c>
      <c r="D4583" s="1310">
        <v>760.46667500000001</v>
      </c>
    </row>
    <row r="4584" spans="2:4" x14ac:dyDescent="0.2">
      <c r="B4584" s="1341">
        <v>5513</v>
      </c>
      <c r="C4584" s="1341" t="s">
        <v>5443</v>
      </c>
      <c r="D4584" s="1310">
        <v>750.70001200000002</v>
      </c>
    </row>
    <row r="4585" spans="2:4" x14ac:dyDescent="0.2">
      <c r="B4585" s="1341">
        <v>5514</v>
      </c>
      <c r="C4585" s="1341" t="s">
        <v>5444</v>
      </c>
      <c r="D4585" s="1310">
        <v>712.11111800000003</v>
      </c>
    </row>
    <row r="4586" spans="2:4" x14ac:dyDescent="0.2">
      <c r="B4586" s="1341">
        <v>5515</v>
      </c>
      <c r="C4586" s="1341" t="s">
        <v>5445</v>
      </c>
      <c r="D4586" s="1310">
        <v>671.38332100000002</v>
      </c>
    </row>
    <row r="4587" spans="2:4" x14ac:dyDescent="0.2">
      <c r="B4587" s="1341">
        <v>5516</v>
      </c>
      <c r="C4587" s="1341" t="s">
        <v>1939</v>
      </c>
      <c r="D4587" s="1310">
        <v>699.21249399999999</v>
      </c>
    </row>
    <row r="4588" spans="2:4" x14ac:dyDescent="0.2">
      <c r="B4588" s="1341">
        <v>5517</v>
      </c>
      <c r="C4588" s="1341" t="s">
        <v>5446</v>
      </c>
      <c r="D4588" s="1310">
        <v>673.90000899999995</v>
      </c>
    </row>
    <row r="4589" spans="2:4" x14ac:dyDescent="0.2">
      <c r="B4589" s="1341">
        <v>5518</v>
      </c>
      <c r="C4589" s="1341" t="s">
        <v>5447</v>
      </c>
      <c r="D4589" s="1310">
        <v>703.1</v>
      </c>
    </row>
    <row r="4590" spans="2:4" x14ac:dyDescent="0.2">
      <c r="B4590" s="1341">
        <v>5519</v>
      </c>
      <c r="C4590" s="1341" t="s">
        <v>5448</v>
      </c>
      <c r="D4590" s="1310">
        <v>687.51999499999999</v>
      </c>
    </row>
    <row r="4591" spans="2:4" x14ac:dyDescent="0.2">
      <c r="B4591" s="1341">
        <v>5520</v>
      </c>
      <c r="C4591" s="1341" t="s">
        <v>5449</v>
      </c>
      <c r="D4591" s="1310">
        <v>705.35000600000001</v>
      </c>
    </row>
    <row r="4592" spans="2:4" x14ac:dyDescent="0.2">
      <c r="B4592" s="1341">
        <v>5521</v>
      </c>
      <c r="C4592" s="1341" t="s">
        <v>5450</v>
      </c>
      <c r="D4592" s="1310">
        <v>689.20370400000002</v>
      </c>
    </row>
    <row r="4593" spans="2:4" x14ac:dyDescent="0.2">
      <c r="B4593" s="1341">
        <v>5522</v>
      </c>
      <c r="C4593" s="1341" t="s">
        <v>5451</v>
      </c>
      <c r="D4593" s="1310">
        <v>654.13334099999997</v>
      </c>
    </row>
    <row r="4594" spans="2:4" x14ac:dyDescent="0.2">
      <c r="B4594" s="1341">
        <v>5551</v>
      </c>
      <c r="C4594" s="1341" t="s">
        <v>5452</v>
      </c>
      <c r="D4594" s="1310">
        <v>899.73636699999997</v>
      </c>
    </row>
    <row r="4595" spans="2:4" x14ac:dyDescent="0.2">
      <c r="B4595" s="1341">
        <v>5552</v>
      </c>
      <c r="C4595" s="1341" t="s">
        <v>5453</v>
      </c>
      <c r="D4595" s="1310">
        <v>787.18331899999998</v>
      </c>
    </row>
    <row r="4596" spans="2:4" x14ac:dyDescent="0.2">
      <c r="B4596" s="1341">
        <v>5553</v>
      </c>
      <c r="C4596" s="1341" t="s">
        <v>5454</v>
      </c>
      <c r="D4596" s="1310">
        <v>795.67500299999995</v>
      </c>
    </row>
    <row r="4597" spans="2:4" x14ac:dyDescent="0.2">
      <c r="B4597" s="1341">
        <v>5554</v>
      </c>
      <c r="C4597" s="1341" t="s">
        <v>5455</v>
      </c>
      <c r="D4597" s="1310">
        <v>809.52856399999996</v>
      </c>
    </row>
    <row r="4598" spans="2:4" x14ac:dyDescent="0.2">
      <c r="B4598" s="1341">
        <v>5555</v>
      </c>
      <c r="C4598" s="1341" t="s">
        <v>5456</v>
      </c>
      <c r="D4598" s="1310">
        <v>841.38750500000003</v>
      </c>
    </row>
    <row r="4599" spans="2:4" x14ac:dyDescent="0.2">
      <c r="B4599" s="1341">
        <v>5556</v>
      </c>
      <c r="C4599" s="1341" t="s">
        <v>5457</v>
      </c>
      <c r="D4599" s="1310">
        <v>806.04999499999997</v>
      </c>
    </row>
    <row r="4600" spans="2:4" x14ac:dyDescent="0.2">
      <c r="B4600" s="1341">
        <v>5557</v>
      </c>
      <c r="C4600" s="1341" t="s">
        <v>5458</v>
      </c>
      <c r="D4600" s="1310">
        <v>765.12000699999999</v>
      </c>
    </row>
    <row r="4601" spans="2:4" x14ac:dyDescent="0.2">
      <c r="B4601" s="1341">
        <v>5558</v>
      </c>
      <c r="C4601" s="1341" t="s">
        <v>5459</v>
      </c>
      <c r="D4601" s="1310">
        <v>839</v>
      </c>
    </row>
    <row r="4602" spans="2:4" x14ac:dyDescent="0.2">
      <c r="B4602" s="1341">
        <v>5559</v>
      </c>
      <c r="C4602" s="1341" t="s">
        <v>5460</v>
      </c>
      <c r="D4602" s="1310">
        <v>874.19444799999997</v>
      </c>
    </row>
    <row r="4603" spans="2:4" x14ac:dyDescent="0.2">
      <c r="B4603" s="1341">
        <v>5560</v>
      </c>
      <c r="C4603" s="1341" t="s">
        <v>4111</v>
      </c>
      <c r="D4603" s="1310">
        <v>950.92857600000002</v>
      </c>
    </row>
    <row r="4604" spans="2:4" x14ac:dyDescent="0.2">
      <c r="B4604" s="1341">
        <v>5561</v>
      </c>
      <c r="C4604" s="1341" t="s">
        <v>5461</v>
      </c>
      <c r="D4604" s="1310">
        <v>897.51429099999996</v>
      </c>
    </row>
    <row r="4605" spans="2:4" x14ac:dyDescent="0.2">
      <c r="B4605" s="1341">
        <v>5562</v>
      </c>
      <c r="C4605" s="1341" t="s">
        <v>5462</v>
      </c>
      <c r="D4605" s="1310">
        <v>911.82692299999997</v>
      </c>
    </row>
    <row r="4606" spans="2:4" x14ac:dyDescent="0.2">
      <c r="B4606" s="1341">
        <v>5563</v>
      </c>
      <c r="C4606" s="1341" t="s">
        <v>5463</v>
      </c>
      <c r="D4606" s="1310">
        <v>942.72499100000005</v>
      </c>
    </row>
    <row r="4607" spans="2:4" x14ac:dyDescent="0.2">
      <c r="B4607" s="1341">
        <v>5564</v>
      </c>
      <c r="C4607" s="1341" t="s">
        <v>5464</v>
      </c>
      <c r="D4607" s="1310">
        <v>840.40909099999999</v>
      </c>
    </row>
    <row r="4608" spans="2:4" x14ac:dyDescent="0.2">
      <c r="B4608" s="1341">
        <v>5565</v>
      </c>
      <c r="C4608" s="1341" t="s">
        <v>5465</v>
      </c>
      <c r="D4608" s="1310">
        <v>781.02857300000005</v>
      </c>
    </row>
    <row r="4609" spans="2:4" x14ac:dyDescent="0.2">
      <c r="B4609" s="1341">
        <v>5566</v>
      </c>
      <c r="C4609" s="1341" t="s">
        <v>5466</v>
      </c>
      <c r="D4609" s="1310">
        <v>838.70001200000002</v>
      </c>
    </row>
    <row r="4610" spans="2:4" x14ac:dyDescent="0.2">
      <c r="B4610" s="1341">
        <v>5567</v>
      </c>
      <c r="C4610" s="1341" t="s">
        <v>5467</v>
      </c>
      <c r="D4610" s="1310">
        <v>808.16666699999996</v>
      </c>
    </row>
    <row r="4611" spans="2:4" x14ac:dyDescent="0.2">
      <c r="B4611" s="1341">
        <v>5568</v>
      </c>
      <c r="C4611" s="1341" t="s">
        <v>5468</v>
      </c>
      <c r="D4611" s="1310">
        <v>888</v>
      </c>
    </row>
    <row r="4612" spans="2:4" x14ac:dyDescent="0.2">
      <c r="B4612" s="1341">
        <v>5569</v>
      </c>
      <c r="C4612" s="1341" t="s">
        <v>5469</v>
      </c>
      <c r="D4612" s="1310">
        <v>1029.7214269999999</v>
      </c>
    </row>
    <row r="4613" spans="2:4" x14ac:dyDescent="0.2">
      <c r="B4613" s="1341">
        <v>5570</v>
      </c>
      <c r="C4613" s="1341" t="s">
        <v>5470</v>
      </c>
      <c r="D4613" s="1310">
        <v>881.65002400000003</v>
      </c>
    </row>
    <row r="4614" spans="2:4" x14ac:dyDescent="0.2">
      <c r="B4614" s="1341">
        <v>5571</v>
      </c>
      <c r="C4614" s="1341" t="s">
        <v>5471</v>
      </c>
      <c r="D4614" s="1310">
        <v>809.19999199999995</v>
      </c>
    </row>
    <row r="4615" spans="2:4" x14ac:dyDescent="0.2">
      <c r="B4615" s="1341">
        <v>5572</v>
      </c>
      <c r="C4615" s="1341" t="s">
        <v>5472</v>
      </c>
      <c r="D4615" s="1310">
        <v>760.81427900000006</v>
      </c>
    </row>
    <row r="4616" spans="2:4" x14ac:dyDescent="0.2">
      <c r="B4616" s="1341">
        <v>5573</v>
      </c>
      <c r="C4616" s="1341" t="s">
        <v>4902</v>
      </c>
      <c r="D4616" s="1310">
        <v>793.54999699999996</v>
      </c>
    </row>
    <row r="4617" spans="2:4" x14ac:dyDescent="0.2">
      <c r="B4617" s="1341">
        <v>5574</v>
      </c>
      <c r="C4617" s="1341" t="s">
        <v>1614</v>
      </c>
      <c r="D4617" s="1310">
        <v>859.95000200000004</v>
      </c>
    </row>
    <row r="4618" spans="2:4" x14ac:dyDescent="0.2">
      <c r="B4618" s="1341">
        <v>5575</v>
      </c>
      <c r="C4618" s="1341" t="s">
        <v>5473</v>
      </c>
      <c r="D4618" s="1310">
        <v>1156.4055579999999</v>
      </c>
    </row>
    <row r="4619" spans="2:4" x14ac:dyDescent="0.2">
      <c r="B4619" s="1341">
        <v>5576</v>
      </c>
      <c r="C4619" s="1341" t="s">
        <v>5474</v>
      </c>
      <c r="D4619" s="1310">
        <v>827.14375299999995</v>
      </c>
    </row>
    <row r="4620" spans="2:4" x14ac:dyDescent="0.2">
      <c r="B4620" s="1341">
        <v>5577</v>
      </c>
      <c r="C4620" s="1341" t="s">
        <v>5475</v>
      </c>
      <c r="D4620" s="1310">
        <v>805.9923</v>
      </c>
    </row>
    <row r="4621" spans="2:4" x14ac:dyDescent="0.2">
      <c r="B4621" s="1341">
        <v>5578</v>
      </c>
      <c r="C4621" s="1341" t="s">
        <v>5476</v>
      </c>
      <c r="D4621" s="1310">
        <v>814.01999499999999</v>
      </c>
    </row>
    <row r="4622" spans="2:4" x14ac:dyDescent="0.2">
      <c r="B4622" s="1341">
        <v>5579</v>
      </c>
      <c r="C4622" s="1341" t="s">
        <v>5477</v>
      </c>
      <c r="D4622" s="1310">
        <v>774.2</v>
      </c>
    </row>
    <row r="4623" spans="2:4" x14ac:dyDescent="0.2">
      <c r="B4623" s="1341">
        <v>5580</v>
      </c>
      <c r="C4623" s="1341" t="s">
        <v>5478</v>
      </c>
      <c r="D4623" s="1310">
        <v>743.64285700000005</v>
      </c>
    </row>
    <row r="4624" spans="2:4" x14ac:dyDescent="0.2">
      <c r="B4624" s="1341">
        <v>5581</v>
      </c>
      <c r="C4624" s="1341" t="s">
        <v>5479</v>
      </c>
      <c r="D4624" s="1310">
        <v>933.76666299999999</v>
      </c>
    </row>
    <row r="4625" spans="2:4" x14ac:dyDescent="0.2">
      <c r="B4625" s="1341">
        <v>5582</v>
      </c>
      <c r="C4625" s="1341" t="s">
        <v>5480</v>
      </c>
      <c r="D4625" s="1310">
        <v>806.39998400000002</v>
      </c>
    </row>
    <row r="4626" spans="2:4" x14ac:dyDescent="0.2">
      <c r="B4626" s="1341">
        <v>5583</v>
      </c>
      <c r="C4626" s="1341" t="s">
        <v>5481</v>
      </c>
      <c r="D4626" s="1310">
        <v>655.10000600000001</v>
      </c>
    </row>
    <row r="4627" spans="2:4" x14ac:dyDescent="0.2">
      <c r="B4627" s="1341">
        <v>5584</v>
      </c>
      <c r="C4627" s="1341" t="s">
        <v>5482</v>
      </c>
      <c r="D4627" s="1310">
        <v>662.12498500000004</v>
      </c>
    </row>
    <row r="4628" spans="2:4" x14ac:dyDescent="0.2">
      <c r="B4628" s="1341">
        <v>5585</v>
      </c>
      <c r="C4628" s="1341" t="s">
        <v>5483</v>
      </c>
      <c r="D4628" s="1310">
        <v>700.83331299999998</v>
      </c>
    </row>
    <row r="4629" spans="2:4" x14ac:dyDescent="0.2">
      <c r="B4629" s="1341">
        <v>5586</v>
      </c>
      <c r="C4629" s="1341" t="s">
        <v>5484</v>
      </c>
      <c r="D4629" s="1310">
        <v>686.23999000000003</v>
      </c>
    </row>
    <row r="4630" spans="2:4" x14ac:dyDescent="0.2">
      <c r="B4630" s="1341">
        <v>5587</v>
      </c>
      <c r="C4630" s="1341" t="s">
        <v>1760</v>
      </c>
      <c r="D4630" s="1310">
        <v>714.05000299999995</v>
      </c>
    </row>
    <row r="4631" spans="2:4" x14ac:dyDescent="0.2">
      <c r="B4631" s="1341">
        <v>5588</v>
      </c>
      <c r="C4631" s="1341" t="s">
        <v>5485</v>
      </c>
      <c r="D4631" s="1310">
        <v>742</v>
      </c>
    </row>
    <row r="4632" spans="2:4" x14ac:dyDescent="0.2">
      <c r="B4632" s="1341">
        <v>5589</v>
      </c>
      <c r="C4632" s="1341" t="s">
        <v>5486</v>
      </c>
      <c r="D4632" s="1310">
        <v>778.81818199999998</v>
      </c>
    </row>
    <row r="4633" spans="2:4" x14ac:dyDescent="0.2">
      <c r="B4633" s="1341">
        <v>5590</v>
      </c>
      <c r="C4633" s="1341" t="s">
        <v>2461</v>
      </c>
      <c r="D4633" s="1310">
        <v>855.44666700000005</v>
      </c>
    </row>
    <row r="4634" spans="2:4" x14ac:dyDescent="0.2">
      <c r="B4634" s="1341">
        <v>5591</v>
      </c>
      <c r="C4634" s="1341" t="s">
        <v>5487</v>
      </c>
      <c r="D4634" s="1310">
        <v>904.39999699999998</v>
      </c>
    </row>
    <row r="4635" spans="2:4" x14ac:dyDescent="0.2">
      <c r="B4635" s="1341">
        <v>5592</v>
      </c>
      <c r="C4635" s="1341" t="s">
        <v>4960</v>
      </c>
      <c r="D4635" s="1310">
        <v>665.84997599999997</v>
      </c>
    </row>
    <row r="4636" spans="2:4" x14ac:dyDescent="0.2">
      <c r="B4636" s="1341">
        <v>5593</v>
      </c>
      <c r="C4636" s="1341" t="s">
        <v>5488</v>
      </c>
      <c r="D4636" s="1310">
        <v>671.92498799999998</v>
      </c>
    </row>
    <row r="4637" spans="2:4" x14ac:dyDescent="0.2">
      <c r="B4637" s="1341">
        <v>5594</v>
      </c>
      <c r="C4637" s="1341" t="s">
        <v>5489</v>
      </c>
      <c r="D4637" s="1310">
        <v>702.79999699999996</v>
      </c>
    </row>
    <row r="4638" spans="2:4" x14ac:dyDescent="0.2">
      <c r="B4638" s="1341">
        <v>5595</v>
      </c>
      <c r="C4638" s="1341" t="s">
        <v>1434</v>
      </c>
      <c r="D4638" s="1310">
        <v>726.08572000000004</v>
      </c>
    </row>
    <row r="4639" spans="2:4" x14ac:dyDescent="0.2">
      <c r="B4639" s="1341">
        <v>5596</v>
      </c>
      <c r="C4639" s="1341" t="s">
        <v>5490</v>
      </c>
      <c r="D4639" s="1310">
        <v>720.53333499999997</v>
      </c>
    </row>
    <row r="4640" spans="2:4" x14ac:dyDescent="0.2">
      <c r="B4640" s="1341">
        <v>5597</v>
      </c>
      <c r="C4640" s="1341" t="s">
        <v>5491</v>
      </c>
      <c r="D4640" s="1310">
        <v>799.41109200000005</v>
      </c>
    </row>
    <row r="4641" spans="2:4" x14ac:dyDescent="0.2">
      <c r="B4641" s="1341">
        <v>5598</v>
      </c>
      <c r="C4641" s="1341" t="s">
        <v>5492</v>
      </c>
      <c r="D4641" s="1310">
        <v>827.25</v>
      </c>
    </row>
    <row r="4642" spans="2:4" x14ac:dyDescent="0.2">
      <c r="B4642" s="1341">
        <v>5599</v>
      </c>
      <c r="C4642" s="1341" t="s">
        <v>5493</v>
      </c>
      <c r="D4642" s="1310">
        <v>752</v>
      </c>
    </row>
    <row r="4643" spans="2:4" x14ac:dyDescent="0.2">
      <c r="B4643" s="1341">
        <v>5600</v>
      </c>
      <c r="C4643" s="1341" t="s">
        <v>5494</v>
      </c>
      <c r="D4643" s="1310">
        <v>916.63124100000005</v>
      </c>
    </row>
    <row r="4644" spans="2:4" x14ac:dyDescent="0.2">
      <c r="B4644" s="1341">
        <v>5601</v>
      </c>
      <c r="C4644" s="1341" t="s">
        <v>5495</v>
      </c>
      <c r="D4644" s="1310">
        <v>1253.0166830000001</v>
      </c>
    </row>
    <row r="4645" spans="2:4" x14ac:dyDescent="0.2">
      <c r="B4645" s="1341">
        <v>5603</v>
      </c>
      <c r="C4645" s="1341" t="s">
        <v>5496</v>
      </c>
      <c r="D4645" s="1310">
        <v>664.72857699999997</v>
      </c>
    </row>
    <row r="4646" spans="2:4" x14ac:dyDescent="0.2">
      <c r="B4646" s="1341">
        <v>5604</v>
      </c>
      <c r="C4646" s="1341" t="s">
        <v>5497</v>
      </c>
      <c r="D4646" s="1310">
        <v>664.6</v>
      </c>
    </row>
    <row r="4647" spans="2:4" x14ac:dyDescent="0.2">
      <c r="B4647" s="1341">
        <v>5605</v>
      </c>
      <c r="C4647" s="1341" t="s">
        <v>5498</v>
      </c>
      <c r="D4647" s="1310">
        <v>668.61665900000003</v>
      </c>
    </row>
    <row r="4648" spans="2:4" x14ac:dyDescent="0.2">
      <c r="B4648" s="1341">
        <v>5606</v>
      </c>
      <c r="C4648" s="1341" t="s">
        <v>5499</v>
      </c>
      <c r="D4648" s="1310">
        <v>677.62857499999996</v>
      </c>
    </row>
    <row r="4649" spans="2:4" x14ac:dyDescent="0.2">
      <c r="B4649" s="1341">
        <v>5607</v>
      </c>
      <c r="C4649" s="1341" t="s">
        <v>5500</v>
      </c>
      <c r="D4649" s="1310">
        <v>676.44615799999997</v>
      </c>
    </row>
    <row r="4650" spans="2:4" x14ac:dyDescent="0.2">
      <c r="B4650" s="1341">
        <v>5608</v>
      </c>
      <c r="C4650" s="1341" t="s">
        <v>5501</v>
      </c>
      <c r="D4650" s="1310">
        <v>727.72941000000003</v>
      </c>
    </row>
    <row r="4651" spans="2:4" x14ac:dyDescent="0.2">
      <c r="B4651" s="1341">
        <v>5609</v>
      </c>
      <c r="C4651" s="1341" t="s">
        <v>5502</v>
      </c>
      <c r="D4651" s="1310">
        <v>757.95555300000001</v>
      </c>
    </row>
    <row r="4652" spans="2:4" x14ac:dyDescent="0.2">
      <c r="B4652" s="1341">
        <v>5610</v>
      </c>
      <c r="C4652" s="1341" t="s">
        <v>5503</v>
      </c>
      <c r="D4652" s="1310">
        <v>843.96666800000003</v>
      </c>
    </row>
    <row r="4653" spans="2:4" x14ac:dyDescent="0.2">
      <c r="B4653" s="1341">
        <v>5611</v>
      </c>
      <c r="C4653" s="1341" t="s">
        <v>5504</v>
      </c>
      <c r="D4653" s="1310">
        <v>663.14999399999999</v>
      </c>
    </row>
    <row r="4654" spans="2:4" x14ac:dyDescent="0.2">
      <c r="B4654" s="1341">
        <v>5612</v>
      </c>
      <c r="C4654" s="1341" t="s">
        <v>5505</v>
      </c>
      <c r="D4654" s="1310">
        <v>673.79998799999998</v>
      </c>
    </row>
    <row r="4655" spans="2:4" x14ac:dyDescent="0.2">
      <c r="B4655" s="1341">
        <v>5613</v>
      </c>
      <c r="C4655" s="1341" t="s">
        <v>5506</v>
      </c>
      <c r="D4655" s="1310">
        <v>662.6</v>
      </c>
    </row>
    <row r="4656" spans="2:4" x14ac:dyDescent="0.2">
      <c r="B4656" s="1341">
        <v>5614</v>
      </c>
      <c r="C4656" s="1341" t="s">
        <v>5507</v>
      </c>
      <c r="D4656" s="1310">
        <v>744.09999600000003</v>
      </c>
    </row>
    <row r="4657" spans="2:4" x14ac:dyDescent="0.2">
      <c r="B4657" s="1341">
        <v>5615</v>
      </c>
      <c r="C4657" s="1341" t="s">
        <v>5508</v>
      </c>
      <c r="D4657" s="1310">
        <v>748.45454500000005</v>
      </c>
    </row>
    <row r="4658" spans="2:4" x14ac:dyDescent="0.2">
      <c r="B4658" s="1341">
        <v>5616</v>
      </c>
      <c r="C4658" s="1341" t="s">
        <v>5509</v>
      </c>
      <c r="D4658" s="1310">
        <v>777.87857099999997</v>
      </c>
    </row>
    <row r="4659" spans="2:4" x14ac:dyDescent="0.2">
      <c r="B4659" s="1341">
        <v>5617</v>
      </c>
      <c r="C4659" s="1341" t="s">
        <v>5510</v>
      </c>
      <c r="D4659" s="1310">
        <v>839.23749899999996</v>
      </c>
    </row>
    <row r="4660" spans="2:4" x14ac:dyDescent="0.2">
      <c r="B4660" s="1341">
        <v>5618</v>
      </c>
      <c r="C4660" s="1341" t="s">
        <v>5511</v>
      </c>
      <c r="D4660" s="1310">
        <v>968.64998900000001</v>
      </c>
    </row>
    <row r="4661" spans="2:4" x14ac:dyDescent="0.2">
      <c r="B4661" s="1341">
        <v>5619</v>
      </c>
      <c r="C4661" s="1341" t="s">
        <v>5512</v>
      </c>
      <c r="D4661" s="1310">
        <v>651.12941599999999</v>
      </c>
    </row>
    <row r="4662" spans="2:4" x14ac:dyDescent="0.2">
      <c r="B4662" s="1341">
        <v>5620</v>
      </c>
      <c r="C4662" s="1341" t="s">
        <v>5513</v>
      </c>
      <c r="D4662" s="1310">
        <v>656.21538399999997</v>
      </c>
    </row>
    <row r="4663" spans="2:4" x14ac:dyDescent="0.2">
      <c r="B4663" s="1341">
        <v>5621</v>
      </c>
      <c r="C4663" s="1341" t="s">
        <v>5514</v>
      </c>
      <c r="D4663" s="1310">
        <v>653.23333300000002</v>
      </c>
    </row>
    <row r="4664" spans="2:4" x14ac:dyDescent="0.2">
      <c r="B4664" s="1341">
        <v>5622</v>
      </c>
      <c r="C4664" s="1341" t="s">
        <v>5515</v>
      </c>
      <c r="D4664" s="1310">
        <v>649.42857100000003</v>
      </c>
    </row>
    <row r="4665" spans="2:4" x14ac:dyDescent="0.2">
      <c r="B4665" s="1341">
        <v>5623</v>
      </c>
      <c r="C4665" s="1341" t="s">
        <v>5516</v>
      </c>
      <c r="D4665" s="1310">
        <v>656.47499100000005</v>
      </c>
    </row>
    <row r="4666" spans="2:4" x14ac:dyDescent="0.2">
      <c r="B4666" s="1341">
        <v>5624</v>
      </c>
      <c r="C4666" s="1341" t="s">
        <v>5517</v>
      </c>
      <c r="D4666" s="1310">
        <v>644.21818099999996</v>
      </c>
    </row>
    <row r="4667" spans="2:4" x14ac:dyDescent="0.2">
      <c r="B4667" s="1341">
        <v>5625</v>
      </c>
      <c r="C4667" s="1341" t="s">
        <v>394</v>
      </c>
      <c r="D4667" s="1310">
        <v>638.15000099999997</v>
      </c>
    </row>
    <row r="4668" spans="2:4" x14ac:dyDescent="0.2">
      <c r="B4668" s="1341">
        <v>5626</v>
      </c>
      <c r="C4668" s="1341" t="s">
        <v>5518</v>
      </c>
      <c r="D4668" s="1310">
        <v>657.16667099999995</v>
      </c>
    </row>
    <row r="4669" spans="2:4" x14ac:dyDescent="0.2">
      <c r="B4669" s="1341">
        <v>5627</v>
      </c>
      <c r="C4669" s="1341" t="s">
        <v>5519</v>
      </c>
      <c r="D4669" s="1310">
        <v>700.23043199999995</v>
      </c>
    </row>
    <row r="4670" spans="2:4" x14ac:dyDescent="0.2">
      <c r="B4670" s="1341">
        <v>5628</v>
      </c>
      <c r="C4670" s="1341" t="s">
        <v>5520</v>
      </c>
      <c r="D4670" s="1310">
        <v>740.23333700000001</v>
      </c>
    </row>
    <row r="4671" spans="2:4" x14ac:dyDescent="0.2">
      <c r="B4671" s="1341">
        <v>5629</v>
      </c>
      <c r="C4671" s="1341" t="s">
        <v>5521</v>
      </c>
      <c r="D4671" s="1310">
        <v>756.77499799999998</v>
      </c>
    </row>
    <row r="4672" spans="2:4" x14ac:dyDescent="0.2">
      <c r="B4672" s="1341">
        <v>5630</v>
      </c>
      <c r="C4672" s="1341" t="s">
        <v>5522</v>
      </c>
      <c r="D4672" s="1310">
        <v>675.52855599999998</v>
      </c>
    </row>
    <row r="4673" spans="2:4" x14ac:dyDescent="0.2">
      <c r="B4673" s="1341">
        <v>5631</v>
      </c>
      <c r="C4673" s="1341" t="s">
        <v>5523</v>
      </c>
      <c r="D4673" s="1310">
        <v>672.48181699999998</v>
      </c>
    </row>
    <row r="4674" spans="2:4" x14ac:dyDescent="0.2">
      <c r="B4674" s="1341">
        <v>5632</v>
      </c>
      <c r="C4674" s="1341" t="s">
        <v>5524</v>
      </c>
      <c r="D4674" s="1310">
        <v>677.66428499999995</v>
      </c>
    </row>
    <row r="4675" spans="2:4" x14ac:dyDescent="0.2">
      <c r="B4675" s="1341">
        <v>5633</v>
      </c>
      <c r="C4675" s="1341" t="s">
        <v>5525</v>
      </c>
      <c r="D4675" s="1310">
        <v>686.19166600000005</v>
      </c>
    </row>
    <row r="4676" spans="2:4" x14ac:dyDescent="0.2">
      <c r="B4676" s="1341">
        <v>5634</v>
      </c>
      <c r="C4676" s="1341" t="s">
        <v>5270</v>
      </c>
      <c r="D4676" s="1310">
        <v>667.79445099999998</v>
      </c>
    </row>
    <row r="4677" spans="2:4" x14ac:dyDescent="0.2">
      <c r="B4677" s="1341">
        <v>5635</v>
      </c>
      <c r="C4677" s="1341" t="s">
        <v>5526</v>
      </c>
      <c r="D4677" s="1310">
        <v>633.52499399999999</v>
      </c>
    </row>
    <row r="4678" spans="2:4" x14ac:dyDescent="0.2">
      <c r="B4678" s="1341">
        <v>5636</v>
      </c>
      <c r="C4678" s="1341" t="s">
        <v>5527</v>
      </c>
      <c r="D4678" s="1310">
        <v>646.71249399999999</v>
      </c>
    </row>
    <row r="4679" spans="2:4" x14ac:dyDescent="0.2">
      <c r="B4679" s="1341">
        <v>5637</v>
      </c>
      <c r="C4679" s="1341" t="s">
        <v>5528</v>
      </c>
      <c r="D4679" s="1310">
        <v>648.81332999999995</v>
      </c>
    </row>
    <row r="4680" spans="2:4" x14ac:dyDescent="0.2">
      <c r="B4680" s="1341">
        <v>5638</v>
      </c>
      <c r="C4680" s="1341" t="s">
        <v>5529</v>
      </c>
      <c r="D4680" s="1310">
        <v>654.60000200000002</v>
      </c>
    </row>
    <row r="4681" spans="2:4" x14ac:dyDescent="0.2">
      <c r="B4681" s="1341">
        <v>5639</v>
      </c>
      <c r="C4681" s="1341" t="s">
        <v>5530</v>
      </c>
      <c r="D4681" s="1310">
        <v>649.84286099999997</v>
      </c>
    </row>
    <row r="4682" spans="2:4" x14ac:dyDescent="0.2">
      <c r="B4682" s="1341">
        <v>5640</v>
      </c>
      <c r="C4682" s="1341" t="s">
        <v>5531</v>
      </c>
      <c r="D4682" s="1310">
        <v>655.639994</v>
      </c>
    </row>
    <row r="4683" spans="2:4" x14ac:dyDescent="0.2">
      <c r="B4683" s="1341">
        <v>5641</v>
      </c>
      <c r="C4683" s="1341" t="s">
        <v>4252</v>
      </c>
      <c r="D4683" s="1310">
        <v>688</v>
      </c>
    </row>
    <row r="4684" spans="2:4" x14ac:dyDescent="0.2">
      <c r="B4684" s="1341">
        <v>5642</v>
      </c>
      <c r="C4684" s="1341" t="s">
        <v>4726</v>
      </c>
      <c r="D4684" s="1310">
        <v>711.38461500000005</v>
      </c>
    </row>
    <row r="4685" spans="2:4" x14ac:dyDescent="0.2">
      <c r="B4685" s="1341">
        <v>5643</v>
      </c>
      <c r="C4685" s="1341" t="s">
        <v>5532</v>
      </c>
      <c r="D4685" s="1310">
        <v>728.63332800000001</v>
      </c>
    </row>
    <row r="4686" spans="2:4" x14ac:dyDescent="0.2">
      <c r="B4686" s="1341">
        <v>5644</v>
      </c>
      <c r="C4686" s="1341" t="s">
        <v>5533</v>
      </c>
      <c r="D4686" s="1310">
        <v>724.45999099999995</v>
      </c>
    </row>
    <row r="4687" spans="2:4" x14ac:dyDescent="0.2">
      <c r="B4687" s="1341">
        <v>5645</v>
      </c>
      <c r="C4687" s="1341" t="s">
        <v>5534</v>
      </c>
      <c r="D4687" s="1310">
        <v>664.70001200000002</v>
      </c>
    </row>
    <row r="4688" spans="2:4" x14ac:dyDescent="0.2">
      <c r="B4688" s="1341">
        <v>5646</v>
      </c>
      <c r="C4688" s="1341" t="s">
        <v>5535</v>
      </c>
      <c r="D4688" s="1310">
        <v>685.86000200000001</v>
      </c>
    </row>
    <row r="4689" spans="2:4" x14ac:dyDescent="0.2">
      <c r="B4689" s="1341">
        <v>5647</v>
      </c>
      <c r="C4689" s="1341" t="s">
        <v>5536</v>
      </c>
      <c r="D4689" s="1310">
        <v>695.53637100000003</v>
      </c>
    </row>
    <row r="4690" spans="2:4" x14ac:dyDescent="0.2">
      <c r="B4690" s="1341">
        <v>5648</v>
      </c>
      <c r="C4690" s="1341" t="s">
        <v>5537</v>
      </c>
      <c r="D4690" s="1310">
        <v>640.71666500000003</v>
      </c>
    </row>
    <row r="4691" spans="2:4" x14ac:dyDescent="0.2">
      <c r="B4691" s="1341">
        <v>5649</v>
      </c>
      <c r="C4691" s="1341" t="s">
        <v>5538</v>
      </c>
      <c r="D4691" s="1310">
        <v>679.71538799999996</v>
      </c>
    </row>
    <row r="4692" spans="2:4" x14ac:dyDescent="0.2">
      <c r="B4692" s="1341">
        <v>5650</v>
      </c>
      <c r="C4692" s="1341" t="s">
        <v>5539</v>
      </c>
      <c r="D4692" s="1310">
        <v>696.27407700000003</v>
      </c>
    </row>
    <row r="4693" spans="2:4" x14ac:dyDescent="0.2">
      <c r="B4693" s="1341">
        <v>5651</v>
      </c>
      <c r="C4693" s="1341" t="s">
        <v>5540</v>
      </c>
      <c r="D4693" s="1310">
        <v>692.67499499999997</v>
      </c>
    </row>
    <row r="4694" spans="2:4" x14ac:dyDescent="0.2">
      <c r="B4694" s="1341">
        <v>5652</v>
      </c>
      <c r="C4694" s="1341" t="s">
        <v>5541</v>
      </c>
      <c r="D4694" s="1310">
        <v>663.22857699999997</v>
      </c>
    </row>
    <row r="4695" spans="2:4" x14ac:dyDescent="0.2">
      <c r="B4695" s="1341">
        <v>5653</v>
      </c>
      <c r="C4695" s="1341" t="s">
        <v>5542</v>
      </c>
      <c r="D4695" s="1310">
        <v>665.54000199999996</v>
      </c>
    </row>
    <row r="4696" spans="2:4" x14ac:dyDescent="0.2">
      <c r="B4696" s="1341">
        <v>5654</v>
      </c>
      <c r="C4696" s="1341" t="s">
        <v>5543</v>
      </c>
      <c r="D4696" s="1310">
        <v>659.03999599999997</v>
      </c>
    </row>
    <row r="4697" spans="2:4" x14ac:dyDescent="0.2">
      <c r="B4697" s="1341">
        <v>5655</v>
      </c>
      <c r="C4697" s="1341" t="s">
        <v>5544</v>
      </c>
      <c r="D4697" s="1310">
        <v>675.78000099999997</v>
      </c>
    </row>
    <row r="4698" spans="2:4" x14ac:dyDescent="0.2">
      <c r="B4698" s="1341">
        <v>5656</v>
      </c>
      <c r="C4698" s="1341" t="s">
        <v>5545</v>
      </c>
      <c r="D4698" s="1310">
        <v>670.40000399999997</v>
      </c>
    </row>
    <row r="4699" spans="2:4" x14ac:dyDescent="0.2">
      <c r="B4699" s="1341">
        <v>5657</v>
      </c>
      <c r="C4699" s="1341" t="s">
        <v>5546</v>
      </c>
      <c r="D4699" s="1310">
        <v>674.03125399999999</v>
      </c>
    </row>
    <row r="4700" spans="2:4" x14ac:dyDescent="0.2">
      <c r="B4700" s="1341">
        <v>5658</v>
      </c>
      <c r="C4700" s="1341" t="s">
        <v>5547</v>
      </c>
      <c r="D4700" s="1310">
        <v>691.53749100000005</v>
      </c>
    </row>
    <row r="4701" spans="2:4" x14ac:dyDescent="0.2">
      <c r="B4701" s="1341">
        <v>5659</v>
      </c>
      <c r="C4701" s="1341" t="s">
        <v>5548</v>
      </c>
      <c r="D4701" s="1310">
        <v>729.62222599999996</v>
      </c>
    </row>
    <row r="4702" spans="2:4" x14ac:dyDescent="0.2">
      <c r="B4702" s="1341">
        <v>5660</v>
      </c>
      <c r="C4702" s="1341" t="s">
        <v>5549</v>
      </c>
      <c r="D4702" s="1310">
        <v>683.62858400000005</v>
      </c>
    </row>
    <row r="4703" spans="2:4" x14ac:dyDescent="0.2">
      <c r="B4703" s="1341">
        <v>5661</v>
      </c>
      <c r="C4703" s="1341" t="s">
        <v>5550</v>
      </c>
      <c r="D4703" s="1310">
        <v>656.20555999999999</v>
      </c>
    </row>
    <row r="4704" spans="2:4" x14ac:dyDescent="0.2">
      <c r="B4704" s="1341">
        <v>5662</v>
      </c>
      <c r="C4704" s="1341" t="s">
        <v>5551</v>
      </c>
      <c r="D4704" s="1310">
        <v>700.32999900000004</v>
      </c>
    </row>
    <row r="4705" spans="2:4" x14ac:dyDescent="0.2">
      <c r="B4705" s="1341">
        <v>5663</v>
      </c>
      <c r="C4705" s="1341" t="s">
        <v>5552</v>
      </c>
      <c r="D4705" s="1310">
        <v>709.49333100000001</v>
      </c>
    </row>
    <row r="4706" spans="2:4" x14ac:dyDescent="0.2">
      <c r="B4706" s="1341">
        <v>5664</v>
      </c>
      <c r="C4706" s="1341" t="s">
        <v>5553</v>
      </c>
      <c r="D4706" s="1310">
        <v>710.37499200000002</v>
      </c>
    </row>
    <row r="4707" spans="2:4" x14ac:dyDescent="0.2">
      <c r="B4707" s="1341">
        <v>5665</v>
      </c>
      <c r="C4707" s="1341" t="s">
        <v>5554</v>
      </c>
      <c r="D4707" s="1310">
        <v>667.96153800000002</v>
      </c>
    </row>
    <row r="4708" spans="2:4" x14ac:dyDescent="0.2">
      <c r="B4708" s="1341">
        <v>5666</v>
      </c>
      <c r="C4708" s="1341" t="s">
        <v>5555</v>
      </c>
      <c r="D4708" s="1310">
        <v>668.60768900000005</v>
      </c>
    </row>
    <row r="4709" spans="2:4" x14ac:dyDescent="0.2">
      <c r="B4709" s="1341">
        <v>5667</v>
      </c>
      <c r="C4709" s="1341" t="s">
        <v>5556</v>
      </c>
      <c r="D4709" s="1310">
        <v>686.89374499999997</v>
      </c>
    </row>
    <row r="4710" spans="2:4" x14ac:dyDescent="0.2">
      <c r="B4710" s="1341">
        <v>5668</v>
      </c>
      <c r="C4710" s="1341" t="s">
        <v>5557</v>
      </c>
      <c r="D4710" s="1310">
        <v>688.78750600000001</v>
      </c>
    </row>
    <row r="4711" spans="2:4" x14ac:dyDescent="0.2">
      <c r="B4711" s="1341">
        <v>5669</v>
      </c>
      <c r="C4711" s="1341" t="s">
        <v>5558</v>
      </c>
      <c r="D4711" s="1310">
        <v>683.90000399999997</v>
      </c>
    </row>
    <row r="4712" spans="2:4" x14ac:dyDescent="0.2">
      <c r="B4712" s="1341">
        <v>5670</v>
      </c>
      <c r="C4712" s="1341" t="s">
        <v>5559</v>
      </c>
      <c r="D4712" s="1310">
        <v>701.56363699999997</v>
      </c>
    </row>
    <row r="4713" spans="2:4" x14ac:dyDescent="0.2">
      <c r="B4713" s="1341">
        <v>5671</v>
      </c>
      <c r="C4713" s="1341" t="s">
        <v>5560</v>
      </c>
      <c r="D4713" s="1310">
        <v>712.27857300000005</v>
      </c>
    </row>
    <row r="4714" spans="2:4" x14ac:dyDescent="0.2">
      <c r="B4714" s="1341">
        <v>5672</v>
      </c>
      <c r="C4714" s="1341" t="s">
        <v>5561</v>
      </c>
      <c r="D4714" s="1310">
        <v>692.93333399999995</v>
      </c>
    </row>
    <row r="4715" spans="2:4" x14ac:dyDescent="0.2">
      <c r="B4715" s="1341">
        <v>5673</v>
      </c>
      <c r="C4715" s="1341" t="s">
        <v>5562</v>
      </c>
      <c r="D4715" s="1310">
        <v>683.47499600000003</v>
      </c>
    </row>
    <row r="4716" spans="2:4" x14ac:dyDescent="0.2">
      <c r="B4716" s="1341">
        <v>5674</v>
      </c>
      <c r="C4716" s="1341" t="s">
        <v>5563</v>
      </c>
      <c r="D4716" s="1310">
        <v>685.26666299999999</v>
      </c>
    </row>
    <row r="4717" spans="2:4" x14ac:dyDescent="0.2">
      <c r="B4717" s="1341">
        <v>5702</v>
      </c>
      <c r="C4717" s="1341" t="s">
        <v>2285</v>
      </c>
      <c r="D4717" s="1310">
        <v>926.81999499999995</v>
      </c>
    </row>
    <row r="4718" spans="2:4" x14ac:dyDescent="0.2">
      <c r="B4718" s="1341">
        <v>5703</v>
      </c>
      <c r="C4718" s="1341" t="s">
        <v>5564</v>
      </c>
      <c r="D4718" s="1310">
        <v>1020.670967</v>
      </c>
    </row>
    <row r="4719" spans="2:4" x14ac:dyDescent="0.2">
      <c r="B4719" s="1341">
        <v>5704</v>
      </c>
      <c r="C4719" s="1341" t="s">
        <v>5565</v>
      </c>
      <c r="D4719" s="1310">
        <v>1235.082347</v>
      </c>
    </row>
    <row r="4720" spans="2:4" x14ac:dyDescent="0.2">
      <c r="B4720" s="1341">
        <v>5705</v>
      </c>
      <c r="C4720" s="1341" t="s">
        <v>3822</v>
      </c>
      <c r="D4720" s="1310">
        <v>760.75624800000003</v>
      </c>
    </row>
    <row r="4721" spans="2:4" x14ac:dyDescent="0.2">
      <c r="B4721" s="1341">
        <v>5706</v>
      </c>
      <c r="C4721" s="1341" t="s">
        <v>5566</v>
      </c>
      <c r="D4721" s="1310">
        <v>788.19375200000002</v>
      </c>
    </row>
    <row r="4722" spans="2:4" x14ac:dyDescent="0.2">
      <c r="B4722" s="1341">
        <v>5707</v>
      </c>
      <c r="C4722" s="1341" t="s">
        <v>5567</v>
      </c>
      <c r="D4722" s="1310">
        <v>835.23889499999996</v>
      </c>
    </row>
    <row r="4723" spans="2:4" x14ac:dyDescent="0.2">
      <c r="B4723" s="1341">
        <v>5708</v>
      </c>
      <c r="C4723" s="1341" t="s">
        <v>5143</v>
      </c>
      <c r="D4723" s="1310">
        <v>985.32500200000004</v>
      </c>
    </row>
    <row r="4724" spans="2:4" x14ac:dyDescent="0.2">
      <c r="B4724" s="1341">
        <v>5709</v>
      </c>
      <c r="C4724" s="1341" t="s">
        <v>5568</v>
      </c>
      <c r="D4724" s="1310">
        <v>1100.5022779999999</v>
      </c>
    </row>
    <row r="4725" spans="2:4" x14ac:dyDescent="0.2">
      <c r="B4725" s="1341">
        <v>5710</v>
      </c>
      <c r="C4725" s="1341" t="s">
        <v>5569</v>
      </c>
      <c r="D4725" s="1310">
        <v>1202.5499990000001</v>
      </c>
    </row>
    <row r="4726" spans="2:4" x14ac:dyDescent="0.2">
      <c r="B4726" s="1341">
        <v>5713</v>
      </c>
      <c r="C4726" s="1341" t="s">
        <v>5570</v>
      </c>
      <c r="D4726" s="1310">
        <v>1168.899987</v>
      </c>
    </row>
    <row r="4727" spans="2:4" x14ac:dyDescent="0.2">
      <c r="B4727" s="1341">
        <v>5714</v>
      </c>
      <c r="C4727" s="1341" t="s">
        <v>5571</v>
      </c>
      <c r="D4727" s="1310">
        <v>966.77999299999999</v>
      </c>
    </row>
    <row r="4728" spans="2:4" x14ac:dyDescent="0.2">
      <c r="B4728" s="1341">
        <v>5715</v>
      </c>
      <c r="C4728" s="1341" t="s">
        <v>5572</v>
      </c>
      <c r="D4728" s="1310">
        <v>880.14999899999998</v>
      </c>
    </row>
    <row r="4729" spans="2:4" x14ac:dyDescent="0.2">
      <c r="B4729" s="1341">
        <v>5716</v>
      </c>
      <c r="C4729" s="1341" t="s">
        <v>5573</v>
      </c>
      <c r="D4729" s="1310">
        <v>803.94999700000005</v>
      </c>
    </row>
    <row r="4730" spans="2:4" x14ac:dyDescent="0.2">
      <c r="B4730" s="1341">
        <v>5717</v>
      </c>
      <c r="C4730" s="1341" t="s">
        <v>5574</v>
      </c>
      <c r="D4730" s="1310">
        <v>1190.4593789999999</v>
      </c>
    </row>
    <row r="4731" spans="2:4" x14ac:dyDescent="0.2">
      <c r="B4731" s="1341">
        <v>5718</v>
      </c>
      <c r="C4731" s="1341" t="s">
        <v>4428</v>
      </c>
      <c r="D4731" s="1310">
        <v>915.97999900000002</v>
      </c>
    </row>
    <row r="4732" spans="2:4" x14ac:dyDescent="0.2">
      <c r="B4732" s="1341">
        <v>5719</v>
      </c>
      <c r="C4732" s="1341" t="s">
        <v>5575</v>
      </c>
      <c r="D4732" s="1310">
        <v>1015.405877</v>
      </c>
    </row>
    <row r="4733" spans="2:4" x14ac:dyDescent="0.2">
      <c r="B4733" s="1341">
        <v>5720</v>
      </c>
      <c r="C4733" s="1341" t="s">
        <v>5576</v>
      </c>
      <c r="D4733" s="1310">
        <v>975.68890399999998</v>
      </c>
    </row>
    <row r="4734" spans="2:4" x14ac:dyDescent="0.2">
      <c r="B4734" s="1341">
        <v>5721</v>
      </c>
      <c r="C4734" s="1341" t="s">
        <v>5577</v>
      </c>
      <c r="D4734" s="1310">
        <v>853.409085</v>
      </c>
    </row>
    <row r="4735" spans="2:4" x14ac:dyDescent="0.2">
      <c r="B4735" s="1341">
        <v>5722</v>
      </c>
      <c r="C4735" s="1341" t="s">
        <v>5578</v>
      </c>
      <c r="D4735" s="1310">
        <v>953.27499899999998</v>
      </c>
    </row>
    <row r="4736" spans="2:4" x14ac:dyDescent="0.2">
      <c r="B4736" s="1341">
        <v>5723</v>
      </c>
      <c r="C4736" s="1341" t="s">
        <v>5215</v>
      </c>
      <c r="D4736" s="1310">
        <v>976.35262599999999</v>
      </c>
    </row>
    <row r="4737" spans="2:4" x14ac:dyDescent="0.2">
      <c r="B4737" s="1341">
        <v>5724</v>
      </c>
      <c r="C4737" s="1341" t="s">
        <v>5579</v>
      </c>
      <c r="D4737" s="1310">
        <v>919.73333200000002</v>
      </c>
    </row>
    <row r="4738" spans="2:4" x14ac:dyDescent="0.2">
      <c r="B4738" s="1341">
        <v>5725</v>
      </c>
      <c r="C4738" s="1341" t="s">
        <v>5580</v>
      </c>
      <c r="D4738" s="1310">
        <v>1017.8821390000001</v>
      </c>
    </row>
    <row r="4739" spans="2:4" x14ac:dyDescent="0.2">
      <c r="B4739" s="1341">
        <v>5728</v>
      </c>
      <c r="C4739" s="1341" t="s">
        <v>5581</v>
      </c>
      <c r="D4739" s="1310">
        <v>961.74400400000002</v>
      </c>
    </row>
    <row r="4740" spans="2:4" x14ac:dyDescent="0.2">
      <c r="B4740" s="1341">
        <v>5729</v>
      </c>
      <c r="C4740" s="1341" t="s">
        <v>5582</v>
      </c>
      <c r="D4740" s="1310">
        <v>1042.9470679999999</v>
      </c>
    </row>
    <row r="4741" spans="2:4" x14ac:dyDescent="0.2">
      <c r="B4741" s="1341">
        <v>5730</v>
      </c>
      <c r="C4741" s="1341" t="s">
        <v>5583</v>
      </c>
      <c r="D4741" s="1310">
        <v>1109.5578869999999</v>
      </c>
    </row>
    <row r="4742" spans="2:4" x14ac:dyDescent="0.2">
      <c r="B4742" s="1341">
        <v>5731</v>
      </c>
      <c r="C4742" s="1341" t="s">
        <v>5584</v>
      </c>
      <c r="D4742" s="1310">
        <v>1088.9125059999999</v>
      </c>
    </row>
    <row r="4743" spans="2:4" x14ac:dyDescent="0.2">
      <c r="B4743" s="1341">
        <v>5732</v>
      </c>
      <c r="C4743" s="1341" t="s">
        <v>5585</v>
      </c>
      <c r="D4743" s="1310">
        <v>1000.883321</v>
      </c>
    </row>
    <row r="4744" spans="2:4" x14ac:dyDescent="0.2">
      <c r="B4744" s="1341">
        <v>5733</v>
      </c>
      <c r="C4744" s="1341" t="s">
        <v>5586</v>
      </c>
      <c r="D4744" s="1310">
        <v>1209.310909</v>
      </c>
    </row>
    <row r="4745" spans="2:4" x14ac:dyDescent="0.2">
      <c r="B4745" s="1341">
        <v>5735</v>
      </c>
      <c r="C4745" s="1341" t="s">
        <v>5587</v>
      </c>
      <c r="D4745" s="1310">
        <v>1217.529029</v>
      </c>
    </row>
    <row r="4746" spans="2:4" x14ac:dyDescent="0.2">
      <c r="B4746" s="1341">
        <v>5736</v>
      </c>
      <c r="C4746" s="1341" t="s">
        <v>5588</v>
      </c>
      <c r="D4746" s="1310">
        <v>977.51250500000003</v>
      </c>
    </row>
    <row r="4747" spans="2:4" x14ac:dyDescent="0.2">
      <c r="B4747" s="1341">
        <v>5737</v>
      </c>
      <c r="C4747" s="1341" t="s">
        <v>5589</v>
      </c>
      <c r="D4747" s="1310">
        <v>1018.800008</v>
      </c>
    </row>
    <row r="4748" spans="2:4" x14ac:dyDescent="0.2">
      <c r="B4748" s="1341">
        <v>5738</v>
      </c>
      <c r="C4748" s="1341" t="s">
        <v>5590</v>
      </c>
      <c r="D4748" s="1310">
        <v>1209.71001</v>
      </c>
    </row>
    <row r="4749" spans="2:4" x14ac:dyDescent="0.2">
      <c r="B4749" s="1341">
        <v>5739</v>
      </c>
      <c r="C4749" s="1341" t="s">
        <v>5591</v>
      </c>
      <c r="D4749" s="1310">
        <v>1055.235999</v>
      </c>
    </row>
    <row r="4750" spans="2:4" x14ac:dyDescent="0.2">
      <c r="B4750" s="1341">
        <v>5740</v>
      </c>
      <c r="C4750" s="1341" t="s">
        <v>5592</v>
      </c>
      <c r="D4750" s="1310">
        <v>1042.3600100000001</v>
      </c>
    </row>
    <row r="4751" spans="2:4" x14ac:dyDescent="0.2">
      <c r="B4751" s="1341">
        <v>5741</v>
      </c>
      <c r="C4751" s="1341" t="s">
        <v>5593</v>
      </c>
      <c r="D4751" s="1310">
        <v>953.89999399999999</v>
      </c>
    </row>
    <row r="4752" spans="2:4" x14ac:dyDescent="0.2">
      <c r="B4752" s="1341">
        <v>5742</v>
      </c>
      <c r="C4752" s="1341" t="s">
        <v>5163</v>
      </c>
      <c r="D4752" s="1310">
        <v>934.57999900000004</v>
      </c>
    </row>
    <row r="4753" spans="2:4" x14ac:dyDescent="0.2">
      <c r="B4753" s="1341">
        <v>5743</v>
      </c>
      <c r="C4753" s="1341" t="s">
        <v>398</v>
      </c>
      <c r="D4753" s="1310">
        <v>869.63333499999999</v>
      </c>
    </row>
    <row r="4754" spans="2:4" x14ac:dyDescent="0.2">
      <c r="B4754" s="1341">
        <v>5744</v>
      </c>
      <c r="C4754" s="1341" t="s">
        <v>5594</v>
      </c>
      <c r="D4754" s="1310">
        <v>913</v>
      </c>
    </row>
    <row r="4755" spans="2:4" x14ac:dyDescent="0.2">
      <c r="B4755" s="1341">
        <v>5745</v>
      </c>
      <c r="C4755" s="1341" t="s">
        <v>5477</v>
      </c>
      <c r="D4755" s="1310">
        <v>1001.216665</v>
      </c>
    </row>
    <row r="4756" spans="2:4" x14ac:dyDescent="0.2">
      <c r="B4756" s="1341">
        <v>5746</v>
      </c>
      <c r="C4756" s="1341" t="s">
        <v>5595</v>
      </c>
      <c r="D4756" s="1310">
        <v>1111.7000009999999</v>
      </c>
    </row>
    <row r="4757" spans="2:4" x14ac:dyDescent="0.2">
      <c r="B4757" s="1341">
        <v>5747</v>
      </c>
      <c r="C4757" s="1341" t="s">
        <v>5596</v>
      </c>
      <c r="D4757" s="1310">
        <v>957.46666500000003</v>
      </c>
    </row>
    <row r="4758" spans="2:4" x14ac:dyDescent="0.2">
      <c r="B4758" s="1341">
        <v>5748</v>
      </c>
      <c r="C4758" s="1341" t="s">
        <v>5597</v>
      </c>
      <c r="D4758" s="1310">
        <v>908.09997599999997</v>
      </c>
    </row>
    <row r="4759" spans="2:4" x14ac:dyDescent="0.2">
      <c r="B4759" s="1341">
        <v>5749</v>
      </c>
      <c r="C4759" s="1341" t="s">
        <v>5598</v>
      </c>
      <c r="D4759" s="1310">
        <v>925.39284799999996</v>
      </c>
    </row>
    <row r="4760" spans="2:4" x14ac:dyDescent="0.2">
      <c r="B4760" s="1341">
        <v>5750</v>
      </c>
      <c r="C4760" s="1341" t="s">
        <v>5599</v>
      </c>
      <c r="D4760" s="1310">
        <v>911.74444600000004</v>
      </c>
    </row>
    <row r="4761" spans="2:4" x14ac:dyDescent="0.2">
      <c r="B4761" s="1341">
        <v>5751</v>
      </c>
      <c r="C4761" s="1341" t="s">
        <v>5600</v>
      </c>
      <c r="D4761" s="1310">
        <v>959.22999600000003</v>
      </c>
    </row>
    <row r="4762" spans="2:4" x14ac:dyDescent="0.2">
      <c r="B4762" s="1341">
        <v>5752</v>
      </c>
      <c r="C4762" s="1341" t="s">
        <v>5601</v>
      </c>
      <c r="D4762" s="1310">
        <v>1228.0999959999999</v>
      </c>
    </row>
    <row r="4763" spans="2:4" x14ac:dyDescent="0.2">
      <c r="B4763" s="1341">
        <v>5753</v>
      </c>
      <c r="C4763" s="1341" t="s">
        <v>5602</v>
      </c>
      <c r="D4763" s="1310">
        <v>1120.3214330000001</v>
      </c>
    </row>
    <row r="4764" spans="2:4" x14ac:dyDescent="0.2">
      <c r="B4764" s="1341">
        <v>5754</v>
      </c>
      <c r="C4764" s="1341" t="s">
        <v>5415</v>
      </c>
      <c r="D4764" s="1310">
        <v>979.10999500000003</v>
      </c>
    </row>
    <row r="4765" spans="2:4" x14ac:dyDescent="0.2">
      <c r="B4765" s="1341">
        <v>5755</v>
      </c>
      <c r="C4765" s="1341" t="s">
        <v>1998</v>
      </c>
      <c r="D4765" s="1310">
        <v>912.13332100000002</v>
      </c>
    </row>
    <row r="4766" spans="2:4" x14ac:dyDescent="0.2">
      <c r="B4766" s="1341">
        <v>5756</v>
      </c>
      <c r="C4766" s="1341" t="s">
        <v>5603</v>
      </c>
      <c r="D4766" s="1310">
        <v>949.85882600000002</v>
      </c>
    </row>
    <row r="4767" spans="2:4" x14ac:dyDescent="0.2">
      <c r="B4767" s="1341">
        <v>5757</v>
      </c>
      <c r="C4767" s="1341" t="s">
        <v>5604</v>
      </c>
      <c r="D4767" s="1310">
        <v>915.13076100000001</v>
      </c>
    </row>
    <row r="4768" spans="2:4" x14ac:dyDescent="0.2">
      <c r="B4768" s="1341">
        <v>5758</v>
      </c>
      <c r="C4768" s="1341" t="s">
        <v>5605</v>
      </c>
      <c r="D4768" s="1310">
        <v>908.369235</v>
      </c>
    </row>
    <row r="4769" spans="2:4" x14ac:dyDescent="0.2">
      <c r="B4769" s="1341">
        <v>5759</v>
      </c>
      <c r="C4769" s="1341" t="s">
        <v>5606</v>
      </c>
      <c r="D4769" s="1310">
        <v>938.69999199999995</v>
      </c>
    </row>
    <row r="4770" spans="2:4" x14ac:dyDescent="0.2">
      <c r="B4770" s="1341">
        <v>5760</v>
      </c>
      <c r="C4770" s="1341" t="s">
        <v>5607</v>
      </c>
      <c r="D4770" s="1310">
        <v>985.428585</v>
      </c>
    </row>
    <row r="4771" spans="2:4" x14ac:dyDescent="0.2">
      <c r="B4771" s="1341">
        <v>5761</v>
      </c>
      <c r="C4771" s="1341" t="s">
        <v>5159</v>
      </c>
      <c r="D4771" s="1310">
        <v>960.29411400000004</v>
      </c>
    </row>
    <row r="4772" spans="2:4" x14ac:dyDescent="0.2">
      <c r="B4772" s="1341">
        <v>5762</v>
      </c>
      <c r="C4772" s="1341" t="s">
        <v>5608</v>
      </c>
      <c r="D4772" s="1310">
        <v>917.14285700000005</v>
      </c>
    </row>
    <row r="4773" spans="2:4" x14ac:dyDescent="0.2">
      <c r="B4773" s="1341">
        <v>5802</v>
      </c>
      <c r="C4773" s="1341" t="s">
        <v>5609</v>
      </c>
      <c r="D4773" s="1310">
        <v>1099.6944410000001</v>
      </c>
    </row>
    <row r="4774" spans="2:4" x14ac:dyDescent="0.2">
      <c r="B4774" s="1341">
        <v>5803</v>
      </c>
      <c r="C4774" s="1341" t="s">
        <v>5610</v>
      </c>
      <c r="D4774" s="1310">
        <v>1122.6907409999999</v>
      </c>
    </row>
    <row r="4775" spans="2:4" x14ac:dyDescent="0.2">
      <c r="B4775" s="1341">
        <v>5806</v>
      </c>
      <c r="C4775" s="1341" t="s">
        <v>5611</v>
      </c>
      <c r="D4775" s="1310">
        <v>1129.9205199999999</v>
      </c>
    </row>
    <row r="4776" spans="2:4" x14ac:dyDescent="0.2">
      <c r="B4776" s="1341">
        <v>5807</v>
      </c>
      <c r="C4776" s="1341" t="s">
        <v>5612</v>
      </c>
      <c r="D4776" s="1310">
        <v>1176.139985</v>
      </c>
    </row>
    <row r="4777" spans="2:4" x14ac:dyDescent="0.2">
      <c r="B4777" s="1341">
        <v>5808</v>
      </c>
      <c r="C4777" s="1341" t="s">
        <v>5613</v>
      </c>
      <c r="D4777" s="1310">
        <v>1114.51819</v>
      </c>
    </row>
    <row r="4778" spans="2:4" x14ac:dyDescent="0.2">
      <c r="B4778" s="1341">
        <v>5809</v>
      </c>
      <c r="C4778" s="1341" t="s">
        <v>5614</v>
      </c>
      <c r="D4778" s="1310">
        <v>1075.6269110000001</v>
      </c>
    </row>
    <row r="4779" spans="2:4" x14ac:dyDescent="0.2">
      <c r="B4779" s="1341">
        <v>5810</v>
      </c>
      <c r="C4779" s="1341" t="s">
        <v>5615</v>
      </c>
      <c r="D4779" s="1310">
        <v>1130.061913</v>
      </c>
    </row>
    <row r="4780" spans="2:4" x14ac:dyDescent="0.2">
      <c r="B4780" s="1341">
        <v>5811</v>
      </c>
      <c r="C4780" s="1341" t="s">
        <v>5616</v>
      </c>
      <c r="D4780" s="1310">
        <v>996.10000300000002</v>
      </c>
    </row>
    <row r="4781" spans="2:4" x14ac:dyDescent="0.2">
      <c r="B4781" s="1341">
        <v>5812</v>
      </c>
      <c r="C4781" s="1341" t="s">
        <v>5617</v>
      </c>
      <c r="D4781" s="1310">
        <v>1021.690918</v>
      </c>
    </row>
    <row r="4782" spans="2:4" x14ac:dyDescent="0.2">
      <c r="B4782" s="1341">
        <v>5813</v>
      </c>
      <c r="C4782" s="1341" t="s">
        <v>5618</v>
      </c>
      <c r="D4782" s="1310">
        <v>997.63332800000001</v>
      </c>
    </row>
    <row r="4783" spans="2:4" x14ac:dyDescent="0.2">
      <c r="B4783" s="1341">
        <v>5814</v>
      </c>
      <c r="C4783" s="1341" t="s">
        <v>5619</v>
      </c>
      <c r="D4783" s="1310">
        <v>1018.212494</v>
      </c>
    </row>
    <row r="4784" spans="2:4" x14ac:dyDescent="0.2">
      <c r="B4784" s="1341">
        <v>5815</v>
      </c>
      <c r="C4784" s="1341" t="s">
        <v>5620</v>
      </c>
      <c r="D4784" s="1310">
        <v>987.19999199999995</v>
      </c>
    </row>
    <row r="4785" spans="2:4" x14ac:dyDescent="0.2">
      <c r="B4785" s="1341">
        <v>5816</v>
      </c>
      <c r="C4785" s="1341" t="s">
        <v>2204</v>
      </c>
      <c r="D4785" s="1310">
        <v>1030.58572</v>
      </c>
    </row>
    <row r="4786" spans="2:4" x14ac:dyDescent="0.2">
      <c r="B4786" s="1341">
        <v>5817</v>
      </c>
      <c r="C4786" s="1341" t="s">
        <v>5621</v>
      </c>
      <c r="D4786" s="1310">
        <v>985.96666000000005</v>
      </c>
    </row>
    <row r="4787" spans="2:4" x14ac:dyDescent="0.2">
      <c r="B4787" s="1341">
        <v>5818</v>
      </c>
      <c r="C4787" s="1341" t="s">
        <v>5622</v>
      </c>
      <c r="D4787" s="1310">
        <v>986.24166400000001</v>
      </c>
    </row>
    <row r="4788" spans="2:4" x14ac:dyDescent="0.2">
      <c r="B4788" s="1341">
        <v>5819</v>
      </c>
      <c r="C4788" s="1341" t="s">
        <v>5623</v>
      </c>
      <c r="D4788" s="1310">
        <v>986.54286000000002</v>
      </c>
    </row>
    <row r="4789" spans="2:4" x14ac:dyDescent="0.2">
      <c r="B4789" s="1341">
        <v>5820</v>
      </c>
      <c r="C4789" s="1341" t="s">
        <v>5624</v>
      </c>
      <c r="D4789" s="1310">
        <v>1091.2375070000001</v>
      </c>
    </row>
    <row r="4790" spans="2:4" x14ac:dyDescent="0.2">
      <c r="B4790" s="1341">
        <v>5821</v>
      </c>
      <c r="C4790" s="1341" t="s">
        <v>5625</v>
      </c>
      <c r="D4790" s="1310">
        <v>1144.309082</v>
      </c>
    </row>
    <row r="4791" spans="2:4" x14ac:dyDescent="0.2">
      <c r="B4791" s="1341">
        <v>5822</v>
      </c>
      <c r="C4791" s="1341" t="s">
        <v>5626</v>
      </c>
      <c r="D4791" s="1310">
        <v>1160.037934</v>
      </c>
    </row>
    <row r="4792" spans="2:4" x14ac:dyDescent="0.2">
      <c r="B4792" s="1341">
        <v>5823</v>
      </c>
      <c r="C4792" s="1341" t="s">
        <v>4599</v>
      </c>
      <c r="D4792" s="1310">
        <v>935.81667100000004</v>
      </c>
    </row>
    <row r="4793" spans="2:4" x14ac:dyDescent="0.2">
      <c r="B4793" s="1341">
        <v>5824</v>
      </c>
      <c r="C4793" s="1341" t="s">
        <v>5627</v>
      </c>
      <c r="D4793" s="1310">
        <v>981.42222800000002</v>
      </c>
    </row>
    <row r="4794" spans="2:4" x14ac:dyDescent="0.2">
      <c r="B4794" s="1341">
        <v>5825</v>
      </c>
      <c r="C4794" s="1341" t="s">
        <v>5628</v>
      </c>
      <c r="D4794" s="1310">
        <v>947.65000899999995</v>
      </c>
    </row>
    <row r="4795" spans="2:4" x14ac:dyDescent="0.2">
      <c r="B4795" s="1341">
        <v>5826</v>
      </c>
      <c r="C4795" s="1341" t="s">
        <v>5629</v>
      </c>
      <c r="D4795" s="1310">
        <v>946.5</v>
      </c>
    </row>
    <row r="4796" spans="2:4" x14ac:dyDescent="0.2">
      <c r="B4796" s="1341">
        <v>5827</v>
      </c>
      <c r="C4796" s="1341" t="s">
        <v>5606</v>
      </c>
      <c r="D4796" s="1310">
        <v>983.14285700000005</v>
      </c>
    </row>
    <row r="4797" spans="2:4" x14ac:dyDescent="0.2">
      <c r="B4797" s="1341">
        <v>5828</v>
      </c>
      <c r="C4797" s="1341" t="s">
        <v>5630</v>
      </c>
      <c r="D4797" s="1310">
        <v>1016.5</v>
      </c>
    </row>
    <row r="4798" spans="2:4" x14ac:dyDescent="0.2">
      <c r="B4798" s="1341">
        <v>5829</v>
      </c>
      <c r="C4798" s="1341" t="s">
        <v>5631</v>
      </c>
      <c r="D4798" s="1310">
        <v>1074.978572</v>
      </c>
    </row>
    <row r="4799" spans="2:4" x14ac:dyDescent="0.2">
      <c r="B4799" s="1341">
        <v>5831</v>
      </c>
      <c r="C4799" s="1341" t="s">
        <v>5632</v>
      </c>
      <c r="D4799" s="1310">
        <v>1046.1999969999999</v>
      </c>
    </row>
    <row r="4800" spans="2:4" x14ac:dyDescent="0.2">
      <c r="B4800" s="1341">
        <v>5832</v>
      </c>
      <c r="C4800" s="1341" t="s">
        <v>5633</v>
      </c>
      <c r="D4800" s="1310">
        <v>975.671426</v>
      </c>
    </row>
    <row r="4801" spans="2:4" x14ac:dyDescent="0.2">
      <c r="B4801" s="1341">
        <v>5833</v>
      </c>
      <c r="C4801" s="1341" t="s">
        <v>5634</v>
      </c>
      <c r="D4801" s="1310">
        <v>958.78749800000003</v>
      </c>
    </row>
    <row r="4802" spans="2:4" x14ac:dyDescent="0.2">
      <c r="B4802" s="1341">
        <v>5834</v>
      </c>
      <c r="C4802" s="1341" t="s">
        <v>4110</v>
      </c>
      <c r="D4802" s="1310">
        <v>996.29998799999998</v>
      </c>
    </row>
    <row r="4803" spans="2:4" x14ac:dyDescent="0.2">
      <c r="B4803" s="1341">
        <v>5835</v>
      </c>
      <c r="C4803" s="1341" t="s">
        <v>5635</v>
      </c>
      <c r="D4803" s="1310">
        <v>1044.1750030000001</v>
      </c>
    </row>
    <row r="4804" spans="2:4" x14ac:dyDescent="0.2">
      <c r="B4804" s="1341">
        <v>5836</v>
      </c>
      <c r="C4804" s="1341" t="s">
        <v>5636</v>
      </c>
      <c r="D4804" s="1310">
        <v>1027.753845</v>
      </c>
    </row>
    <row r="4805" spans="2:4" x14ac:dyDescent="0.2">
      <c r="B4805" s="1341">
        <v>5837</v>
      </c>
      <c r="C4805" s="1341" t="s">
        <v>5637</v>
      </c>
      <c r="D4805" s="1310">
        <v>1043.974976</v>
      </c>
    </row>
    <row r="4806" spans="2:4" x14ac:dyDescent="0.2">
      <c r="B4806" s="1341">
        <v>5838</v>
      </c>
      <c r="C4806" s="1341" t="s">
        <v>2421</v>
      </c>
      <c r="D4806" s="1310">
        <v>958.52222400000005</v>
      </c>
    </row>
    <row r="4807" spans="2:4" x14ac:dyDescent="0.2">
      <c r="B4807" s="1341">
        <v>5839</v>
      </c>
      <c r="C4807" s="1341" t="s">
        <v>5638</v>
      </c>
      <c r="D4807" s="1310">
        <v>960.57501200000002</v>
      </c>
    </row>
    <row r="4808" spans="2:4" x14ac:dyDescent="0.2">
      <c r="B4808" s="1341">
        <v>5840</v>
      </c>
      <c r="C4808" s="1341" t="s">
        <v>5639</v>
      </c>
      <c r="D4808" s="1310">
        <v>979.09999600000003</v>
      </c>
    </row>
    <row r="4809" spans="2:4" x14ac:dyDescent="0.2">
      <c r="B4809" s="1341">
        <v>5841</v>
      </c>
      <c r="C4809" s="1341" t="s">
        <v>5640</v>
      </c>
      <c r="D4809" s="1310">
        <v>958.51429099999996</v>
      </c>
    </row>
    <row r="4810" spans="2:4" x14ac:dyDescent="0.2">
      <c r="B4810" s="1341">
        <v>5842</v>
      </c>
      <c r="C4810" s="1341" t="s">
        <v>5641</v>
      </c>
      <c r="D4810" s="1310">
        <v>991.60000600000001</v>
      </c>
    </row>
    <row r="4811" spans="2:4" x14ac:dyDescent="0.2">
      <c r="B4811" s="1341">
        <v>5843</v>
      </c>
      <c r="C4811" s="1341" t="s">
        <v>5642</v>
      </c>
      <c r="D4811" s="1310">
        <v>889.54286000000002</v>
      </c>
    </row>
    <row r="4812" spans="2:4" x14ac:dyDescent="0.2">
      <c r="B4812" s="1341">
        <v>5844</v>
      </c>
      <c r="C4812" s="1341" t="s">
        <v>5643</v>
      </c>
      <c r="D4812" s="1310">
        <v>923.30769699999996</v>
      </c>
    </row>
    <row r="4813" spans="2:4" x14ac:dyDescent="0.2">
      <c r="B4813" s="1341">
        <v>5845</v>
      </c>
      <c r="C4813" s="1341" t="s">
        <v>5644</v>
      </c>
      <c r="D4813" s="1310">
        <v>936.78572299999996</v>
      </c>
    </row>
    <row r="4814" spans="2:4" x14ac:dyDescent="0.2">
      <c r="B4814" s="1341">
        <v>5846</v>
      </c>
      <c r="C4814" s="1341" t="s">
        <v>5645</v>
      </c>
      <c r="D4814" s="1310">
        <v>978.57499700000005</v>
      </c>
    </row>
    <row r="4815" spans="2:4" x14ac:dyDescent="0.2">
      <c r="B4815" s="1341">
        <v>5847</v>
      </c>
      <c r="C4815" s="1341" t="s">
        <v>5646</v>
      </c>
      <c r="D4815" s="1310">
        <v>940.44998199999998</v>
      </c>
    </row>
    <row r="4816" spans="2:4" x14ac:dyDescent="0.2">
      <c r="B4816" s="1341">
        <v>5848</v>
      </c>
      <c r="C4816" s="1341" t="s">
        <v>5647</v>
      </c>
      <c r="D4816" s="1310">
        <v>1006.787506</v>
      </c>
    </row>
    <row r="4817" spans="2:4" x14ac:dyDescent="0.2">
      <c r="B4817" s="1341">
        <v>5849</v>
      </c>
      <c r="C4817" s="1341" t="s">
        <v>5648</v>
      </c>
      <c r="D4817" s="1310">
        <v>1006.207679</v>
      </c>
    </row>
    <row r="4818" spans="2:4" x14ac:dyDescent="0.2">
      <c r="B4818" s="1341">
        <v>5850</v>
      </c>
      <c r="C4818" s="1341" t="s">
        <v>5649</v>
      </c>
      <c r="D4818" s="1310">
        <v>1034.633335</v>
      </c>
    </row>
    <row r="4819" spans="2:4" x14ac:dyDescent="0.2">
      <c r="B4819" s="1341">
        <v>5851</v>
      </c>
      <c r="C4819" s="1341" t="s">
        <v>5650</v>
      </c>
      <c r="D4819" s="1310">
        <v>1150.636358</v>
      </c>
    </row>
    <row r="4820" spans="2:4" x14ac:dyDescent="0.2">
      <c r="B4820" s="1341">
        <v>5852</v>
      </c>
      <c r="C4820" s="1341" t="s">
        <v>5651</v>
      </c>
      <c r="D4820" s="1310">
        <v>1171.0666639999999</v>
      </c>
    </row>
    <row r="4821" spans="2:4" x14ac:dyDescent="0.2">
      <c r="B4821" s="1341">
        <v>5853</v>
      </c>
      <c r="C4821" s="1341" t="s">
        <v>5652</v>
      </c>
      <c r="D4821" s="1310">
        <v>982.36363600000004</v>
      </c>
    </row>
    <row r="4822" spans="2:4" x14ac:dyDescent="0.2">
      <c r="B4822" s="1341">
        <v>5854</v>
      </c>
      <c r="C4822" s="1341" t="s">
        <v>5653</v>
      </c>
      <c r="D4822" s="1310">
        <v>973.47499800000003</v>
      </c>
    </row>
    <row r="4823" spans="2:4" x14ac:dyDescent="0.2">
      <c r="B4823" s="1341">
        <v>5855</v>
      </c>
      <c r="C4823" s="1341" t="s">
        <v>5654</v>
      </c>
      <c r="D4823" s="1310">
        <v>994.47367799999995</v>
      </c>
    </row>
    <row r="4824" spans="2:4" x14ac:dyDescent="0.2">
      <c r="B4824" s="1341">
        <v>5856</v>
      </c>
      <c r="C4824" s="1341" t="s">
        <v>5655</v>
      </c>
      <c r="D4824" s="1310">
        <v>964.89999399999999</v>
      </c>
    </row>
    <row r="4825" spans="2:4" x14ac:dyDescent="0.2">
      <c r="B4825" s="1341">
        <v>5857</v>
      </c>
      <c r="C4825" s="1341" t="s">
        <v>2157</v>
      </c>
      <c r="D4825" s="1310">
        <v>975.51250500000003</v>
      </c>
    </row>
    <row r="4826" spans="2:4" x14ac:dyDescent="0.2">
      <c r="B4826" s="1341">
        <v>5858</v>
      </c>
      <c r="C4826" s="1341" t="s">
        <v>5656</v>
      </c>
      <c r="D4826" s="1310">
        <v>946.84545900000001</v>
      </c>
    </row>
    <row r="4827" spans="2:4" x14ac:dyDescent="0.2">
      <c r="B4827" s="1341">
        <v>5859</v>
      </c>
      <c r="C4827" s="1341" t="s">
        <v>5657</v>
      </c>
      <c r="D4827" s="1310">
        <v>883.28000499999996</v>
      </c>
    </row>
    <row r="4828" spans="2:4" x14ac:dyDescent="0.2">
      <c r="B4828" s="1341">
        <v>5860</v>
      </c>
      <c r="C4828" s="1341" t="s">
        <v>5658</v>
      </c>
      <c r="D4828" s="1310">
        <v>906.43332199999998</v>
      </c>
    </row>
    <row r="4829" spans="2:4" x14ac:dyDescent="0.2">
      <c r="B4829" s="1341">
        <v>5861</v>
      </c>
      <c r="C4829" s="1341" t="s">
        <v>5659</v>
      </c>
      <c r="D4829" s="1310">
        <v>879.39000199999998</v>
      </c>
    </row>
    <row r="4830" spans="2:4" x14ac:dyDescent="0.2">
      <c r="B4830" s="1341">
        <v>5862</v>
      </c>
      <c r="C4830" s="1341" t="s">
        <v>2715</v>
      </c>
      <c r="D4830" s="1310">
        <v>924.66666699999996</v>
      </c>
    </row>
    <row r="4831" spans="2:4" x14ac:dyDescent="0.2">
      <c r="B4831" s="1341">
        <v>5863</v>
      </c>
      <c r="C4831" s="1341" t="s">
        <v>5660</v>
      </c>
      <c r="D4831" s="1310">
        <v>953.77333199999998</v>
      </c>
    </row>
    <row r="4832" spans="2:4" x14ac:dyDescent="0.2">
      <c r="B4832" s="1341">
        <v>5864</v>
      </c>
      <c r="C4832" s="1341" t="s">
        <v>5661</v>
      </c>
      <c r="D4832" s="1310">
        <v>959.38333599999999</v>
      </c>
    </row>
    <row r="4833" spans="2:4" x14ac:dyDescent="0.2">
      <c r="B4833" s="1341">
        <v>5865</v>
      </c>
      <c r="C4833" s="1341" t="s">
        <v>5662</v>
      </c>
      <c r="D4833" s="1310">
        <v>1012.64284</v>
      </c>
    </row>
    <row r="4834" spans="2:4" x14ac:dyDescent="0.2">
      <c r="B4834" s="1341">
        <v>5866</v>
      </c>
      <c r="C4834" s="1341" t="s">
        <v>5663</v>
      </c>
      <c r="D4834" s="1310">
        <v>1097.6499940000001</v>
      </c>
    </row>
    <row r="4835" spans="2:4" x14ac:dyDescent="0.2">
      <c r="B4835" s="1341">
        <v>5867</v>
      </c>
      <c r="C4835" s="1341" t="s">
        <v>5664</v>
      </c>
      <c r="D4835" s="1310">
        <v>1031.633331</v>
      </c>
    </row>
    <row r="4836" spans="2:4" x14ac:dyDescent="0.2">
      <c r="B4836" s="1341">
        <v>5868</v>
      </c>
      <c r="C4836" s="1341" t="s">
        <v>5665</v>
      </c>
      <c r="D4836" s="1310">
        <v>1102.8062629999999</v>
      </c>
    </row>
    <row r="4837" spans="2:4" x14ac:dyDescent="0.2">
      <c r="B4837" s="1341">
        <v>5869</v>
      </c>
      <c r="C4837" s="1341" t="s">
        <v>5666</v>
      </c>
      <c r="D4837" s="1310">
        <v>1150.226919</v>
      </c>
    </row>
    <row r="4838" spans="2:4" x14ac:dyDescent="0.2">
      <c r="B4838" s="1341">
        <v>5870</v>
      </c>
      <c r="C4838" s="1341" t="s">
        <v>5667</v>
      </c>
      <c r="D4838" s="1310">
        <v>1030.833333</v>
      </c>
    </row>
    <row r="4839" spans="2:4" x14ac:dyDescent="0.2">
      <c r="B4839" s="1341">
        <v>5871</v>
      </c>
      <c r="C4839" s="1341" t="s">
        <v>5668</v>
      </c>
      <c r="D4839" s="1310">
        <v>876.63332800000001</v>
      </c>
    </row>
    <row r="4840" spans="2:4" x14ac:dyDescent="0.2">
      <c r="B4840" s="1341">
        <v>5872</v>
      </c>
      <c r="C4840" s="1341" t="s">
        <v>5669</v>
      </c>
      <c r="D4840" s="1310">
        <v>861.125</v>
      </c>
    </row>
    <row r="4841" spans="2:4" x14ac:dyDescent="0.2">
      <c r="B4841" s="1341">
        <v>5873</v>
      </c>
      <c r="C4841" s="1341" t="s">
        <v>1794</v>
      </c>
      <c r="D4841" s="1310">
        <v>897.68000500000005</v>
      </c>
    </row>
    <row r="4842" spans="2:4" x14ac:dyDescent="0.2">
      <c r="B4842" s="1341">
        <v>5874</v>
      </c>
      <c r="C4842" s="1341" t="s">
        <v>5670</v>
      </c>
      <c r="D4842" s="1310">
        <v>848.29998799999998</v>
      </c>
    </row>
    <row r="4843" spans="2:4" x14ac:dyDescent="0.2">
      <c r="B4843" s="1341">
        <v>5875</v>
      </c>
      <c r="C4843" s="1341" t="s">
        <v>5671</v>
      </c>
      <c r="D4843" s="1310">
        <v>895.13999000000001</v>
      </c>
    </row>
    <row r="4844" spans="2:4" x14ac:dyDescent="0.2">
      <c r="B4844" s="1341">
        <v>5876</v>
      </c>
      <c r="C4844" s="1341" t="s">
        <v>5672</v>
      </c>
      <c r="D4844" s="1310">
        <v>944.90000199999997</v>
      </c>
    </row>
    <row r="4845" spans="2:4" x14ac:dyDescent="0.2">
      <c r="B4845" s="1341">
        <v>5877</v>
      </c>
      <c r="C4845" s="1341" t="s">
        <v>5673</v>
      </c>
      <c r="D4845" s="1310">
        <v>966.60000300000002</v>
      </c>
    </row>
    <row r="4846" spans="2:4" x14ac:dyDescent="0.2">
      <c r="B4846" s="1341">
        <v>5878</v>
      </c>
      <c r="C4846" s="1341" t="s">
        <v>5674</v>
      </c>
      <c r="D4846" s="1310">
        <v>998.12221999999997</v>
      </c>
    </row>
    <row r="4847" spans="2:4" x14ac:dyDescent="0.2">
      <c r="B4847" s="1341">
        <v>5879</v>
      </c>
      <c r="C4847" s="1341" t="s">
        <v>5675</v>
      </c>
      <c r="D4847" s="1310">
        <v>986.36251100000004</v>
      </c>
    </row>
    <row r="4848" spans="2:4" x14ac:dyDescent="0.2">
      <c r="B4848" s="1341">
        <v>5880</v>
      </c>
      <c r="C4848" s="1341" t="s">
        <v>5676</v>
      </c>
      <c r="D4848" s="1310">
        <v>988.63334099999997</v>
      </c>
    </row>
    <row r="4849" spans="2:4" x14ac:dyDescent="0.2">
      <c r="B4849" s="1341">
        <v>5881</v>
      </c>
      <c r="C4849" s="1341" t="s">
        <v>5677</v>
      </c>
      <c r="D4849" s="1310">
        <v>970.22666400000003</v>
      </c>
    </row>
    <row r="4850" spans="2:4" x14ac:dyDescent="0.2">
      <c r="B4850" s="1341">
        <v>5882</v>
      </c>
      <c r="C4850" s="1341" t="s">
        <v>5678</v>
      </c>
      <c r="D4850" s="1310">
        <v>992.71667500000001</v>
      </c>
    </row>
    <row r="4851" spans="2:4" x14ac:dyDescent="0.2">
      <c r="B4851" s="1341">
        <v>5883</v>
      </c>
      <c r="C4851" s="1341" t="s">
        <v>5679</v>
      </c>
      <c r="D4851" s="1310">
        <v>979.56665699999996</v>
      </c>
    </row>
    <row r="4852" spans="2:4" x14ac:dyDescent="0.2">
      <c r="B4852" s="1341">
        <v>5884</v>
      </c>
      <c r="C4852" s="1341" t="s">
        <v>5680</v>
      </c>
      <c r="D4852" s="1310">
        <v>1026.7624820000001</v>
      </c>
    </row>
    <row r="4853" spans="2:4" x14ac:dyDescent="0.2">
      <c r="B4853" s="1341">
        <v>5885</v>
      </c>
      <c r="C4853" s="1341" t="s">
        <v>5681</v>
      </c>
      <c r="D4853" s="1310">
        <v>996.25</v>
      </c>
    </row>
    <row r="4854" spans="2:4" x14ac:dyDescent="0.2">
      <c r="B4854" s="1341">
        <v>5901</v>
      </c>
      <c r="C4854" s="1341" t="s">
        <v>5053</v>
      </c>
      <c r="D4854" s="1310">
        <v>1044.6062549999999</v>
      </c>
    </row>
    <row r="4855" spans="2:4" x14ac:dyDescent="0.2">
      <c r="B4855" s="1341">
        <v>5902</v>
      </c>
      <c r="C4855" s="1341" t="s">
        <v>5682</v>
      </c>
      <c r="D4855" s="1310">
        <v>1108.2200029999999</v>
      </c>
    </row>
    <row r="4856" spans="2:4" x14ac:dyDescent="0.2">
      <c r="B4856" s="1341">
        <v>5903</v>
      </c>
      <c r="C4856" s="1341" t="s">
        <v>5683</v>
      </c>
      <c r="D4856" s="1310">
        <v>979.13332800000001</v>
      </c>
    </row>
    <row r="4857" spans="2:4" x14ac:dyDescent="0.2">
      <c r="B4857" s="1341">
        <v>5904</v>
      </c>
      <c r="C4857" s="1341" t="s">
        <v>5684</v>
      </c>
      <c r="D4857" s="1310">
        <v>1174.2071530000001</v>
      </c>
    </row>
    <row r="4858" spans="2:4" x14ac:dyDescent="0.2">
      <c r="B4858" s="1341">
        <v>5905</v>
      </c>
      <c r="C4858" s="1341" t="s">
        <v>4377</v>
      </c>
      <c r="D4858" s="1310">
        <v>1083.9200069999999</v>
      </c>
    </row>
    <row r="4859" spans="2:4" x14ac:dyDescent="0.2">
      <c r="B4859" s="1341">
        <v>5906</v>
      </c>
      <c r="C4859" s="1341" t="s">
        <v>5558</v>
      </c>
      <c r="D4859" s="1310">
        <v>1194.9142890000001</v>
      </c>
    </row>
    <row r="4860" spans="2:4" x14ac:dyDescent="0.2">
      <c r="B4860" s="1341">
        <v>5907</v>
      </c>
      <c r="C4860" s="1341" t="s">
        <v>5685</v>
      </c>
      <c r="D4860" s="1310">
        <v>1248.133335</v>
      </c>
    </row>
    <row r="4861" spans="2:4" x14ac:dyDescent="0.2">
      <c r="B4861" s="1341">
        <v>5908</v>
      </c>
      <c r="C4861" s="1341" t="s">
        <v>5686</v>
      </c>
      <c r="D4861" s="1310">
        <v>841.48571800000002</v>
      </c>
    </row>
    <row r="4862" spans="2:4" x14ac:dyDescent="0.2">
      <c r="B4862" s="1341">
        <v>5909</v>
      </c>
      <c r="C4862" s="1341" t="s">
        <v>5687</v>
      </c>
      <c r="D4862" s="1310">
        <v>909.73999000000003</v>
      </c>
    </row>
    <row r="4863" spans="2:4" x14ac:dyDescent="0.2">
      <c r="B4863" s="1341">
        <v>5910</v>
      </c>
      <c r="C4863" s="1341" t="s">
        <v>5688</v>
      </c>
      <c r="D4863" s="1310">
        <v>830.10666900000001</v>
      </c>
    </row>
    <row r="4864" spans="2:4" x14ac:dyDescent="0.2">
      <c r="B4864" s="1341">
        <v>5911</v>
      </c>
      <c r="C4864" s="1341" t="s">
        <v>5689</v>
      </c>
      <c r="D4864" s="1310">
        <v>902.80908799999997</v>
      </c>
    </row>
    <row r="4865" spans="2:4" x14ac:dyDescent="0.2">
      <c r="B4865" s="1341">
        <v>5912</v>
      </c>
      <c r="C4865" s="1341" t="s">
        <v>5690</v>
      </c>
      <c r="D4865" s="1310">
        <v>818.13124800000003</v>
      </c>
    </row>
    <row r="4866" spans="2:4" x14ac:dyDescent="0.2">
      <c r="B4866" s="1341">
        <v>5913</v>
      </c>
      <c r="C4866" s="1341" t="s">
        <v>5691</v>
      </c>
      <c r="D4866" s="1310">
        <v>801.44287099999997</v>
      </c>
    </row>
    <row r="4867" spans="2:4" x14ac:dyDescent="0.2">
      <c r="B4867" s="1341">
        <v>5914</v>
      </c>
      <c r="C4867" s="1341" t="s">
        <v>5692</v>
      </c>
      <c r="D4867" s="1310">
        <v>899.139996</v>
      </c>
    </row>
    <row r="4868" spans="2:4" x14ac:dyDescent="0.2">
      <c r="B4868" s="1341">
        <v>5915</v>
      </c>
      <c r="C4868" s="1341" t="s">
        <v>395</v>
      </c>
      <c r="D4868" s="1310">
        <v>852.85998500000005</v>
      </c>
    </row>
    <row r="4869" spans="2:4" x14ac:dyDescent="0.2">
      <c r="B4869" s="1341">
        <v>5916</v>
      </c>
      <c r="C4869" s="1341" t="s">
        <v>5693</v>
      </c>
      <c r="D4869" s="1310">
        <v>1027.950006</v>
      </c>
    </row>
    <row r="4870" spans="2:4" x14ac:dyDescent="0.2">
      <c r="B4870" s="1341">
        <v>5917</v>
      </c>
      <c r="C4870" s="1341" t="s">
        <v>5694</v>
      </c>
      <c r="D4870" s="1310">
        <v>1285.2461499999999</v>
      </c>
    </row>
    <row r="4871" spans="2:4" x14ac:dyDescent="0.2">
      <c r="B4871" s="1341">
        <v>5918</v>
      </c>
      <c r="C4871" s="1341" t="s">
        <v>5695</v>
      </c>
      <c r="D4871" s="1310">
        <v>923.32499700000005</v>
      </c>
    </row>
    <row r="4872" spans="2:4" x14ac:dyDescent="0.2">
      <c r="B4872" s="1341">
        <v>5919</v>
      </c>
      <c r="C4872" s="1341" t="s">
        <v>5696</v>
      </c>
      <c r="D4872" s="1310">
        <v>935.16923199999997</v>
      </c>
    </row>
    <row r="4873" spans="2:4" x14ac:dyDescent="0.2">
      <c r="B4873" s="1341">
        <v>5920</v>
      </c>
      <c r="C4873" s="1341" t="s">
        <v>5697</v>
      </c>
      <c r="D4873" s="1310">
        <v>1118.459985</v>
      </c>
    </row>
    <row r="4874" spans="2:4" x14ac:dyDescent="0.2">
      <c r="B4874" s="1341">
        <v>5921</v>
      </c>
      <c r="C4874" s="1341" t="s">
        <v>5698</v>
      </c>
      <c r="D4874" s="1310">
        <v>987.50999100000001</v>
      </c>
    </row>
    <row r="4875" spans="2:4" x14ac:dyDescent="0.2">
      <c r="B4875" s="1341">
        <v>5922</v>
      </c>
      <c r="C4875" s="1341" t="s">
        <v>5699</v>
      </c>
      <c r="D4875" s="1310">
        <v>1007.783331</v>
      </c>
    </row>
    <row r="4876" spans="2:4" x14ac:dyDescent="0.2">
      <c r="B4876" s="1341">
        <v>5923</v>
      </c>
      <c r="C4876" s="1341" t="s">
        <v>5700</v>
      </c>
      <c r="D4876" s="1310">
        <v>960.94999900000005</v>
      </c>
    </row>
    <row r="4877" spans="2:4" x14ac:dyDescent="0.2">
      <c r="B4877" s="1341">
        <v>5924</v>
      </c>
      <c r="C4877" s="1341" t="s">
        <v>5701</v>
      </c>
      <c r="D4877" s="1310">
        <v>1005.462502</v>
      </c>
    </row>
    <row r="4878" spans="2:4" x14ac:dyDescent="0.2">
      <c r="B4878" s="1341">
        <v>5925</v>
      </c>
      <c r="C4878" s="1341" t="s">
        <v>5702</v>
      </c>
      <c r="D4878" s="1310">
        <v>1081.2200069999999</v>
      </c>
    </row>
    <row r="4879" spans="2:4" x14ac:dyDescent="0.2">
      <c r="B4879" s="1341">
        <v>5926</v>
      </c>
      <c r="C4879" s="1341" t="s">
        <v>5703</v>
      </c>
      <c r="D4879" s="1310">
        <v>968.81999499999995</v>
      </c>
    </row>
    <row r="4880" spans="2:4" x14ac:dyDescent="0.2">
      <c r="B4880" s="1341">
        <v>5927</v>
      </c>
      <c r="C4880" s="1341" t="s">
        <v>5704</v>
      </c>
      <c r="D4880" s="1310">
        <v>917.64284799999996</v>
      </c>
    </row>
    <row r="4881" spans="2:4" x14ac:dyDescent="0.2">
      <c r="B4881" s="1341">
        <v>5928</v>
      </c>
      <c r="C4881" s="1341" t="s">
        <v>5705</v>
      </c>
      <c r="D4881" s="1310">
        <v>784.63000499999998</v>
      </c>
    </row>
    <row r="4882" spans="2:4" x14ac:dyDescent="0.2">
      <c r="B4882" s="1341">
        <v>5929</v>
      </c>
      <c r="C4882" s="1341" t="s">
        <v>5706</v>
      </c>
      <c r="D4882" s="1310">
        <v>741.56667100000004</v>
      </c>
    </row>
    <row r="4883" spans="2:4" x14ac:dyDescent="0.2">
      <c r="B4883" s="1341">
        <v>5930</v>
      </c>
      <c r="C4883" s="1341" t="s">
        <v>5707</v>
      </c>
      <c r="D4883" s="1310">
        <v>717.15454699999998</v>
      </c>
    </row>
    <row r="4884" spans="2:4" x14ac:dyDescent="0.2">
      <c r="B4884" s="1341">
        <v>5931</v>
      </c>
      <c r="C4884" s="1341" t="s">
        <v>5708</v>
      </c>
      <c r="D4884" s="1310">
        <v>704.88181899999995</v>
      </c>
    </row>
    <row r="4885" spans="2:4" x14ac:dyDescent="0.2">
      <c r="B4885" s="1341">
        <v>5932</v>
      </c>
      <c r="C4885" s="1341" t="s">
        <v>5709</v>
      </c>
      <c r="D4885" s="1310">
        <v>773.93333600000005</v>
      </c>
    </row>
    <row r="4886" spans="2:4" x14ac:dyDescent="0.2">
      <c r="B4886" s="1341">
        <v>5933</v>
      </c>
      <c r="C4886" s="1341" t="s">
        <v>5710</v>
      </c>
      <c r="D4886" s="1310">
        <v>750.63529300000005</v>
      </c>
    </row>
    <row r="4887" spans="2:4" x14ac:dyDescent="0.2">
      <c r="B4887" s="1341">
        <v>5934</v>
      </c>
      <c r="C4887" s="1341" t="s">
        <v>5711</v>
      </c>
      <c r="D4887" s="1310">
        <v>733.13334099999997</v>
      </c>
    </row>
    <row r="4888" spans="2:4" x14ac:dyDescent="0.2">
      <c r="B4888" s="1341">
        <v>5935</v>
      </c>
      <c r="C4888" s="1341" t="s">
        <v>5712</v>
      </c>
      <c r="D4888" s="1310">
        <v>713.541382</v>
      </c>
    </row>
    <row r="4889" spans="2:4" x14ac:dyDescent="0.2">
      <c r="B4889" s="1341">
        <v>5936</v>
      </c>
      <c r="C4889" s="1341" t="s">
        <v>5713</v>
      </c>
      <c r="D4889" s="1310">
        <v>749.44545700000003</v>
      </c>
    </row>
    <row r="4890" spans="2:4" x14ac:dyDescent="0.2">
      <c r="B4890" s="1341">
        <v>5937</v>
      </c>
      <c r="C4890" s="1341" t="s">
        <v>1895</v>
      </c>
      <c r="D4890" s="1310">
        <v>768.72499700000003</v>
      </c>
    </row>
    <row r="4891" spans="2:4" x14ac:dyDescent="0.2">
      <c r="B4891" s="1341">
        <v>5938</v>
      </c>
      <c r="C4891" s="1341" t="s">
        <v>5391</v>
      </c>
      <c r="D4891" s="1310">
        <v>713.90000199999997</v>
      </c>
    </row>
    <row r="4892" spans="2:4" x14ac:dyDescent="0.2">
      <c r="B4892" s="1341">
        <v>5939</v>
      </c>
      <c r="C4892" s="1341" t="s">
        <v>5714</v>
      </c>
      <c r="D4892" s="1310">
        <v>688.84446200000002</v>
      </c>
    </row>
    <row r="4893" spans="2:4" x14ac:dyDescent="0.2">
      <c r="B4893" s="1341">
        <v>5940</v>
      </c>
      <c r="C4893" s="1341" t="s">
        <v>5715</v>
      </c>
      <c r="D4893" s="1310">
        <v>802.55833399999995</v>
      </c>
    </row>
    <row r="4894" spans="2:4" x14ac:dyDescent="0.2">
      <c r="B4894" s="1341">
        <v>5941</v>
      </c>
      <c r="C4894" s="1341" t="s">
        <v>5716</v>
      </c>
      <c r="D4894" s="1310">
        <v>788.1</v>
      </c>
    </row>
    <row r="4895" spans="2:4" x14ac:dyDescent="0.2">
      <c r="B4895" s="1341">
        <v>5942</v>
      </c>
      <c r="C4895" s="1341" t="s">
        <v>5717</v>
      </c>
      <c r="D4895" s="1310">
        <v>820.625</v>
      </c>
    </row>
    <row r="4896" spans="2:4" x14ac:dyDescent="0.2">
      <c r="B4896" s="1341">
        <v>5943</v>
      </c>
      <c r="C4896" s="1341" t="s">
        <v>5510</v>
      </c>
      <c r="D4896" s="1310">
        <v>884.43077200000005</v>
      </c>
    </row>
    <row r="4897" spans="2:4" x14ac:dyDescent="0.2">
      <c r="B4897" s="1341">
        <v>5944</v>
      </c>
      <c r="C4897" s="1341" t="s">
        <v>3750</v>
      </c>
      <c r="D4897" s="1310">
        <v>948.60909200000003</v>
      </c>
    </row>
    <row r="4898" spans="2:4" x14ac:dyDescent="0.2">
      <c r="B4898" s="1341">
        <v>5945</v>
      </c>
      <c r="C4898" s="1341" t="s">
        <v>5718</v>
      </c>
      <c r="D4898" s="1310">
        <v>876.34000200000003</v>
      </c>
    </row>
    <row r="4899" spans="2:4" x14ac:dyDescent="0.2">
      <c r="B4899" s="1341">
        <v>5946</v>
      </c>
      <c r="C4899" s="1341" t="s">
        <v>2536</v>
      </c>
      <c r="D4899" s="1310">
        <v>844.94545700000003</v>
      </c>
    </row>
    <row r="4900" spans="2:4" x14ac:dyDescent="0.2">
      <c r="B4900" s="1341">
        <v>5947</v>
      </c>
      <c r="C4900" s="1341" t="s">
        <v>5719</v>
      </c>
      <c r="D4900" s="1310">
        <v>846.42666799999995</v>
      </c>
    </row>
    <row r="4901" spans="2:4" x14ac:dyDescent="0.2">
      <c r="B4901" s="1341">
        <v>5948</v>
      </c>
      <c r="C4901" s="1341" t="s">
        <v>5720</v>
      </c>
      <c r="D4901" s="1310">
        <v>895.85000600000001</v>
      </c>
    </row>
    <row r="4902" spans="2:4" x14ac:dyDescent="0.2">
      <c r="B4902" s="1341">
        <v>5949</v>
      </c>
      <c r="C4902" s="1341" t="s">
        <v>5721</v>
      </c>
      <c r="D4902" s="1310">
        <v>923.54118400000004</v>
      </c>
    </row>
    <row r="4903" spans="2:4" x14ac:dyDescent="0.2">
      <c r="B4903" s="1341">
        <v>5950</v>
      </c>
      <c r="C4903" s="1341" t="s">
        <v>5722</v>
      </c>
      <c r="D4903" s="1310">
        <v>1054.5142820000001</v>
      </c>
    </row>
    <row r="4904" spans="2:4" x14ac:dyDescent="0.2">
      <c r="B4904" s="1341">
        <v>5951</v>
      </c>
      <c r="C4904" s="1341" t="s">
        <v>5723</v>
      </c>
      <c r="D4904" s="1310">
        <v>897.52631899999994</v>
      </c>
    </row>
    <row r="4905" spans="2:4" x14ac:dyDescent="0.2">
      <c r="B4905" s="1341">
        <v>5952</v>
      </c>
      <c r="C4905" s="1341" t="s">
        <v>5724</v>
      </c>
      <c r="D4905" s="1310">
        <v>933.66923899999995</v>
      </c>
    </row>
    <row r="4906" spans="2:4" x14ac:dyDescent="0.2">
      <c r="B4906" s="1341">
        <v>5953</v>
      </c>
      <c r="C4906" s="1341" t="s">
        <v>5350</v>
      </c>
      <c r="D4906" s="1310">
        <v>777.87693000000002</v>
      </c>
    </row>
    <row r="4907" spans="2:4" x14ac:dyDescent="0.2">
      <c r="B4907" s="1341">
        <v>5954</v>
      </c>
      <c r="C4907" s="1341" t="s">
        <v>5725</v>
      </c>
      <c r="D4907" s="1310">
        <v>802.19230300000004</v>
      </c>
    </row>
    <row r="4908" spans="2:4" x14ac:dyDescent="0.2">
      <c r="B4908" s="1341">
        <v>5955</v>
      </c>
      <c r="C4908" s="1341" t="s">
        <v>5726</v>
      </c>
      <c r="D4908" s="1310">
        <v>691.43157299999996</v>
      </c>
    </row>
    <row r="4909" spans="2:4" x14ac:dyDescent="0.2">
      <c r="B4909" s="1341">
        <v>5956</v>
      </c>
      <c r="C4909" s="1341" t="s">
        <v>5727</v>
      </c>
      <c r="D4909" s="1310">
        <v>687.116669</v>
      </c>
    </row>
    <row r="4910" spans="2:4" x14ac:dyDescent="0.2">
      <c r="B4910" s="1341">
        <v>5957</v>
      </c>
      <c r="C4910" s="1341" t="s">
        <v>5728</v>
      </c>
      <c r="D4910" s="1310">
        <v>683.728568</v>
      </c>
    </row>
    <row r="4911" spans="2:4" x14ac:dyDescent="0.2">
      <c r="B4911" s="1341">
        <v>5958</v>
      </c>
      <c r="C4911" s="1341" t="s">
        <v>5729</v>
      </c>
      <c r="D4911" s="1310">
        <v>684.82857000000001</v>
      </c>
    </row>
    <row r="4912" spans="2:4" x14ac:dyDescent="0.2">
      <c r="B4912" s="1341">
        <v>5959</v>
      </c>
      <c r="C4912" s="1341" t="s">
        <v>5730</v>
      </c>
      <c r="D4912" s="1310">
        <v>687.20908999999995</v>
      </c>
    </row>
    <row r="4913" spans="2:4" x14ac:dyDescent="0.2">
      <c r="B4913" s="1341">
        <v>5960</v>
      </c>
      <c r="C4913" s="1341" t="s">
        <v>5731</v>
      </c>
      <c r="D4913" s="1310">
        <v>669.36665900000003</v>
      </c>
    </row>
    <row r="4914" spans="2:4" x14ac:dyDescent="0.2">
      <c r="B4914" s="1341">
        <v>5961</v>
      </c>
      <c r="C4914" s="1341" t="s">
        <v>5732</v>
      </c>
      <c r="D4914" s="1310">
        <v>692.14999899999998</v>
      </c>
    </row>
    <row r="4915" spans="2:4" x14ac:dyDescent="0.2">
      <c r="B4915" s="1341">
        <v>5962</v>
      </c>
      <c r="C4915" s="1341" t="s">
        <v>5733</v>
      </c>
      <c r="D4915" s="1310">
        <v>709.82000700000003</v>
      </c>
    </row>
    <row r="4916" spans="2:4" x14ac:dyDescent="0.2">
      <c r="B4916" s="1341">
        <v>5963</v>
      </c>
      <c r="C4916" s="1341" t="s">
        <v>5734</v>
      </c>
      <c r="D4916" s="1310">
        <v>742.37368900000001</v>
      </c>
    </row>
    <row r="4917" spans="2:4" x14ac:dyDescent="0.2">
      <c r="B4917" s="1341">
        <v>5964</v>
      </c>
      <c r="C4917" s="1341" t="s">
        <v>5735</v>
      </c>
      <c r="D4917" s="1310">
        <v>718.03998999999999</v>
      </c>
    </row>
    <row r="4918" spans="2:4" x14ac:dyDescent="0.2">
      <c r="B4918" s="1341">
        <v>5965</v>
      </c>
      <c r="C4918" s="1341" t="s">
        <v>5736</v>
      </c>
      <c r="D4918" s="1310">
        <v>707.14999399999999</v>
      </c>
    </row>
    <row r="4919" spans="2:4" x14ac:dyDescent="0.2">
      <c r="B4919" s="1341">
        <v>5966</v>
      </c>
      <c r="C4919" s="1341" t="s">
        <v>5737</v>
      </c>
      <c r="D4919" s="1310">
        <v>719.90000599999996</v>
      </c>
    </row>
    <row r="4920" spans="2:4" x14ac:dyDescent="0.2">
      <c r="B4920" s="1341">
        <v>5967</v>
      </c>
      <c r="C4920" s="1341" t="s">
        <v>5152</v>
      </c>
      <c r="D4920" s="1310">
        <v>729.03000199999997</v>
      </c>
    </row>
    <row r="4921" spans="2:4" x14ac:dyDescent="0.2">
      <c r="B4921" s="1341">
        <v>5968</v>
      </c>
      <c r="C4921" s="1341" t="s">
        <v>5738</v>
      </c>
      <c r="D4921" s="1310">
        <v>710.59999600000003</v>
      </c>
    </row>
    <row r="4922" spans="2:4" x14ac:dyDescent="0.2">
      <c r="B4922" s="1341">
        <v>5969</v>
      </c>
      <c r="C4922" s="1341" t="s">
        <v>5739</v>
      </c>
      <c r="D4922" s="1310">
        <v>731.20000600000003</v>
      </c>
    </row>
    <row r="4923" spans="2:4" x14ac:dyDescent="0.2">
      <c r="B4923" s="1341">
        <v>5970</v>
      </c>
      <c r="C4923" s="1341" t="s">
        <v>5740</v>
      </c>
      <c r="D4923" s="1310">
        <v>718.83333600000003</v>
      </c>
    </row>
    <row r="4924" spans="2:4" x14ac:dyDescent="0.2">
      <c r="B4924" s="1341">
        <v>5971</v>
      </c>
      <c r="C4924" s="1341" t="s">
        <v>5741</v>
      </c>
      <c r="D4924" s="1310">
        <v>717.633331</v>
      </c>
    </row>
    <row r="4925" spans="2:4" x14ac:dyDescent="0.2">
      <c r="B4925" s="1341">
        <v>5972</v>
      </c>
      <c r="C4925" s="1341" t="s">
        <v>5742</v>
      </c>
      <c r="D4925" s="1310">
        <v>708.97500600000001</v>
      </c>
    </row>
    <row r="4926" spans="2:4" x14ac:dyDescent="0.2">
      <c r="B4926" s="1341">
        <v>5973</v>
      </c>
      <c r="C4926" s="1341" t="s">
        <v>5743</v>
      </c>
      <c r="D4926" s="1310">
        <v>712.19999700000005</v>
      </c>
    </row>
    <row r="4927" spans="2:4" x14ac:dyDescent="0.2">
      <c r="B4927" s="1341">
        <v>5974</v>
      </c>
      <c r="C4927" s="1341" t="s">
        <v>5744</v>
      </c>
      <c r="D4927" s="1310">
        <v>736.48999000000003</v>
      </c>
    </row>
    <row r="4928" spans="2:4" x14ac:dyDescent="0.2">
      <c r="B4928" s="1341">
        <v>5975</v>
      </c>
      <c r="C4928" s="1341" t="s">
        <v>5745</v>
      </c>
      <c r="D4928" s="1310">
        <v>731.64999799999998</v>
      </c>
    </row>
    <row r="4929" spans="2:4" x14ac:dyDescent="0.2">
      <c r="B4929" s="1341">
        <v>6001</v>
      </c>
      <c r="C4929" s="1341" t="s">
        <v>5746</v>
      </c>
      <c r="D4929" s="1310">
        <v>679.78235600000005</v>
      </c>
    </row>
    <row r="4930" spans="2:4" x14ac:dyDescent="0.2">
      <c r="B4930" s="1341">
        <v>6002</v>
      </c>
      <c r="C4930" s="1341" t="s">
        <v>5747</v>
      </c>
      <c r="D4930" s="1310">
        <v>700.24285499999996</v>
      </c>
    </row>
    <row r="4931" spans="2:4" x14ac:dyDescent="0.2">
      <c r="B4931" s="1341">
        <v>6003</v>
      </c>
      <c r="C4931" s="1341" t="s">
        <v>5748</v>
      </c>
      <c r="D4931" s="1310">
        <v>659.13334099999997</v>
      </c>
    </row>
    <row r="4932" spans="2:4" x14ac:dyDescent="0.2">
      <c r="B4932" s="1341">
        <v>6004</v>
      </c>
      <c r="C4932" s="1341" t="s">
        <v>5749</v>
      </c>
      <c r="D4932" s="1310">
        <v>732.63333</v>
      </c>
    </row>
    <row r="4933" spans="2:4" x14ac:dyDescent="0.2">
      <c r="B4933" s="1341">
        <v>6005</v>
      </c>
      <c r="C4933" s="1341" t="s">
        <v>5750</v>
      </c>
      <c r="D4933" s="1310">
        <v>699.919983</v>
      </c>
    </row>
    <row r="4934" spans="2:4" x14ac:dyDescent="0.2">
      <c r="B4934" s="1341">
        <v>6006</v>
      </c>
      <c r="C4934" s="1341" t="s">
        <v>5751</v>
      </c>
      <c r="D4934" s="1310">
        <v>617.47999300000004</v>
      </c>
    </row>
    <row r="4935" spans="2:4" x14ac:dyDescent="0.2">
      <c r="B4935" s="1341">
        <v>6007</v>
      </c>
      <c r="C4935" s="1341" t="s">
        <v>5752</v>
      </c>
      <c r="D4935" s="1310">
        <v>745.83333300000004</v>
      </c>
    </row>
    <row r="4936" spans="2:4" x14ac:dyDescent="0.2">
      <c r="B4936" s="1341">
        <v>6008</v>
      </c>
      <c r="C4936" s="1341" t="s">
        <v>5753</v>
      </c>
      <c r="D4936" s="1310">
        <v>636.12856599999998</v>
      </c>
    </row>
    <row r="4937" spans="2:4" x14ac:dyDescent="0.2">
      <c r="B4937" s="1341">
        <v>6009</v>
      </c>
      <c r="C4937" s="1341" t="s">
        <v>5754</v>
      </c>
      <c r="D4937" s="1310">
        <v>654.20001200000002</v>
      </c>
    </row>
    <row r="4938" spans="2:4" x14ac:dyDescent="0.2">
      <c r="B4938" s="1341">
        <v>6010</v>
      </c>
      <c r="C4938" s="1341" t="s">
        <v>5755</v>
      </c>
      <c r="D4938" s="1310">
        <v>762.26666799999998</v>
      </c>
    </row>
    <row r="4939" spans="2:4" x14ac:dyDescent="0.2">
      <c r="B4939" s="1341">
        <v>6011</v>
      </c>
      <c r="C4939" s="1341" t="s">
        <v>5756</v>
      </c>
      <c r="D4939" s="1310">
        <v>679.94998899999996</v>
      </c>
    </row>
    <row r="4940" spans="2:4" x14ac:dyDescent="0.2">
      <c r="B4940" s="1341">
        <v>6012</v>
      </c>
      <c r="C4940" s="1341" t="s">
        <v>5757</v>
      </c>
      <c r="D4940" s="1310">
        <v>670.177775</v>
      </c>
    </row>
    <row r="4941" spans="2:4" x14ac:dyDescent="0.2">
      <c r="B4941" s="1341">
        <v>6013</v>
      </c>
      <c r="C4941" s="1341" t="s">
        <v>5758</v>
      </c>
      <c r="D4941" s="1310">
        <v>660.14999399999999</v>
      </c>
    </row>
    <row r="4942" spans="2:4" x14ac:dyDescent="0.2">
      <c r="B4942" s="1341">
        <v>6014</v>
      </c>
      <c r="C4942" s="1341" t="s">
        <v>5759</v>
      </c>
      <c r="D4942" s="1310">
        <v>762.16666699999996</v>
      </c>
    </row>
    <row r="4943" spans="2:4" x14ac:dyDescent="0.2">
      <c r="B4943" s="1341">
        <v>6015</v>
      </c>
      <c r="C4943" s="1341" t="s">
        <v>4230</v>
      </c>
      <c r="D4943" s="1310">
        <v>704.77000699999996</v>
      </c>
    </row>
    <row r="4944" spans="2:4" x14ac:dyDescent="0.2">
      <c r="B4944" s="1341">
        <v>6016</v>
      </c>
      <c r="C4944" s="1341" t="s">
        <v>5760</v>
      </c>
      <c r="D4944" s="1310">
        <v>681.33572000000004</v>
      </c>
    </row>
    <row r="4945" spans="2:4" x14ac:dyDescent="0.2">
      <c r="B4945" s="1341">
        <v>6017</v>
      </c>
      <c r="C4945" s="1341" t="s">
        <v>5761</v>
      </c>
      <c r="D4945" s="1310">
        <v>714.17959299999995</v>
      </c>
    </row>
    <row r="4946" spans="2:4" x14ac:dyDescent="0.2">
      <c r="B4946" s="1341">
        <v>6018</v>
      </c>
      <c r="C4946" s="1341" t="s">
        <v>5762</v>
      </c>
      <c r="D4946" s="1310">
        <v>802</v>
      </c>
    </row>
    <row r="4947" spans="2:4" x14ac:dyDescent="0.2">
      <c r="B4947" s="1341">
        <v>6019</v>
      </c>
      <c r="C4947" s="1341" t="s">
        <v>5763</v>
      </c>
      <c r="D4947" s="1310">
        <v>662.60000600000001</v>
      </c>
    </row>
    <row r="4948" spans="2:4" x14ac:dyDescent="0.2">
      <c r="B4948" s="1341">
        <v>6020</v>
      </c>
      <c r="C4948" s="1341" t="s">
        <v>5764</v>
      </c>
      <c r="D4948" s="1310">
        <v>617.69999199999995</v>
      </c>
    </row>
    <row r="4949" spans="2:4" x14ac:dyDescent="0.2">
      <c r="B4949" s="1341">
        <v>6021</v>
      </c>
      <c r="C4949" s="1341" t="s">
        <v>5765</v>
      </c>
      <c r="D4949" s="1310">
        <v>724.15714800000001</v>
      </c>
    </row>
    <row r="4950" spans="2:4" x14ac:dyDescent="0.2">
      <c r="B4950" s="1341">
        <v>6022</v>
      </c>
      <c r="C4950" s="1341" t="s">
        <v>5766</v>
      </c>
      <c r="D4950" s="1310">
        <v>731.97894299999996</v>
      </c>
    </row>
    <row r="4951" spans="2:4" x14ac:dyDescent="0.2">
      <c r="B4951" s="1341">
        <v>6023</v>
      </c>
      <c r="C4951" s="1341" t="s">
        <v>5767</v>
      </c>
      <c r="D4951" s="1310">
        <v>797.60000600000001</v>
      </c>
    </row>
    <row r="4952" spans="2:4" x14ac:dyDescent="0.2">
      <c r="B4952" s="1341">
        <v>6024</v>
      </c>
      <c r="C4952" s="1341" t="s">
        <v>5768</v>
      </c>
      <c r="D4952" s="1310">
        <v>676.83331299999998</v>
      </c>
    </row>
    <row r="4953" spans="2:4" x14ac:dyDescent="0.2">
      <c r="B4953" s="1341">
        <v>6025</v>
      </c>
      <c r="C4953" s="1341" t="s">
        <v>5769</v>
      </c>
      <c r="D4953" s="1310">
        <v>689.55001800000002</v>
      </c>
    </row>
    <row r="4954" spans="2:4" x14ac:dyDescent="0.2">
      <c r="B4954" s="1341">
        <v>6026</v>
      </c>
      <c r="C4954" s="1341" t="s">
        <v>5770</v>
      </c>
      <c r="D4954" s="1310">
        <v>788.42499499999997</v>
      </c>
    </row>
    <row r="4955" spans="2:4" x14ac:dyDescent="0.2">
      <c r="B4955" s="1341">
        <v>6027</v>
      </c>
      <c r="C4955" s="1341" t="s">
        <v>5771</v>
      </c>
      <c r="D4955" s="1310">
        <v>641.80000299999995</v>
      </c>
    </row>
    <row r="4956" spans="2:4" x14ac:dyDescent="0.2">
      <c r="B4956" s="1341">
        <v>6028</v>
      </c>
      <c r="C4956" s="1341" t="s">
        <v>3053</v>
      </c>
      <c r="D4956" s="1310">
        <v>698.40002400000003</v>
      </c>
    </row>
    <row r="4957" spans="2:4" x14ac:dyDescent="0.2">
      <c r="B4957" s="1341">
        <v>6029</v>
      </c>
      <c r="C4957" s="1341" t="s">
        <v>1290</v>
      </c>
      <c r="D4957" s="1310">
        <v>678</v>
      </c>
    </row>
    <row r="4958" spans="2:4" x14ac:dyDescent="0.2">
      <c r="B4958" s="1341">
        <v>6030</v>
      </c>
      <c r="C4958" s="1341" t="s">
        <v>5772</v>
      </c>
      <c r="D4958" s="1310">
        <v>710.03332499999999</v>
      </c>
    </row>
    <row r="4959" spans="2:4" x14ac:dyDescent="0.2">
      <c r="B4959" s="1341">
        <v>6031</v>
      </c>
      <c r="C4959" s="1341" t="s">
        <v>5773</v>
      </c>
      <c r="D4959" s="1310">
        <v>721.77221699999996</v>
      </c>
    </row>
    <row r="4960" spans="2:4" x14ac:dyDescent="0.2">
      <c r="B4960" s="1341">
        <v>6032</v>
      </c>
      <c r="C4960" s="1341" t="s">
        <v>5774</v>
      </c>
      <c r="D4960" s="1310">
        <v>637.240002</v>
      </c>
    </row>
    <row r="4961" spans="2:4" x14ac:dyDescent="0.2">
      <c r="B4961" s="1341">
        <v>6033</v>
      </c>
      <c r="C4961" s="1341" t="s">
        <v>5775</v>
      </c>
      <c r="D4961" s="1310">
        <v>660.71428600000002</v>
      </c>
    </row>
    <row r="4962" spans="2:4" x14ac:dyDescent="0.2">
      <c r="B4962" s="1341">
        <v>6034</v>
      </c>
      <c r="C4962" s="1341" t="s">
        <v>5776</v>
      </c>
      <c r="D4962" s="1310">
        <v>643.95999800000004</v>
      </c>
    </row>
    <row r="4963" spans="2:4" x14ac:dyDescent="0.2">
      <c r="B4963" s="1341">
        <v>6035</v>
      </c>
      <c r="C4963" s="1341" t="s">
        <v>5777</v>
      </c>
      <c r="D4963" s="1310">
        <v>684.31481900000006</v>
      </c>
    </row>
    <row r="4964" spans="2:4" x14ac:dyDescent="0.2">
      <c r="B4964" s="1341">
        <v>6036</v>
      </c>
      <c r="C4964" s="1341" t="s">
        <v>5778</v>
      </c>
      <c r="D4964" s="1310">
        <v>694.383331</v>
      </c>
    </row>
    <row r="4965" spans="2:4" x14ac:dyDescent="0.2">
      <c r="B4965" s="1341">
        <v>6037</v>
      </c>
      <c r="C4965" s="1341" t="s">
        <v>5779</v>
      </c>
      <c r="D4965" s="1310">
        <v>707.06666099999995</v>
      </c>
    </row>
    <row r="4966" spans="2:4" x14ac:dyDescent="0.2">
      <c r="B4966" s="1341">
        <v>6038</v>
      </c>
      <c r="C4966" s="1341" t="s">
        <v>5780</v>
      </c>
      <c r="D4966" s="1310">
        <v>779.13334099999997</v>
      </c>
    </row>
    <row r="4967" spans="2:4" x14ac:dyDescent="0.2">
      <c r="B4967" s="1341">
        <v>6039</v>
      </c>
      <c r="C4967" s="1341" t="s">
        <v>5781</v>
      </c>
      <c r="D4967" s="1310">
        <v>703.69998199999998</v>
      </c>
    </row>
    <row r="4968" spans="2:4" x14ac:dyDescent="0.2">
      <c r="B4968" s="1341">
        <v>6040</v>
      </c>
      <c r="C4968" s="1341" t="s">
        <v>5782</v>
      </c>
      <c r="D4968" s="1310">
        <v>722.5</v>
      </c>
    </row>
    <row r="4969" spans="2:4" x14ac:dyDescent="0.2">
      <c r="B4969" s="1341">
        <v>6041</v>
      </c>
      <c r="C4969" s="1341" t="s">
        <v>5783</v>
      </c>
      <c r="D4969" s="1310">
        <v>643.52500399999997</v>
      </c>
    </row>
    <row r="4970" spans="2:4" x14ac:dyDescent="0.2">
      <c r="B4970" s="1341">
        <v>6042</v>
      </c>
      <c r="C4970" s="1341" t="s">
        <v>5784</v>
      </c>
      <c r="D4970" s="1310">
        <v>683.17499799999996</v>
      </c>
    </row>
    <row r="4971" spans="2:4" x14ac:dyDescent="0.2">
      <c r="B4971" s="1341">
        <v>6043</v>
      </c>
      <c r="C4971" s="1341" t="s">
        <v>397</v>
      </c>
      <c r="D4971" s="1310">
        <v>679.23749499999997</v>
      </c>
    </row>
    <row r="4972" spans="2:4" x14ac:dyDescent="0.2">
      <c r="B4972" s="1341">
        <v>6044</v>
      </c>
      <c r="C4972" s="1341" t="s">
        <v>5785</v>
      </c>
      <c r="D4972" s="1310">
        <v>697.21666500000003</v>
      </c>
    </row>
    <row r="4973" spans="2:4" x14ac:dyDescent="0.2">
      <c r="B4973" s="1341">
        <v>6045</v>
      </c>
      <c r="C4973" s="1341" t="s">
        <v>5786</v>
      </c>
      <c r="D4973" s="1310">
        <v>721.81999900000005</v>
      </c>
    </row>
    <row r="4974" spans="2:4" x14ac:dyDescent="0.2">
      <c r="B4974" s="1341">
        <v>6046</v>
      </c>
      <c r="C4974" s="1341" t="s">
        <v>5787</v>
      </c>
      <c r="D4974" s="1310">
        <v>715.35833200000002</v>
      </c>
    </row>
    <row r="4975" spans="2:4" x14ac:dyDescent="0.2">
      <c r="B4975" s="1341">
        <v>6047</v>
      </c>
      <c r="C4975" s="1341" t="s">
        <v>5788</v>
      </c>
      <c r="D4975" s="1310">
        <v>704.69230300000004</v>
      </c>
    </row>
    <row r="4976" spans="2:4" x14ac:dyDescent="0.2">
      <c r="B4976" s="1341">
        <v>6048</v>
      </c>
      <c r="C4976" s="1341" t="s">
        <v>5789</v>
      </c>
      <c r="D4976" s="1310">
        <v>785.38888899999995</v>
      </c>
    </row>
    <row r="4977" spans="2:4" x14ac:dyDescent="0.2">
      <c r="B4977" s="1341">
        <v>6049</v>
      </c>
      <c r="C4977" s="1341" t="s">
        <v>1866</v>
      </c>
      <c r="D4977" s="1310">
        <v>632.16667299999995</v>
      </c>
    </row>
    <row r="4978" spans="2:4" x14ac:dyDescent="0.2">
      <c r="B4978" s="1341">
        <v>6050</v>
      </c>
      <c r="C4978" s="1341" t="s">
        <v>5790</v>
      </c>
      <c r="D4978" s="1310">
        <v>756.06154700000002</v>
      </c>
    </row>
    <row r="4979" spans="2:4" x14ac:dyDescent="0.2">
      <c r="B4979" s="1341">
        <v>6051</v>
      </c>
      <c r="C4979" s="1341" t="s">
        <v>5791</v>
      </c>
      <c r="D4979" s="1310">
        <v>677.14000199999998</v>
      </c>
    </row>
    <row r="4980" spans="2:4" x14ac:dyDescent="0.2">
      <c r="B4980" s="1341">
        <v>6052</v>
      </c>
      <c r="C4980" s="1341" t="s">
        <v>5792</v>
      </c>
      <c r="D4980" s="1310">
        <v>762.77142300000003</v>
      </c>
    </row>
    <row r="4981" spans="2:4" x14ac:dyDescent="0.2">
      <c r="B4981" s="1341">
        <v>6053</v>
      </c>
      <c r="C4981" s="1341" t="s">
        <v>5793</v>
      </c>
      <c r="D4981" s="1310">
        <v>721.11999500000002</v>
      </c>
    </row>
    <row r="4982" spans="2:4" x14ac:dyDescent="0.2">
      <c r="B4982" s="1341">
        <v>6054</v>
      </c>
      <c r="C4982" s="1341" t="s">
        <v>5794</v>
      </c>
      <c r="D4982" s="1310">
        <v>639.30000299999995</v>
      </c>
    </row>
    <row r="4983" spans="2:4" x14ac:dyDescent="0.2">
      <c r="B4983" s="1341">
        <v>6055</v>
      </c>
      <c r="C4983" s="1341" t="s">
        <v>5795</v>
      </c>
      <c r="D4983" s="1310">
        <v>652.50001999999995</v>
      </c>
    </row>
    <row r="4984" spans="2:4" x14ac:dyDescent="0.2">
      <c r="B4984" s="1341">
        <v>6056</v>
      </c>
      <c r="C4984" s="1341" t="s">
        <v>5796</v>
      </c>
      <c r="D4984" s="1310">
        <v>796.46667500000001</v>
      </c>
    </row>
    <row r="4985" spans="2:4" x14ac:dyDescent="0.2">
      <c r="B4985" s="1341">
        <v>6057</v>
      </c>
      <c r="C4985" s="1341" t="s">
        <v>4474</v>
      </c>
      <c r="D4985" s="1310">
        <v>731.21999500000004</v>
      </c>
    </row>
    <row r="4986" spans="2:4" x14ac:dyDescent="0.2">
      <c r="B4986" s="1341">
        <v>6058</v>
      </c>
      <c r="C4986" s="1341" t="s">
        <v>5797</v>
      </c>
      <c r="D4986" s="1310">
        <v>615.04285500000003</v>
      </c>
    </row>
    <row r="4987" spans="2:4" x14ac:dyDescent="0.2">
      <c r="B4987" s="1341">
        <v>6059</v>
      </c>
      <c r="C4987" s="1341" t="s">
        <v>5798</v>
      </c>
      <c r="D4987" s="1310">
        <v>690.86999500000002</v>
      </c>
    </row>
    <row r="4988" spans="2:4" x14ac:dyDescent="0.2">
      <c r="B4988" s="1341">
        <v>6060</v>
      </c>
      <c r="C4988" s="1341" t="s">
        <v>1846</v>
      </c>
      <c r="D4988" s="1310">
        <v>689.47142699999995</v>
      </c>
    </row>
    <row r="4989" spans="2:4" x14ac:dyDescent="0.2">
      <c r="B4989" s="1341">
        <v>6061</v>
      </c>
      <c r="C4989" s="1341" t="s">
        <v>5799</v>
      </c>
      <c r="D4989" s="1310">
        <v>676.93332899999996</v>
      </c>
    </row>
    <row r="4990" spans="2:4" x14ac:dyDescent="0.2">
      <c r="B4990" s="1341">
        <v>6062</v>
      </c>
      <c r="C4990" s="1341" t="s">
        <v>5800</v>
      </c>
      <c r="D4990" s="1310">
        <v>754.77999299999999</v>
      </c>
    </row>
    <row r="4991" spans="2:4" x14ac:dyDescent="0.2">
      <c r="B4991" s="1341">
        <v>6063</v>
      </c>
      <c r="C4991" s="1341" t="s">
        <v>5801</v>
      </c>
      <c r="D4991" s="1310">
        <v>650.32500700000003</v>
      </c>
    </row>
    <row r="4992" spans="2:4" x14ac:dyDescent="0.2">
      <c r="B4992" s="1341">
        <v>6064</v>
      </c>
      <c r="C4992" s="1341" t="s">
        <v>5802</v>
      </c>
      <c r="D4992" s="1310">
        <v>687.77142800000001</v>
      </c>
    </row>
    <row r="4993" spans="2:4" x14ac:dyDescent="0.2">
      <c r="B4993" s="1341">
        <v>6065</v>
      </c>
      <c r="C4993" s="1341" t="s">
        <v>5803</v>
      </c>
      <c r="D4993" s="1310">
        <v>723.55000299999995</v>
      </c>
    </row>
    <row r="4994" spans="2:4" x14ac:dyDescent="0.2">
      <c r="B4994" s="1341">
        <v>6066</v>
      </c>
      <c r="C4994" s="1341" t="s">
        <v>5804</v>
      </c>
      <c r="D4994" s="1310">
        <v>796.65384100000006</v>
      </c>
    </row>
    <row r="4995" spans="2:4" x14ac:dyDescent="0.2">
      <c r="B4995" s="1341">
        <v>6067</v>
      </c>
      <c r="C4995" s="1341" t="s">
        <v>5805</v>
      </c>
      <c r="D4995" s="1310">
        <v>747.741669</v>
      </c>
    </row>
    <row r="4996" spans="2:4" x14ac:dyDescent="0.2">
      <c r="B4996" s="1341">
        <v>6068</v>
      </c>
      <c r="C4996" s="1341" t="s">
        <v>1794</v>
      </c>
      <c r="D4996" s="1310">
        <v>716.47499100000005</v>
      </c>
    </row>
    <row r="4997" spans="2:4" x14ac:dyDescent="0.2">
      <c r="B4997" s="1341">
        <v>6069</v>
      </c>
      <c r="C4997" s="1341" t="s">
        <v>5806</v>
      </c>
      <c r="D4997" s="1310">
        <v>777.633331</v>
      </c>
    </row>
    <row r="4998" spans="2:4" x14ac:dyDescent="0.2">
      <c r="B4998" s="1341">
        <v>6070</v>
      </c>
      <c r="C4998" s="1341" t="s">
        <v>5807</v>
      </c>
      <c r="D4998" s="1310">
        <v>624.48571800000002</v>
      </c>
    </row>
    <row r="4999" spans="2:4" x14ac:dyDescent="0.2">
      <c r="B4999" s="1341">
        <v>6071</v>
      </c>
      <c r="C4999" s="1341" t="s">
        <v>5808</v>
      </c>
      <c r="D4999" s="1310">
        <v>701.64999399999999</v>
      </c>
    </row>
    <row r="5000" spans="2:4" x14ac:dyDescent="0.2">
      <c r="B5000" s="1341">
        <v>6072</v>
      </c>
      <c r="C5000" s="1341" t="s">
        <v>5809</v>
      </c>
      <c r="D5000" s="1310">
        <v>726.69999499999994</v>
      </c>
    </row>
    <row r="5001" spans="2:4" x14ac:dyDescent="0.2">
      <c r="B5001" s="1341">
        <v>6073</v>
      </c>
      <c r="C5001" s="1341" t="s">
        <v>5810</v>
      </c>
      <c r="D5001" s="1310">
        <v>662.41665599999999</v>
      </c>
    </row>
    <row r="5002" spans="2:4" x14ac:dyDescent="0.2">
      <c r="B5002" s="1341">
        <v>6074</v>
      </c>
      <c r="C5002" s="1341" t="s">
        <v>5811</v>
      </c>
      <c r="D5002" s="1310">
        <v>687.05454299999997</v>
      </c>
    </row>
    <row r="5003" spans="2:4" x14ac:dyDescent="0.2">
      <c r="B5003" s="1341">
        <v>6075</v>
      </c>
      <c r="C5003" s="1341" t="s">
        <v>5812</v>
      </c>
      <c r="D5003" s="1310">
        <v>663.57000100000005</v>
      </c>
    </row>
    <row r="5004" spans="2:4" x14ac:dyDescent="0.2">
      <c r="B5004" s="1341">
        <v>6076</v>
      </c>
      <c r="C5004" s="1341" t="s">
        <v>5813</v>
      </c>
      <c r="D5004" s="1310">
        <v>624.80000800000005</v>
      </c>
    </row>
    <row r="5005" spans="2:4" x14ac:dyDescent="0.2">
      <c r="B5005" s="1341">
        <v>6077</v>
      </c>
      <c r="C5005" s="1341" t="s">
        <v>5814</v>
      </c>
      <c r="D5005" s="1310">
        <v>783.70001200000002</v>
      </c>
    </row>
    <row r="5006" spans="2:4" x14ac:dyDescent="0.2">
      <c r="B5006" s="1341">
        <v>6078</v>
      </c>
      <c r="C5006" s="1341" t="s">
        <v>5815</v>
      </c>
      <c r="D5006" s="1310">
        <v>757.89999799999998</v>
      </c>
    </row>
    <row r="5007" spans="2:4" x14ac:dyDescent="0.2">
      <c r="B5007" s="1341">
        <v>6079</v>
      </c>
      <c r="C5007" s="1341" t="s">
        <v>5816</v>
      </c>
      <c r="D5007" s="1310">
        <v>638.41999499999997</v>
      </c>
    </row>
    <row r="5008" spans="2:4" x14ac:dyDescent="0.2">
      <c r="B5008" s="1341">
        <v>6080</v>
      </c>
      <c r="C5008" s="1341" t="s">
        <v>5817</v>
      </c>
      <c r="D5008" s="1310">
        <v>673.740002</v>
      </c>
    </row>
    <row r="5009" spans="2:4" x14ac:dyDescent="0.2">
      <c r="B5009" s="1341">
        <v>6081</v>
      </c>
      <c r="C5009" s="1341" t="s">
        <v>5818</v>
      </c>
      <c r="D5009" s="1310">
        <v>726.39000199999998</v>
      </c>
    </row>
    <row r="5010" spans="2:4" x14ac:dyDescent="0.2">
      <c r="B5010" s="1341">
        <v>6082</v>
      </c>
      <c r="C5010" s="1341" t="s">
        <v>5819</v>
      </c>
      <c r="D5010" s="1310">
        <v>726.74999200000002</v>
      </c>
    </row>
    <row r="5011" spans="2:4" x14ac:dyDescent="0.2">
      <c r="B5011" s="1341">
        <v>6083</v>
      </c>
      <c r="C5011" s="1341" t="s">
        <v>5562</v>
      </c>
      <c r="D5011" s="1310">
        <v>623.46666500000003</v>
      </c>
    </row>
    <row r="5012" spans="2:4" x14ac:dyDescent="0.2">
      <c r="B5012" s="1341">
        <v>6084</v>
      </c>
      <c r="C5012" s="1341" t="s">
        <v>5820</v>
      </c>
      <c r="D5012" s="1310">
        <v>734.22000100000002</v>
      </c>
    </row>
    <row r="5013" spans="2:4" x14ac:dyDescent="0.2">
      <c r="B5013" s="1341">
        <v>6085</v>
      </c>
      <c r="C5013" s="1341" t="s">
        <v>5821</v>
      </c>
      <c r="D5013" s="1310">
        <v>635.17692699999998</v>
      </c>
    </row>
    <row r="5014" spans="2:4" x14ac:dyDescent="0.2">
      <c r="B5014" s="1341">
        <v>6086</v>
      </c>
      <c r="C5014" s="1341" t="s">
        <v>5822</v>
      </c>
      <c r="D5014" s="1310">
        <v>674.34001499999999</v>
      </c>
    </row>
    <row r="5015" spans="2:4" x14ac:dyDescent="0.2">
      <c r="B5015" s="1341">
        <v>6087</v>
      </c>
      <c r="C5015" s="1341" t="s">
        <v>5823</v>
      </c>
      <c r="D5015" s="1310">
        <v>706.15714800000001</v>
      </c>
    </row>
    <row r="5016" spans="2:4" x14ac:dyDescent="0.2">
      <c r="B5016" s="1341">
        <v>6088</v>
      </c>
      <c r="C5016" s="1341" t="s">
        <v>5824</v>
      </c>
      <c r="D5016" s="1310">
        <v>764.2</v>
      </c>
    </row>
    <row r="5017" spans="2:4" x14ac:dyDescent="0.2">
      <c r="B5017" s="1341">
        <v>6089</v>
      </c>
      <c r="C5017" s="1341" t="s">
        <v>5825</v>
      </c>
      <c r="D5017" s="1310">
        <v>701.14999399999999</v>
      </c>
    </row>
    <row r="5018" spans="2:4" x14ac:dyDescent="0.2">
      <c r="B5018" s="1341">
        <v>6090</v>
      </c>
      <c r="C5018" s="1341" t="s">
        <v>5826</v>
      </c>
      <c r="D5018" s="1310">
        <v>690.62222599999996</v>
      </c>
    </row>
    <row r="5019" spans="2:4" x14ac:dyDescent="0.2">
      <c r="B5019" s="1341">
        <v>6091</v>
      </c>
      <c r="C5019" s="1341" t="s">
        <v>5827</v>
      </c>
      <c r="D5019" s="1310">
        <v>651.59999600000003</v>
      </c>
    </row>
    <row r="5020" spans="2:4" x14ac:dyDescent="0.2">
      <c r="B5020" s="1341">
        <v>6092</v>
      </c>
      <c r="C5020" s="1341" t="s">
        <v>5828</v>
      </c>
      <c r="D5020" s="1310">
        <v>725.74999500000001</v>
      </c>
    </row>
    <row r="5021" spans="2:4" x14ac:dyDescent="0.2">
      <c r="B5021" s="1341">
        <v>6093</v>
      </c>
      <c r="C5021" s="1341" t="s">
        <v>5829</v>
      </c>
      <c r="D5021" s="1310">
        <v>715.03332499999999</v>
      </c>
    </row>
    <row r="5022" spans="2:4" x14ac:dyDescent="0.2">
      <c r="B5022" s="1341">
        <v>6094</v>
      </c>
      <c r="C5022" s="1341" t="s">
        <v>5830</v>
      </c>
      <c r="D5022" s="1310">
        <v>677.23750299999995</v>
      </c>
    </row>
    <row r="5023" spans="2:4" x14ac:dyDescent="0.2">
      <c r="B5023" s="1341">
        <v>6095</v>
      </c>
      <c r="C5023" s="1341" t="s">
        <v>5831</v>
      </c>
      <c r="D5023" s="1310">
        <v>646.41249800000003</v>
      </c>
    </row>
    <row r="5024" spans="2:4" x14ac:dyDescent="0.2">
      <c r="B5024" s="1341">
        <v>6096</v>
      </c>
      <c r="C5024" s="1341" t="s">
        <v>1599</v>
      </c>
      <c r="D5024" s="1310">
        <v>772.84545300000002</v>
      </c>
    </row>
    <row r="5025" spans="2:4" x14ac:dyDescent="0.2">
      <c r="B5025" s="1341">
        <v>6097</v>
      </c>
      <c r="C5025" s="1341" t="s">
        <v>5832</v>
      </c>
      <c r="D5025" s="1310">
        <v>635.82000700000003</v>
      </c>
    </row>
    <row r="5026" spans="2:4" x14ac:dyDescent="0.2">
      <c r="B5026" s="1341">
        <v>6098</v>
      </c>
      <c r="C5026" s="1341" t="s">
        <v>5833</v>
      </c>
      <c r="D5026" s="1310">
        <v>661.79411800000003</v>
      </c>
    </row>
    <row r="5027" spans="2:4" x14ac:dyDescent="0.2">
      <c r="B5027" s="1341">
        <v>6099</v>
      </c>
      <c r="C5027" s="1341" t="s">
        <v>5834</v>
      </c>
      <c r="D5027" s="1310">
        <v>637.26363300000003</v>
      </c>
    </row>
    <row r="5028" spans="2:4" x14ac:dyDescent="0.2">
      <c r="B5028" s="1341">
        <v>6100</v>
      </c>
      <c r="C5028" s="1341" t="s">
        <v>5835</v>
      </c>
      <c r="D5028" s="1310">
        <v>718.58333300000004</v>
      </c>
    </row>
    <row r="5029" spans="2:4" x14ac:dyDescent="0.2">
      <c r="B5029" s="1341">
        <v>6101</v>
      </c>
      <c r="C5029" s="1341" t="s">
        <v>5836</v>
      </c>
      <c r="D5029" s="1310">
        <v>718.41666699999996</v>
      </c>
    </row>
    <row r="5030" spans="2:4" x14ac:dyDescent="0.2">
      <c r="B5030" s="1341">
        <v>6102</v>
      </c>
      <c r="C5030" s="1341" t="s">
        <v>5837</v>
      </c>
      <c r="D5030" s="1310">
        <v>784.48182299999996</v>
      </c>
    </row>
    <row r="5031" spans="2:4" x14ac:dyDescent="0.2">
      <c r="B5031" s="1341">
        <v>6103</v>
      </c>
      <c r="C5031" s="1341" t="s">
        <v>5838</v>
      </c>
      <c r="D5031" s="1310">
        <v>732.4</v>
      </c>
    </row>
    <row r="5032" spans="2:4" x14ac:dyDescent="0.2">
      <c r="B5032" s="1341">
        <v>6104</v>
      </c>
      <c r="C5032" s="1341" t="s">
        <v>5839</v>
      </c>
      <c r="D5032" s="1310">
        <v>748.14545199999998</v>
      </c>
    </row>
    <row r="5033" spans="2:4" x14ac:dyDescent="0.2">
      <c r="B5033" s="1341">
        <v>6105</v>
      </c>
      <c r="C5033" s="1341" t="s">
        <v>5840</v>
      </c>
      <c r="D5033" s="1310">
        <v>684.67500299999995</v>
      </c>
    </row>
    <row r="5034" spans="2:4" x14ac:dyDescent="0.2">
      <c r="B5034" s="1341">
        <v>6106</v>
      </c>
      <c r="C5034" s="1341" t="s">
        <v>2650</v>
      </c>
      <c r="D5034" s="1310">
        <v>709.31111299999998</v>
      </c>
    </row>
    <row r="5035" spans="2:4" x14ac:dyDescent="0.2">
      <c r="B5035" s="1341">
        <v>6151</v>
      </c>
      <c r="C5035" s="1341" t="s">
        <v>5841</v>
      </c>
      <c r="D5035" s="1310">
        <v>698.64499799999999</v>
      </c>
    </row>
    <row r="5036" spans="2:4" x14ac:dyDescent="0.2">
      <c r="B5036" s="1341">
        <v>6152</v>
      </c>
      <c r="C5036" s="1341" t="s">
        <v>5842</v>
      </c>
      <c r="D5036" s="1310">
        <v>784.40476200000001</v>
      </c>
    </row>
    <row r="5037" spans="2:4" x14ac:dyDescent="0.2">
      <c r="B5037" s="1341">
        <v>6153</v>
      </c>
      <c r="C5037" s="1341" t="s">
        <v>5843</v>
      </c>
      <c r="D5037" s="1310">
        <v>684.6875</v>
      </c>
    </row>
    <row r="5038" spans="2:4" x14ac:dyDescent="0.2">
      <c r="B5038" s="1341">
        <v>6154</v>
      </c>
      <c r="C5038" s="1341" t="s">
        <v>5844</v>
      </c>
      <c r="D5038" s="1310">
        <v>675.45714899999996</v>
      </c>
    </row>
    <row r="5039" spans="2:4" x14ac:dyDescent="0.2">
      <c r="B5039" s="1341">
        <v>6155</v>
      </c>
      <c r="C5039" s="1341" t="s">
        <v>5218</v>
      </c>
      <c r="D5039" s="1310">
        <v>704.95713599999999</v>
      </c>
    </row>
    <row r="5040" spans="2:4" x14ac:dyDescent="0.2">
      <c r="B5040" s="1341">
        <v>6156</v>
      </c>
      <c r="C5040" s="1341" t="s">
        <v>5845</v>
      </c>
      <c r="D5040" s="1310">
        <v>688.35238200000003</v>
      </c>
    </row>
    <row r="5041" spans="2:4" x14ac:dyDescent="0.2">
      <c r="B5041" s="1341">
        <v>6157</v>
      </c>
      <c r="C5041" s="1341" t="s">
        <v>5846</v>
      </c>
      <c r="D5041" s="1310">
        <v>666.52000699999996</v>
      </c>
    </row>
    <row r="5042" spans="2:4" x14ac:dyDescent="0.2">
      <c r="B5042" s="1341">
        <v>6158</v>
      </c>
      <c r="C5042" s="1341" t="s">
        <v>5847</v>
      </c>
      <c r="D5042" s="1310">
        <v>709.22352899999998</v>
      </c>
    </row>
    <row r="5043" spans="2:4" x14ac:dyDescent="0.2">
      <c r="B5043" s="1341">
        <v>6159</v>
      </c>
      <c r="C5043" s="1341" t="s">
        <v>5848</v>
      </c>
      <c r="D5043" s="1310">
        <v>689.85556399999996</v>
      </c>
    </row>
    <row r="5044" spans="2:4" x14ac:dyDescent="0.2">
      <c r="B5044" s="1341">
        <v>6160</v>
      </c>
      <c r="C5044" s="1341" t="s">
        <v>5849</v>
      </c>
      <c r="D5044" s="1310">
        <v>691.21818399999995</v>
      </c>
    </row>
    <row r="5045" spans="2:4" x14ac:dyDescent="0.2">
      <c r="B5045" s="1341">
        <v>6161</v>
      </c>
      <c r="C5045" s="1341" t="s">
        <v>5850</v>
      </c>
      <c r="D5045" s="1310">
        <v>702.17778899999996</v>
      </c>
    </row>
    <row r="5046" spans="2:4" x14ac:dyDescent="0.2">
      <c r="B5046" s="1341">
        <v>6162</v>
      </c>
      <c r="C5046" s="1341" t="s">
        <v>5851</v>
      </c>
      <c r="D5046" s="1310">
        <v>721.02941499999997</v>
      </c>
    </row>
    <row r="5047" spans="2:4" x14ac:dyDescent="0.2">
      <c r="B5047" s="1341">
        <v>6163</v>
      </c>
      <c r="C5047" s="1341" t="s">
        <v>5852</v>
      </c>
      <c r="D5047" s="1310">
        <v>727.10001199999999</v>
      </c>
    </row>
    <row r="5048" spans="2:4" x14ac:dyDescent="0.2">
      <c r="B5048" s="1341">
        <v>6164</v>
      </c>
      <c r="C5048" s="1341" t="s">
        <v>5853</v>
      </c>
      <c r="D5048" s="1310">
        <v>715.22500600000001</v>
      </c>
    </row>
    <row r="5049" spans="2:4" x14ac:dyDescent="0.2">
      <c r="B5049" s="1341">
        <v>6165</v>
      </c>
      <c r="C5049" s="1341" t="s">
        <v>5854</v>
      </c>
      <c r="D5049" s="1310">
        <v>785.90999799999997</v>
      </c>
    </row>
    <row r="5050" spans="2:4" x14ac:dyDescent="0.2">
      <c r="B5050" s="1341">
        <v>6166</v>
      </c>
      <c r="C5050" s="1341" t="s">
        <v>5855</v>
      </c>
      <c r="D5050" s="1310">
        <v>753.18667000000005</v>
      </c>
    </row>
    <row r="5051" spans="2:4" x14ac:dyDescent="0.2">
      <c r="B5051" s="1341">
        <v>6167</v>
      </c>
      <c r="C5051" s="1341" t="s">
        <v>5856</v>
      </c>
      <c r="D5051" s="1310">
        <v>757.98999600000002</v>
      </c>
    </row>
    <row r="5052" spans="2:4" x14ac:dyDescent="0.2">
      <c r="B5052" s="1341">
        <v>6168</v>
      </c>
      <c r="C5052" s="1341" t="s">
        <v>5857</v>
      </c>
      <c r="D5052" s="1310">
        <v>814.6</v>
      </c>
    </row>
    <row r="5053" spans="2:4" x14ac:dyDescent="0.2">
      <c r="B5053" s="1341">
        <v>6169</v>
      </c>
      <c r="C5053" s="1341" t="s">
        <v>1503</v>
      </c>
      <c r="D5053" s="1310">
        <v>751.79999799999996</v>
      </c>
    </row>
    <row r="5054" spans="2:4" x14ac:dyDescent="0.2">
      <c r="B5054" s="1341">
        <v>6170</v>
      </c>
      <c r="C5054" s="1341" t="s">
        <v>2589</v>
      </c>
      <c r="D5054" s="1310">
        <v>739.98751100000004</v>
      </c>
    </row>
    <row r="5055" spans="2:4" x14ac:dyDescent="0.2">
      <c r="B5055" s="1341">
        <v>6171</v>
      </c>
      <c r="C5055" s="1341" t="s">
        <v>5858</v>
      </c>
      <c r="D5055" s="1310">
        <v>702.733341</v>
      </c>
    </row>
    <row r="5056" spans="2:4" x14ac:dyDescent="0.2">
      <c r="B5056" s="1341">
        <v>6172</v>
      </c>
      <c r="C5056" s="1341" t="s">
        <v>5859</v>
      </c>
      <c r="D5056" s="1310">
        <v>706.82631600000002</v>
      </c>
    </row>
    <row r="5057" spans="2:4" x14ac:dyDescent="0.2">
      <c r="B5057" s="1341">
        <v>6173</v>
      </c>
      <c r="C5057" s="1341" t="s">
        <v>5860</v>
      </c>
      <c r="D5057" s="1310">
        <v>667.43332899999996</v>
      </c>
    </row>
    <row r="5058" spans="2:4" x14ac:dyDescent="0.2">
      <c r="B5058" s="1341">
        <v>6174</v>
      </c>
      <c r="C5058" s="1341" t="s">
        <v>5861</v>
      </c>
      <c r="D5058" s="1310">
        <v>707.85000600000001</v>
      </c>
    </row>
    <row r="5059" spans="2:4" x14ac:dyDescent="0.2">
      <c r="B5059" s="1341">
        <v>6175</v>
      </c>
      <c r="C5059" s="1341" t="s">
        <v>5862</v>
      </c>
      <c r="D5059" s="1310">
        <v>707.56001000000003</v>
      </c>
    </row>
    <row r="5060" spans="2:4" x14ac:dyDescent="0.2">
      <c r="B5060" s="1341">
        <v>6176</v>
      </c>
      <c r="C5060" s="1341" t="s">
        <v>5863</v>
      </c>
      <c r="D5060" s="1310">
        <v>703.79375100000004</v>
      </c>
    </row>
    <row r="5061" spans="2:4" x14ac:dyDescent="0.2">
      <c r="B5061" s="1341">
        <v>6177</v>
      </c>
      <c r="C5061" s="1341" t="s">
        <v>5864</v>
      </c>
      <c r="D5061" s="1310">
        <v>718.96666700000003</v>
      </c>
    </row>
    <row r="5062" spans="2:4" x14ac:dyDescent="0.2">
      <c r="B5062" s="1341">
        <v>6178</v>
      </c>
      <c r="C5062" s="1341" t="s">
        <v>5865</v>
      </c>
      <c r="D5062" s="1310">
        <v>740.09599600000001</v>
      </c>
    </row>
    <row r="5063" spans="2:4" x14ac:dyDescent="0.2">
      <c r="B5063" s="1341">
        <v>6179</v>
      </c>
      <c r="C5063" s="1341" t="s">
        <v>5866</v>
      </c>
      <c r="D5063" s="1310">
        <v>769.90999799999997</v>
      </c>
    </row>
    <row r="5064" spans="2:4" x14ac:dyDescent="0.2">
      <c r="B5064" s="1341">
        <v>6180</v>
      </c>
      <c r="C5064" s="1341" t="s">
        <v>5867</v>
      </c>
      <c r="D5064" s="1310">
        <v>686.87142700000004</v>
      </c>
    </row>
    <row r="5065" spans="2:4" x14ac:dyDescent="0.2">
      <c r="B5065" s="1341">
        <v>6181</v>
      </c>
      <c r="C5065" s="1341" t="s">
        <v>5271</v>
      </c>
      <c r="D5065" s="1310">
        <v>720.278953</v>
      </c>
    </row>
    <row r="5066" spans="2:4" x14ac:dyDescent="0.2">
      <c r="B5066" s="1341">
        <v>6182</v>
      </c>
      <c r="C5066" s="1341" t="s">
        <v>5868</v>
      </c>
      <c r="D5066" s="1310">
        <v>682.240002</v>
      </c>
    </row>
    <row r="5067" spans="2:4" x14ac:dyDescent="0.2">
      <c r="B5067" s="1341">
        <v>6183</v>
      </c>
      <c r="C5067" s="1341" t="s">
        <v>5869</v>
      </c>
      <c r="D5067" s="1310">
        <v>724.15455199999997</v>
      </c>
    </row>
    <row r="5068" spans="2:4" x14ac:dyDescent="0.2">
      <c r="B5068" s="1341">
        <v>6184</v>
      </c>
      <c r="C5068" s="1341" t="s">
        <v>1846</v>
      </c>
      <c r="D5068" s="1310">
        <v>709.11364200000003</v>
      </c>
    </row>
    <row r="5069" spans="2:4" x14ac:dyDescent="0.2">
      <c r="B5069" s="1341">
        <v>6185</v>
      </c>
      <c r="C5069" s="1341" t="s">
        <v>5870</v>
      </c>
      <c r="D5069" s="1310">
        <v>731.69412399999999</v>
      </c>
    </row>
    <row r="5070" spans="2:4" x14ac:dyDescent="0.2">
      <c r="B5070" s="1341">
        <v>6186</v>
      </c>
      <c r="C5070" s="1341" t="s">
        <v>5871</v>
      </c>
      <c r="D5070" s="1310">
        <v>677.17776800000001</v>
      </c>
    </row>
    <row r="5071" spans="2:4" x14ac:dyDescent="0.2">
      <c r="B5071" s="1341">
        <v>6187</v>
      </c>
      <c r="C5071" s="1341" t="s">
        <v>5872</v>
      </c>
      <c r="D5071" s="1310">
        <v>723.62778000000003</v>
      </c>
    </row>
    <row r="5072" spans="2:4" x14ac:dyDescent="0.2">
      <c r="B5072" s="1341">
        <v>6188</v>
      </c>
      <c r="C5072" s="1341" t="s">
        <v>5873</v>
      </c>
      <c r="D5072" s="1310">
        <v>694.92000700000006</v>
      </c>
    </row>
    <row r="5073" spans="2:4" x14ac:dyDescent="0.2">
      <c r="B5073" s="1341">
        <v>6189</v>
      </c>
      <c r="C5073" s="1341" t="s">
        <v>5874</v>
      </c>
      <c r="D5073" s="1310">
        <v>713.45332800000006</v>
      </c>
    </row>
    <row r="5074" spans="2:4" x14ac:dyDescent="0.2">
      <c r="B5074" s="1341">
        <v>6190</v>
      </c>
      <c r="C5074" s="1341" t="s">
        <v>2198</v>
      </c>
      <c r="D5074" s="1310">
        <v>682.38749700000005</v>
      </c>
    </row>
    <row r="5075" spans="2:4" x14ac:dyDescent="0.2">
      <c r="B5075" s="1341">
        <v>6191</v>
      </c>
      <c r="C5075" s="1341" t="s">
        <v>5875</v>
      </c>
      <c r="D5075" s="1310">
        <v>731.96153800000002</v>
      </c>
    </row>
    <row r="5076" spans="2:4" x14ac:dyDescent="0.2">
      <c r="B5076" s="1341">
        <v>6192</v>
      </c>
      <c r="C5076" s="1341" t="s">
        <v>5876</v>
      </c>
      <c r="D5076" s="1310">
        <v>701.82500200000004</v>
      </c>
    </row>
    <row r="5077" spans="2:4" x14ac:dyDescent="0.2">
      <c r="B5077" s="1341">
        <v>6193</v>
      </c>
      <c r="C5077" s="1341" t="s">
        <v>5877</v>
      </c>
      <c r="D5077" s="1310">
        <v>731.55238299999996</v>
      </c>
    </row>
    <row r="5078" spans="2:4" x14ac:dyDescent="0.2">
      <c r="B5078" s="1341">
        <v>6194</v>
      </c>
      <c r="C5078" s="1341" t="s">
        <v>5878</v>
      </c>
      <c r="D5078" s="1310">
        <v>724.46154300000001</v>
      </c>
    </row>
    <row r="5079" spans="2:4" x14ac:dyDescent="0.2">
      <c r="B5079" s="1341">
        <v>6195</v>
      </c>
      <c r="C5079" s="1341" t="s">
        <v>4747</v>
      </c>
      <c r="D5079" s="1310">
        <v>770.77307399999995</v>
      </c>
    </row>
    <row r="5080" spans="2:4" x14ac:dyDescent="0.2">
      <c r="B5080" s="1341">
        <v>6196</v>
      </c>
      <c r="C5080" s="1341" t="s">
        <v>5879</v>
      </c>
      <c r="D5080" s="1310">
        <v>673.51874499999997</v>
      </c>
    </row>
    <row r="5081" spans="2:4" x14ac:dyDescent="0.2">
      <c r="B5081" s="1341">
        <v>6197</v>
      </c>
      <c r="C5081" s="1341" t="s">
        <v>5880</v>
      </c>
      <c r="D5081" s="1310">
        <v>684.741669</v>
      </c>
    </row>
    <row r="5082" spans="2:4" x14ac:dyDescent="0.2">
      <c r="B5082" s="1341">
        <v>6198</v>
      </c>
      <c r="C5082" s="1341" t="s">
        <v>5881</v>
      </c>
      <c r="D5082" s="1310">
        <v>653.59999100000005</v>
      </c>
    </row>
    <row r="5083" spans="2:4" x14ac:dyDescent="0.2">
      <c r="B5083" s="1341">
        <v>6199</v>
      </c>
      <c r="C5083" s="1341" t="s">
        <v>5882</v>
      </c>
      <c r="D5083" s="1310">
        <v>653.67999299999997</v>
      </c>
    </row>
    <row r="5084" spans="2:4" x14ac:dyDescent="0.2">
      <c r="B5084" s="1341">
        <v>6200</v>
      </c>
      <c r="C5084" s="1341" t="s">
        <v>5883</v>
      </c>
      <c r="D5084" s="1310">
        <v>665.069569</v>
      </c>
    </row>
    <row r="5085" spans="2:4" x14ac:dyDescent="0.2">
      <c r="B5085" s="1341">
        <v>6201</v>
      </c>
      <c r="C5085" s="1341" t="s">
        <v>5884</v>
      </c>
      <c r="D5085" s="1310">
        <v>733.44999700000005</v>
      </c>
    </row>
    <row r="5086" spans="2:4" x14ac:dyDescent="0.2">
      <c r="B5086" s="1341">
        <v>6202</v>
      </c>
      <c r="C5086" s="1341" t="s">
        <v>4529</v>
      </c>
      <c r="D5086" s="1310">
        <v>767.37222299999996</v>
      </c>
    </row>
    <row r="5087" spans="2:4" x14ac:dyDescent="0.2">
      <c r="B5087" s="1341">
        <v>6203</v>
      </c>
      <c r="C5087" s="1341" t="s">
        <v>5885</v>
      </c>
      <c r="D5087" s="1310">
        <v>760.49047900000005</v>
      </c>
    </row>
    <row r="5088" spans="2:4" x14ac:dyDescent="0.2">
      <c r="B5088" s="1341">
        <v>6204</v>
      </c>
      <c r="C5088" s="1341" t="s">
        <v>5886</v>
      </c>
      <c r="D5088" s="1310">
        <v>719.01665800000001</v>
      </c>
    </row>
    <row r="5089" spans="2:4" x14ac:dyDescent="0.2">
      <c r="B5089" s="1341">
        <v>6205</v>
      </c>
      <c r="C5089" s="1341" t="s">
        <v>5887</v>
      </c>
      <c r="D5089" s="1310">
        <v>754.08181500000001</v>
      </c>
    </row>
    <row r="5090" spans="2:4" x14ac:dyDescent="0.2">
      <c r="B5090" s="1341">
        <v>6206</v>
      </c>
      <c r="C5090" s="1341" t="s">
        <v>5888</v>
      </c>
      <c r="D5090" s="1310">
        <v>731.64374499999997</v>
      </c>
    </row>
    <row r="5091" spans="2:4" x14ac:dyDescent="0.2">
      <c r="B5091" s="1341">
        <v>6207</v>
      </c>
      <c r="C5091" s="1341" t="s">
        <v>5889</v>
      </c>
      <c r="D5091" s="1310">
        <v>717.59997599999997</v>
      </c>
    </row>
    <row r="5092" spans="2:4" x14ac:dyDescent="0.2">
      <c r="B5092" s="1341">
        <v>6208</v>
      </c>
      <c r="C5092" s="1341" t="s">
        <v>5727</v>
      </c>
      <c r="D5092" s="1310">
        <v>715.91428900000005</v>
      </c>
    </row>
    <row r="5093" spans="2:4" x14ac:dyDescent="0.2">
      <c r="B5093" s="1341">
        <v>6209</v>
      </c>
      <c r="C5093" s="1341" t="s">
        <v>5890</v>
      </c>
      <c r="D5093" s="1310">
        <v>729.16428499999995</v>
      </c>
    </row>
    <row r="5094" spans="2:4" x14ac:dyDescent="0.2">
      <c r="B5094" s="1341">
        <v>6210</v>
      </c>
      <c r="C5094" s="1341" t="s">
        <v>5891</v>
      </c>
      <c r="D5094" s="1310">
        <v>750.55001800000002</v>
      </c>
    </row>
    <row r="5095" spans="2:4" x14ac:dyDescent="0.2">
      <c r="B5095" s="1341">
        <v>6211</v>
      </c>
      <c r="C5095" s="1341" t="s">
        <v>5892</v>
      </c>
      <c r="D5095" s="1310">
        <v>713.16666699999996</v>
      </c>
    </row>
    <row r="5096" spans="2:4" x14ac:dyDescent="0.2">
      <c r="B5096" s="1341">
        <v>6212</v>
      </c>
      <c r="C5096" s="1341" t="s">
        <v>5893</v>
      </c>
      <c r="D5096" s="1310">
        <v>753.57692299999997</v>
      </c>
    </row>
    <row r="5097" spans="2:4" x14ac:dyDescent="0.2">
      <c r="B5097" s="1341">
        <v>6213</v>
      </c>
      <c r="C5097" s="1341" t="s">
        <v>5894</v>
      </c>
      <c r="D5097" s="1310">
        <v>732.25</v>
      </c>
    </row>
    <row r="5098" spans="2:4" x14ac:dyDescent="0.2">
      <c r="B5098" s="1341">
        <v>6214</v>
      </c>
      <c r="C5098" s="1341" t="s">
        <v>5895</v>
      </c>
      <c r="D5098" s="1310">
        <v>694.75453900000002</v>
      </c>
    </row>
    <row r="5099" spans="2:4" x14ac:dyDescent="0.2">
      <c r="B5099" s="1341">
        <v>6215</v>
      </c>
      <c r="C5099" s="1341" t="s">
        <v>5261</v>
      </c>
      <c r="D5099" s="1310">
        <v>672</v>
      </c>
    </row>
    <row r="5100" spans="2:4" x14ac:dyDescent="0.2">
      <c r="B5100" s="1341">
        <v>6216</v>
      </c>
      <c r="C5100" s="1341" t="s">
        <v>5896</v>
      </c>
      <c r="D5100" s="1310">
        <v>672.258825</v>
      </c>
    </row>
    <row r="5101" spans="2:4" x14ac:dyDescent="0.2">
      <c r="B5101" s="1341">
        <v>6217</v>
      </c>
      <c r="C5101" s="1341" t="s">
        <v>5897</v>
      </c>
      <c r="D5101" s="1310">
        <v>685.38929099999996</v>
      </c>
    </row>
    <row r="5102" spans="2:4" x14ac:dyDescent="0.2">
      <c r="B5102" s="1341">
        <v>6251</v>
      </c>
      <c r="C5102" s="1341" t="s">
        <v>5898</v>
      </c>
      <c r="D5102" s="1310">
        <v>932.41250200000002</v>
      </c>
    </row>
    <row r="5103" spans="2:4" x14ac:dyDescent="0.2">
      <c r="B5103" s="1341">
        <v>6252</v>
      </c>
      <c r="C5103" s="1341" t="s">
        <v>5899</v>
      </c>
      <c r="D5103" s="1310">
        <v>896.48332400000004</v>
      </c>
    </row>
    <row r="5104" spans="2:4" x14ac:dyDescent="0.2">
      <c r="B5104" s="1341">
        <v>6253</v>
      </c>
      <c r="C5104" s="1341" t="s">
        <v>5551</v>
      </c>
      <c r="D5104" s="1310">
        <v>752.69998199999998</v>
      </c>
    </row>
    <row r="5105" spans="2:4" x14ac:dyDescent="0.2">
      <c r="B5105" s="1341">
        <v>6254</v>
      </c>
      <c r="C5105" s="1341" t="s">
        <v>5900</v>
      </c>
      <c r="D5105" s="1310">
        <v>806.357891</v>
      </c>
    </row>
    <row r="5106" spans="2:4" x14ac:dyDescent="0.2">
      <c r="B5106" s="1341">
        <v>6255</v>
      </c>
      <c r="C5106" s="1341" t="s">
        <v>5901</v>
      </c>
      <c r="D5106" s="1310">
        <v>900.95714499999997</v>
      </c>
    </row>
    <row r="5107" spans="2:4" x14ac:dyDescent="0.2">
      <c r="B5107" s="1341">
        <v>6256</v>
      </c>
      <c r="C5107" s="1341" t="s">
        <v>2993</v>
      </c>
      <c r="D5107" s="1310">
        <v>828.32500000000005</v>
      </c>
    </row>
    <row r="5108" spans="2:4" x14ac:dyDescent="0.2">
      <c r="B5108" s="1341">
        <v>6257</v>
      </c>
      <c r="C5108" s="1341" t="s">
        <v>5902</v>
      </c>
      <c r="D5108" s="1310">
        <v>893.96499900000003</v>
      </c>
    </row>
    <row r="5109" spans="2:4" x14ac:dyDescent="0.2">
      <c r="B5109" s="1341">
        <v>6258</v>
      </c>
      <c r="C5109" s="1341" t="s">
        <v>5903</v>
      </c>
      <c r="D5109" s="1310">
        <v>856.764996</v>
      </c>
    </row>
    <row r="5110" spans="2:4" x14ac:dyDescent="0.2">
      <c r="B5110" s="1341">
        <v>6259</v>
      </c>
      <c r="C5110" s="1341" t="s">
        <v>5904</v>
      </c>
      <c r="D5110" s="1310">
        <v>807.57999299999994</v>
      </c>
    </row>
    <row r="5111" spans="2:4" x14ac:dyDescent="0.2">
      <c r="B5111" s="1341">
        <v>6260</v>
      </c>
      <c r="C5111" s="1341" t="s">
        <v>5905</v>
      </c>
      <c r="D5111" s="1310">
        <v>760.17498799999998</v>
      </c>
    </row>
    <row r="5112" spans="2:4" x14ac:dyDescent="0.2">
      <c r="B5112" s="1341">
        <v>6261</v>
      </c>
      <c r="C5112" s="1341" t="s">
        <v>5906</v>
      </c>
      <c r="D5112" s="1310">
        <v>792.363159</v>
      </c>
    </row>
    <row r="5113" spans="2:4" x14ac:dyDescent="0.2">
      <c r="B5113" s="1341">
        <v>6262</v>
      </c>
      <c r="C5113" s="1341" t="s">
        <v>5907</v>
      </c>
      <c r="D5113" s="1310">
        <v>778.22857699999997</v>
      </c>
    </row>
    <row r="5114" spans="2:4" x14ac:dyDescent="0.2">
      <c r="B5114" s="1341">
        <v>6263</v>
      </c>
      <c r="C5114" s="1341" t="s">
        <v>5908</v>
      </c>
      <c r="D5114" s="1310">
        <v>752.82273199999997</v>
      </c>
    </row>
    <row r="5115" spans="2:4" x14ac:dyDescent="0.2">
      <c r="B5115" s="1341">
        <v>6264</v>
      </c>
      <c r="C5115" s="1341" t="s">
        <v>5356</v>
      </c>
      <c r="D5115" s="1310">
        <v>803.29375100000004</v>
      </c>
    </row>
    <row r="5116" spans="2:4" x14ac:dyDescent="0.2">
      <c r="B5116" s="1341">
        <v>6265</v>
      </c>
      <c r="C5116" s="1341" t="s">
        <v>5909</v>
      </c>
      <c r="D5116" s="1310">
        <v>801.49231399999996</v>
      </c>
    </row>
    <row r="5117" spans="2:4" x14ac:dyDescent="0.2">
      <c r="B5117" s="1341">
        <v>6266</v>
      </c>
      <c r="C5117" s="1341" t="s">
        <v>5910</v>
      </c>
      <c r="D5117" s="1310">
        <v>718.69999900000005</v>
      </c>
    </row>
    <row r="5118" spans="2:4" x14ac:dyDescent="0.2">
      <c r="B5118" s="1341">
        <v>6267</v>
      </c>
      <c r="C5118" s="1341" t="s">
        <v>5911</v>
      </c>
      <c r="D5118" s="1310">
        <v>703.35999800000002</v>
      </c>
    </row>
    <row r="5119" spans="2:4" x14ac:dyDescent="0.2">
      <c r="B5119" s="1341">
        <v>6268</v>
      </c>
      <c r="C5119" s="1341" t="s">
        <v>5912</v>
      </c>
      <c r="D5119" s="1310">
        <v>717.10587799999996</v>
      </c>
    </row>
    <row r="5120" spans="2:4" x14ac:dyDescent="0.2">
      <c r="B5120" s="1341">
        <v>6269</v>
      </c>
      <c r="C5120" s="1341" t="s">
        <v>5913</v>
      </c>
      <c r="D5120" s="1310">
        <v>728.26841999999999</v>
      </c>
    </row>
    <row r="5121" spans="2:4" x14ac:dyDescent="0.2">
      <c r="B5121" s="1341">
        <v>6270</v>
      </c>
      <c r="C5121" s="1341" t="s">
        <v>5914</v>
      </c>
      <c r="D5121" s="1310">
        <v>731.35000600000001</v>
      </c>
    </row>
    <row r="5122" spans="2:4" x14ac:dyDescent="0.2">
      <c r="B5122" s="1341">
        <v>6271</v>
      </c>
      <c r="C5122" s="1341" t="s">
        <v>5915</v>
      </c>
      <c r="D5122" s="1310">
        <v>755.62105199999996</v>
      </c>
    </row>
    <row r="5123" spans="2:4" x14ac:dyDescent="0.2">
      <c r="B5123" s="1341">
        <v>6272</v>
      </c>
      <c r="C5123" s="1341" t="s">
        <v>5916</v>
      </c>
      <c r="D5123" s="1310">
        <v>773.77083100000004</v>
      </c>
    </row>
    <row r="5124" spans="2:4" x14ac:dyDescent="0.2">
      <c r="B5124" s="1341">
        <v>6273</v>
      </c>
      <c r="C5124" s="1341" t="s">
        <v>5917</v>
      </c>
      <c r="D5124" s="1310">
        <v>811.635716</v>
      </c>
    </row>
    <row r="5125" spans="2:4" x14ac:dyDescent="0.2">
      <c r="B5125" s="1341">
        <v>6274</v>
      </c>
      <c r="C5125" s="1341" t="s">
        <v>5918</v>
      </c>
      <c r="D5125" s="1310">
        <v>781.05000299999995</v>
      </c>
    </row>
    <row r="5126" spans="2:4" x14ac:dyDescent="0.2">
      <c r="B5126" s="1341">
        <v>6275</v>
      </c>
      <c r="C5126" s="1341" t="s">
        <v>5919</v>
      </c>
      <c r="D5126" s="1310">
        <v>781.19999199999995</v>
      </c>
    </row>
    <row r="5127" spans="2:4" x14ac:dyDescent="0.2">
      <c r="B5127" s="1341">
        <v>6276</v>
      </c>
      <c r="C5127" s="1341" t="s">
        <v>5920</v>
      </c>
      <c r="D5127" s="1310">
        <v>785.02499399999999</v>
      </c>
    </row>
    <row r="5128" spans="2:4" x14ac:dyDescent="0.2">
      <c r="B5128" s="1341">
        <v>6301</v>
      </c>
      <c r="C5128" s="1341" t="s">
        <v>5921</v>
      </c>
      <c r="D5128" s="1310">
        <v>966.03158399999995</v>
      </c>
    </row>
    <row r="5129" spans="2:4" x14ac:dyDescent="0.2">
      <c r="B5129" s="1341">
        <v>6302</v>
      </c>
      <c r="C5129" s="1341" t="s">
        <v>5922</v>
      </c>
      <c r="D5129" s="1310">
        <v>975.581818</v>
      </c>
    </row>
    <row r="5130" spans="2:4" x14ac:dyDescent="0.2">
      <c r="B5130" s="1341">
        <v>6303</v>
      </c>
      <c r="C5130" s="1341" t="s">
        <v>2551</v>
      </c>
      <c r="D5130" s="1310">
        <v>926.48421099999996</v>
      </c>
    </row>
    <row r="5131" spans="2:4" x14ac:dyDescent="0.2">
      <c r="B5131" s="1341">
        <v>6304</v>
      </c>
      <c r="C5131" s="1341" t="s">
        <v>5923</v>
      </c>
      <c r="D5131" s="1310">
        <v>907.37727199999995</v>
      </c>
    </row>
    <row r="5132" spans="2:4" x14ac:dyDescent="0.2">
      <c r="B5132" s="1341">
        <v>6305</v>
      </c>
      <c r="C5132" s="1341" t="s">
        <v>367</v>
      </c>
      <c r="D5132" s="1310">
        <v>852.77272700000003</v>
      </c>
    </row>
    <row r="5133" spans="2:4" x14ac:dyDescent="0.2">
      <c r="B5133" s="1341">
        <v>6306</v>
      </c>
      <c r="C5133" s="1341" t="s">
        <v>5924</v>
      </c>
      <c r="D5133" s="1310">
        <v>885.06428700000004</v>
      </c>
    </row>
    <row r="5134" spans="2:4" x14ac:dyDescent="0.2">
      <c r="B5134" s="1341">
        <v>6307</v>
      </c>
      <c r="C5134" s="1341" t="s">
        <v>5925</v>
      </c>
      <c r="D5134" s="1310">
        <v>852.88888899999995</v>
      </c>
    </row>
    <row r="5135" spans="2:4" x14ac:dyDescent="0.2">
      <c r="B5135" s="1341">
        <v>6308</v>
      </c>
      <c r="C5135" s="1341" t="s">
        <v>5926</v>
      </c>
      <c r="D5135" s="1310">
        <v>867.63332800000001</v>
      </c>
    </row>
    <row r="5136" spans="2:4" x14ac:dyDescent="0.2">
      <c r="B5136" s="1341">
        <v>6309</v>
      </c>
      <c r="C5136" s="1341" t="s">
        <v>5927</v>
      </c>
      <c r="D5136" s="1310">
        <v>895.31110999999999</v>
      </c>
    </row>
    <row r="5137" spans="2:4" x14ac:dyDescent="0.2">
      <c r="B5137" s="1341">
        <v>6310</v>
      </c>
      <c r="C5137" s="1341" t="s">
        <v>5928</v>
      </c>
      <c r="D5137" s="1310">
        <v>928.11999900000001</v>
      </c>
    </row>
    <row r="5138" spans="2:4" x14ac:dyDescent="0.2">
      <c r="B5138" s="1341">
        <v>6311</v>
      </c>
      <c r="C5138" s="1341" t="s">
        <v>5929</v>
      </c>
      <c r="D5138" s="1310">
        <v>937.73637299999996</v>
      </c>
    </row>
    <row r="5139" spans="2:4" x14ac:dyDescent="0.2">
      <c r="B5139" s="1341">
        <v>6312</v>
      </c>
      <c r="C5139" s="1341" t="s">
        <v>5930</v>
      </c>
      <c r="D5139" s="1310">
        <v>932.53332499999999</v>
      </c>
    </row>
    <row r="5140" spans="2:4" x14ac:dyDescent="0.2">
      <c r="B5140" s="1341">
        <v>6313</v>
      </c>
      <c r="C5140" s="1341" t="s">
        <v>5931</v>
      </c>
      <c r="D5140" s="1310">
        <v>891.29999899999996</v>
      </c>
    </row>
    <row r="5141" spans="2:4" x14ac:dyDescent="0.2">
      <c r="B5141" s="1341">
        <v>6314</v>
      </c>
      <c r="C5141" s="1341" t="s">
        <v>5932</v>
      </c>
      <c r="D5141" s="1310">
        <v>873.15000399999997</v>
      </c>
    </row>
    <row r="5142" spans="2:4" x14ac:dyDescent="0.2">
      <c r="B5142" s="1341">
        <v>6315</v>
      </c>
      <c r="C5142" s="1341" t="s">
        <v>5933</v>
      </c>
      <c r="D5142" s="1310">
        <v>916.28999599999997</v>
      </c>
    </row>
    <row r="5143" spans="2:4" x14ac:dyDescent="0.2">
      <c r="B5143" s="1341">
        <v>6316</v>
      </c>
      <c r="C5143" s="1341" t="s">
        <v>5934</v>
      </c>
      <c r="D5143" s="1310">
        <v>997.03889300000003</v>
      </c>
    </row>
    <row r="5144" spans="2:4" x14ac:dyDescent="0.2">
      <c r="B5144" s="1341">
        <v>6317</v>
      </c>
      <c r="C5144" s="1341" t="s">
        <v>5935</v>
      </c>
      <c r="D5144" s="1310">
        <v>926.92856300000005</v>
      </c>
    </row>
    <row r="5145" spans="2:4" x14ac:dyDescent="0.2">
      <c r="B5145" s="1341">
        <v>6318</v>
      </c>
      <c r="C5145" s="1341" t="s">
        <v>5936</v>
      </c>
      <c r="D5145" s="1310">
        <v>1016.943745</v>
      </c>
    </row>
    <row r="5146" spans="2:4" x14ac:dyDescent="0.2">
      <c r="B5146" s="1341">
        <v>6319</v>
      </c>
      <c r="C5146" s="1341" t="s">
        <v>5937</v>
      </c>
      <c r="D5146" s="1310">
        <v>1033.7199949999999</v>
      </c>
    </row>
    <row r="5147" spans="2:4" x14ac:dyDescent="0.2">
      <c r="B5147" s="1341">
        <v>6320</v>
      </c>
      <c r="C5147" s="1341" t="s">
        <v>5938</v>
      </c>
      <c r="D5147" s="1310">
        <v>1009.213338</v>
      </c>
    </row>
    <row r="5148" spans="2:4" x14ac:dyDescent="0.2">
      <c r="B5148" s="1341">
        <v>6321</v>
      </c>
      <c r="C5148" s="1341" t="s">
        <v>5939</v>
      </c>
      <c r="D5148" s="1310">
        <v>991.41666699999996</v>
      </c>
    </row>
    <row r="5149" spans="2:4" x14ac:dyDescent="0.2">
      <c r="B5149" s="1341">
        <v>6322</v>
      </c>
      <c r="C5149" s="1341" t="s">
        <v>4110</v>
      </c>
      <c r="D5149" s="1310">
        <v>1036.5</v>
      </c>
    </row>
    <row r="5150" spans="2:4" x14ac:dyDescent="0.2">
      <c r="B5150" s="1341">
        <v>6323</v>
      </c>
      <c r="C5150" s="1341" t="s">
        <v>5940</v>
      </c>
      <c r="D5150" s="1310">
        <v>1037.3500160000001</v>
      </c>
    </row>
    <row r="5151" spans="2:4" x14ac:dyDescent="0.2">
      <c r="B5151" s="1341">
        <v>6324</v>
      </c>
      <c r="C5151" s="1341" t="s">
        <v>5941</v>
      </c>
      <c r="D5151" s="1310">
        <v>880.07692799999995</v>
      </c>
    </row>
    <row r="5152" spans="2:4" x14ac:dyDescent="0.2">
      <c r="B5152" s="1341">
        <v>6325</v>
      </c>
      <c r="C5152" s="1341" t="s">
        <v>4902</v>
      </c>
      <c r="D5152" s="1310">
        <v>861.79999899999996</v>
      </c>
    </row>
    <row r="5153" spans="2:4" x14ac:dyDescent="0.2">
      <c r="B5153" s="1341">
        <v>6326</v>
      </c>
      <c r="C5153" s="1341" t="s">
        <v>2421</v>
      </c>
      <c r="D5153" s="1310">
        <v>851.815383</v>
      </c>
    </row>
    <row r="5154" spans="2:4" x14ac:dyDescent="0.2">
      <c r="B5154" s="1341">
        <v>6327</v>
      </c>
      <c r="C5154" s="1341" t="s">
        <v>4363</v>
      </c>
      <c r="D5154" s="1310">
        <v>853.42999299999997</v>
      </c>
    </row>
    <row r="5155" spans="2:4" x14ac:dyDescent="0.2">
      <c r="B5155" s="1341">
        <v>6328</v>
      </c>
      <c r="C5155" s="1341" t="s">
        <v>5535</v>
      </c>
      <c r="D5155" s="1310">
        <v>853.45332399999995</v>
      </c>
    </row>
    <row r="5156" spans="2:4" x14ac:dyDescent="0.2">
      <c r="B5156" s="1341">
        <v>6329</v>
      </c>
      <c r="C5156" s="1341" t="s">
        <v>5942</v>
      </c>
      <c r="D5156" s="1310">
        <v>853.9375</v>
      </c>
    </row>
    <row r="5157" spans="2:4" x14ac:dyDescent="0.2">
      <c r="B5157" s="1341">
        <v>6330</v>
      </c>
      <c r="C5157" s="1341" t="s">
        <v>5943</v>
      </c>
      <c r="D5157" s="1310">
        <v>873.75</v>
      </c>
    </row>
    <row r="5158" spans="2:4" x14ac:dyDescent="0.2">
      <c r="B5158" s="1341">
        <v>6331</v>
      </c>
      <c r="C5158" s="1341" t="s">
        <v>5944</v>
      </c>
      <c r="D5158" s="1310">
        <v>867.75834099999997</v>
      </c>
    </row>
    <row r="5159" spans="2:4" x14ac:dyDescent="0.2">
      <c r="B5159" s="1341">
        <v>6332</v>
      </c>
      <c r="C5159" s="1341" t="s">
        <v>5945</v>
      </c>
      <c r="D5159" s="1310">
        <v>876.62306999999998</v>
      </c>
    </row>
    <row r="5160" spans="2:4" x14ac:dyDescent="0.2">
      <c r="B5160" s="1341">
        <v>6333</v>
      </c>
      <c r="C5160" s="1341" t="s">
        <v>5946</v>
      </c>
      <c r="D5160" s="1310">
        <v>959.06667100000004</v>
      </c>
    </row>
    <row r="5161" spans="2:4" x14ac:dyDescent="0.2">
      <c r="B5161" s="1341">
        <v>6334</v>
      </c>
      <c r="C5161" s="1341" t="s">
        <v>5947</v>
      </c>
      <c r="D5161" s="1310">
        <v>1036.3533279999999</v>
      </c>
    </row>
    <row r="5162" spans="2:4" x14ac:dyDescent="0.2">
      <c r="B5162" s="1341">
        <v>6335</v>
      </c>
      <c r="C5162" s="1341" t="s">
        <v>5948</v>
      </c>
      <c r="D5162" s="1310">
        <v>986.639996</v>
      </c>
    </row>
    <row r="5163" spans="2:4" x14ac:dyDescent="0.2">
      <c r="B5163" s="1341">
        <v>6336</v>
      </c>
      <c r="C5163" s="1341" t="s">
        <v>5949</v>
      </c>
      <c r="D5163" s="1310">
        <v>976.81000100000006</v>
      </c>
    </row>
    <row r="5164" spans="2:4" x14ac:dyDescent="0.2">
      <c r="B5164" s="1341">
        <v>6337</v>
      </c>
      <c r="C5164" s="1341" t="s">
        <v>5950</v>
      </c>
      <c r="D5164" s="1310">
        <v>959.83333300000004</v>
      </c>
    </row>
    <row r="5165" spans="2:4" x14ac:dyDescent="0.2">
      <c r="B5165" s="1341">
        <v>6338</v>
      </c>
      <c r="C5165" s="1341" t="s">
        <v>5951</v>
      </c>
      <c r="D5165" s="1310">
        <v>1099.080013</v>
      </c>
    </row>
    <row r="5166" spans="2:4" x14ac:dyDescent="0.2">
      <c r="B5166" s="1341">
        <v>6339</v>
      </c>
      <c r="C5166" s="1341" t="s">
        <v>5952</v>
      </c>
      <c r="D5166" s="1310">
        <v>1085.3916630000001</v>
      </c>
    </row>
    <row r="5167" spans="2:4" x14ac:dyDescent="0.2">
      <c r="B5167" s="1341">
        <v>6340</v>
      </c>
      <c r="C5167" s="1341" t="s">
        <v>5599</v>
      </c>
      <c r="D5167" s="1310">
        <v>1094.2285850000001</v>
      </c>
    </row>
    <row r="5168" spans="2:4" x14ac:dyDescent="0.2">
      <c r="B5168" s="1341">
        <v>6341</v>
      </c>
      <c r="C5168" s="1341" t="s">
        <v>5953</v>
      </c>
      <c r="D5168" s="1310">
        <v>1099.2749940000001</v>
      </c>
    </row>
    <row r="5169" spans="2:4" x14ac:dyDescent="0.2">
      <c r="B5169" s="1341">
        <v>6342</v>
      </c>
      <c r="C5169" s="1341" t="s">
        <v>5954</v>
      </c>
      <c r="D5169" s="1310">
        <v>1100.9666340000001</v>
      </c>
    </row>
    <row r="5170" spans="2:4" x14ac:dyDescent="0.2">
      <c r="B5170" s="1341">
        <v>6343</v>
      </c>
      <c r="C5170" s="1341" t="s">
        <v>5955</v>
      </c>
      <c r="D5170" s="1310">
        <v>1028.8611249999999</v>
      </c>
    </row>
    <row r="5171" spans="2:4" x14ac:dyDescent="0.2">
      <c r="B5171" s="1341">
        <v>6344</v>
      </c>
      <c r="C5171" s="1341" t="s">
        <v>5956</v>
      </c>
      <c r="D5171" s="1310">
        <v>1080.8875049999999</v>
      </c>
    </row>
    <row r="5172" spans="2:4" x14ac:dyDescent="0.2">
      <c r="B5172" s="1341">
        <v>6345</v>
      </c>
      <c r="C5172" s="1341" t="s">
        <v>5957</v>
      </c>
      <c r="D5172" s="1310">
        <v>1037.0249940000001</v>
      </c>
    </row>
    <row r="5173" spans="2:4" x14ac:dyDescent="0.2">
      <c r="B5173" s="1341">
        <v>6346</v>
      </c>
      <c r="C5173" s="1341" t="s">
        <v>5958</v>
      </c>
      <c r="D5173" s="1310">
        <v>934.57857000000001</v>
      </c>
    </row>
    <row r="5174" spans="2:4" x14ac:dyDescent="0.2">
      <c r="B5174" s="1341">
        <v>6347</v>
      </c>
      <c r="C5174" s="1341" t="s">
        <v>5959</v>
      </c>
      <c r="D5174" s="1310">
        <v>930.39998800000001</v>
      </c>
    </row>
    <row r="5175" spans="2:4" x14ac:dyDescent="0.2">
      <c r="B5175" s="1341">
        <v>6348</v>
      </c>
      <c r="C5175" s="1341" t="s">
        <v>5960</v>
      </c>
      <c r="D5175" s="1310">
        <v>787.86521800000003</v>
      </c>
    </row>
    <row r="5176" spans="2:4" x14ac:dyDescent="0.2">
      <c r="B5176" s="1341">
        <v>6349</v>
      </c>
      <c r="C5176" s="1341" t="s">
        <v>5961</v>
      </c>
      <c r="D5176" s="1310">
        <v>825.64666699999998</v>
      </c>
    </row>
    <row r="5177" spans="2:4" x14ac:dyDescent="0.2">
      <c r="B5177" s="1341">
        <v>6350</v>
      </c>
      <c r="C5177" s="1341" t="s">
        <v>5962</v>
      </c>
      <c r="D5177" s="1310">
        <v>829.85000600000001</v>
      </c>
    </row>
    <row r="5178" spans="2:4" x14ac:dyDescent="0.2">
      <c r="B5178" s="1341">
        <v>6351</v>
      </c>
      <c r="C5178" s="1341" t="s">
        <v>5963</v>
      </c>
      <c r="D5178" s="1310">
        <v>839.5</v>
      </c>
    </row>
    <row r="5179" spans="2:4" x14ac:dyDescent="0.2">
      <c r="B5179" s="1341">
        <v>6352</v>
      </c>
      <c r="C5179" s="1341" t="s">
        <v>5964</v>
      </c>
      <c r="D5179" s="1310">
        <v>846.58570199999997</v>
      </c>
    </row>
    <row r="5180" spans="2:4" x14ac:dyDescent="0.2">
      <c r="B5180" s="1341">
        <v>6353</v>
      </c>
      <c r="C5180" s="1341" t="s">
        <v>393</v>
      </c>
      <c r="D5180" s="1310">
        <v>809.59997599999997</v>
      </c>
    </row>
    <row r="5181" spans="2:4" x14ac:dyDescent="0.2">
      <c r="B5181" s="1341">
        <v>6354</v>
      </c>
      <c r="C5181" s="1341" t="s">
        <v>5965</v>
      </c>
      <c r="D5181" s="1310">
        <v>792.50770499999999</v>
      </c>
    </row>
    <row r="5182" spans="2:4" x14ac:dyDescent="0.2">
      <c r="B5182" s="1341">
        <v>6355</v>
      </c>
      <c r="C5182" s="1341" t="s">
        <v>5966</v>
      </c>
      <c r="D5182" s="1310">
        <v>839.5</v>
      </c>
    </row>
    <row r="5183" spans="2:4" x14ac:dyDescent="0.2">
      <c r="B5183" s="1341">
        <v>6356</v>
      </c>
      <c r="C5183" s="1341" t="s">
        <v>5967</v>
      </c>
      <c r="D5183" s="1310">
        <v>851.14999399999999</v>
      </c>
    </row>
    <row r="5184" spans="2:4" x14ac:dyDescent="0.2">
      <c r="B5184" s="1341">
        <v>6357</v>
      </c>
      <c r="C5184" s="1341" t="s">
        <v>5968</v>
      </c>
      <c r="D5184" s="1310">
        <v>816.81667100000004</v>
      </c>
    </row>
    <row r="5185" spans="2:4" x14ac:dyDescent="0.2">
      <c r="B5185" s="1341">
        <v>6358</v>
      </c>
      <c r="C5185" s="1341" t="s">
        <v>5152</v>
      </c>
      <c r="D5185" s="1310">
        <v>824.20000300000004</v>
      </c>
    </row>
    <row r="5186" spans="2:4" x14ac:dyDescent="0.2">
      <c r="B5186" s="1341">
        <v>6359</v>
      </c>
      <c r="C5186" s="1341" t="s">
        <v>5969</v>
      </c>
      <c r="D5186" s="1310">
        <v>807.7</v>
      </c>
    </row>
    <row r="5187" spans="2:4" x14ac:dyDescent="0.2">
      <c r="B5187" s="1341">
        <v>6360</v>
      </c>
      <c r="C5187" s="1341" t="s">
        <v>5970</v>
      </c>
      <c r="D5187" s="1310">
        <v>783.30000099999995</v>
      </c>
    </row>
    <row r="5188" spans="2:4" x14ac:dyDescent="0.2">
      <c r="B5188" s="1341">
        <v>6361</v>
      </c>
      <c r="C5188" s="1341" t="s">
        <v>5971</v>
      </c>
      <c r="D5188" s="1310">
        <v>769.99411899999996</v>
      </c>
    </row>
    <row r="5189" spans="2:4" x14ac:dyDescent="0.2">
      <c r="B5189" s="1341">
        <v>6362</v>
      </c>
      <c r="C5189" s="1341" t="s">
        <v>5972</v>
      </c>
      <c r="D5189" s="1310">
        <v>806.01111500000002</v>
      </c>
    </row>
    <row r="5190" spans="2:4" x14ac:dyDescent="0.2">
      <c r="B5190" s="1341">
        <v>6363</v>
      </c>
      <c r="C5190" s="1341" t="s">
        <v>5973</v>
      </c>
      <c r="D5190" s="1310">
        <v>818.25262799999996</v>
      </c>
    </row>
    <row r="5191" spans="2:4" x14ac:dyDescent="0.2">
      <c r="B5191" s="1341">
        <v>6364</v>
      </c>
      <c r="C5191" s="1341" t="s">
        <v>5974</v>
      </c>
      <c r="D5191" s="1310">
        <v>762.97000100000002</v>
      </c>
    </row>
    <row r="5192" spans="2:4" x14ac:dyDescent="0.2">
      <c r="B5192" s="1341">
        <v>6365</v>
      </c>
      <c r="C5192" s="1341" t="s">
        <v>5975</v>
      </c>
      <c r="D5192" s="1310">
        <v>771.24705600000004</v>
      </c>
    </row>
    <row r="5193" spans="2:4" x14ac:dyDescent="0.2">
      <c r="B5193" s="1341">
        <v>6366</v>
      </c>
      <c r="C5193" s="1341" t="s">
        <v>5976</v>
      </c>
      <c r="D5193" s="1310">
        <v>773.70908999999995</v>
      </c>
    </row>
    <row r="5194" spans="2:4" x14ac:dyDescent="0.2">
      <c r="B5194" s="1341">
        <v>6367</v>
      </c>
      <c r="C5194" s="1341" t="s">
        <v>5977</v>
      </c>
      <c r="D5194" s="1310">
        <v>783.43499499999996</v>
      </c>
    </row>
    <row r="5195" spans="2:4" x14ac:dyDescent="0.2">
      <c r="B5195" s="1341">
        <v>6368</v>
      </c>
      <c r="C5195" s="1341" t="s">
        <v>5978</v>
      </c>
      <c r="D5195" s="1310">
        <v>794.30769699999996</v>
      </c>
    </row>
    <row r="5196" spans="2:4" x14ac:dyDescent="0.2">
      <c r="B5196" s="1341">
        <v>6369</v>
      </c>
      <c r="C5196" s="1341" t="s">
        <v>3841</v>
      </c>
      <c r="D5196" s="1310">
        <v>776.59411299999999</v>
      </c>
    </row>
    <row r="5197" spans="2:4" x14ac:dyDescent="0.2">
      <c r="B5197" s="1341">
        <v>6370</v>
      </c>
      <c r="C5197" s="1341" t="s">
        <v>5979</v>
      </c>
      <c r="D5197" s="1310">
        <v>755.29998799999998</v>
      </c>
    </row>
    <row r="5198" spans="2:4" x14ac:dyDescent="0.2">
      <c r="B5198" s="1341">
        <v>6371</v>
      </c>
      <c r="C5198" s="1341" t="s">
        <v>5980</v>
      </c>
      <c r="D5198" s="1310">
        <v>749.589471</v>
      </c>
    </row>
    <row r="5199" spans="2:4" x14ac:dyDescent="0.2">
      <c r="B5199" s="1341">
        <v>6372</v>
      </c>
      <c r="C5199" s="1341" t="s">
        <v>5981</v>
      </c>
      <c r="D5199" s="1310">
        <v>731.29998799999998</v>
      </c>
    </row>
    <row r="5200" spans="2:4" x14ac:dyDescent="0.2">
      <c r="B5200" s="1341">
        <v>6373</v>
      </c>
      <c r="C5200" s="1341" t="s">
        <v>5982</v>
      </c>
      <c r="D5200" s="1310">
        <v>724.24444600000004</v>
      </c>
    </row>
    <row r="5201" spans="2:4" x14ac:dyDescent="0.2">
      <c r="B5201" s="1341">
        <v>6374</v>
      </c>
      <c r="C5201" s="1341" t="s">
        <v>5983</v>
      </c>
      <c r="D5201" s="1310">
        <v>780.87142100000005</v>
      </c>
    </row>
    <row r="5202" spans="2:4" x14ac:dyDescent="0.2">
      <c r="B5202" s="1341">
        <v>6375</v>
      </c>
      <c r="C5202" s="1341" t="s">
        <v>5984</v>
      </c>
      <c r="D5202" s="1310">
        <v>761.8</v>
      </c>
    </row>
    <row r="5203" spans="2:4" x14ac:dyDescent="0.2">
      <c r="B5203" s="1341">
        <v>6376</v>
      </c>
      <c r="C5203" s="1341" t="s">
        <v>5985</v>
      </c>
      <c r="D5203" s="1310">
        <v>739.36428799999999</v>
      </c>
    </row>
    <row r="5204" spans="2:4" x14ac:dyDescent="0.2">
      <c r="B5204" s="1341">
        <v>6377</v>
      </c>
      <c r="C5204" s="1341" t="s">
        <v>5986</v>
      </c>
      <c r="D5204" s="1310">
        <v>741.31999499999995</v>
      </c>
    </row>
    <row r="5205" spans="2:4" x14ac:dyDescent="0.2">
      <c r="B5205" s="1341">
        <v>6378</v>
      </c>
      <c r="C5205" s="1341" t="s">
        <v>5987</v>
      </c>
      <c r="D5205" s="1310">
        <v>736.46667500000001</v>
      </c>
    </row>
    <row r="5206" spans="2:4" x14ac:dyDescent="0.2">
      <c r="B5206" s="1341">
        <v>6379</v>
      </c>
      <c r="C5206" s="1341" t="s">
        <v>5988</v>
      </c>
      <c r="D5206" s="1310">
        <v>750.26249700000005</v>
      </c>
    </row>
    <row r="5207" spans="2:4" x14ac:dyDescent="0.2">
      <c r="B5207" s="1341">
        <v>6380</v>
      </c>
      <c r="C5207" s="1341" t="s">
        <v>5989</v>
      </c>
      <c r="D5207" s="1310">
        <v>729.30001800000002</v>
      </c>
    </row>
    <row r="5208" spans="2:4" x14ac:dyDescent="0.2">
      <c r="B5208" s="1341">
        <v>6381</v>
      </c>
      <c r="C5208" s="1341" t="s">
        <v>5990</v>
      </c>
      <c r="D5208" s="1310">
        <v>711.29444699999999</v>
      </c>
    </row>
    <row r="5209" spans="2:4" x14ac:dyDescent="0.2">
      <c r="B5209" s="1341">
        <v>6382</v>
      </c>
      <c r="C5209" s="1341" t="s">
        <v>5991</v>
      </c>
      <c r="D5209" s="1310">
        <v>742.45832800000005</v>
      </c>
    </row>
    <row r="5210" spans="2:4" x14ac:dyDescent="0.2">
      <c r="B5210" s="1341">
        <v>6383</v>
      </c>
      <c r="C5210" s="1341" t="s">
        <v>5992</v>
      </c>
      <c r="D5210" s="1310">
        <v>730.70001200000002</v>
      </c>
    </row>
    <row r="5211" spans="2:4" x14ac:dyDescent="0.2">
      <c r="B5211" s="1341">
        <v>6384</v>
      </c>
      <c r="C5211" s="1341" t="s">
        <v>5993</v>
      </c>
      <c r="D5211" s="1310">
        <v>744.10588900000005</v>
      </c>
    </row>
    <row r="5212" spans="2:4" x14ac:dyDescent="0.2">
      <c r="B5212" s="1341">
        <v>6401</v>
      </c>
      <c r="C5212" s="1341" t="s">
        <v>5994</v>
      </c>
      <c r="D5212" s="1310">
        <v>752.42500299999995</v>
      </c>
    </row>
    <row r="5213" spans="2:4" x14ac:dyDescent="0.2">
      <c r="B5213" s="1341">
        <v>6402</v>
      </c>
      <c r="C5213" s="1341" t="s">
        <v>5995</v>
      </c>
      <c r="D5213" s="1310">
        <v>668.625</v>
      </c>
    </row>
    <row r="5214" spans="2:4" x14ac:dyDescent="0.2">
      <c r="B5214" s="1341">
        <v>6403</v>
      </c>
      <c r="C5214" s="1341" t="s">
        <v>5996</v>
      </c>
      <c r="D5214" s="1310">
        <v>794.24736900000005</v>
      </c>
    </row>
    <row r="5215" spans="2:4" x14ac:dyDescent="0.2">
      <c r="B5215" s="1341">
        <v>6404</v>
      </c>
      <c r="C5215" s="1341" t="s">
        <v>5997</v>
      </c>
      <c r="D5215" s="1310">
        <v>768.07391600000005</v>
      </c>
    </row>
    <row r="5216" spans="2:4" x14ac:dyDescent="0.2">
      <c r="B5216" s="1341">
        <v>6405</v>
      </c>
      <c r="C5216" s="1341" t="s">
        <v>5998</v>
      </c>
      <c r="D5216" s="1310">
        <v>755.87999300000001</v>
      </c>
    </row>
    <row r="5217" spans="2:4" x14ac:dyDescent="0.2">
      <c r="B5217" s="1341">
        <v>6406</v>
      </c>
      <c r="C5217" s="1341" t="s">
        <v>5999</v>
      </c>
      <c r="D5217" s="1310">
        <v>766.71499900000003</v>
      </c>
    </row>
    <row r="5218" spans="2:4" x14ac:dyDescent="0.2">
      <c r="B5218" s="1341">
        <v>6407</v>
      </c>
      <c r="C5218" s="1341" t="s">
        <v>6000</v>
      </c>
      <c r="D5218" s="1310">
        <v>718.49999500000001</v>
      </c>
    </row>
    <row r="5219" spans="2:4" x14ac:dyDescent="0.2">
      <c r="B5219" s="1341">
        <v>6408</v>
      </c>
      <c r="C5219" s="1341" t="s">
        <v>6001</v>
      </c>
      <c r="D5219" s="1310">
        <v>728.70001200000002</v>
      </c>
    </row>
    <row r="5220" spans="2:4" x14ac:dyDescent="0.2">
      <c r="B5220" s="1341">
        <v>6409</v>
      </c>
      <c r="C5220" s="1341" t="s">
        <v>6002</v>
      </c>
      <c r="D5220" s="1310">
        <v>726.01666299999999</v>
      </c>
    </row>
    <row r="5221" spans="2:4" x14ac:dyDescent="0.2">
      <c r="B5221" s="1341">
        <v>6410</v>
      </c>
      <c r="C5221" s="1341" t="s">
        <v>6003</v>
      </c>
      <c r="D5221" s="1310">
        <v>741.43333800000005</v>
      </c>
    </row>
    <row r="5222" spans="2:4" x14ac:dyDescent="0.2">
      <c r="B5222" s="1341">
        <v>6411</v>
      </c>
      <c r="C5222" s="1341" t="s">
        <v>6004</v>
      </c>
      <c r="D5222" s="1310">
        <v>726.45788900000002</v>
      </c>
    </row>
    <row r="5223" spans="2:4" x14ac:dyDescent="0.2">
      <c r="B5223" s="1341">
        <v>6412</v>
      </c>
      <c r="C5223" s="1341" t="s">
        <v>4508</v>
      </c>
      <c r="D5223" s="1310">
        <v>728.61817499999995</v>
      </c>
    </row>
    <row r="5224" spans="2:4" x14ac:dyDescent="0.2">
      <c r="B5224" s="1341">
        <v>6413</v>
      </c>
      <c r="C5224" s="1341" t="s">
        <v>6005</v>
      </c>
      <c r="D5224" s="1310">
        <v>735.52500399999997</v>
      </c>
    </row>
    <row r="5225" spans="2:4" x14ac:dyDescent="0.2">
      <c r="B5225" s="1341">
        <v>6414</v>
      </c>
      <c r="C5225" s="1341" t="s">
        <v>6006</v>
      </c>
      <c r="D5225" s="1310">
        <v>822.00666100000001</v>
      </c>
    </row>
    <row r="5226" spans="2:4" x14ac:dyDescent="0.2">
      <c r="B5226" s="1341">
        <v>6415</v>
      </c>
      <c r="C5226" s="1341" t="s">
        <v>6007</v>
      </c>
      <c r="D5226" s="1310">
        <v>763.46667500000001</v>
      </c>
    </row>
    <row r="5227" spans="2:4" x14ac:dyDescent="0.2">
      <c r="B5227" s="1341">
        <v>6416</v>
      </c>
      <c r="C5227" s="1341" t="s">
        <v>6008</v>
      </c>
      <c r="D5227" s="1310">
        <v>800.59375</v>
      </c>
    </row>
    <row r="5228" spans="2:4" x14ac:dyDescent="0.2">
      <c r="B5228" s="1341">
        <v>6417</v>
      </c>
      <c r="C5228" s="1341" t="s">
        <v>3781</v>
      </c>
      <c r="D5228" s="1310">
        <v>770.82857799999999</v>
      </c>
    </row>
    <row r="5229" spans="2:4" x14ac:dyDescent="0.2">
      <c r="B5229" s="1341">
        <v>6418</v>
      </c>
      <c r="C5229" s="1341" t="s">
        <v>6009</v>
      </c>
      <c r="D5229" s="1310">
        <v>695.45556599999998</v>
      </c>
    </row>
    <row r="5230" spans="2:4" x14ac:dyDescent="0.2">
      <c r="B5230" s="1341">
        <v>6419</v>
      </c>
      <c r="C5230" s="1341" t="s">
        <v>6010</v>
      </c>
      <c r="D5230" s="1310">
        <v>759.26667099999997</v>
      </c>
    </row>
    <row r="5231" spans="2:4" x14ac:dyDescent="0.2">
      <c r="B5231" s="1341">
        <v>6420</v>
      </c>
      <c r="C5231" s="1341" t="s">
        <v>6011</v>
      </c>
      <c r="D5231" s="1310">
        <v>785.24999400000002</v>
      </c>
    </row>
    <row r="5232" spans="2:4" x14ac:dyDescent="0.2">
      <c r="B5232" s="1341">
        <v>6421</v>
      </c>
      <c r="C5232" s="1341" t="s">
        <v>6012</v>
      </c>
      <c r="D5232" s="1310">
        <v>833.01819399999999</v>
      </c>
    </row>
    <row r="5233" spans="2:4" x14ac:dyDescent="0.2">
      <c r="B5233" s="1341">
        <v>6422</v>
      </c>
      <c r="C5233" s="1341" t="s">
        <v>4730</v>
      </c>
      <c r="D5233" s="1310">
        <v>765.34999600000003</v>
      </c>
    </row>
    <row r="5234" spans="2:4" x14ac:dyDescent="0.2">
      <c r="B5234" s="1341">
        <v>6423</v>
      </c>
      <c r="C5234" s="1341" t="s">
        <v>6013</v>
      </c>
      <c r="D5234" s="1310">
        <v>792.840011</v>
      </c>
    </row>
    <row r="5235" spans="2:4" x14ac:dyDescent="0.2">
      <c r="B5235" s="1341">
        <v>6424</v>
      </c>
      <c r="C5235" s="1341" t="s">
        <v>6014</v>
      </c>
      <c r="D5235" s="1310">
        <v>774.80624799999998</v>
      </c>
    </row>
    <row r="5236" spans="2:4" x14ac:dyDescent="0.2">
      <c r="B5236" s="1341">
        <v>6425</v>
      </c>
      <c r="C5236" s="1341" t="s">
        <v>6015</v>
      </c>
      <c r="D5236" s="1310">
        <v>718.58332800000005</v>
      </c>
    </row>
    <row r="5237" spans="2:4" x14ac:dyDescent="0.2">
      <c r="B5237" s="1341">
        <v>6426</v>
      </c>
      <c r="C5237" s="1341" t="s">
        <v>6016</v>
      </c>
      <c r="D5237" s="1310">
        <v>750.56817899999999</v>
      </c>
    </row>
    <row r="5238" spans="2:4" x14ac:dyDescent="0.2">
      <c r="B5238" s="1341">
        <v>6427</v>
      </c>
      <c r="C5238" s="1341" t="s">
        <v>2421</v>
      </c>
      <c r="D5238" s="1310">
        <v>747.59000200000003</v>
      </c>
    </row>
    <row r="5239" spans="2:4" x14ac:dyDescent="0.2">
      <c r="B5239" s="1341">
        <v>6428</v>
      </c>
      <c r="C5239" s="1341" t="s">
        <v>6017</v>
      </c>
      <c r="D5239" s="1310">
        <v>688.06667100000004</v>
      </c>
    </row>
    <row r="5240" spans="2:4" x14ac:dyDescent="0.2">
      <c r="B5240" s="1341">
        <v>6429</v>
      </c>
      <c r="C5240" s="1341" t="s">
        <v>6018</v>
      </c>
      <c r="D5240" s="1310">
        <v>794.19000200000005</v>
      </c>
    </row>
    <row r="5241" spans="2:4" x14ac:dyDescent="0.2">
      <c r="B5241" s="1341">
        <v>6430</v>
      </c>
      <c r="C5241" s="1341" t="s">
        <v>6019</v>
      </c>
      <c r="D5241" s="1310">
        <v>814.259998</v>
      </c>
    </row>
    <row r="5242" spans="2:4" x14ac:dyDescent="0.2">
      <c r="B5242" s="1341">
        <v>6432</v>
      </c>
      <c r="C5242" s="1341" t="s">
        <v>6020</v>
      </c>
      <c r="D5242" s="1310">
        <v>834.04545499999995</v>
      </c>
    </row>
    <row r="5243" spans="2:4" x14ac:dyDescent="0.2">
      <c r="B5243" s="1341">
        <v>6433</v>
      </c>
      <c r="C5243" s="1341" t="s">
        <v>3926</v>
      </c>
      <c r="D5243" s="1310">
        <v>741.99444600000004</v>
      </c>
    </row>
    <row r="5244" spans="2:4" x14ac:dyDescent="0.2">
      <c r="B5244" s="1341">
        <v>6434</v>
      </c>
      <c r="C5244" s="1341" t="s">
        <v>6021</v>
      </c>
      <c r="D5244" s="1310">
        <v>756.12857499999996</v>
      </c>
    </row>
    <row r="5245" spans="2:4" x14ac:dyDescent="0.2">
      <c r="B5245" s="1341">
        <v>6435</v>
      </c>
      <c r="C5245" s="1341" t="s">
        <v>6022</v>
      </c>
      <c r="D5245" s="1310">
        <v>807.65455199999997</v>
      </c>
    </row>
    <row r="5246" spans="2:4" x14ac:dyDescent="0.2">
      <c r="B5246" s="1341">
        <v>6436</v>
      </c>
      <c r="C5246" s="1341" t="s">
        <v>6023</v>
      </c>
      <c r="D5246" s="1310">
        <v>747.79091000000005</v>
      </c>
    </row>
    <row r="5247" spans="2:4" x14ac:dyDescent="0.2">
      <c r="B5247" s="1341">
        <v>6437</v>
      </c>
      <c r="C5247" s="1341" t="s">
        <v>6024</v>
      </c>
      <c r="D5247" s="1310">
        <v>775.66923199999997</v>
      </c>
    </row>
    <row r="5248" spans="2:4" x14ac:dyDescent="0.2">
      <c r="B5248" s="1341">
        <v>6438</v>
      </c>
      <c r="C5248" s="1341" t="s">
        <v>6025</v>
      </c>
      <c r="D5248" s="1310">
        <v>686.30001200000004</v>
      </c>
    </row>
    <row r="5249" spans="2:4" x14ac:dyDescent="0.2">
      <c r="B5249" s="1341">
        <v>6439</v>
      </c>
      <c r="C5249" s="1341" t="s">
        <v>6026</v>
      </c>
      <c r="D5249" s="1310">
        <v>832.24285499999996</v>
      </c>
    </row>
    <row r="5250" spans="2:4" x14ac:dyDescent="0.2">
      <c r="B5250" s="1341">
        <v>6440</v>
      </c>
      <c r="C5250" s="1341" t="s">
        <v>6027</v>
      </c>
      <c r="D5250" s="1310">
        <v>760.19999199999995</v>
      </c>
    </row>
    <row r="5251" spans="2:4" x14ac:dyDescent="0.2">
      <c r="B5251" s="1341">
        <v>6441</v>
      </c>
      <c r="C5251" s="1341" t="s">
        <v>6028</v>
      </c>
      <c r="D5251" s="1310">
        <v>728.14545799999996</v>
      </c>
    </row>
    <row r="5252" spans="2:4" x14ac:dyDescent="0.2">
      <c r="B5252" s="1341">
        <v>6442</v>
      </c>
      <c r="C5252" s="1341" t="s">
        <v>6029</v>
      </c>
      <c r="D5252" s="1310">
        <v>793.23333700000001</v>
      </c>
    </row>
    <row r="5253" spans="2:4" x14ac:dyDescent="0.2">
      <c r="B5253" s="1341">
        <v>6443</v>
      </c>
      <c r="C5253" s="1341" t="s">
        <v>6030</v>
      </c>
      <c r="D5253" s="1310">
        <v>702.78334600000005</v>
      </c>
    </row>
    <row r="5254" spans="2:4" x14ac:dyDescent="0.2">
      <c r="B5254" s="1341">
        <v>6444</v>
      </c>
      <c r="C5254" s="1341" t="s">
        <v>6031</v>
      </c>
      <c r="D5254" s="1310">
        <v>774.21537899999998</v>
      </c>
    </row>
    <row r="5255" spans="2:4" x14ac:dyDescent="0.2">
      <c r="B5255" s="1341">
        <v>6445</v>
      </c>
      <c r="C5255" s="1341" t="s">
        <v>2461</v>
      </c>
      <c r="D5255" s="1310">
        <v>866.01666899999998</v>
      </c>
    </row>
    <row r="5256" spans="2:4" x14ac:dyDescent="0.2">
      <c r="B5256" s="1341">
        <v>6446</v>
      </c>
      <c r="C5256" s="1341" t="s">
        <v>6032</v>
      </c>
      <c r="D5256" s="1310">
        <v>766.43846199999996</v>
      </c>
    </row>
    <row r="5257" spans="2:4" x14ac:dyDescent="0.2">
      <c r="B5257" s="1341">
        <v>6447</v>
      </c>
      <c r="C5257" s="1341" t="s">
        <v>6033</v>
      </c>
      <c r="D5257" s="1310">
        <v>806.45713999999998</v>
      </c>
    </row>
    <row r="5258" spans="2:4" x14ac:dyDescent="0.2">
      <c r="B5258" s="1341">
        <v>6448</v>
      </c>
      <c r="C5258" s="1341" t="s">
        <v>6034</v>
      </c>
      <c r="D5258" s="1310">
        <v>778.66249800000003</v>
      </c>
    </row>
    <row r="5259" spans="2:4" x14ac:dyDescent="0.2">
      <c r="B5259" s="1341">
        <v>6449</v>
      </c>
      <c r="C5259" s="1341" t="s">
        <v>6035</v>
      </c>
      <c r="D5259" s="1310">
        <v>741.26666299999999</v>
      </c>
    </row>
    <row r="5260" spans="2:4" x14ac:dyDescent="0.2">
      <c r="B5260" s="1341">
        <v>6450</v>
      </c>
      <c r="C5260" s="1341" t="s">
        <v>6036</v>
      </c>
      <c r="D5260" s="1310">
        <v>779.35000600000001</v>
      </c>
    </row>
    <row r="5261" spans="2:4" x14ac:dyDescent="0.2">
      <c r="B5261" s="1341">
        <v>6452</v>
      </c>
      <c r="C5261" s="1341" t="s">
        <v>6037</v>
      </c>
      <c r="D5261" s="1310">
        <v>757.34999100000005</v>
      </c>
    </row>
    <row r="5262" spans="2:4" x14ac:dyDescent="0.2">
      <c r="B5262" s="1341">
        <v>6454</v>
      </c>
      <c r="C5262" s="1341" t="s">
        <v>1884</v>
      </c>
      <c r="D5262" s="1310">
        <v>781.33478300000002</v>
      </c>
    </row>
    <row r="5263" spans="2:4" x14ac:dyDescent="0.2">
      <c r="B5263" s="1341">
        <v>6455</v>
      </c>
      <c r="C5263" s="1341" t="s">
        <v>6038</v>
      </c>
      <c r="D5263" s="1310">
        <v>812.74117899999999</v>
      </c>
    </row>
    <row r="5264" spans="2:4" x14ac:dyDescent="0.2">
      <c r="B5264" s="1341">
        <v>6456</v>
      </c>
      <c r="C5264" s="1341" t="s">
        <v>2198</v>
      </c>
      <c r="D5264" s="1310">
        <v>757.97894899999994</v>
      </c>
    </row>
    <row r="5265" spans="2:4" x14ac:dyDescent="0.2">
      <c r="B5265" s="1341">
        <v>6457</v>
      </c>
      <c r="C5265" s="1341" t="s">
        <v>6039</v>
      </c>
      <c r="D5265" s="1310">
        <v>871.10000600000001</v>
      </c>
    </row>
    <row r="5266" spans="2:4" x14ac:dyDescent="0.2">
      <c r="B5266" s="1341">
        <v>6458</v>
      </c>
      <c r="C5266" s="1341" t="s">
        <v>1466</v>
      </c>
      <c r="D5266" s="1310">
        <v>708.23333700000001</v>
      </c>
    </row>
    <row r="5267" spans="2:4" x14ac:dyDescent="0.2">
      <c r="B5267" s="1341">
        <v>6460</v>
      </c>
      <c r="C5267" s="1341" t="s">
        <v>6040</v>
      </c>
      <c r="D5267" s="1310">
        <v>700.01429399999995</v>
      </c>
    </row>
    <row r="5268" spans="2:4" x14ac:dyDescent="0.2">
      <c r="B5268" s="1341">
        <v>6461</v>
      </c>
      <c r="C5268" s="1341" t="s">
        <v>5539</v>
      </c>
      <c r="D5268" s="1310">
        <v>787.73333200000002</v>
      </c>
    </row>
    <row r="5269" spans="2:4" x14ac:dyDescent="0.2">
      <c r="B5269" s="1341">
        <v>6462</v>
      </c>
      <c r="C5269" s="1341" t="s">
        <v>6041</v>
      </c>
      <c r="D5269" s="1310">
        <v>688.92221400000005</v>
      </c>
    </row>
    <row r="5270" spans="2:4" x14ac:dyDescent="0.2">
      <c r="B5270" s="1341">
        <v>6463</v>
      </c>
      <c r="C5270" s="1341" t="s">
        <v>6042</v>
      </c>
      <c r="D5270" s="1310">
        <v>779.021432</v>
      </c>
    </row>
    <row r="5271" spans="2:4" x14ac:dyDescent="0.2">
      <c r="B5271" s="1341">
        <v>6464</v>
      </c>
      <c r="C5271" s="1341" t="s">
        <v>6043</v>
      </c>
      <c r="D5271" s="1310">
        <v>717.66666699999996</v>
      </c>
    </row>
    <row r="5272" spans="2:4" x14ac:dyDescent="0.2">
      <c r="B5272" s="1341">
        <v>6465</v>
      </c>
      <c r="C5272" s="1341" t="s">
        <v>4428</v>
      </c>
      <c r="D5272" s="1310">
        <v>756.05555600000002</v>
      </c>
    </row>
    <row r="5273" spans="2:4" x14ac:dyDescent="0.2">
      <c r="B5273" s="1341">
        <v>6467</v>
      </c>
      <c r="C5273" s="1341" t="s">
        <v>5829</v>
      </c>
      <c r="D5273" s="1310">
        <v>790.03000499999996</v>
      </c>
    </row>
    <row r="5274" spans="2:4" x14ac:dyDescent="0.2">
      <c r="B5274" s="1341">
        <v>6468</v>
      </c>
      <c r="C5274" s="1341" t="s">
        <v>6044</v>
      </c>
      <c r="D5274" s="1310">
        <v>753.01428199999998</v>
      </c>
    </row>
    <row r="5275" spans="2:4" x14ac:dyDescent="0.2">
      <c r="B5275" s="1341">
        <v>6469</v>
      </c>
      <c r="C5275" s="1341" t="s">
        <v>6045</v>
      </c>
      <c r="D5275" s="1310">
        <v>718.19999800000005</v>
      </c>
    </row>
    <row r="5276" spans="2:4" x14ac:dyDescent="0.2">
      <c r="B5276" s="1341">
        <v>6470</v>
      </c>
      <c r="C5276" s="1341" t="s">
        <v>6046</v>
      </c>
      <c r="D5276" s="1310">
        <v>852.89999399999999</v>
      </c>
    </row>
    <row r="5277" spans="2:4" x14ac:dyDescent="0.2">
      <c r="B5277" s="1341">
        <v>6471</v>
      </c>
      <c r="C5277" s="1341" t="s">
        <v>6047</v>
      </c>
      <c r="D5277" s="1310">
        <v>770.48125100000004</v>
      </c>
    </row>
    <row r="5278" spans="2:4" x14ac:dyDescent="0.2">
      <c r="B5278" s="1341">
        <v>6472</v>
      </c>
      <c r="C5278" s="1341" t="s">
        <v>6048</v>
      </c>
      <c r="D5278" s="1310">
        <v>713.62352399999997</v>
      </c>
    </row>
    <row r="5279" spans="2:4" x14ac:dyDescent="0.2">
      <c r="B5279" s="1341">
        <v>6473</v>
      </c>
      <c r="C5279" s="1341" t="s">
        <v>6049</v>
      </c>
      <c r="D5279" s="1310">
        <v>793.03124600000001</v>
      </c>
    </row>
    <row r="5280" spans="2:4" x14ac:dyDescent="0.2">
      <c r="B5280" s="1341">
        <v>6474</v>
      </c>
      <c r="C5280" s="1341" t="s">
        <v>6050</v>
      </c>
      <c r="D5280" s="1310">
        <v>741.92727400000001</v>
      </c>
    </row>
    <row r="5281" spans="2:4" x14ac:dyDescent="0.2">
      <c r="B5281" s="1341">
        <v>6475</v>
      </c>
      <c r="C5281" s="1341" t="s">
        <v>6051</v>
      </c>
      <c r="D5281" s="1310">
        <v>736.19444099999998</v>
      </c>
    </row>
    <row r="5282" spans="2:4" x14ac:dyDescent="0.2">
      <c r="B5282" s="1341">
        <v>6476</v>
      </c>
      <c r="C5282" s="1341" t="s">
        <v>6052</v>
      </c>
      <c r="D5282" s="1310">
        <v>738.10909200000003</v>
      </c>
    </row>
    <row r="5283" spans="2:4" x14ac:dyDescent="0.2">
      <c r="B5283" s="1341">
        <v>6477</v>
      </c>
      <c r="C5283" s="1341" t="s">
        <v>5968</v>
      </c>
      <c r="D5283" s="1310">
        <v>857.72000100000002</v>
      </c>
    </row>
    <row r="5284" spans="2:4" x14ac:dyDescent="0.2">
      <c r="B5284" s="1341">
        <v>6479</v>
      </c>
      <c r="C5284" s="1341" t="s">
        <v>6053</v>
      </c>
      <c r="D5284" s="1310">
        <v>790.72726699999998</v>
      </c>
    </row>
    <row r="5285" spans="2:4" x14ac:dyDescent="0.2">
      <c r="B5285" s="1341">
        <v>6480</v>
      </c>
      <c r="C5285" s="1341" t="s">
        <v>5352</v>
      </c>
      <c r="D5285" s="1310">
        <v>770.442858</v>
      </c>
    </row>
    <row r="5286" spans="2:4" x14ac:dyDescent="0.2">
      <c r="B5286" s="1341">
        <v>6481</v>
      </c>
      <c r="C5286" s="1341" t="s">
        <v>6054</v>
      </c>
      <c r="D5286" s="1310">
        <v>818.79998799999998</v>
      </c>
    </row>
    <row r="5287" spans="2:4" x14ac:dyDescent="0.2">
      <c r="B5287" s="1341">
        <v>6482</v>
      </c>
      <c r="C5287" s="1341" t="s">
        <v>1998</v>
      </c>
      <c r="D5287" s="1310">
        <v>728.48462400000005</v>
      </c>
    </row>
    <row r="5288" spans="2:4" x14ac:dyDescent="0.2">
      <c r="B5288" s="1341">
        <v>6483</v>
      </c>
      <c r="C5288" s="1341" t="s">
        <v>5143</v>
      </c>
      <c r="D5288" s="1310">
        <v>875.50908900000002</v>
      </c>
    </row>
    <row r="5289" spans="2:4" x14ac:dyDescent="0.2">
      <c r="B5289" s="1341">
        <v>6484</v>
      </c>
      <c r="C5289" s="1341" t="s">
        <v>6055</v>
      </c>
      <c r="D5289" s="1310">
        <v>729.02000099999998</v>
      </c>
    </row>
    <row r="5290" spans="2:4" x14ac:dyDescent="0.2">
      <c r="B5290" s="1341">
        <v>6485</v>
      </c>
      <c r="C5290" s="1341" t="s">
        <v>6056</v>
      </c>
      <c r="D5290" s="1310">
        <v>786.49999500000001</v>
      </c>
    </row>
    <row r="5291" spans="2:4" x14ac:dyDescent="0.2">
      <c r="B5291" s="1341">
        <v>6486</v>
      </c>
      <c r="C5291" s="1341" t="s">
        <v>6057</v>
      </c>
      <c r="D5291" s="1310">
        <v>828.07727299999999</v>
      </c>
    </row>
    <row r="5292" spans="2:4" x14ac:dyDescent="0.2">
      <c r="B5292" s="1341">
        <v>6487</v>
      </c>
      <c r="C5292" s="1341" t="s">
        <v>6058</v>
      </c>
      <c r="D5292" s="1310">
        <v>763.72726999999998</v>
      </c>
    </row>
    <row r="5293" spans="2:4" x14ac:dyDescent="0.2">
      <c r="B5293" s="1341">
        <v>6488</v>
      </c>
      <c r="C5293" s="1341" t="s">
        <v>6059</v>
      </c>
      <c r="D5293" s="1310">
        <v>807.70001200000002</v>
      </c>
    </row>
    <row r="5294" spans="2:4" x14ac:dyDescent="0.2">
      <c r="B5294" s="1341">
        <v>6489</v>
      </c>
      <c r="C5294" s="1341" t="s">
        <v>6060</v>
      </c>
      <c r="D5294" s="1310">
        <v>794.82856100000004</v>
      </c>
    </row>
    <row r="5295" spans="2:4" x14ac:dyDescent="0.2">
      <c r="B5295" s="1341">
        <v>6490</v>
      </c>
      <c r="C5295" s="1341" t="s">
        <v>6061</v>
      </c>
      <c r="D5295" s="1310">
        <v>754</v>
      </c>
    </row>
    <row r="5296" spans="2:4" x14ac:dyDescent="0.2">
      <c r="B5296" s="1341">
        <v>6491</v>
      </c>
      <c r="C5296" s="1341" t="s">
        <v>6062</v>
      </c>
      <c r="D5296" s="1310">
        <v>714.73333700000001</v>
      </c>
    </row>
    <row r="5297" spans="2:4" x14ac:dyDescent="0.2">
      <c r="B5297" s="1341">
        <v>6492</v>
      </c>
      <c r="C5297" s="1341" t="s">
        <v>2589</v>
      </c>
      <c r="D5297" s="1310">
        <v>772.74166400000001</v>
      </c>
    </row>
    <row r="5298" spans="2:4" x14ac:dyDescent="0.2">
      <c r="B5298" s="1341">
        <v>6501</v>
      </c>
      <c r="C5298" s="1341" t="s">
        <v>6063</v>
      </c>
      <c r="D5298" s="1310">
        <v>844.76250100000004</v>
      </c>
    </row>
    <row r="5299" spans="2:4" x14ac:dyDescent="0.2">
      <c r="B5299" s="1341">
        <v>6502</v>
      </c>
      <c r="C5299" s="1341" t="s">
        <v>1790</v>
      </c>
      <c r="D5299" s="1310">
        <v>881.63500099999999</v>
      </c>
    </row>
    <row r="5300" spans="2:4" x14ac:dyDescent="0.2">
      <c r="B5300" s="1341">
        <v>6503</v>
      </c>
      <c r="C5300" s="1341" t="s">
        <v>6064</v>
      </c>
      <c r="D5300" s="1310">
        <v>914.64999399999999</v>
      </c>
    </row>
    <row r="5301" spans="2:4" x14ac:dyDescent="0.2">
      <c r="B5301" s="1341">
        <v>6504</v>
      </c>
      <c r="C5301" s="1341" t="s">
        <v>6065</v>
      </c>
      <c r="D5301" s="1310">
        <v>893.77777800000001</v>
      </c>
    </row>
    <row r="5302" spans="2:4" x14ac:dyDescent="0.2">
      <c r="B5302" s="1341">
        <v>6505</v>
      </c>
      <c r="C5302" s="1341" t="s">
        <v>6066</v>
      </c>
      <c r="D5302" s="1310">
        <v>920.62500799999998</v>
      </c>
    </row>
    <row r="5303" spans="2:4" x14ac:dyDescent="0.2">
      <c r="B5303" s="1341">
        <v>6506</v>
      </c>
      <c r="C5303" s="1341" t="s">
        <v>6067</v>
      </c>
      <c r="D5303" s="1310">
        <v>893.78333499999997</v>
      </c>
    </row>
    <row r="5304" spans="2:4" x14ac:dyDescent="0.2">
      <c r="B5304" s="1341">
        <v>6507</v>
      </c>
      <c r="C5304" s="1341" t="s">
        <v>6068</v>
      </c>
      <c r="D5304" s="1310">
        <v>895.89091399999995</v>
      </c>
    </row>
    <row r="5305" spans="2:4" x14ac:dyDescent="0.2">
      <c r="B5305" s="1341">
        <v>6508</v>
      </c>
      <c r="C5305" s="1341" t="s">
        <v>6069</v>
      </c>
      <c r="D5305" s="1310">
        <v>902.64545799999996</v>
      </c>
    </row>
    <row r="5306" spans="2:4" x14ac:dyDescent="0.2">
      <c r="B5306" s="1341">
        <v>6509</v>
      </c>
      <c r="C5306" s="1341" t="s">
        <v>6070</v>
      </c>
      <c r="D5306" s="1310">
        <v>898.54444699999999</v>
      </c>
    </row>
    <row r="5307" spans="2:4" x14ac:dyDescent="0.2">
      <c r="B5307" s="1341">
        <v>6510</v>
      </c>
      <c r="C5307" s="1341" t="s">
        <v>6071</v>
      </c>
      <c r="D5307" s="1310">
        <v>894.39999399999999</v>
      </c>
    </row>
    <row r="5308" spans="2:4" x14ac:dyDescent="0.2">
      <c r="B5308" s="1341">
        <v>6511</v>
      </c>
      <c r="C5308" s="1341" t="s">
        <v>6072</v>
      </c>
      <c r="D5308" s="1310">
        <v>884.59999900000003</v>
      </c>
    </row>
    <row r="5309" spans="2:4" x14ac:dyDescent="0.2">
      <c r="B5309" s="1341">
        <v>6512</v>
      </c>
      <c r="C5309" s="1341" t="s">
        <v>6073</v>
      </c>
      <c r="D5309" s="1310">
        <v>858.46499900000003</v>
      </c>
    </row>
    <row r="5310" spans="2:4" x14ac:dyDescent="0.2">
      <c r="B5310" s="1341">
        <v>6513</v>
      </c>
      <c r="C5310" s="1341" t="s">
        <v>6074</v>
      </c>
      <c r="D5310" s="1310">
        <v>817.70555300000001</v>
      </c>
    </row>
    <row r="5311" spans="2:4" x14ac:dyDescent="0.2">
      <c r="B5311" s="1341">
        <v>6514</v>
      </c>
      <c r="C5311" s="1341" t="s">
        <v>6075</v>
      </c>
      <c r="D5311" s="1310">
        <v>806.38888499999996</v>
      </c>
    </row>
    <row r="5312" spans="2:4" x14ac:dyDescent="0.2">
      <c r="B5312" s="1341">
        <v>6515</v>
      </c>
      <c r="C5312" s="1341" t="s">
        <v>6076</v>
      </c>
      <c r="D5312" s="1310">
        <v>909.87777400000004</v>
      </c>
    </row>
    <row r="5313" spans="2:4" x14ac:dyDescent="0.2">
      <c r="B5313" s="1341">
        <v>6516</v>
      </c>
      <c r="C5313" s="1341" t="s">
        <v>6077</v>
      </c>
      <c r="D5313" s="1310">
        <v>893.20000300000004</v>
      </c>
    </row>
    <row r="5314" spans="2:4" x14ac:dyDescent="0.2">
      <c r="B5314" s="1341">
        <v>6517</v>
      </c>
      <c r="C5314" s="1341" t="s">
        <v>6078</v>
      </c>
      <c r="D5314" s="1310">
        <v>873.53999599999997</v>
      </c>
    </row>
    <row r="5315" spans="2:4" x14ac:dyDescent="0.2">
      <c r="B5315" s="1341">
        <v>6518</v>
      </c>
      <c r="C5315" s="1341" t="s">
        <v>1894</v>
      </c>
      <c r="D5315" s="1310">
        <v>856.02000299999997</v>
      </c>
    </row>
    <row r="5316" spans="2:4" x14ac:dyDescent="0.2">
      <c r="B5316" s="1341">
        <v>6519</v>
      </c>
      <c r="C5316" s="1341" t="s">
        <v>6079</v>
      </c>
      <c r="D5316" s="1310">
        <v>847.04167199999995</v>
      </c>
    </row>
    <row r="5317" spans="2:4" x14ac:dyDescent="0.2">
      <c r="B5317" s="1341">
        <v>6520</v>
      </c>
      <c r="C5317" s="1341" t="s">
        <v>6080</v>
      </c>
      <c r="D5317" s="1310">
        <v>823.76666999999998</v>
      </c>
    </row>
    <row r="5318" spans="2:4" x14ac:dyDescent="0.2">
      <c r="B5318" s="1341">
        <v>6521</v>
      </c>
      <c r="C5318" s="1341" t="s">
        <v>6081</v>
      </c>
      <c r="D5318" s="1310">
        <v>813.88750500000003</v>
      </c>
    </row>
    <row r="5319" spans="2:4" x14ac:dyDescent="0.2">
      <c r="B5319" s="1341">
        <v>6522</v>
      </c>
      <c r="C5319" s="1341" t="s">
        <v>6082</v>
      </c>
      <c r="D5319" s="1310">
        <v>837.79998799999998</v>
      </c>
    </row>
    <row r="5320" spans="2:4" x14ac:dyDescent="0.2">
      <c r="B5320" s="1341">
        <v>6523</v>
      </c>
      <c r="C5320" s="1341" t="s">
        <v>6083</v>
      </c>
      <c r="D5320" s="1310">
        <v>830.82777199999998</v>
      </c>
    </row>
    <row r="5321" spans="2:4" x14ac:dyDescent="0.2">
      <c r="B5321" s="1341">
        <v>6524</v>
      </c>
      <c r="C5321" s="1341" t="s">
        <v>5099</v>
      </c>
      <c r="D5321" s="1310">
        <v>748.588888</v>
      </c>
    </row>
    <row r="5322" spans="2:4" x14ac:dyDescent="0.2">
      <c r="B5322" s="1341">
        <v>6525</v>
      </c>
      <c r="C5322" s="1341" t="s">
        <v>6084</v>
      </c>
      <c r="D5322" s="1310">
        <v>739.95881599999996</v>
      </c>
    </row>
    <row r="5323" spans="2:4" x14ac:dyDescent="0.2">
      <c r="B5323" s="1341">
        <v>6526</v>
      </c>
      <c r="C5323" s="1341" t="s">
        <v>6085</v>
      </c>
      <c r="D5323" s="1310">
        <v>751.09999600000003</v>
      </c>
    </row>
    <row r="5324" spans="2:4" x14ac:dyDescent="0.2">
      <c r="B5324" s="1341">
        <v>6527</v>
      </c>
      <c r="C5324" s="1341" t="s">
        <v>6086</v>
      </c>
      <c r="D5324" s="1310">
        <v>715.5</v>
      </c>
    </row>
    <row r="5325" spans="2:4" x14ac:dyDescent="0.2">
      <c r="B5325" s="1341">
        <v>6528</v>
      </c>
      <c r="C5325" s="1341" t="s">
        <v>6087</v>
      </c>
      <c r="D5325" s="1310">
        <v>769.63478199999997</v>
      </c>
    </row>
    <row r="5326" spans="2:4" x14ac:dyDescent="0.2">
      <c r="B5326" s="1341">
        <v>6529</v>
      </c>
      <c r="C5326" s="1341" t="s">
        <v>6088</v>
      </c>
      <c r="D5326" s="1310">
        <v>753.76250100000004</v>
      </c>
    </row>
    <row r="5327" spans="2:4" x14ac:dyDescent="0.2">
      <c r="B5327" s="1341">
        <v>6530</v>
      </c>
      <c r="C5327" s="1341" t="s">
        <v>6089</v>
      </c>
      <c r="D5327" s="1310">
        <v>742.22941300000002</v>
      </c>
    </row>
    <row r="5328" spans="2:4" x14ac:dyDescent="0.2">
      <c r="B5328" s="1341">
        <v>6531</v>
      </c>
      <c r="C5328" s="1341" t="s">
        <v>6090</v>
      </c>
      <c r="D5328" s="1310">
        <v>718.61249499999997</v>
      </c>
    </row>
    <row r="5329" spans="2:4" x14ac:dyDescent="0.2">
      <c r="B5329" s="1341">
        <v>6532</v>
      </c>
      <c r="C5329" s="1341" t="s">
        <v>5849</v>
      </c>
      <c r="D5329" s="1310">
        <v>714.15625</v>
      </c>
    </row>
    <row r="5330" spans="2:4" x14ac:dyDescent="0.2">
      <c r="B5330" s="1341">
        <v>6533</v>
      </c>
      <c r="C5330" s="1341" t="s">
        <v>6091</v>
      </c>
      <c r="D5330" s="1310">
        <v>732.57894699999997</v>
      </c>
    </row>
    <row r="5331" spans="2:4" x14ac:dyDescent="0.2">
      <c r="B5331" s="1341">
        <v>6534</v>
      </c>
      <c r="C5331" s="1341" t="s">
        <v>6092</v>
      </c>
      <c r="D5331" s="1310">
        <v>733.89090799999997</v>
      </c>
    </row>
    <row r="5332" spans="2:4" x14ac:dyDescent="0.2">
      <c r="B5332" s="1341">
        <v>6535</v>
      </c>
      <c r="C5332" s="1341" t="s">
        <v>6093</v>
      </c>
      <c r="D5332" s="1310">
        <v>724.14999399999999</v>
      </c>
    </row>
    <row r="5333" spans="2:4" x14ac:dyDescent="0.2">
      <c r="B5333" s="1341">
        <v>6536</v>
      </c>
      <c r="C5333" s="1341" t="s">
        <v>6094</v>
      </c>
      <c r="D5333" s="1310">
        <v>733.37857499999996</v>
      </c>
    </row>
    <row r="5334" spans="2:4" x14ac:dyDescent="0.2">
      <c r="B5334" s="1341">
        <v>6537</v>
      </c>
      <c r="C5334" s="1341" t="s">
        <v>6095</v>
      </c>
      <c r="D5334" s="1310">
        <v>730.85385799999995</v>
      </c>
    </row>
    <row r="5335" spans="2:4" x14ac:dyDescent="0.2">
      <c r="B5335" s="1341">
        <v>6551</v>
      </c>
      <c r="C5335" s="1341" t="s">
        <v>6096</v>
      </c>
      <c r="D5335" s="1310">
        <v>767.28750600000001</v>
      </c>
    </row>
    <row r="5336" spans="2:4" x14ac:dyDescent="0.2">
      <c r="B5336" s="1341">
        <v>6552</v>
      </c>
      <c r="C5336" s="1341" t="s">
        <v>6097</v>
      </c>
      <c r="D5336" s="1310">
        <v>746.27222400000005</v>
      </c>
    </row>
    <row r="5337" spans="2:4" x14ac:dyDescent="0.2">
      <c r="B5337" s="1341">
        <v>6553</v>
      </c>
      <c r="C5337" s="1341" t="s">
        <v>6098</v>
      </c>
      <c r="D5337" s="1310">
        <v>752.41999499999997</v>
      </c>
    </row>
    <row r="5338" spans="2:4" x14ac:dyDescent="0.2">
      <c r="B5338" s="1341">
        <v>6554</v>
      </c>
      <c r="C5338" s="1341" t="s">
        <v>6099</v>
      </c>
      <c r="D5338" s="1310">
        <v>746.52500199999997</v>
      </c>
    </row>
    <row r="5339" spans="2:4" x14ac:dyDescent="0.2">
      <c r="B5339" s="1341">
        <v>6555</v>
      </c>
      <c r="C5339" s="1341" t="s">
        <v>6100</v>
      </c>
      <c r="D5339" s="1310">
        <v>741.53125</v>
      </c>
    </row>
    <row r="5340" spans="2:4" x14ac:dyDescent="0.2">
      <c r="B5340" s="1341">
        <v>6556</v>
      </c>
      <c r="C5340" s="1341" t="s">
        <v>6101</v>
      </c>
      <c r="D5340" s="1310">
        <v>750.98181699999998</v>
      </c>
    </row>
    <row r="5341" spans="2:4" x14ac:dyDescent="0.2">
      <c r="B5341" s="1341">
        <v>6557</v>
      </c>
      <c r="C5341" s="1341" t="s">
        <v>6102</v>
      </c>
      <c r="D5341" s="1310">
        <v>718.561106</v>
      </c>
    </row>
    <row r="5342" spans="2:4" x14ac:dyDescent="0.2">
      <c r="B5342" s="1341">
        <v>6558</v>
      </c>
      <c r="C5342" s="1341" t="s">
        <v>6103</v>
      </c>
      <c r="D5342" s="1310">
        <v>709.85333300000002</v>
      </c>
    </row>
    <row r="5343" spans="2:4" x14ac:dyDescent="0.2">
      <c r="B5343" s="1341">
        <v>6559</v>
      </c>
      <c r="C5343" s="1341" t="s">
        <v>6104</v>
      </c>
      <c r="D5343" s="1310">
        <v>728.77500899999995</v>
      </c>
    </row>
    <row r="5344" spans="2:4" x14ac:dyDescent="0.2">
      <c r="B5344" s="1341">
        <v>6560</v>
      </c>
      <c r="C5344" s="1341" t="s">
        <v>6105</v>
      </c>
      <c r="D5344" s="1310">
        <v>727.67777799999999</v>
      </c>
    </row>
    <row r="5345" spans="2:4" x14ac:dyDescent="0.2">
      <c r="B5345" s="1341">
        <v>6561</v>
      </c>
      <c r="C5345" s="1341" t="s">
        <v>6106</v>
      </c>
      <c r="D5345" s="1310">
        <v>744.52499399999999</v>
      </c>
    </row>
    <row r="5346" spans="2:4" x14ac:dyDescent="0.2">
      <c r="B5346" s="1341">
        <v>6562</v>
      </c>
      <c r="C5346" s="1341" t="s">
        <v>6107</v>
      </c>
      <c r="D5346" s="1310">
        <v>755.28571399999998</v>
      </c>
    </row>
    <row r="5347" spans="2:4" x14ac:dyDescent="0.2">
      <c r="B5347" s="1341">
        <v>6563</v>
      </c>
      <c r="C5347" s="1341" t="s">
        <v>6108</v>
      </c>
      <c r="D5347" s="1310">
        <v>733.06470400000001</v>
      </c>
    </row>
    <row r="5348" spans="2:4" x14ac:dyDescent="0.2">
      <c r="B5348" s="1341">
        <v>6564</v>
      </c>
      <c r="C5348" s="1341" t="s">
        <v>6109</v>
      </c>
      <c r="D5348" s="1310">
        <v>766.822225</v>
      </c>
    </row>
    <row r="5349" spans="2:4" x14ac:dyDescent="0.2">
      <c r="B5349" s="1341">
        <v>6565</v>
      </c>
      <c r="C5349" s="1341" t="s">
        <v>6110</v>
      </c>
      <c r="D5349" s="1310">
        <v>749.57691799999998</v>
      </c>
    </row>
    <row r="5350" spans="2:4" x14ac:dyDescent="0.2">
      <c r="B5350" s="1341">
        <v>6566</v>
      </c>
      <c r="C5350" s="1341" t="s">
        <v>6111</v>
      </c>
      <c r="D5350" s="1310">
        <v>713.24736900000005</v>
      </c>
    </row>
    <row r="5351" spans="2:4" x14ac:dyDescent="0.2">
      <c r="B5351" s="1341">
        <v>6567</v>
      </c>
      <c r="C5351" s="1341" t="s">
        <v>6112</v>
      </c>
      <c r="D5351" s="1310">
        <v>725.74737200000004</v>
      </c>
    </row>
    <row r="5352" spans="2:4" x14ac:dyDescent="0.2">
      <c r="B5352" s="1341">
        <v>6568</v>
      </c>
      <c r="C5352" s="1341" t="s">
        <v>6113</v>
      </c>
      <c r="D5352" s="1310">
        <v>722.41999499999997</v>
      </c>
    </row>
    <row r="5353" spans="2:4" x14ac:dyDescent="0.2">
      <c r="B5353" s="1341">
        <v>6569</v>
      </c>
      <c r="C5353" s="1341" t="s">
        <v>6114</v>
      </c>
      <c r="D5353" s="1310">
        <v>748.663635</v>
      </c>
    </row>
    <row r="5354" spans="2:4" x14ac:dyDescent="0.2">
      <c r="B5354" s="1341">
        <v>6570</v>
      </c>
      <c r="C5354" s="1341" t="s">
        <v>6115</v>
      </c>
      <c r="D5354" s="1310">
        <v>723.67999299999997</v>
      </c>
    </row>
    <row r="5355" spans="2:4" x14ac:dyDescent="0.2">
      <c r="B5355" s="1341">
        <v>6571</v>
      </c>
      <c r="C5355" s="1341" t="s">
        <v>6116</v>
      </c>
      <c r="D5355" s="1310">
        <v>747.42856300000005</v>
      </c>
    </row>
    <row r="5356" spans="2:4" x14ac:dyDescent="0.2">
      <c r="B5356" s="1341">
        <v>6572</v>
      </c>
      <c r="C5356" s="1341" t="s">
        <v>6117</v>
      </c>
      <c r="D5356" s="1310">
        <v>711.25000299999999</v>
      </c>
    </row>
    <row r="5357" spans="2:4" x14ac:dyDescent="0.2">
      <c r="B5357" s="1341">
        <v>6573</v>
      </c>
      <c r="C5357" s="1341" t="s">
        <v>6118</v>
      </c>
      <c r="D5357" s="1310">
        <v>714.46667500000001</v>
      </c>
    </row>
    <row r="5358" spans="2:4" x14ac:dyDescent="0.2">
      <c r="B5358" s="1341">
        <v>6574</v>
      </c>
      <c r="C5358" s="1341" t="s">
        <v>6119</v>
      </c>
      <c r="D5358" s="1310">
        <v>695.65999799999997</v>
      </c>
    </row>
    <row r="5359" spans="2:4" x14ac:dyDescent="0.2">
      <c r="B5359" s="1341">
        <v>6575</v>
      </c>
      <c r="C5359" s="1341" t="s">
        <v>6120</v>
      </c>
      <c r="D5359" s="1310">
        <v>708.69166600000005</v>
      </c>
    </row>
    <row r="5360" spans="2:4" x14ac:dyDescent="0.2">
      <c r="B5360" s="1341">
        <v>6576</v>
      </c>
      <c r="C5360" s="1341" t="s">
        <v>6121</v>
      </c>
      <c r="D5360" s="1310">
        <v>733.97999300000004</v>
      </c>
    </row>
    <row r="5361" spans="2:4" x14ac:dyDescent="0.2">
      <c r="B5361" s="1341">
        <v>6577</v>
      </c>
      <c r="C5361" s="1341" t="s">
        <v>6122</v>
      </c>
      <c r="D5361" s="1310">
        <v>730.56427900000006</v>
      </c>
    </row>
    <row r="5362" spans="2:4" x14ac:dyDescent="0.2">
      <c r="B5362" s="1341">
        <v>6578</v>
      </c>
      <c r="C5362" s="1341" t="s">
        <v>6123</v>
      </c>
      <c r="D5362" s="1310">
        <v>723.31818699999997</v>
      </c>
    </row>
    <row r="5363" spans="2:4" x14ac:dyDescent="0.2">
      <c r="B5363" s="1341">
        <v>6579</v>
      </c>
      <c r="C5363" s="1341" t="s">
        <v>6124</v>
      </c>
      <c r="D5363" s="1310">
        <v>763.44445099999996</v>
      </c>
    </row>
    <row r="5364" spans="2:4" x14ac:dyDescent="0.2">
      <c r="B5364" s="1341">
        <v>6580</v>
      </c>
      <c r="C5364" s="1341" t="s">
        <v>6125</v>
      </c>
      <c r="D5364" s="1310">
        <v>759.26999499999999</v>
      </c>
    </row>
    <row r="5365" spans="2:4" x14ac:dyDescent="0.2">
      <c r="B5365" s="1341">
        <v>6581</v>
      </c>
      <c r="C5365" s="1341" t="s">
        <v>6126</v>
      </c>
      <c r="D5365" s="1310">
        <v>730.259998</v>
      </c>
    </row>
    <row r="5366" spans="2:4" x14ac:dyDescent="0.2">
      <c r="B5366" s="1341">
        <v>6582</v>
      </c>
      <c r="C5366" s="1341" t="s">
        <v>6127</v>
      </c>
      <c r="D5366" s="1310">
        <v>753.65000599999996</v>
      </c>
    </row>
    <row r="5367" spans="2:4" x14ac:dyDescent="0.2">
      <c r="B5367" s="1341">
        <v>6583</v>
      </c>
      <c r="C5367" s="1341" t="s">
        <v>6128</v>
      </c>
      <c r="D5367" s="1310">
        <v>746.58749799999998</v>
      </c>
    </row>
    <row r="5368" spans="2:4" x14ac:dyDescent="0.2">
      <c r="B5368" s="1341">
        <v>6584</v>
      </c>
      <c r="C5368" s="1341" t="s">
        <v>6129</v>
      </c>
      <c r="D5368" s="1310">
        <v>722.88181899999995</v>
      </c>
    </row>
    <row r="5369" spans="2:4" x14ac:dyDescent="0.2">
      <c r="B5369" s="1341">
        <v>6585</v>
      </c>
      <c r="C5369" s="1341" t="s">
        <v>6130</v>
      </c>
      <c r="D5369" s="1310">
        <v>714.03332499999999</v>
      </c>
    </row>
    <row r="5370" spans="2:4" x14ac:dyDescent="0.2">
      <c r="B5370" s="1341">
        <v>6586</v>
      </c>
      <c r="C5370" s="1341" t="s">
        <v>6131</v>
      </c>
      <c r="D5370" s="1310">
        <v>728.38888899999995</v>
      </c>
    </row>
    <row r="5371" spans="2:4" x14ac:dyDescent="0.2">
      <c r="B5371" s="1341">
        <v>6587</v>
      </c>
      <c r="C5371" s="1341" t="s">
        <v>6132</v>
      </c>
      <c r="D5371" s="1310">
        <v>741.54782799999998</v>
      </c>
    </row>
    <row r="5372" spans="2:4" x14ac:dyDescent="0.2">
      <c r="B5372" s="1341">
        <v>6588</v>
      </c>
      <c r="C5372" s="1341" t="s">
        <v>6133</v>
      </c>
      <c r="D5372" s="1310">
        <v>703.421426</v>
      </c>
    </row>
    <row r="5373" spans="2:4" x14ac:dyDescent="0.2">
      <c r="B5373" s="1341">
        <v>6589</v>
      </c>
      <c r="C5373" s="1341" t="s">
        <v>6134</v>
      </c>
      <c r="D5373" s="1310">
        <v>715.65000399999997</v>
      </c>
    </row>
    <row r="5374" spans="2:4" x14ac:dyDescent="0.2">
      <c r="B5374" s="1341">
        <v>6590</v>
      </c>
      <c r="C5374" s="1341" t="s">
        <v>6135</v>
      </c>
      <c r="D5374" s="1310">
        <v>694.64999899999998</v>
      </c>
    </row>
    <row r="5375" spans="2:4" x14ac:dyDescent="0.2">
      <c r="B5375" s="1341">
        <v>6591</v>
      </c>
      <c r="C5375" s="1341" t="s">
        <v>6136</v>
      </c>
      <c r="D5375" s="1310">
        <v>694.62306599999999</v>
      </c>
    </row>
    <row r="5376" spans="2:4" x14ac:dyDescent="0.2">
      <c r="B5376" s="1341">
        <v>6592</v>
      </c>
      <c r="C5376" s="1341" t="s">
        <v>3597</v>
      </c>
      <c r="D5376" s="1310">
        <v>693.94999900000005</v>
      </c>
    </row>
    <row r="5377" spans="2:4" x14ac:dyDescent="0.2">
      <c r="B5377" s="1341">
        <v>6593</v>
      </c>
      <c r="C5377" s="1341" t="s">
        <v>6137</v>
      </c>
      <c r="D5377" s="1310">
        <v>678.44166600000005</v>
      </c>
    </row>
    <row r="5378" spans="2:4" x14ac:dyDescent="0.2">
      <c r="B5378" s="1341">
        <v>6594</v>
      </c>
      <c r="C5378" s="1341" t="s">
        <v>6138</v>
      </c>
      <c r="D5378" s="1310">
        <v>674.39000199999998</v>
      </c>
    </row>
    <row r="5379" spans="2:4" x14ac:dyDescent="0.2">
      <c r="B5379" s="1341">
        <v>6595</v>
      </c>
      <c r="C5379" s="1341" t="s">
        <v>6139</v>
      </c>
      <c r="D5379" s="1310">
        <v>724.39999799999998</v>
      </c>
    </row>
    <row r="5380" spans="2:4" x14ac:dyDescent="0.2">
      <c r="B5380" s="1341">
        <v>6596</v>
      </c>
      <c r="C5380" s="1341" t="s">
        <v>6140</v>
      </c>
      <c r="D5380" s="1310">
        <v>676.40001400000006</v>
      </c>
    </row>
    <row r="5381" spans="2:4" x14ac:dyDescent="0.2">
      <c r="B5381" s="1341">
        <v>6597</v>
      </c>
      <c r="C5381" s="1341" t="s">
        <v>6141</v>
      </c>
      <c r="D5381" s="1310">
        <v>676.67143899999996</v>
      </c>
    </row>
    <row r="5382" spans="2:4" x14ac:dyDescent="0.2">
      <c r="B5382" s="1341">
        <v>6598</v>
      </c>
      <c r="C5382" s="1341" t="s">
        <v>6142</v>
      </c>
      <c r="D5382" s="1310">
        <v>733.85383999999999</v>
      </c>
    </row>
    <row r="5383" spans="2:4" x14ac:dyDescent="0.2">
      <c r="B5383" s="1341">
        <v>6599</v>
      </c>
      <c r="C5383" s="1341" t="s">
        <v>6143</v>
      </c>
      <c r="D5383" s="1310">
        <v>705.38334099999997</v>
      </c>
    </row>
    <row r="5384" spans="2:4" x14ac:dyDescent="0.2">
      <c r="B5384" s="1341">
        <v>6600</v>
      </c>
      <c r="C5384" s="1341" t="s">
        <v>6144</v>
      </c>
      <c r="D5384" s="1310">
        <v>740.5</v>
      </c>
    </row>
    <row r="5385" spans="2:4" x14ac:dyDescent="0.2">
      <c r="B5385" s="1341">
        <v>6601</v>
      </c>
      <c r="C5385" s="1341" t="s">
        <v>5980</v>
      </c>
      <c r="D5385" s="1310">
        <v>710.71999500000004</v>
      </c>
    </row>
    <row r="5386" spans="2:4" x14ac:dyDescent="0.2">
      <c r="B5386" s="1341">
        <v>6602</v>
      </c>
      <c r="C5386" s="1341" t="s">
        <v>6145</v>
      </c>
      <c r="D5386" s="1310">
        <v>688.31999499999995</v>
      </c>
    </row>
    <row r="5387" spans="2:4" x14ac:dyDescent="0.2">
      <c r="B5387" s="1341">
        <v>6603</v>
      </c>
      <c r="C5387" s="1341" t="s">
        <v>6146</v>
      </c>
      <c r="D5387" s="1310">
        <v>703.04167199999995</v>
      </c>
    </row>
    <row r="5388" spans="2:4" x14ac:dyDescent="0.2">
      <c r="B5388" s="1341">
        <v>6604</v>
      </c>
      <c r="C5388" s="1341" t="s">
        <v>5868</v>
      </c>
      <c r="D5388" s="1310">
        <v>750.71250899999995</v>
      </c>
    </row>
    <row r="5389" spans="2:4" x14ac:dyDescent="0.2">
      <c r="B5389" s="1341">
        <v>6605</v>
      </c>
      <c r="C5389" s="1341" t="s">
        <v>3296</v>
      </c>
      <c r="D5389" s="1310">
        <v>729.57333200000005</v>
      </c>
    </row>
    <row r="5390" spans="2:4" x14ac:dyDescent="0.2">
      <c r="B5390" s="1341">
        <v>6606</v>
      </c>
      <c r="C5390" s="1341" t="s">
        <v>6147</v>
      </c>
      <c r="D5390" s="1310">
        <v>750.46666800000003</v>
      </c>
    </row>
    <row r="5391" spans="2:4" x14ac:dyDescent="0.2">
      <c r="B5391" s="1341">
        <v>6607</v>
      </c>
      <c r="C5391" s="1341" t="s">
        <v>6148</v>
      </c>
      <c r="D5391" s="1310">
        <v>728.11538900000005</v>
      </c>
    </row>
    <row r="5392" spans="2:4" x14ac:dyDescent="0.2">
      <c r="B5392" s="1341">
        <v>6608</v>
      </c>
      <c r="C5392" s="1341" t="s">
        <v>6149</v>
      </c>
      <c r="D5392" s="1310">
        <v>743.75</v>
      </c>
    </row>
    <row r="5393" spans="2:4" x14ac:dyDescent="0.2">
      <c r="B5393" s="1341">
        <v>6609</v>
      </c>
      <c r="C5393" s="1341" t="s">
        <v>6150</v>
      </c>
      <c r="D5393" s="1310">
        <v>740.37999300000001</v>
      </c>
    </row>
    <row r="5394" spans="2:4" x14ac:dyDescent="0.2">
      <c r="B5394" s="1341">
        <v>6610</v>
      </c>
      <c r="C5394" s="1341" t="s">
        <v>6151</v>
      </c>
      <c r="D5394" s="1310">
        <v>684.14001499999995</v>
      </c>
    </row>
    <row r="5395" spans="2:4" x14ac:dyDescent="0.2">
      <c r="B5395" s="1341">
        <v>6611</v>
      </c>
      <c r="C5395" s="1341" t="s">
        <v>3761</v>
      </c>
      <c r="D5395" s="1310">
        <v>717.67142999999999</v>
      </c>
    </row>
    <row r="5396" spans="2:4" x14ac:dyDescent="0.2">
      <c r="B5396" s="1341">
        <v>6612</v>
      </c>
      <c r="C5396" s="1341" t="s">
        <v>6152</v>
      </c>
      <c r="D5396" s="1310">
        <v>660.15833499999997</v>
      </c>
    </row>
    <row r="5397" spans="2:4" x14ac:dyDescent="0.2">
      <c r="B5397" s="1341">
        <v>6613</v>
      </c>
      <c r="C5397" s="1341" t="s">
        <v>6153</v>
      </c>
      <c r="D5397" s="1310">
        <v>733.228568</v>
      </c>
    </row>
    <row r="5398" spans="2:4" x14ac:dyDescent="0.2">
      <c r="B5398" s="1341">
        <v>6614</v>
      </c>
      <c r="C5398" s="1341" t="s">
        <v>6154</v>
      </c>
      <c r="D5398" s="1310">
        <v>727.13749700000005</v>
      </c>
    </row>
    <row r="5399" spans="2:4" x14ac:dyDescent="0.2">
      <c r="B5399" s="1341">
        <v>6615</v>
      </c>
      <c r="C5399" s="1341" t="s">
        <v>4395</v>
      </c>
      <c r="D5399" s="1310">
        <v>713.54544899999996</v>
      </c>
    </row>
    <row r="5400" spans="2:4" x14ac:dyDescent="0.2">
      <c r="B5400" s="1341">
        <v>6616</v>
      </c>
      <c r="C5400" s="1341" t="s">
        <v>6155</v>
      </c>
      <c r="D5400" s="1310">
        <v>694.88000099999999</v>
      </c>
    </row>
    <row r="5401" spans="2:4" x14ac:dyDescent="0.2">
      <c r="B5401" s="1341">
        <v>6617</v>
      </c>
      <c r="C5401" s="1341" t="s">
        <v>392</v>
      </c>
      <c r="D5401" s="1310">
        <v>708.48461899999995</v>
      </c>
    </row>
    <row r="5402" spans="2:4" x14ac:dyDescent="0.2">
      <c r="B5402" s="1341">
        <v>6618</v>
      </c>
      <c r="C5402" s="1341" t="s">
        <v>6156</v>
      </c>
      <c r="D5402" s="1310">
        <v>791.44999700000005</v>
      </c>
    </row>
    <row r="5403" spans="2:4" x14ac:dyDescent="0.2">
      <c r="B5403" s="1341">
        <v>6619</v>
      </c>
      <c r="C5403" s="1341" t="s">
        <v>6157</v>
      </c>
      <c r="D5403" s="1310">
        <v>786.89998400000002</v>
      </c>
    </row>
    <row r="5404" spans="2:4" x14ac:dyDescent="0.2">
      <c r="B5404" s="1341">
        <v>6620</v>
      </c>
      <c r="C5404" s="1341" t="s">
        <v>2098</v>
      </c>
      <c r="D5404" s="1310">
        <v>762.600009</v>
      </c>
    </row>
    <row r="5405" spans="2:4" x14ac:dyDescent="0.2">
      <c r="B5405" s="1341">
        <v>6621</v>
      </c>
      <c r="C5405" s="1341" t="s">
        <v>5651</v>
      </c>
      <c r="D5405" s="1310">
        <v>754.899991</v>
      </c>
    </row>
    <row r="5406" spans="2:4" x14ac:dyDescent="0.2">
      <c r="B5406" s="1341">
        <v>6622</v>
      </c>
      <c r="C5406" s="1341" t="s">
        <v>6158</v>
      </c>
      <c r="D5406" s="1310">
        <v>777.16666699999996</v>
      </c>
    </row>
    <row r="5407" spans="2:4" x14ac:dyDescent="0.2">
      <c r="B5407" s="1341">
        <v>6623</v>
      </c>
      <c r="C5407" s="1341" t="s">
        <v>6159</v>
      </c>
      <c r="D5407" s="1310">
        <v>806.83749399999999</v>
      </c>
    </row>
    <row r="5408" spans="2:4" x14ac:dyDescent="0.2">
      <c r="B5408" s="1341">
        <v>6624</v>
      </c>
      <c r="C5408" s="1341" t="s">
        <v>6160</v>
      </c>
      <c r="D5408" s="1310">
        <v>797.42666799999995</v>
      </c>
    </row>
    <row r="5409" spans="2:4" x14ac:dyDescent="0.2">
      <c r="B5409" s="1341">
        <v>6625</v>
      </c>
      <c r="C5409" s="1341" t="s">
        <v>6161</v>
      </c>
      <c r="D5409" s="1310">
        <v>788.14736800000003</v>
      </c>
    </row>
    <row r="5410" spans="2:4" x14ac:dyDescent="0.2">
      <c r="B5410" s="1341">
        <v>6626</v>
      </c>
      <c r="C5410" s="1341" t="s">
        <v>6162</v>
      </c>
      <c r="D5410" s="1310">
        <v>756.39999799999998</v>
      </c>
    </row>
    <row r="5411" spans="2:4" x14ac:dyDescent="0.2">
      <c r="B5411" s="1341">
        <v>6627</v>
      </c>
      <c r="C5411" s="1341" t="s">
        <v>6163</v>
      </c>
      <c r="D5411" s="1310">
        <v>759.27499599999999</v>
      </c>
    </row>
    <row r="5412" spans="2:4" x14ac:dyDescent="0.2">
      <c r="B5412" s="1341">
        <v>6628</v>
      </c>
      <c r="C5412" s="1341" t="s">
        <v>6164</v>
      </c>
      <c r="D5412" s="1310">
        <v>767.16999499999997</v>
      </c>
    </row>
    <row r="5413" spans="2:4" x14ac:dyDescent="0.2">
      <c r="B5413" s="1341">
        <v>6629</v>
      </c>
      <c r="C5413" s="1341" t="s">
        <v>6165</v>
      </c>
      <c r="D5413" s="1310">
        <v>756.97500600000001</v>
      </c>
    </row>
    <row r="5414" spans="2:4" x14ac:dyDescent="0.2">
      <c r="B5414" s="1341">
        <v>6630</v>
      </c>
      <c r="C5414" s="1341" t="s">
        <v>6166</v>
      </c>
      <c r="D5414" s="1310">
        <v>776.31817599999999</v>
      </c>
    </row>
    <row r="5415" spans="2:4" x14ac:dyDescent="0.2">
      <c r="B5415" s="1341">
        <v>6631</v>
      </c>
      <c r="C5415" s="1341" t="s">
        <v>6167</v>
      </c>
      <c r="D5415" s="1310">
        <v>786.67500299999995</v>
      </c>
    </row>
    <row r="5416" spans="2:4" x14ac:dyDescent="0.2">
      <c r="B5416" s="1341">
        <v>6632</v>
      </c>
      <c r="C5416" s="1341" t="s">
        <v>2892</v>
      </c>
      <c r="D5416" s="1310">
        <v>807.71176000000003</v>
      </c>
    </row>
    <row r="5417" spans="2:4" x14ac:dyDescent="0.2">
      <c r="B5417" s="1341">
        <v>6633</v>
      </c>
      <c r="C5417" s="1341" t="s">
        <v>6168</v>
      </c>
      <c r="D5417" s="1310">
        <v>799.740002</v>
      </c>
    </row>
    <row r="5418" spans="2:4" x14ac:dyDescent="0.2">
      <c r="B5418" s="1341">
        <v>6634</v>
      </c>
      <c r="C5418" s="1341" t="s">
        <v>6169</v>
      </c>
      <c r="D5418" s="1310">
        <v>826</v>
      </c>
    </row>
    <row r="5419" spans="2:4" x14ac:dyDescent="0.2">
      <c r="B5419" s="1341">
        <v>6635</v>
      </c>
      <c r="C5419" s="1341" t="s">
        <v>6170</v>
      </c>
      <c r="D5419" s="1310">
        <v>673.64000199999998</v>
      </c>
    </row>
    <row r="5420" spans="2:4" x14ac:dyDescent="0.2">
      <c r="B5420" s="1341">
        <v>6636</v>
      </c>
      <c r="C5420" s="1341" t="s">
        <v>6171</v>
      </c>
      <c r="D5420" s="1310">
        <v>673.40002400000003</v>
      </c>
    </row>
    <row r="5421" spans="2:4" x14ac:dyDescent="0.2">
      <c r="B5421" s="1341">
        <v>6637</v>
      </c>
      <c r="C5421" s="1341" t="s">
        <v>6172</v>
      </c>
      <c r="D5421" s="1310">
        <v>683.97999300000004</v>
      </c>
    </row>
    <row r="5422" spans="2:4" x14ac:dyDescent="0.2">
      <c r="B5422" s="1341">
        <v>6638</v>
      </c>
      <c r="C5422" s="1341" t="s">
        <v>6173</v>
      </c>
      <c r="D5422" s="1310">
        <v>753.71428600000002</v>
      </c>
    </row>
    <row r="5423" spans="2:4" x14ac:dyDescent="0.2">
      <c r="B5423" s="1341">
        <v>6639</v>
      </c>
      <c r="C5423" s="1341" t="s">
        <v>6174</v>
      </c>
      <c r="D5423" s="1310">
        <v>742.35000600000001</v>
      </c>
    </row>
    <row r="5424" spans="2:4" x14ac:dyDescent="0.2">
      <c r="B5424" s="1341">
        <v>6640</v>
      </c>
      <c r="C5424" s="1341" t="s">
        <v>6175</v>
      </c>
      <c r="D5424" s="1310">
        <v>756.44166600000005</v>
      </c>
    </row>
    <row r="5425" spans="2:4" x14ac:dyDescent="0.2">
      <c r="B5425" s="1341">
        <v>6641</v>
      </c>
      <c r="C5425" s="1341" t="s">
        <v>6176</v>
      </c>
      <c r="D5425" s="1310">
        <v>802.64615600000002</v>
      </c>
    </row>
    <row r="5426" spans="2:4" x14ac:dyDescent="0.2">
      <c r="B5426" s="1341">
        <v>6642</v>
      </c>
      <c r="C5426" s="1341" t="s">
        <v>4363</v>
      </c>
      <c r="D5426" s="1310">
        <v>781.28183300000001</v>
      </c>
    </row>
    <row r="5427" spans="2:4" x14ac:dyDescent="0.2">
      <c r="B5427" s="1341">
        <v>6643</v>
      </c>
      <c r="C5427" s="1341" t="s">
        <v>5082</v>
      </c>
      <c r="D5427" s="1310">
        <v>777.80909299999996</v>
      </c>
    </row>
    <row r="5428" spans="2:4" x14ac:dyDescent="0.2">
      <c r="B5428" s="1341">
        <v>6644</v>
      </c>
      <c r="C5428" s="1341" t="s">
        <v>6030</v>
      </c>
      <c r="D5428" s="1310">
        <v>783.35554999999999</v>
      </c>
    </row>
    <row r="5429" spans="2:4" x14ac:dyDescent="0.2">
      <c r="B5429" s="1341">
        <v>6645</v>
      </c>
      <c r="C5429" s="1341" t="s">
        <v>6177</v>
      </c>
      <c r="D5429" s="1310">
        <v>786.88888899999995</v>
      </c>
    </row>
    <row r="5430" spans="2:4" x14ac:dyDescent="0.2">
      <c r="B5430" s="1341">
        <v>6646</v>
      </c>
      <c r="C5430" s="1341" t="s">
        <v>6178</v>
      </c>
      <c r="D5430" s="1310">
        <v>798.13750500000003</v>
      </c>
    </row>
    <row r="5431" spans="2:4" x14ac:dyDescent="0.2">
      <c r="B5431" s="1341">
        <v>6647</v>
      </c>
      <c r="C5431" s="1341" t="s">
        <v>6179</v>
      </c>
      <c r="D5431" s="1310">
        <v>808.56924200000003</v>
      </c>
    </row>
    <row r="5432" spans="2:4" x14ac:dyDescent="0.2">
      <c r="B5432" s="1341">
        <v>6648</v>
      </c>
      <c r="C5432" s="1341" t="s">
        <v>6180</v>
      </c>
      <c r="D5432" s="1310">
        <v>802.83749399999999</v>
      </c>
    </row>
    <row r="5433" spans="2:4" x14ac:dyDescent="0.2">
      <c r="B5433" s="1341">
        <v>6649</v>
      </c>
      <c r="C5433" s="1341" t="s">
        <v>6181</v>
      </c>
      <c r="D5433" s="1310">
        <v>794.59997599999997</v>
      </c>
    </row>
    <row r="5434" spans="2:4" x14ac:dyDescent="0.2">
      <c r="B5434" s="1341">
        <v>6650</v>
      </c>
      <c r="C5434" s="1341" t="s">
        <v>6182</v>
      </c>
      <c r="D5434" s="1310">
        <v>786.31111699999997</v>
      </c>
    </row>
    <row r="5435" spans="2:4" x14ac:dyDescent="0.2">
      <c r="B5435" s="1341">
        <v>6651</v>
      </c>
      <c r="C5435" s="1341" t="s">
        <v>6183</v>
      </c>
      <c r="D5435" s="1310">
        <v>791.389996</v>
      </c>
    </row>
    <row r="5436" spans="2:4" x14ac:dyDescent="0.2">
      <c r="B5436" s="1341">
        <v>6652</v>
      </c>
      <c r="C5436" s="1341" t="s">
        <v>6184</v>
      </c>
      <c r="D5436" s="1310">
        <v>787.48461899999995</v>
      </c>
    </row>
    <row r="5437" spans="2:4" x14ac:dyDescent="0.2">
      <c r="B5437" s="1341">
        <v>6653</v>
      </c>
      <c r="C5437" s="1341" t="s">
        <v>6185</v>
      </c>
      <c r="D5437" s="1310">
        <v>794.29999499999997</v>
      </c>
    </row>
    <row r="5438" spans="2:4" x14ac:dyDescent="0.2">
      <c r="B5438" s="1341">
        <v>6654</v>
      </c>
      <c r="C5438" s="1341" t="s">
        <v>6186</v>
      </c>
      <c r="D5438" s="1310">
        <v>784.246667</v>
      </c>
    </row>
    <row r="5439" spans="2:4" x14ac:dyDescent="0.2">
      <c r="B5439" s="1341">
        <v>6655</v>
      </c>
      <c r="C5439" s="1341" t="s">
        <v>6187</v>
      </c>
      <c r="D5439" s="1310">
        <v>777.58823900000004</v>
      </c>
    </row>
    <row r="5440" spans="2:4" x14ac:dyDescent="0.2">
      <c r="B5440" s="1341">
        <v>6656</v>
      </c>
      <c r="C5440" s="1341" t="s">
        <v>6188</v>
      </c>
      <c r="D5440" s="1310">
        <v>764.06667100000004</v>
      </c>
    </row>
    <row r="5441" spans="2:4" x14ac:dyDescent="0.2">
      <c r="B5441" s="1341">
        <v>6657</v>
      </c>
      <c r="C5441" s="1341" t="s">
        <v>1983</v>
      </c>
      <c r="D5441" s="1310">
        <v>788.79523600000005</v>
      </c>
    </row>
    <row r="5442" spans="2:4" x14ac:dyDescent="0.2">
      <c r="B5442" s="1341">
        <v>6658</v>
      </c>
      <c r="C5442" s="1341" t="s">
        <v>5045</v>
      </c>
      <c r="D5442" s="1310">
        <v>781.99090000000001</v>
      </c>
    </row>
    <row r="5443" spans="2:4" x14ac:dyDescent="0.2">
      <c r="B5443" s="1341">
        <v>6659</v>
      </c>
      <c r="C5443" s="1341" t="s">
        <v>6189</v>
      </c>
      <c r="D5443" s="1310">
        <v>771.41999499999997</v>
      </c>
    </row>
    <row r="5444" spans="2:4" x14ac:dyDescent="0.2">
      <c r="B5444" s="1341">
        <v>6660</v>
      </c>
      <c r="C5444" s="1341" t="s">
        <v>6190</v>
      </c>
      <c r="D5444" s="1310">
        <v>744.43332899999996</v>
      </c>
    </row>
    <row r="5445" spans="2:4" x14ac:dyDescent="0.2">
      <c r="B5445" s="1341">
        <v>6661</v>
      </c>
      <c r="C5445" s="1341" t="s">
        <v>6191</v>
      </c>
      <c r="D5445" s="1310">
        <v>778.14546299999995</v>
      </c>
    </row>
    <row r="5446" spans="2:4" x14ac:dyDescent="0.2">
      <c r="B5446" s="1341">
        <v>6662</v>
      </c>
      <c r="C5446" s="1341" t="s">
        <v>6192</v>
      </c>
      <c r="D5446" s="1310">
        <v>763.26363900000001</v>
      </c>
    </row>
    <row r="5447" spans="2:4" x14ac:dyDescent="0.2">
      <c r="B5447" s="1341">
        <v>6663</v>
      </c>
      <c r="C5447" s="1341" t="s">
        <v>5975</v>
      </c>
      <c r="D5447" s="1310">
        <v>777.99999300000002</v>
      </c>
    </row>
    <row r="5448" spans="2:4" x14ac:dyDescent="0.2">
      <c r="B5448" s="1341">
        <v>6664</v>
      </c>
      <c r="C5448" s="1341" t="s">
        <v>6193</v>
      </c>
      <c r="D5448" s="1310">
        <v>791.35555999999997</v>
      </c>
    </row>
    <row r="5449" spans="2:4" x14ac:dyDescent="0.2">
      <c r="B5449" s="1341">
        <v>6665</v>
      </c>
      <c r="C5449" s="1341" t="s">
        <v>3745</v>
      </c>
      <c r="D5449" s="1310">
        <v>789.62499500000001</v>
      </c>
    </row>
    <row r="5450" spans="2:4" x14ac:dyDescent="0.2">
      <c r="B5450" s="1341">
        <v>6666</v>
      </c>
      <c r="C5450" s="1341" t="s">
        <v>6194</v>
      </c>
      <c r="D5450" s="1310">
        <v>795.20001200000002</v>
      </c>
    </row>
    <row r="5451" spans="2:4" x14ac:dyDescent="0.2">
      <c r="B5451" s="1341">
        <v>6667</v>
      </c>
      <c r="C5451" s="1341" t="s">
        <v>6195</v>
      </c>
      <c r="D5451" s="1310">
        <v>794.46250199999997</v>
      </c>
    </row>
    <row r="5452" spans="2:4" x14ac:dyDescent="0.2">
      <c r="B5452" s="1341">
        <v>6668</v>
      </c>
      <c r="C5452" s="1341" t="s">
        <v>6196</v>
      </c>
      <c r="D5452" s="1310">
        <v>793.87500399999999</v>
      </c>
    </row>
    <row r="5453" spans="2:4" x14ac:dyDescent="0.2">
      <c r="B5453" s="1341">
        <v>6669</v>
      </c>
      <c r="C5453" s="1341" t="s">
        <v>6197</v>
      </c>
      <c r="D5453" s="1310">
        <v>784.96666500000003</v>
      </c>
    </row>
    <row r="5454" spans="2:4" x14ac:dyDescent="0.2">
      <c r="B5454" s="1341">
        <v>6670</v>
      </c>
      <c r="C5454" s="1341" t="s">
        <v>6198</v>
      </c>
      <c r="D5454" s="1310">
        <v>779.70001200000002</v>
      </c>
    </row>
    <row r="5455" spans="2:4" x14ac:dyDescent="0.2">
      <c r="B5455" s="1341">
        <v>6671</v>
      </c>
      <c r="C5455" s="1341" t="s">
        <v>6199</v>
      </c>
      <c r="D5455" s="1310">
        <v>808.68889000000001</v>
      </c>
    </row>
    <row r="5456" spans="2:4" x14ac:dyDescent="0.2">
      <c r="B5456" s="1341">
        <v>6672</v>
      </c>
      <c r="C5456" s="1341" t="s">
        <v>6200</v>
      </c>
      <c r="D5456" s="1310">
        <v>784.02777800000001</v>
      </c>
    </row>
    <row r="5457" spans="2:4" x14ac:dyDescent="0.2">
      <c r="B5457" s="1341">
        <v>6673</v>
      </c>
      <c r="C5457" s="1341" t="s">
        <v>6201</v>
      </c>
      <c r="D5457" s="1310">
        <v>762.04444699999999</v>
      </c>
    </row>
    <row r="5458" spans="2:4" x14ac:dyDescent="0.2">
      <c r="B5458" s="1341">
        <v>6674</v>
      </c>
      <c r="C5458" s="1341" t="s">
        <v>6202</v>
      </c>
      <c r="D5458" s="1310">
        <v>779.116669</v>
      </c>
    </row>
    <row r="5459" spans="2:4" x14ac:dyDescent="0.2">
      <c r="B5459" s="1341">
        <v>6675</v>
      </c>
      <c r="C5459" s="1341" t="s">
        <v>4118</v>
      </c>
      <c r="D5459" s="1310">
        <v>778.46667500000001</v>
      </c>
    </row>
    <row r="5460" spans="2:4" x14ac:dyDescent="0.2">
      <c r="B5460" s="1341">
        <v>6676</v>
      </c>
      <c r="C5460" s="1341" t="s">
        <v>6203</v>
      </c>
      <c r="D5460" s="1310">
        <v>789.77333599999997</v>
      </c>
    </row>
    <row r="5461" spans="2:4" x14ac:dyDescent="0.2">
      <c r="B5461" s="1341">
        <v>6677</v>
      </c>
      <c r="C5461" s="1341" t="s">
        <v>6204</v>
      </c>
      <c r="D5461" s="1310">
        <v>761.19999700000005</v>
      </c>
    </row>
    <row r="5462" spans="2:4" x14ac:dyDescent="0.2">
      <c r="B5462" s="1341">
        <v>6678</v>
      </c>
      <c r="C5462" s="1341" t="s">
        <v>6205</v>
      </c>
      <c r="D5462" s="1310">
        <v>768.29999499999997</v>
      </c>
    </row>
    <row r="5463" spans="2:4" x14ac:dyDescent="0.2">
      <c r="B5463" s="1341">
        <v>6701</v>
      </c>
      <c r="C5463" s="1341" t="s">
        <v>6206</v>
      </c>
      <c r="D5463" s="1310">
        <v>725.480951</v>
      </c>
    </row>
    <row r="5464" spans="2:4" x14ac:dyDescent="0.2">
      <c r="B5464" s="1341">
        <v>6702</v>
      </c>
      <c r="C5464" s="1341" t="s">
        <v>6207</v>
      </c>
      <c r="D5464" s="1310">
        <v>746.911112</v>
      </c>
    </row>
    <row r="5465" spans="2:4" x14ac:dyDescent="0.2">
      <c r="B5465" s="1341">
        <v>6703</v>
      </c>
      <c r="C5465" s="1341" t="s">
        <v>6208</v>
      </c>
      <c r="D5465" s="1310">
        <v>728.16666699999996</v>
      </c>
    </row>
    <row r="5466" spans="2:4" x14ac:dyDescent="0.2">
      <c r="B5466" s="1341">
        <v>6704</v>
      </c>
      <c r="C5466" s="1341" t="s">
        <v>1290</v>
      </c>
      <c r="D5466" s="1310">
        <v>701.94286199999999</v>
      </c>
    </row>
    <row r="5467" spans="2:4" x14ac:dyDescent="0.2">
      <c r="B5467" s="1341">
        <v>6705</v>
      </c>
      <c r="C5467" s="1341" t="s">
        <v>6209</v>
      </c>
      <c r="D5467" s="1310">
        <v>713.46665399999995</v>
      </c>
    </row>
    <row r="5468" spans="2:4" x14ac:dyDescent="0.2">
      <c r="B5468" s="1341">
        <v>6706</v>
      </c>
      <c r="C5468" s="1341" t="s">
        <v>6210</v>
      </c>
      <c r="D5468" s="1310">
        <v>679.759998</v>
      </c>
    </row>
    <row r="5469" spans="2:4" x14ac:dyDescent="0.2">
      <c r="B5469" s="1341">
        <v>6707</v>
      </c>
      <c r="C5469" s="1341" t="s">
        <v>6211</v>
      </c>
      <c r="D5469" s="1310">
        <v>681.21667100000002</v>
      </c>
    </row>
    <row r="5470" spans="2:4" x14ac:dyDescent="0.2">
      <c r="B5470" s="1341">
        <v>6708</v>
      </c>
      <c r="C5470" s="1341" t="s">
        <v>6212</v>
      </c>
      <c r="D5470" s="1310">
        <v>631.15000899999995</v>
      </c>
    </row>
    <row r="5471" spans="2:4" x14ac:dyDescent="0.2">
      <c r="B5471" s="1341">
        <v>6709</v>
      </c>
      <c r="C5471" s="1341" t="s">
        <v>6213</v>
      </c>
      <c r="D5471" s="1310">
        <v>674.59999100000005</v>
      </c>
    </row>
    <row r="5472" spans="2:4" x14ac:dyDescent="0.2">
      <c r="B5472" s="1341">
        <v>6710</v>
      </c>
      <c r="C5472" s="1341" t="s">
        <v>6214</v>
      </c>
      <c r="D5472" s="1310">
        <v>663.54998799999998</v>
      </c>
    </row>
    <row r="5473" spans="2:4" x14ac:dyDescent="0.2">
      <c r="B5473" s="1341">
        <v>6711</v>
      </c>
      <c r="C5473" s="1341" t="s">
        <v>6215</v>
      </c>
      <c r="D5473" s="1310">
        <v>675.68572099999994</v>
      </c>
    </row>
    <row r="5474" spans="2:4" x14ac:dyDescent="0.2">
      <c r="B5474" s="1341">
        <v>6712</v>
      </c>
      <c r="C5474" s="1341" t="s">
        <v>6216</v>
      </c>
      <c r="D5474" s="1310">
        <v>666.24444600000004</v>
      </c>
    </row>
    <row r="5475" spans="2:4" x14ac:dyDescent="0.2">
      <c r="B5475" s="1341">
        <v>6713</v>
      </c>
      <c r="C5475" s="1341" t="s">
        <v>3775</v>
      </c>
      <c r="D5475" s="1310">
        <v>699.18000500000005</v>
      </c>
    </row>
    <row r="5476" spans="2:4" x14ac:dyDescent="0.2">
      <c r="B5476" s="1341">
        <v>6714</v>
      </c>
      <c r="C5476" s="1341" t="s">
        <v>6217</v>
      </c>
      <c r="D5476" s="1310">
        <v>678.95001200000002</v>
      </c>
    </row>
    <row r="5477" spans="2:4" x14ac:dyDescent="0.2">
      <c r="B5477" s="1341">
        <v>6715</v>
      </c>
      <c r="C5477" s="1341" t="s">
        <v>6218</v>
      </c>
      <c r="D5477" s="1310">
        <v>639.66665599999999</v>
      </c>
    </row>
    <row r="5478" spans="2:4" x14ac:dyDescent="0.2">
      <c r="B5478" s="1341">
        <v>6716</v>
      </c>
      <c r="C5478" s="1341" t="s">
        <v>6219</v>
      </c>
      <c r="D5478" s="1310">
        <v>643.21667000000002</v>
      </c>
    </row>
    <row r="5479" spans="2:4" x14ac:dyDescent="0.2">
      <c r="B5479" s="1341">
        <v>6717</v>
      </c>
      <c r="C5479" s="1341" t="s">
        <v>6220</v>
      </c>
      <c r="D5479" s="1310">
        <v>617.44999199999995</v>
      </c>
    </row>
    <row r="5480" spans="2:4" x14ac:dyDescent="0.2">
      <c r="B5480" s="1341">
        <v>6718</v>
      </c>
      <c r="C5480" s="1341" t="s">
        <v>3796</v>
      </c>
      <c r="D5480" s="1310">
        <v>622.95999800000004</v>
      </c>
    </row>
    <row r="5481" spans="2:4" x14ac:dyDescent="0.2">
      <c r="B5481" s="1341">
        <v>6719</v>
      </c>
      <c r="C5481" s="1341" t="s">
        <v>6221</v>
      </c>
      <c r="D5481" s="1310">
        <v>644.70832800000005</v>
      </c>
    </row>
    <row r="5482" spans="2:4" x14ac:dyDescent="0.2">
      <c r="B5482" s="1341">
        <v>6720</v>
      </c>
      <c r="C5482" s="1341" t="s">
        <v>6222</v>
      </c>
      <c r="D5482" s="1310">
        <v>669.58000500000003</v>
      </c>
    </row>
    <row r="5483" spans="2:4" x14ac:dyDescent="0.2">
      <c r="B5483" s="1341">
        <v>6721</v>
      </c>
      <c r="C5483" s="1341" t="s">
        <v>6223</v>
      </c>
      <c r="D5483" s="1310">
        <v>641.77692100000002</v>
      </c>
    </row>
    <row r="5484" spans="2:4" x14ac:dyDescent="0.2">
      <c r="B5484" s="1341">
        <v>6722</v>
      </c>
      <c r="C5484" s="1341" t="s">
        <v>6224</v>
      </c>
      <c r="D5484" s="1310">
        <v>607.14284799999996</v>
      </c>
    </row>
    <row r="5485" spans="2:4" x14ac:dyDescent="0.2">
      <c r="B5485" s="1341">
        <v>6723</v>
      </c>
      <c r="C5485" s="1341" t="s">
        <v>6225</v>
      </c>
      <c r="D5485" s="1310">
        <v>603.91428900000005</v>
      </c>
    </row>
    <row r="5486" spans="2:4" x14ac:dyDescent="0.2">
      <c r="B5486" s="1341">
        <v>6724</v>
      </c>
      <c r="C5486" s="1341" t="s">
        <v>2214</v>
      </c>
      <c r="D5486" s="1310">
        <v>609.37500799999998</v>
      </c>
    </row>
    <row r="5487" spans="2:4" x14ac:dyDescent="0.2">
      <c r="B5487" s="1341">
        <v>6725</v>
      </c>
      <c r="C5487" s="1341" t="s">
        <v>6226</v>
      </c>
      <c r="D5487" s="1310">
        <v>698.93332899999996</v>
      </c>
    </row>
    <row r="5488" spans="2:4" x14ac:dyDescent="0.2">
      <c r="B5488" s="1341">
        <v>6726</v>
      </c>
      <c r="C5488" s="1341" t="s">
        <v>6227</v>
      </c>
      <c r="D5488" s="1310">
        <v>672.05556200000001</v>
      </c>
    </row>
    <row r="5489" spans="2:4" x14ac:dyDescent="0.2">
      <c r="B5489" s="1341">
        <v>6727</v>
      </c>
      <c r="C5489" s="1341" t="s">
        <v>6228</v>
      </c>
      <c r="D5489" s="1310">
        <v>661.41427999999996</v>
      </c>
    </row>
    <row r="5490" spans="2:4" x14ac:dyDescent="0.2">
      <c r="B5490" s="1341">
        <v>6728</v>
      </c>
      <c r="C5490" s="1341" t="s">
        <v>6229</v>
      </c>
      <c r="D5490" s="1310">
        <v>639.28571399999998</v>
      </c>
    </row>
    <row r="5491" spans="2:4" x14ac:dyDescent="0.2">
      <c r="B5491" s="1341">
        <v>6729</v>
      </c>
      <c r="C5491" s="1341" t="s">
        <v>6230</v>
      </c>
      <c r="D5491" s="1310">
        <v>652.73332700000003</v>
      </c>
    </row>
    <row r="5492" spans="2:4" x14ac:dyDescent="0.2">
      <c r="B5492" s="1341">
        <v>6730</v>
      </c>
      <c r="C5492" s="1341" t="s">
        <v>6231</v>
      </c>
      <c r="D5492" s="1310">
        <v>632.41999499999997</v>
      </c>
    </row>
    <row r="5493" spans="2:4" x14ac:dyDescent="0.2">
      <c r="B5493" s="1341">
        <v>6731</v>
      </c>
      <c r="C5493" s="1341" t="s">
        <v>6232</v>
      </c>
      <c r="D5493" s="1310">
        <v>626.67500299999995</v>
      </c>
    </row>
    <row r="5494" spans="2:4" x14ac:dyDescent="0.2">
      <c r="B5494" s="1341">
        <v>6732</v>
      </c>
      <c r="C5494" s="1341" t="s">
        <v>6233</v>
      </c>
      <c r="D5494" s="1310">
        <v>618.74284999999998</v>
      </c>
    </row>
    <row r="5495" spans="2:4" x14ac:dyDescent="0.2">
      <c r="B5495" s="1341">
        <v>6733</v>
      </c>
      <c r="C5495" s="1341" t="s">
        <v>6234</v>
      </c>
      <c r="D5495" s="1310">
        <v>615.26667299999997</v>
      </c>
    </row>
    <row r="5496" spans="2:4" x14ac:dyDescent="0.2">
      <c r="B5496" s="1341">
        <v>6734</v>
      </c>
      <c r="C5496" s="1341" t="s">
        <v>6235</v>
      </c>
      <c r="D5496" s="1310">
        <v>608.88000499999998</v>
      </c>
    </row>
    <row r="5497" spans="2:4" x14ac:dyDescent="0.2">
      <c r="B5497" s="1341">
        <v>6735</v>
      </c>
      <c r="C5497" s="1341" t="s">
        <v>6236</v>
      </c>
      <c r="D5497" s="1310">
        <v>609.97999900000002</v>
      </c>
    </row>
    <row r="5498" spans="2:4" x14ac:dyDescent="0.2">
      <c r="B5498" s="1341">
        <v>6736</v>
      </c>
      <c r="C5498" s="1341" t="s">
        <v>6237</v>
      </c>
      <c r="D5498" s="1310">
        <v>613.62000699999999</v>
      </c>
    </row>
    <row r="5499" spans="2:4" x14ac:dyDescent="0.2">
      <c r="B5499" s="1341">
        <v>6737</v>
      </c>
      <c r="C5499" s="1341" t="s">
        <v>6238</v>
      </c>
      <c r="D5499" s="1310">
        <v>608.16923199999997</v>
      </c>
    </row>
    <row r="5500" spans="2:4" x14ac:dyDescent="0.2">
      <c r="B5500" s="1341">
        <v>6738</v>
      </c>
      <c r="C5500" s="1341" t="s">
        <v>6239</v>
      </c>
      <c r="D5500" s="1310">
        <v>624.17999299999997</v>
      </c>
    </row>
    <row r="5501" spans="2:4" x14ac:dyDescent="0.2">
      <c r="B5501" s="1341">
        <v>6739</v>
      </c>
      <c r="C5501" s="1341" t="s">
        <v>6240</v>
      </c>
      <c r="D5501" s="1310">
        <v>624.39998400000002</v>
      </c>
    </row>
    <row r="5502" spans="2:4" x14ac:dyDescent="0.2">
      <c r="B5502" s="1341">
        <v>6740</v>
      </c>
      <c r="C5502" s="1341" t="s">
        <v>6241</v>
      </c>
      <c r="D5502" s="1310">
        <v>651.32499700000005</v>
      </c>
    </row>
    <row r="5503" spans="2:4" x14ac:dyDescent="0.2">
      <c r="B5503" s="1341">
        <v>6741</v>
      </c>
      <c r="C5503" s="1341" t="s">
        <v>6242</v>
      </c>
      <c r="D5503" s="1310">
        <v>642.04998799999998</v>
      </c>
    </row>
    <row r="5504" spans="2:4" x14ac:dyDescent="0.2">
      <c r="B5504" s="1341">
        <v>6742</v>
      </c>
      <c r="C5504" s="1341" t="s">
        <v>6243</v>
      </c>
      <c r="D5504" s="1310">
        <v>621.94286199999999</v>
      </c>
    </row>
    <row r="5505" spans="2:4" x14ac:dyDescent="0.2">
      <c r="B5505" s="1341">
        <v>6743</v>
      </c>
      <c r="C5505" s="1341" t="s">
        <v>6244</v>
      </c>
      <c r="D5505" s="1310">
        <v>648.259998</v>
      </c>
    </row>
    <row r="5506" spans="2:4" x14ac:dyDescent="0.2">
      <c r="B5506" s="1341">
        <v>6744</v>
      </c>
      <c r="C5506" s="1341" t="s">
        <v>6245</v>
      </c>
      <c r="D5506" s="1310">
        <v>596.20000200000004</v>
      </c>
    </row>
    <row r="5507" spans="2:4" x14ac:dyDescent="0.2">
      <c r="B5507" s="1341">
        <v>6745</v>
      </c>
      <c r="C5507" s="1341" t="s">
        <v>1860</v>
      </c>
      <c r="D5507" s="1310">
        <v>601.89999699999998</v>
      </c>
    </row>
    <row r="5508" spans="2:4" x14ac:dyDescent="0.2">
      <c r="B5508" s="1341">
        <v>6746</v>
      </c>
      <c r="C5508" s="1341" t="s">
        <v>6246</v>
      </c>
      <c r="D5508" s="1310">
        <v>606.66666699999996</v>
      </c>
    </row>
    <row r="5509" spans="2:4" x14ac:dyDescent="0.2">
      <c r="B5509" s="1341">
        <v>6747</v>
      </c>
      <c r="C5509" s="1341" t="s">
        <v>6247</v>
      </c>
      <c r="D5509" s="1310">
        <v>609.44667600000002</v>
      </c>
    </row>
    <row r="5510" spans="2:4" x14ac:dyDescent="0.2">
      <c r="B5510" s="1341">
        <v>6748</v>
      </c>
      <c r="C5510" s="1341" t="s">
        <v>6248</v>
      </c>
      <c r="D5510" s="1310">
        <v>620.15001700000005</v>
      </c>
    </row>
    <row r="5511" spans="2:4" x14ac:dyDescent="0.2">
      <c r="B5511" s="1341">
        <v>6749</v>
      </c>
      <c r="C5511" s="1341" t="s">
        <v>6249</v>
      </c>
      <c r="D5511" s="1310">
        <v>604.03998999999999</v>
      </c>
    </row>
    <row r="5512" spans="2:4" x14ac:dyDescent="0.2">
      <c r="B5512" s="1341">
        <v>6750</v>
      </c>
      <c r="C5512" s="1341" t="s">
        <v>6250</v>
      </c>
      <c r="D5512" s="1310">
        <v>602.84999100000005</v>
      </c>
    </row>
    <row r="5513" spans="2:4" x14ac:dyDescent="0.2">
      <c r="B5513" s="1341">
        <v>6751</v>
      </c>
      <c r="C5513" s="1341" t="s">
        <v>6251</v>
      </c>
      <c r="D5513" s="1310">
        <v>592.79999999999995</v>
      </c>
    </row>
    <row r="5514" spans="2:4" x14ac:dyDescent="0.2">
      <c r="B5514" s="1341">
        <v>6752</v>
      </c>
      <c r="C5514" s="1341" t="s">
        <v>6252</v>
      </c>
      <c r="D5514" s="1310">
        <v>618.17500299999995</v>
      </c>
    </row>
    <row r="5515" spans="2:4" x14ac:dyDescent="0.2">
      <c r="B5515" s="1341">
        <v>6753</v>
      </c>
      <c r="C5515" s="1341" t="s">
        <v>6253</v>
      </c>
      <c r="D5515" s="1310">
        <v>704.33750899999995</v>
      </c>
    </row>
    <row r="5516" spans="2:4" x14ac:dyDescent="0.2">
      <c r="B5516" s="1341">
        <v>6754</v>
      </c>
      <c r="C5516" s="1341" t="s">
        <v>6254</v>
      </c>
      <c r="D5516" s="1310">
        <v>658.23332700000003</v>
      </c>
    </row>
    <row r="5517" spans="2:4" x14ac:dyDescent="0.2">
      <c r="B5517" s="1341">
        <v>6755</v>
      </c>
      <c r="C5517" s="1341" t="s">
        <v>6255</v>
      </c>
      <c r="D5517" s="1310">
        <v>728.45001200000002</v>
      </c>
    </row>
    <row r="5518" spans="2:4" x14ac:dyDescent="0.2">
      <c r="B5518" s="1341">
        <v>6756</v>
      </c>
      <c r="C5518" s="1341" t="s">
        <v>6256</v>
      </c>
      <c r="D5518" s="1310">
        <v>641.80001800000002</v>
      </c>
    </row>
    <row r="5519" spans="2:4" x14ac:dyDescent="0.2">
      <c r="B5519" s="1341">
        <v>6757</v>
      </c>
      <c r="C5519" s="1341" t="s">
        <v>6257</v>
      </c>
      <c r="D5519" s="1310">
        <v>633.87778000000003</v>
      </c>
    </row>
    <row r="5520" spans="2:4" x14ac:dyDescent="0.2">
      <c r="B5520" s="1341">
        <v>6758</v>
      </c>
      <c r="C5520" s="1341" t="s">
        <v>6258</v>
      </c>
      <c r="D5520" s="1310">
        <v>639.22000700000001</v>
      </c>
    </row>
    <row r="5521" spans="2:4" x14ac:dyDescent="0.2">
      <c r="B5521" s="1341">
        <v>6759</v>
      </c>
      <c r="C5521" s="1341" t="s">
        <v>6259</v>
      </c>
      <c r="D5521" s="1310">
        <v>648.01110200000005</v>
      </c>
    </row>
    <row r="5522" spans="2:4" x14ac:dyDescent="0.2">
      <c r="B5522" s="1341">
        <v>6760</v>
      </c>
      <c r="C5522" s="1341" t="s">
        <v>6260</v>
      </c>
      <c r="D5522" s="1310">
        <v>645.51250500000003</v>
      </c>
    </row>
    <row r="5523" spans="2:4" x14ac:dyDescent="0.2">
      <c r="B5523" s="1341">
        <v>6761</v>
      </c>
      <c r="C5523" s="1341" t="s">
        <v>6261</v>
      </c>
      <c r="D5523" s="1310">
        <v>701.771432</v>
      </c>
    </row>
    <row r="5524" spans="2:4" x14ac:dyDescent="0.2">
      <c r="B5524" s="1341">
        <v>6762</v>
      </c>
      <c r="C5524" s="1341" t="s">
        <v>6262</v>
      </c>
      <c r="D5524" s="1310">
        <v>660.35554999999999</v>
      </c>
    </row>
    <row r="5525" spans="2:4" x14ac:dyDescent="0.2">
      <c r="B5525" s="1341">
        <v>6763</v>
      </c>
      <c r="C5525" s="1341" t="s">
        <v>6263</v>
      </c>
      <c r="D5525" s="1310">
        <v>719.16153699999995</v>
      </c>
    </row>
    <row r="5526" spans="2:4" x14ac:dyDescent="0.2">
      <c r="B5526" s="1341">
        <v>6764</v>
      </c>
      <c r="C5526" s="1341" t="s">
        <v>5218</v>
      </c>
      <c r="D5526" s="1310">
        <v>691.5</v>
      </c>
    </row>
    <row r="5527" spans="2:4" x14ac:dyDescent="0.2">
      <c r="B5527" s="1341">
        <v>6765</v>
      </c>
      <c r="C5527" s="1341" t="s">
        <v>6264</v>
      </c>
      <c r="D5527" s="1310">
        <v>697.64444300000002</v>
      </c>
    </row>
    <row r="5528" spans="2:4" x14ac:dyDescent="0.2">
      <c r="B5528" s="1341">
        <v>6766</v>
      </c>
      <c r="C5528" s="1341" t="s">
        <v>6265</v>
      </c>
      <c r="D5528" s="1310">
        <v>687.84999800000003</v>
      </c>
    </row>
    <row r="5529" spans="2:4" x14ac:dyDescent="0.2">
      <c r="B5529" s="1341">
        <v>6767</v>
      </c>
      <c r="C5529" s="1341" t="s">
        <v>6266</v>
      </c>
      <c r="D5529" s="1310">
        <v>680.30001800000002</v>
      </c>
    </row>
    <row r="5530" spans="2:4" x14ac:dyDescent="0.2">
      <c r="B5530" s="1341">
        <v>6768</v>
      </c>
      <c r="C5530" s="1341" t="s">
        <v>6267</v>
      </c>
      <c r="D5530" s="1310">
        <v>693.17273499999999</v>
      </c>
    </row>
    <row r="5531" spans="2:4" x14ac:dyDescent="0.2">
      <c r="B5531" s="1341">
        <v>6769</v>
      </c>
      <c r="C5531" s="1341" t="s">
        <v>6268</v>
      </c>
      <c r="D5531" s="1310">
        <v>670.80000800000005</v>
      </c>
    </row>
    <row r="5532" spans="2:4" x14ac:dyDescent="0.2">
      <c r="B5532" s="1341">
        <v>6770</v>
      </c>
      <c r="C5532" s="1341" t="s">
        <v>6269</v>
      </c>
      <c r="D5532" s="1310">
        <v>690.98001699999998</v>
      </c>
    </row>
    <row r="5533" spans="2:4" x14ac:dyDescent="0.2">
      <c r="B5533" s="1341">
        <v>6771</v>
      </c>
      <c r="C5533" s="1341" t="s">
        <v>6270</v>
      </c>
      <c r="D5533" s="1310">
        <v>688.92000700000006</v>
      </c>
    </row>
    <row r="5534" spans="2:4" x14ac:dyDescent="0.2">
      <c r="B5534" s="1341">
        <v>6772</v>
      </c>
      <c r="C5534" s="1341" t="s">
        <v>1776</v>
      </c>
      <c r="D5534" s="1310">
        <v>688.06666099999995</v>
      </c>
    </row>
    <row r="5535" spans="2:4" x14ac:dyDescent="0.2">
      <c r="B5535" s="1341">
        <v>6773</v>
      </c>
      <c r="C5535" s="1341" t="s">
        <v>6271</v>
      </c>
      <c r="D5535" s="1310">
        <v>627.08749399999999</v>
      </c>
    </row>
    <row r="5536" spans="2:4" x14ac:dyDescent="0.2">
      <c r="B5536" s="1341">
        <v>6774</v>
      </c>
      <c r="C5536" s="1341" t="s">
        <v>6272</v>
      </c>
      <c r="D5536" s="1310">
        <v>656.18695100000002</v>
      </c>
    </row>
    <row r="5537" spans="2:4" x14ac:dyDescent="0.2">
      <c r="B5537" s="1341">
        <v>6775</v>
      </c>
      <c r="C5537" s="1341" t="s">
        <v>6273</v>
      </c>
      <c r="D5537" s="1310">
        <v>657.08889399999998</v>
      </c>
    </row>
    <row r="5538" spans="2:4" x14ac:dyDescent="0.2">
      <c r="B5538" s="1341">
        <v>6776</v>
      </c>
      <c r="C5538" s="1341" t="s">
        <v>6274</v>
      </c>
      <c r="D5538" s="1310">
        <v>631.65454699999998</v>
      </c>
    </row>
    <row r="5539" spans="2:4" x14ac:dyDescent="0.2">
      <c r="B5539" s="1341">
        <v>6801</v>
      </c>
      <c r="C5539" s="1341" t="s">
        <v>6275</v>
      </c>
      <c r="D5539" s="1310">
        <v>687.37999300000001</v>
      </c>
    </row>
    <row r="5540" spans="2:4" x14ac:dyDescent="0.2">
      <c r="B5540" s="1341">
        <v>6802</v>
      </c>
      <c r="C5540" s="1341" t="s">
        <v>4115</v>
      </c>
      <c r="D5540" s="1310">
        <v>677.35000600000001</v>
      </c>
    </row>
    <row r="5541" spans="2:4" x14ac:dyDescent="0.2">
      <c r="B5541" s="1341">
        <v>6803</v>
      </c>
      <c r="C5541" s="1341" t="s">
        <v>6276</v>
      </c>
      <c r="D5541" s="1310">
        <v>661.83333300000004</v>
      </c>
    </row>
    <row r="5542" spans="2:4" x14ac:dyDescent="0.2">
      <c r="B5542" s="1341">
        <v>6804</v>
      </c>
      <c r="C5542" s="1341" t="s">
        <v>6277</v>
      </c>
      <c r="D5542" s="1310">
        <v>662.5</v>
      </c>
    </row>
    <row r="5543" spans="2:4" x14ac:dyDescent="0.2">
      <c r="B5543" s="1341">
        <v>6805</v>
      </c>
      <c r="C5543" s="1341" t="s">
        <v>6278</v>
      </c>
      <c r="D5543" s="1310">
        <v>633.60001599999998</v>
      </c>
    </row>
    <row r="5544" spans="2:4" x14ac:dyDescent="0.2">
      <c r="B5544" s="1341">
        <v>6806</v>
      </c>
      <c r="C5544" s="1341" t="s">
        <v>6279</v>
      </c>
      <c r="D5544" s="1310">
        <v>655.24001499999997</v>
      </c>
    </row>
    <row r="5545" spans="2:4" x14ac:dyDescent="0.2">
      <c r="B5545" s="1341">
        <v>6807</v>
      </c>
      <c r="C5545" s="1341" t="s">
        <v>6280</v>
      </c>
      <c r="D5545" s="1310">
        <v>639.33333300000004</v>
      </c>
    </row>
    <row r="5546" spans="2:4" x14ac:dyDescent="0.2">
      <c r="B5546" s="1341">
        <v>6808</v>
      </c>
      <c r="C5546" s="1341" t="s">
        <v>6281</v>
      </c>
      <c r="D5546" s="1310">
        <v>686.5</v>
      </c>
    </row>
    <row r="5547" spans="2:4" x14ac:dyDescent="0.2">
      <c r="B5547" s="1341">
        <v>6809</v>
      </c>
      <c r="C5547" s="1341" t="s">
        <v>6282</v>
      </c>
      <c r="D5547" s="1310">
        <v>678.79998799999998</v>
      </c>
    </row>
    <row r="5548" spans="2:4" x14ac:dyDescent="0.2">
      <c r="B5548" s="1341">
        <v>6810</v>
      </c>
      <c r="C5548" s="1341" t="s">
        <v>6283</v>
      </c>
      <c r="D5548" s="1310">
        <v>706.30000800000005</v>
      </c>
    </row>
    <row r="5549" spans="2:4" x14ac:dyDescent="0.2">
      <c r="B5549" s="1341">
        <v>6811</v>
      </c>
      <c r="C5549" s="1341" t="s">
        <v>6284</v>
      </c>
      <c r="D5549" s="1310">
        <v>696.56667100000004</v>
      </c>
    </row>
    <row r="5550" spans="2:4" x14ac:dyDescent="0.2">
      <c r="B5550" s="1341">
        <v>6812</v>
      </c>
      <c r="C5550" s="1341" t="s">
        <v>6285</v>
      </c>
      <c r="D5550" s="1310">
        <v>668.12498500000004</v>
      </c>
    </row>
    <row r="5551" spans="2:4" x14ac:dyDescent="0.2">
      <c r="B5551" s="1341">
        <v>6813</v>
      </c>
      <c r="C5551" s="1341" t="s">
        <v>6286</v>
      </c>
      <c r="D5551" s="1310">
        <v>635.76666299999999</v>
      </c>
    </row>
    <row r="5552" spans="2:4" x14ac:dyDescent="0.2">
      <c r="B5552" s="1341">
        <v>6814</v>
      </c>
      <c r="C5552" s="1341" t="s">
        <v>6287</v>
      </c>
      <c r="D5552" s="1310">
        <v>638.21999500000004</v>
      </c>
    </row>
    <row r="5553" spans="2:4" x14ac:dyDescent="0.2">
      <c r="B5553" s="1341">
        <v>6815</v>
      </c>
      <c r="C5553" s="1341" t="s">
        <v>6288</v>
      </c>
      <c r="D5553" s="1310">
        <v>617.28572299999996</v>
      </c>
    </row>
    <row r="5554" spans="2:4" x14ac:dyDescent="0.2">
      <c r="B5554" s="1341">
        <v>6816</v>
      </c>
      <c r="C5554" s="1341" t="s">
        <v>6289</v>
      </c>
      <c r="D5554" s="1310">
        <v>675.54285500000003</v>
      </c>
    </row>
    <row r="5555" spans="2:4" x14ac:dyDescent="0.2">
      <c r="B5555" s="1341">
        <v>6817</v>
      </c>
      <c r="C5555" s="1341" t="s">
        <v>6290</v>
      </c>
      <c r="D5555" s="1310">
        <v>603.29998799999998</v>
      </c>
    </row>
    <row r="5556" spans="2:4" x14ac:dyDescent="0.2">
      <c r="B5556" s="1341">
        <v>6818</v>
      </c>
      <c r="C5556" s="1341" t="s">
        <v>6291</v>
      </c>
      <c r="D5556" s="1310">
        <v>599.58000500000003</v>
      </c>
    </row>
    <row r="5557" spans="2:4" x14ac:dyDescent="0.2">
      <c r="B5557" s="1341">
        <v>6819</v>
      </c>
      <c r="C5557" s="1341" t="s">
        <v>6292</v>
      </c>
      <c r="D5557" s="1310">
        <v>682.27000699999996</v>
      </c>
    </row>
    <row r="5558" spans="2:4" x14ac:dyDescent="0.2">
      <c r="B5558" s="1341">
        <v>6820</v>
      </c>
      <c r="C5558" s="1341" t="s">
        <v>6293</v>
      </c>
      <c r="D5558" s="1310">
        <v>665.20000100000004</v>
      </c>
    </row>
    <row r="5559" spans="2:4" x14ac:dyDescent="0.2">
      <c r="B5559" s="1341">
        <v>6821</v>
      </c>
      <c r="C5559" s="1341" t="s">
        <v>6294</v>
      </c>
      <c r="D5559" s="1310">
        <v>630.06667100000004</v>
      </c>
    </row>
    <row r="5560" spans="2:4" x14ac:dyDescent="0.2">
      <c r="B5560" s="1341">
        <v>6822</v>
      </c>
      <c r="C5560" s="1341" t="s">
        <v>6295</v>
      </c>
      <c r="D5560" s="1310">
        <v>660.47499100000005</v>
      </c>
    </row>
    <row r="5561" spans="2:4" x14ac:dyDescent="0.2">
      <c r="B5561" s="1341">
        <v>6823</v>
      </c>
      <c r="C5561" s="1341" t="s">
        <v>6296</v>
      </c>
      <c r="D5561" s="1310">
        <v>662.95000200000004</v>
      </c>
    </row>
    <row r="5562" spans="2:4" x14ac:dyDescent="0.2">
      <c r="B5562" s="1341">
        <v>6824</v>
      </c>
      <c r="C5562" s="1341" t="s">
        <v>6297</v>
      </c>
      <c r="D5562" s="1310">
        <v>666.20555999999999</v>
      </c>
    </row>
    <row r="5563" spans="2:4" x14ac:dyDescent="0.2">
      <c r="B5563" s="1341">
        <v>6825</v>
      </c>
      <c r="C5563" s="1341" t="s">
        <v>6298</v>
      </c>
      <c r="D5563" s="1310">
        <v>665.40000899999995</v>
      </c>
    </row>
    <row r="5564" spans="2:4" x14ac:dyDescent="0.2">
      <c r="B5564" s="1341">
        <v>6826</v>
      </c>
      <c r="C5564" s="1341" t="s">
        <v>6299</v>
      </c>
      <c r="D5564" s="1310">
        <v>628.05715499999997</v>
      </c>
    </row>
    <row r="5565" spans="2:4" x14ac:dyDescent="0.2">
      <c r="B5565" s="1341">
        <v>6827</v>
      </c>
      <c r="C5565" s="1341" t="s">
        <v>6300</v>
      </c>
      <c r="D5565" s="1310">
        <v>665.38749700000005</v>
      </c>
    </row>
    <row r="5566" spans="2:4" x14ac:dyDescent="0.2">
      <c r="B5566" s="1341">
        <v>6828</v>
      </c>
      <c r="C5566" s="1341" t="s">
        <v>6301</v>
      </c>
      <c r="D5566" s="1310">
        <v>664.092309</v>
      </c>
    </row>
    <row r="5567" spans="2:4" x14ac:dyDescent="0.2">
      <c r="B5567" s="1341">
        <v>6829</v>
      </c>
      <c r="C5567" s="1341" t="s">
        <v>6302</v>
      </c>
      <c r="D5567" s="1310">
        <v>647.836365</v>
      </c>
    </row>
    <row r="5568" spans="2:4" x14ac:dyDescent="0.2">
      <c r="B5568" s="1341">
        <v>6830</v>
      </c>
      <c r="C5568" s="1341" t="s">
        <v>6303</v>
      </c>
      <c r="D5568" s="1310">
        <v>651.861535</v>
      </c>
    </row>
    <row r="5569" spans="2:4" x14ac:dyDescent="0.2">
      <c r="B5569" s="1341">
        <v>6831</v>
      </c>
      <c r="C5569" s="1341" t="s">
        <v>6304</v>
      </c>
      <c r="D5569" s="1310">
        <v>688.385716</v>
      </c>
    </row>
    <row r="5570" spans="2:4" x14ac:dyDescent="0.2">
      <c r="B5570" s="1341">
        <v>6832</v>
      </c>
      <c r="C5570" s="1341" t="s">
        <v>6305</v>
      </c>
      <c r="D5570" s="1310">
        <v>672.97999900000002</v>
      </c>
    </row>
    <row r="5571" spans="2:4" x14ac:dyDescent="0.2">
      <c r="B5571" s="1341">
        <v>6833</v>
      </c>
      <c r="C5571" s="1341" t="s">
        <v>6306</v>
      </c>
      <c r="D5571" s="1310">
        <v>666.629999</v>
      </c>
    </row>
    <row r="5572" spans="2:4" x14ac:dyDescent="0.2">
      <c r="B5572" s="1341">
        <v>6834</v>
      </c>
      <c r="C5572" s="1341" t="s">
        <v>6307</v>
      </c>
      <c r="D5572" s="1310">
        <v>731.16428499999995</v>
      </c>
    </row>
    <row r="5573" spans="2:4" x14ac:dyDescent="0.2">
      <c r="B5573" s="1341">
        <v>6835</v>
      </c>
      <c r="C5573" s="1341" t="s">
        <v>6308</v>
      </c>
      <c r="D5573" s="1310">
        <v>731.322225</v>
      </c>
    </row>
    <row r="5574" spans="2:4" x14ac:dyDescent="0.2">
      <c r="B5574" s="1341">
        <v>6836</v>
      </c>
      <c r="C5574" s="1341" t="s">
        <v>6309</v>
      </c>
      <c r="D5574" s="1310">
        <v>695.625</v>
      </c>
    </row>
    <row r="5575" spans="2:4" x14ac:dyDescent="0.2">
      <c r="B5575" s="1341">
        <v>6837</v>
      </c>
      <c r="C5575" s="1341" t="s">
        <v>6310</v>
      </c>
      <c r="D5575" s="1310">
        <v>695.16666699999996</v>
      </c>
    </row>
    <row r="5576" spans="2:4" x14ac:dyDescent="0.2">
      <c r="B5576" s="1341">
        <v>6838</v>
      </c>
      <c r="C5576" s="1341" t="s">
        <v>6311</v>
      </c>
      <c r="D5576" s="1310">
        <v>670.76249700000005</v>
      </c>
    </row>
    <row r="5577" spans="2:4" x14ac:dyDescent="0.2">
      <c r="B5577" s="1341">
        <v>6839</v>
      </c>
      <c r="C5577" s="1341" t="s">
        <v>6312</v>
      </c>
      <c r="D5577" s="1310">
        <v>682.24285899999995</v>
      </c>
    </row>
    <row r="5578" spans="2:4" x14ac:dyDescent="0.2">
      <c r="B5578" s="1341">
        <v>6840</v>
      </c>
      <c r="C5578" s="1341" t="s">
        <v>6313</v>
      </c>
      <c r="D5578" s="1310">
        <v>674.85999800000002</v>
      </c>
    </row>
    <row r="5579" spans="2:4" x14ac:dyDescent="0.2">
      <c r="B5579" s="1341">
        <v>6841</v>
      </c>
      <c r="C5579" s="1341" t="s">
        <v>6314</v>
      </c>
      <c r="D5579" s="1310">
        <v>678.05001100000004</v>
      </c>
    </row>
    <row r="5580" spans="2:4" x14ac:dyDescent="0.2">
      <c r="B5580" s="1341">
        <v>6842</v>
      </c>
      <c r="C5580" s="1341" t="s">
        <v>6315</v>
      </c>
      <c r="D5580" s="1310">
        <v>656.51000399999998</v>
      </c>
    </row>
    <row r="5581" spans="2:4" x14ac:dyDescent="0.2">
      <c r="B5581" s="1341">
        <v>6843</v>
      </c>
      <c r="C5581" s="1341" t="s">
        <v>6316</v>
      </c>
      <c r="D5581" s="1310">
        <v>671.5</v>
      </c>
    </row>
    <row r="5582" spans="2:4" x14ac:dyDescent="0.2">
      <c r="B5582" s="1341">
        <v>6844</v>
      </c>
      <c r="C5582" s="1341" t="s">
        <v>6317</v>
      </c>
      <c r="D5582" s="1310">
        <v>650.911112</v>
      </c>
    </row>
    <row r="5583" spans="2:4" x14ac:dyDescent="0.2">
      <c r="B5583" s="1341">
        <v>6845</v>
      </c>
      <c r="C5583" s="1341" t="s">
        <v>6318</v>
      </c>
      <c r="D5583" s="1310">
        <v>659.84665500000006</v>
      </c>
    </row>
    <row r="5584" spans="2:4" x14ac:dyDescent="0.2">
      <c r="B5584" s="1341">
        <v>6846</v>
      </c>
      <c r="C5584" s="1341" t="s">
        <v>6319</v>
      </c>
      <c r="D5584" s="1310">
        <v>662.80769199999997</v>
      </c>
    </row>
    <row r="5585" spans="2:4" x14ac:dyDescent="0.2">
      <c r="B5585" s="1341">
        <v>6847</v>
      </c>
      <c r="C5585" s="1341" t="s">
        <v>6320</v>
      </c>
      <c r="D5585" s="1310">
        <v>659.67498799999998</v>
      </c>
    </row>
    <row r="5586" spans="2:4" x14ac:dyDescent="0.2">
      <c r="B5586" s="1341">
        <v>6848</v>
      </c>
      <c r="C5586" s="1341" t="s">
        <v>6321</v>
      </c>
      <c r="D5586" s="1310">
        <v>687.50000799999998</v>
      </c>
    </row>
    <row r="5587" spans="2:4" x14ac:dyDescent="0.2">
      <c r="B5587" s="1341">
        <v>6849</v>
      </c>
      <c r="C5587" s="1341" t="s">
        <v>6322</v>
      </c>
      <c r="D5587" s="1310">
        <v>676.96362899999997</v>
      </c>
    </row>
    <row r="5588" spans="2:4" x14ac:dyDescent="0.2">
      <c r="B5588" s="1341">
        <v>6850</v>
      </c>
      <c r="C5588" s="1341" t="s">
        <v>6323</v>
      </c>
      <c r="D5588" s="1310">
        <v>688.08332299999995</v>
      </c>
    </row>
    <row r="5589" spans="2:4" x14ac:dyDescent="0.2">
      <c r="B5589" s="1341">
        <v>6851</v>
      </c>
      <c r="C5589" s="1341" t="s">
        <v>6324</v>
      </c>
      <c r="D5589" s="1310">
        <v>693.75</v>
      </c>
    </row>
    <row r="5590" spans="2:4" x14ac:dyDescent="0.2">
      <c r="B5590" s="1341">
        <v>6852</v>
      </c>
      <c r="C5590" s="1341" t="s">
        <v>6325</v>
      </c>
      <c r="D5590" s="1310">
        <v>666.15000199999997</v>
      </c>
    </row>
    <row r="5591" spans="2:4" x14ac:dyDescent="0.2">
      <c r="B5591" s="1341">
        <v>6853</v>
      </c>
      <c r="C5591" s="1341" t="s">
        <v>6326</v>
      </c>
      <c r="D5591" s="1310">
        <v>663.56734400000005</v>
      </c>
    </row>
    <row r="5592" spans="2:4" x14ac:dyDescent="0.2">
      <c r="B5592" s="1341">
        <v>6854</v>
      </c>
      <c r="C5592" s="1341" t="s">
        <v>6327</v>
      </c>
      <c r="D5592" s="1310">
        <v>670.19999199999995</v>
      </c>
    </row>
    <row r="5593" spans="2:4" x14ac:dyDescent="0.2">
      <c r="B5593" s="1341">
        <v>6855</v>
      </c>
      <c r="C5593" s="1341" t="s">
        <v>6328</v>
      </c>
      <c r="D5593" s="1310">
        <v>671.20001200000002</v>
      </c>
    </row>
    <row r="5594" spans="2:4" x14ac:dyDescent="0.2">
      <c r="B5594" s="1341">
        <v>6856</v>
      </c>
      <c r="C5594" s="1341" t="s">
        <v>6329</v>
      </c>
      <c r="D5594" s="1310">
        <v>660.83334400000001</v>
      </c>
    </row>
    <row r="5595" spans="2:4" x14ac:dyDescent="0.2">
      <c r="B5595" s="1341">
        <v>6857</v>
      </c>
      <c r="C5595" s="1341" t="s">
        <v>6330</v>
      </c>
      <c r="D5595" s="1310">
        <v>660.69999700000005</v>
      </c>
    </row>
    <row r="5596" spans="2:4" x14ac:dyDescent="0.2">
      <c r="B5596" s="1341">
        <v>6858</v>
      </c>
      <c r="C5596" s="1341" t="s">
        <v>6331</v>
      </c>
      <c r="D5596" s="1310">
        <v>673.34666700000002</v>
      </c>
    </row>
    <row r="5597" spans="2:4" x14ac:dyDescent="0.2">
      <c r="B5597" s="1341">
        <v>6859</v>
      </c>
      <c r="C5597" s="1341" t="s">
        <v>6332</v>
      </c>
      <c r="D5597" s="1310">
        <v>666.30001800000002</v>
      </c>
    </row>
    <row r="5598" spans="2:4" x14ac:dyDescent="0.2">
      <c r="B5598" s="1341">
        <v>6860</v>
      </c>
      <c r="C5598" s="1341" t="s">
        <v>6333</v>
      </c>
      <c r="D5598" s="1310">
        <v>664.93332899999996</v>
      </c>
    </row>
    <row r="5599" spans="2:4" x14ac:dyDescent="0.2">
      <c r="B5599" s="1341">
        <v>6861</v>
      </c>
      <c r="C5599" s="1341" t="s">
        <v>6334</v>
      </c>
      <c r="D5599" s="1310">
        <v>668.69999700000005</v>
      </c>
    </row>
    <row r="5600" spans="2:4" x14ac:dyDescent="0.2">
      <c r="B5600" s="1341">
        <v>6862</v>
      </c>
      <c r="C5600" s="1341" t="s">
        <v>6335</v>
      </c>
      <c r="D5600" s="1310">
        <v>671.36923000000002</v>
      </c>
    </row>
    <row r="5601" spans="2:4" x14ac:dyDescent="0.2">
      <c r="B5601" s="1341">
        <v>6863</v>
      </c>
      <c r="C5601" s="1341" t="s">
        <v>1290</v>
      </c>
      <c r="D5601" s="1310">
        <v>668.80001200000004</v>
      </c>
    </row>
    <row r="5602" spans="2:4" x14ac:dyDescent="0.2">
      <c r="B5602" s="1341">
        <v>6864</v>
      </c>
      <c r="C5602" s="1341" t="s">
        <v>453</v>
      </c>
      <c r="D5602" s="1310">
        <v>674.89090199999998</v>
      </c>
    </row>
    <row r="5603" spans="2:4" x14ac:dyDescent="0.2">
      <c r="B5603" s="1341">
        <v>6865</v>
      </c>
      <c r="C5603" s="1341" t="s">
        <v>6336</v>
      </c>
      <c r="D5603" s="1310">
        <v>684.33077300000002</v>
      </c>
    </row>
    <row r="5604" spans="2:4" x14ac:dyDescent="0.2">
      <c r="B5604" s="1341">
        <v>6866</v>
      </c>
      <c r="C5604" s="1341" t="s">
        <v>6337</v>
      </c>
      <c r="D5604" s="1310">
        <v>684.43570799999998</v>
      </c>
    </row>
    <row r="5605" spans="2:4" x14ac:dyDescent="0.2">
      <c r="B5605" s="1341">
        <v>6867</v>
      </c>
      <c r="C5605" s="1341" t="s">
        <v>6338</v>
      </c>
      <c r="D5605" s="1310">
        <v>662.07058199999994</v>
      </c>
    </row>
    <row r="5606" spans="2:4" x14ac:dyDescent="0.2">
      <c r="B5606" s="1341">
        <v>6868</v>
      </c>
      <c r="C5606" s="1341" t="s">
        <v>2913</v>
      </c>
      <c r="D5606" s="1310">
        <v>688.44444399999998</v>
      </c>
    </row>
    <row r="5607" spans="2:4" x14ac:dyDescent="0.2">
      <c r="B5607" s="1341">
        <v>6869</v>
      </c>
      <c r="C5607" s="1341" t="s">
        <v>6339</v>
      </c>
      <c r="D5607" s="1310">
        <v>685.07273199999997</v>
      </c>
    </row>
    <row r="5608" spans="2:4" x14ac:dyDescent="0.2">
      <c r="B5608" s="1341">
        <v>6870</v>
      </c>
      <c r="C5608" s="1341" t="s">
        <v>6340</v>
      </c>
      <c r="D5608" s="1310">
        <v>718.16002200000003</v>
      </c>
    </row>
    <row r="5609" spans="2:4" x14ac:dyDescent="0.2">
      <c r="B5609" s="1341">
        <v>6871</v>
      </c>
      <c r="C5609" s="1341" t="s">
        <v>6341</v>
      </c>
      <c r="D5609" s="1310">
        <v>697.82000700000003</v>
      </c>
    </row>
    <row r="5610" spans="2:4" x14ac:dyDescent="0.2">
      <c r="B5610" s="1341">
        <v>6872</v>
      </c>
      <c r="C5610" s="1341" t="s">
        <v>6342</v>
      </c>
      <c r="D5610" s="1310">
        <v>723.93333600000005</v>
      </c>
    </row>
    <row r="5611" spans="2:4" x14ac:dyDescent="0.2">
      <c r="B5611" s="1341">
        <v>6873</v>
      </c>
      <c r="C5611" s="1341" t="s">
        <v>6343</v>
      </c>
      <c r="D5611" s="1310">
        <v>714.56001000000003</v>
      </c>
    </row>
    <row r="5612" spans="2:4" x14ac:dyDescent="0.2">
      <c r="B5612" s="1341">
        <v>6874</v>
      </c>
      <c r="C5612" s="1341" t="s">
        <v>6344</v>
      </c>
      <c r="D5612" s="1310">
        <v>694.83845899999994</v>
      </c>
    </row>
    <row r="5613" spans="2:4" x14ac:dyDescent="0.2">
      <c r="B5613" s="1341">
        <v>6875</v>
      </c>
      <c r="C5613" s="1341" t="s">
        <v>6345</v>
      </c>
      <c r="D5613" s="1310">
        <v>707.71666500000003</v>
      </c>
    </row>
    <row r="5614" spans="2:4" x14ac:dyDescent="0.2">
      <c r="B5614" s="1341">
        <v>6876</v>
      </c>
      <c r="C5614" s="1341" t="s">
        <v>6346</v>
      </c>
      <c r="D5614" s="1310">
        <v>724.96666500000003</v>
      </c>
    </row>
    <row r="5615" spans="2:4" x14ac:dyDescent="0.2">
      <c r="B5615" s="1341">
        <v>6877</v>
      </c>
      <c r="C5615" s="1341" t="s">
        <v>6347</v>
      </c>
      <c r="D5615" s="1310">
        <v>735.32499700000005</v>
      </c>
    </row>
    <row r="5616" spans="2:4" x14ac:dyDescent="0.2">
      <c r="B5616" s="1341">
        <v>6878</v>
      </c>
      <c r="C5616" s="1341" t="s">
        <v>4730</v>
      </c>
      <c r="D5616" s="1310">
        <v>746.90000199999997</v>
      </c>
    </row>
    <row r="5617" spans="2:4" x14ac:dyDescent="0.2">
      <c r="B5617" s="1341">
        <v>6879</v>
      </c>
      <c r="C5617" s="1341" t="s">
        <v>6348</v>
      </c>
      <c r="D5617" s="1310">
        <v>725.77499399999999</v>
      </c>
    </row>
    <row r="5618" spans="2:4" x14ac:dyDescent="0.2">
      <c r="B5618" s="1341">
        <v>6880</v>
      </c>
      <c r="C5618" s="1341" t="s">
        <v>6349</v>
      </c>
      <c r="D5618" s="1310">
        <v>747.77499399999999</v>
      </c>
    </row>
    <row r="5619" spans="2:4" x14ac:dyDescent="0.2">
      <c r="B5619" s="1341">
        <v>6881</v>
      </c>
      <c r="C5619" s="1341" t="s">
        <v>6350</v>
      </c>
      <c r="D5619" s="1310">
        <v>750.14999399999999</v>
      </c>
    </row>
    <row r="5620" spans="2:4" x14ac:dyDescent="0.2">
      <c r="B5620" s="1341">
        <v>6882</v>
      </c>
      <c r="C5620" s="1341" t="s">
        <v>6351</v>
      </c>
      <c r="D5620" s="1310">
        <v>762.25998500000003</v>
      </c>
    </row>
    <row r="5621" spans="2:4" x14ac:dyDescent="0.2">
      <c r="B5621" s="1341">
        <v>6883</v>
      </c>
      <c r="C5621" s="1341" t="s">
        <v>6352</v>
      </c>
      <c r="D5621" s="1310">
        <v>701</v>
      </c>
    </row>
    <row r="5622" spans="2:4" x14ac:dyDescent="0.2">
      <c r="B5622" s="1341">
        <v>6884</v>
      </c>
      <c r="C5622" s="1341" t="s">
        <v>6353</v>
      </c>
      <c r="D5622" s="1310">
        <v>721.57499700000005</v>
      </c>
    </row>
    <row r="5623" spans="2:4" x14ac:dyDescent="0.2">
      <c r="B5623" s="1341">
        <v>6885</v>
      </c>
      <c r="C5623" s="1341" t="s">
        <v>4229</v>
      </c>
      <c r="D5623" s="1310">
        <v>747.78001700000004</v>
      </c>
    </row>
    <row r="5624" spans="2:4" x14ac:dyDescent="0.2">
      <c r="B5624" s="1341">
        <v>6886</v>
      </c>
      <c r="C5624" s="1341" t="s">
        <v>6354</v>
      </c>
      <c r="D5624" s="1310">
        <v>726.31249200000002</v>
      </c>
    </row>
    <row r="5625" spans="2:4" x14ac:dyDescent="0.2">
      <c r="B5625" s="1341">
        <v>6887</v>
      </c>
      <c r="C5625" s="1341" t="s">
        <v>6355</v>
      </c>
      <c r="D5625" s="1310">
        <v>716.96154300000001</v>
      </c>
    </row>
    <row r="5626" spans="2:4" x14ac:dyDescent="0.2">
      <c r="B5626" s="1341">
        <v>6888</v>
      </c>
      <c r="C5626" s="1341" t="s">
        <v>6356</v>
      </c>
      <c r="D5626" s="1310">
        <v>741.42500299999995</v>
      </c>
    </row>
    <row r="5627" spans="2:4" x14ac:dyDescent="0.2">
      <c r="B5627" s="1341">
        <v>6889</v>
      </c>
      <c r="C5627" s="1341" t="s">
        <v>6357</v>
      </c>
      <c r="D5627" s="1310">
        <v>744.78333999999995</v>
      </c>
    </row>
    <row r="5628" spans="2:4" x14ac:dyDescent="0.2">
      <c r="B5628" s="1341">
        <v>6890</v>
      </c>
      <c r="C5628" s="1341" t="s">
        <v>6358</v>
      </c>
      <c r="D5628" s="1310">
        <v>751.05556200000001</v>
      </c>
    </row>
    <row r="5629" spans="2:4" x14ac:dyDescent="0.2">
      <c r="B5629" s="1341">
        <v>6891</v>
      </c>
      <c r="C5629" s="1341" t="s">
        <v>6359</v>
      </c>
      <c r="D5629" s="1310">
        <v>761.27777800000001</v>
      </c>
    </row>
    <row r="5630" spans="2:4" x14ac:dyDescent="0.2">
      <c r="B5630" s="1341">
        <v>6892</v>
      </c>
      <c r="C5630" s="1341" t="s">
        <v>6360</v>
      </c>
      <c r="D5630" s="1310">
        <v>709.93888700000002</v>
      </c>
    </row>
    <row r="5631" spans="2:4" x14ac:dyDescent="0.2">
      <c r="B5631" s="1341">
        <v>6893</v>
      </c>
      <c r="C5631" s="1341" t="s">
        <v>5997</v>
      </c>
      <c r="D5631" s="1310">
        <v>755.70001200000002</v>
      </c>
    </row>
    <row r="5632" spans="2:4" x14ac:dyDescent="0.2">
      <c r="B5632" s="1341">
        <v>6894</v>
      </c>
      <c r="C5632" s="1341" t="s">
        <v>6361</v>
      </c>
      <c r="D5632" s="1310">
        <v>713.70833300000004</v>
      </c>
    </row>
    <row r="5633" spans="2:4" x14ac:dyDescent="0.2">
      <c r="B5633" s="1341">
        <v>6895</v>
      </c>
      <c r="C5633" s="1341" t="s">
        <v>6362</v>
      </c>
      <c r="D5633" s="1310">
        <v>676.60000600000001</v>
      </c>
    </row>
    <row r="5634" spans="2:4" x14ac:dyDescent="0.2">
      <c r="B5634" s="1341">
        <v>6896</v>
      </c>
      <c r="C5634" s="1341" t="s">
        <v>6363</v>
      </c>
      <c r="D5634" s="1310">
        <v>759.56664999999998</v>
      </c>
    </row>
    <row r="5635" spans="2:4" x14ac:dyDescent="0.2">
      <c r="B5635" s="1341">
        <v>6897</v>
      </c>
      <c r="C5635" s="1341" t="s">
        <v>4839</v>
      </c>
      <c r="D5635" s="1310">
        <v>717.52856899999995</v>
      </c>
    </row>
    <row r="5636" spans="2:4" x14ac:dyDescent="0.2">
      <c r="B5636" s="1341">
        <v>6898</v>
      </c>
      <c r="C5636" s="1341" t="s">
        <v>5604</v>
      </c>
      <c r="D5636" s="1310">
        <v>771.96250899999995</v>
      </c>
    </row>
    <row r="5637" spans="2:4" x14ac:dyDescent="0.2">
      <c r="B5637" s="1341">
        <v>6899</v>
      </c>
      <c r="C5637" s="1341" t="s">
        <v>6364</v>
      </c>
      <c r="D5637" s="1310">
        <v>719.89000899999996</v>
      </c>
    </row>
    <row r="5638" spans="2:4" x14ac:dyDescent="0.2">
      <c r="B5638" s="1341">
        <v>6901</v>
      </c>
      <c r="C5638" s="1341" t="s">
        <v>6365</v>
      </c>
      <c r="D5638" s="1310">
        <v>747.53333199999997</v>
      </c>
    </row>
    <row r="5639" spans="2:4" x14ac:dyDescent="0.2">
      <c r="B5639" s="1341">
        <v>6902</v>
      </c>
      <c r="C5639" s="1341" t="s">
        <v>6366</v>
      </c>
      <c r="D5639" s="1310">
        <v>751.70001200000002</v>
      </c>
    </row>
    <row r="5640" spans="2:4" x14ac:dyDescent="0.2">
      <c r="B5640" s="1341">
        <v>6903</v>
      </c>
      <c r="C5640" s="1341" t="s">
        <v>6367</v>
      </c>
      <c r="D5640" s="1310">
        <v>735.12352399999997</v>
      </c>
    </row>
    <row r="5641" spans="2:4" x14ac:dyDescent="0.2">
      <c r="B5641" s="1341">
        <v>6904</v>
      </c>
      <c r="C5641" s="1341" t="s">
        <v>6368</v>
      </c>
      <c r="D5641" s="1310">
        <v>727.28461600000003</v>
      </c>
    </row>
    <row r="5642" spans="2:4" x14ac:dyDescent="0.2">
      <c r="B5642" s="1341">
        <v>6905</v>
      </c>
      <c r="C5642" s="1341" t="s">
        <v>6369</v>
      </c>
      <c r="D5642" s="1310">
        <v>724.78333499999997</v>
      </c>
    </row>
    <row r="5643" spans="2:4" x14ac:dyDescent="0.2">
      <c r="B5643" s="1341">
        <v>6906</v>
      </c>
      <c r="C5643" s="1341" t="s">
        <v>6370</v>
      </c>
      <c r="D5643" s="1310">
        <v>715.12083399999995</v>
      </c>
    </row>
    <row r="5644" spans="2:4" x14ac:dyDescent="0.2">
      <c r="B5644" s="1341">
        <v>6907</v>
      </c>
      <c r="C5644" s="1341" t="s">
        <v>6371</v>
      </c>
      <c r="D5644" s="1310">
        <v>766.01428199999998</v>
      </c>
    </row>
    <row r="5645" spans="2:4" x14ac:dyDescent="0.2">
      <c r="B5645" s="1341">
        <v>6908</v>
      </c>
      <c r="C5645" s="1341" t="s">
        <v>2895</v>
      </c>
      <c r="D5645" s="1310">
        <v>754.5</v>
      </c>
    </row>
    <row r="5646" spans="2:4" x14ac:dyDescent="0.2">
      <c r="B5646" s="1341">
        <v>6909</v>
      </c>
      <c r="C5646" s="1341" t="s">
        <v>6372</v>
      </c>
      <c r="D5646" s="1310">
        <v>786.89999799999998</v>
      </c>
    </row>
    <row r="5647" spans="2:4" x14ac:dyDescent="0.2">
      <c r="B5647" s="1341">
        <v>6910</v>
      </c>
      <c r="C5647" s="1341" t="s">
        <v>6373</v>
      </c>
      <c r="D5647" s="1310">
        <v>771.79000900000005</v>
      </c>
    </row>
    <row r="5648" spans="2:4" x14ac:dyDescent="0.2">
      <c r="B5648" s="1341">
        <v>6911</v>
      </c>
      <c r="C5648" s="1341" t="s">
        <v>6374</v>
      </c>
      <c r="D5648" s="1310">
        <v>752.508331</v>
      </c>
    </row>
    <row r="5649" spans="2:4" x14ac:dyDescent="0.2">
      <c r="B5649" s="1341">
        <v>6912</v>
      </c>
      <c r="C5649" s="1341" t="s">
        <v>6375</v>
      </c>
      <c r="D5649" s="1310">
        <v>795</v>
      </c>
    </row>
    <row r="5650" spans="2:4" x14ac:dyDescent="0.2">
      <c r="B5650" s="1341">
        <v>6913</v>
      </c>
      <c r="C5650" s="1341" t="s">
        <v>6376</v>
      </c>
      <c r="D5650" s="1310">
        <v>798.57500500000003</v>
      </c>
    </row>
    <row r="5651" spans="2:4" x14ac:dyDescent="0.2">
      <c r="B5651" s="1341">
        <v>6914</v>
      </c>
      <c r="C5651" s="1341" t="s">
        <v>6377</v>
      </c>
      <c r="D5651" s="1310">
        <v>724.883331</v>
      </c>
    </row>
    <row r="5652" spans="2:4" x14ac:dyDescent="0.2">
      <c r="B5652" s="1341">
        <v>6915</v>
      </c>
      <c r="C5652" s="1341" t="s">
        <v>6378</v>
      </c>
      <c r="D5652" s="1310">
        <v>791.15000899999995</v>
      </c>
    </row>
    <row r="5653" spans="2:4" x14ac:dyDescent="0.2">
      <c r="B5653" s="1341">
        <v>6916</v>
      </c>
      <c r="C5653" s="1341" t="s">
        <v>6379</v>
      </c>
      <c r="D5653" s="1310">
        <v>823.27000099999998</v>
      </c>
    </row>
    <row r="5654" spans="2:4" x14ac:dyDescent="0.2">
      <c r="B5654" s="1341">
        <v>6917</v>
      </c>
      <c r="C5654" s="1341" t="s">
        <v>6380</v>
      </c>
      <c r="D5654" s="1310">
        <v>805.66154100000006</v>
      </c>
    </row>
    <row r="5655" spans="2:4" x14ac:dyDescent="0.2">
      <c r="B5655" s="1341">
        <v>6918</v>
      </c>
      <c r="C5655" s="1341" t="s">
        <v>6381</v>
      </c>
      <c r="D5655" s="1310">
        <v>815.00001499999996</v>
      </c>
    </row>
    <row r="5656" spans="2:4" x14ac:dyDescent="0.2">
      <c r="B5656" s="1341">
        <v>6919</v>
      </c>
      <c r="C5656" s="1341" t="s">
        <v>6382</v>
      </c>
      <c r="D5656" s="1310">
        <v>802.89999399999999</v>
      </c>
    </row>
    <row r="5657" spans="2:4" x14ac:dyDescent="0.2">
      <c r="B5657" s="1341">
        <v>6920</v>
      </c>
      <c r="C5657" s="1341" t="s">
        <v>6383</v>
      </c>
      <c r="D5657" s="1310">
        <v>758.11248799999998</v>
      </c>
    </row>
    <row r="5658" spans="2:4" x14ac:dyDescent="0.2">
      <c r="B5658" s="1341">
        <v>6921</v>
      </c>
      <c r="C5658" s="1341" t="s">
        <v>6384</v>
      </c>
      <c r="D5658" s="1310">
        <v>760.34615899999994</v>
      </c>
    </row>
    <row r="5659" spans="2:4" x14ac:dyDescent="0.2">
      <c r="B5659" s="1341">
        <v>6922</v>
      </c>
      <c r="C5659" s="1341" t="s">
        <v>6385</v>
      </c>
      <c r="D5659" s="1310">
        <v>739.5</v>
      </c>
    </row>
    <row r="5660" spans="2:4" x14ac:dyDescent="0.2">
      <c r="B5660" s="1341">
        <v>6923</v>
      </c>
      <c r="C5660" s="1341" t="s">
        <v>6386</v>
      </c>
      <c r="D5660" s="1310">
        <v>786.60833200000002</v>
      </c>
    </row>
    <row r="5661" spans="2:4" x14ac:dyDescent="0.2">
      <c r="B5661" s="1341">
        <v>6924</v>
      </c>
      <c r="C5661" s="1341" t="s">
        <v>6387</v>
      </c>
      <c r="D5661" s="1310">
        <v>610.54998799999998</v>
      </c>
    </row>
    <row r="5662" spans="2:4" x14ac:dyDescent="0.2">
      <c r="B5662" s="1341">
        <v>6925</v>
      </c>
      <c r="C5662" s="1341" t="s">
        <v>6388</v>
      </c>
      <c r="D5662" s="1310">
        <v>622.81999499999995</v>
      </c>
    </row>
    <row r="5663" spans="2:4" x14ac:dyDescent="0.2">
      <c r="B5663" s="1341">
        <v>6926</v>
      </c>
      <c r="C5663" s="1341" t="s">
        <v>6389</v>
      </c>
      <c r="D5663" s="1310">
        <v>614.46667500000001</v>
      </c>
    </row>
    <row r="5664" spans="2:4" x14ac:dyDescent="0.2">
      <c r="B5664" s="1341">
        <v>6927</v>
      </c>
      <c r="C5664" s="1341" t="s">
        <v>6390</v>
      </c>
      <c r="D5664" s="1310">
        <v>616.37999300000001</v>
      </c>
    </row>
    <row r="5665" spans="2:4" x14ac:dyDescent="0.2">
      <c r="B5665" s="1341">
        <v>6928</v>
      </c>
      <c r="C5665" s="1341" t="s">
        <v>6391</v>
      </c>
      <c r="D5665" s="1310">
        <v>701.54999799999996</v>
      </c>
    </row>
    <row r="5666" spans="2:4" x14ac:dyDescent="0.2">
      <c r="B5666" s="1341">
        <v>6929</v>
      </c>
      <c r="C5666" s="1341" t="s">
        <v>6392</v>
      </c>
      <c r="D5666" s="1310">
        <v>645.74998500000004</v>
      </c>
    </row>
    <row r="5667" spans="2:4" x14ac:dyDescent="0.2">
      <c r="B5667" s="1341">
        <v>6930</v>
      </c>
      <c r="C5667" s="1341" t="s">
        <v>6393</v>
      </c>
      <c r="D5667" s="1310">
        <v>652.97143600000004</v>
      </c>
    </row>
    <row r="5668" spans="2:4" x14ac:dyDescent="0.2">
      <c r="B5668" s="1341">
        <v>6931</v>
      </c>
      <c r="C5668" s="1341" t="s">
        <v>6394</v>
      </c>
      <c r="D5668" s="1310">
        <v>608.30001800000002</v>
      </c>
    </row>
    <row r="5669" spans="2:4" x14ac:dyDescent="0.2">
      <c r="B5669" s="1341">
        <v>6932</v>
      </c>
      <c r="C5669" s="1341" t="s">
        <v>6395</v>
      </c>
      <c r="D5669" s="1310">
        <v>710.72500600000001</v>
      </c>
    </row>
    <row r="5670" spans="2:4" x14ac:dyDescent="0.2">
      <c r="B5670" s="1341">
        <v>6933</v>
      </c>
      <c r="C5670" s="1341" t="s">
        <v>6396</v>
      </c>
      <c r="D5670" s="1310">
        <v>665.77777100000003</v>
      </c>
    </row>
    <row r="5671" spans="2:4" x14ac:dyDescent="0.2">
      <c r="B5671" s="1341">
        <v>6934</v>
      </c>
      <c r="C5671" s="1341" t="s">
        <v>1898</v>
      </c>
      <c r="D5671" s="1310">
        <v>750.57778599999995</v>
      </c>
    </row>
    <row r="5672" spans="2:4" x14ac:dyDescent="0.2">
      <c r="B5672" s="1341">
        <v>6935</v>
      </c>
      <c r="C5672" s="1341" t="s">
        <v>6397</v>
      </c>
      <c r="D5672" s="1310">
        <v>701.12223300000005</v>
      </c>
    </row>
    <row r="5673" spans="2:4" x14ac:dyDescent="0.2">
      <c r="B5673" s="1341">
        <v>6936</v>
      </c>
      <c r="C5673" s="1341" t="s">
        <v>6398</v>
      </c>
      <c r="D5673" s="1310">
        <v>737.86249499999997</v>
      </c>
    </row>
    <row r="5674" spans="2:4" x14ac:dyDescent="0.2">
      <c r="B5674" s="1341">
        <v>6937</v>
      </c>
      <c r="C5674" s="1341" t="s">
        <v>6399</v>
      </c>
      <c r="D5674" s="1310">
        <v>802</v>
      </c>
    </row>
    <row r="5675" spans="2:4" x14ac:dyDescent="0.2">
      <c r="B5675" s="1341">
        <v>6938</v>
      </c>
      <c r="C5675" s="1341" t="s">
        <v>6400</v>
      </c>
      <c r="D5675" s="1310">
        <v>759.86665900000003</v>
      </c>
    </row>
    <row r="5676" spans="2:4" x14ac:dyDescent="0.2">
      <c r="B5676" s="1341">
        <v>6939</v>
      </c>
      <c r="C5676" s="1341" t="s">
        <v>6401</v>
      </c>
      <c r="D5676" s="1310">
        <v>719.49999000000003</v>
      </c>
    </row>
    <row r="5677" spans="2:4" x14ac:dyDescent="0.2">
      <c r="B5677" s="1341">
        <v>6940</v>
      </c>
      <c r="C5677" s="1341" t="s">
        <v>6402</v>
      </c>
      <c r="D5677" s="1310">
        <v>701.30001800000002</v>
      </c>
    </row>
    <row r="5678" spans="2:4" x14ac:dyDescent="0.2">
      <c r="B5678" s="1341">
        <v>6941</v>
      </c>
      <c r="C5678" s="1341" t="s">
        <v>6403</v>
      </c>
      <c r="D5678" s="1310">
        <v>734.62307999999996</v>
      </c>
    </row>
    <row r="5679" spans="2:4" x14ac:dyDescent="0.2">
      <c r="B5679" s="1341">
        <v>6942</v>
      </c>
      <c r="C5679" s="1341" t="s">
        <v>6404</v>
      </c>
      <c r="D5679" s="1310">
        <v>750.56000400000005</v>
      </c>
    </row>
    <row r="5680" spans="2:4" x14ac:dyDescent="0.2">
      <c r="B5680" s="1341">
        <v>6943</v>
      </c>
      <c r="C5680" s="1341" t="s">
        <v>6405</v>
      </c>
      <c r="D5680" s="1310">
        <v>747.42499499999997</v>
      </c>
    </row>
    <row r="5681" spans="2:4" x14ac:dyDescent="0.2">
      <c r="B5681" s="1341">
        <v>6944</v>
      </c>
      <c r="C5681" s="1341" t="s">
        <v>2892</v>
      </c>
      <c r="D5681" s="1310">
        <v>716.67999299999997</v>
      </c>
    </row>
    <row r="5682" spans="2:4" x14ac:dyDescent="0.2">
      <c r="B5682" s="1341">
        <v>6945</v>
      </c>
      <c r="C5682" s="1341" t="s">
        <v>6406</v>
      </c>
      <c r="D5682" s="1310">
        <v>665.53333199999997</v>
      </c>
    </row>
    <row r="5683" spans="2:4" x14ac:dyDescent="0.2">
      <c r="B5683" s="1341">
        <v>6946</v>
      </c>
      <c r="C5683" s="1341" t="s">
        <v>6407</v>
      </c>
      <c r="D5683" s="1310">
        <v>686.32307300000002</v>
      </c>
    </row>
    <row r="5684" spans="2:4" x14ac:dyDescent="0.2">
      <c r="B5684" s="1341">
        <v>6947</v>
      </c>
      <c r="C5684" s="1341" t="s">
        <v>2793</v>
      </c>
      <c r="D5684" s="1310">
        <v>676.03635999999995</v>
      </c>
    </row>
    <row r="5685" spans="2:4" x14ac:dyDescent="0.2">
      <c r="B5685" s="1341">
        <v>6948</v>
      </c>
      <c r="C5685" s="1341" t="s">
        <v>6408</v>
      </c>
      <c r="D5685" s="1310">
        <v>704.55999799999995</v>
      </c>
    </row>
    <row r="5686" spans="2:4" x14ac:dyDescent="0.2">
      <c r="B5686" s="1341">
        <v>6949</v>
      </c>
      <c r="C5686" s="1341" t="s">
        <v>6409</v>
      </c>
      <c r="D5686" s="1310">
        <v>714.41999499999997</v>
      </c>
    </row>
    <row r="5687" spans="2:4" x14ac:dyDescent="0.2">
      <c r="B5687" s="1341">
        <v>6950</v>
      </c>
      <c r="C5687" s="1341" t="s">
        <v>6410</v>
      </c>
      <c r="D5687" s="1310">
        <v>744.90000999999995</v>
      </c>
    </row>
    <row r="5688" spans="2:4" x14ac:dyDescent="0.2">
      <c r="B5688" s="1341">
        <v>6951</v>
      </c>
      <c r="C5688" s="1341" t="s">
        <v>6411</v>
      </c>
      <c r="D5688" s="1310">
        <v>663.56999499999995</v>
      </c>
    </row>
    <row r="5689" spans="2:4" x14ac:dyDescent="0.2">
      <c r="B5689" s="1341">
        <v>6952</v>
      </c>
      <c r="C5689" s="1341" t="s">
        <v>6412</v>
      </c>
      <c r="D5689" s="1310">
        <v>668.79998799999998</v>
      </c>
    </row>
    <row r="5690" spans="2:4" x14ac:dyDescent="0.2">
      <c r="B5690" s="1341">
        <v>6953</v>
      </c>
      <c r="C5690" s="1341" t="s">
        <v>6413</v>
      </c>
      <c r="D5690" s="1310">
        <v>650.60001599999998</v>
      </c>
    </row>
    <row r="5691" spans="2:4" x14ac:dyDescent="0.2">
      <c r="B5691" s="1341">
        <v>6954</v>
      </c>
      <c r="C5691" s="1341" t="s">
        <v>6414</v>
      </c>
      <c r="D5691" s="1310">
        <v>663.86000999999999</v>
      </c>
    </row>
    <row r="5692" spans="2:4" x14ac:dyDescent="0.2">
      <c r="B5692" s="1341">
        <v>6955</v>
      </c>
      <c r="C5692" s="1341" t="s">
        <v>6415</v>
      </c>
      <c r="D5692" s="1310">
        <v>655.93333900000005</v>
      </c>
    </row>
    <row r="5693" spans="2:4" x14ac:dyDescent="0.2">
      <c r="B5693" s="1341">
        <v>6956</v>
      </c>
      <c r="C5693" s="1341" t="s">
        <v>6416</v>
      </c>
      <c r="D5693" s="1310">
        <v>665.05833399999995</v>
      </c>
    </row>
    <row r="5694" spans="2:4" x14ac:dyDescent="0.2">
      <c r="B5694" s="1341">
        <v>6957</v>
      </c>
      <c r="C5694" s="1341" t="s">
        <v>4402</v>
      </c>
      <c r="D5694" s="1310">
        <v>646.12499200000002</v>
      </c>
    </row>
    <row r="5695" spans="2:4" x14ac:dyDescent="0.2">
      <c r="B5695" s="1341">
        <v>6958</v>
      </c>
      <c r="C5695" s="1341" t="s">
        <v>6417</v>
      </c>
      <c r="D5695" s="1310">
        <v>639.80000399999994</v>
      </c>
    </row>
    <row r="5696" spans="2:4" x14ac:dyDescent="0.2">
      <c r="B5696" s="1341">
        <v>6959</v>
      </c>
      <c r="C5696" s="1341" t="s">
        <v>6418</v>
      </c>
      <c r="D5696" s="1310">
        <v>679.490906</v>
      </c>
    </row>
    <row r="5697" spans="2:4" x14ac:dyDescent="0.2">
      <c r="B5697" s="1341">
        <v>6960</v>
      </c>
      <c r="C5697" s="1341" t="s">
        <v>6419</v>
      </c>
      <c r="D5697" s="1310">
        <v>677.370588</v>
      </c>
    </row>
    <row r="5698" spans="2:4" x14ac:dyDescent="0.2">
      <c r="B5698" s="1341">
        <v>6961</v>
      </c>
      <c r="C5698" s="1341" t="s">
        <v>6420</v>
      </c>
      <c r="D5698" s="1310">
        <v>674.98000500000001</v>
      </c>
    </row>
    <row r="5699" spans="2:4" x14ac:dyDescent="0.2">
      <c r="B5699" s="1341">
        <v>6962</v>
      </c>
      <c r="C5699" s="1341" t="s">
        <v>6421</v>
      </c>
      <c r="D5699" s="1310">
        <v>686.50000699999998</v>
      </c>
    </row>
    <row r="5700" spans="2:4" x14ac:dyDescent="0.2">
      <c r="B5700" s="1341">
        <v>6963</v>
      </c>
      <c r="C5700" s="1341" t="s">
        <v>5513</v>
      </c>
      <c r="D5700" s="1310">
        <v>695.83332800000005</v>
      </c>
    </row>
    <row r="5701" spans="2:4" x14ac:dyDescent="0.2">
      <c r="B5701" s="1341">
        <v>6964</v>
      </c>
      <c r="C5701" s="1341" t="s">
        <v>6422</v>
      </c>
      <c r="D5701" s="1310">
        <v>684.27500199999997</v>
      </c>
    </row>
    <row r="5702" spans="2:4" x14ac:dyDescent="0.2">
      <c r="B5702" s="1341">
        <v>6965</v>
      </c>
      <c r="C5702" s="1341" t="s">
        <v>5539</v>
      </c>
      <c r="D5702" s="1310">
        <v>686.13334099999997</v>
      </c>
    </row>
    <row r="5703" spans="2:4" x14ac:dyDescent="0.2">
      <c r="B5703" s="1341">
        <v>6966</v>
      </c>
      <c r="C5703" s="1341" t="s">
        <v>6423</v>
      </c>
      <c r="D5703" s="1310">
        <v>688.88000499999998</v>
      </c>
    </row>
    <row r="5704" spans="2:4" x14ac:dyDescent="0.2">
      <c r="B5704" s="1341">
        <v>6967</v>
      </c>
      <c r="C5704" s="1341" t="s">
        <v>6424</v>
      </c>
      <c r="D5704" s="1310">
        <v>684.04999399999997</v>
      </c>
    </row>
    <row r="5705" spans="2:4" x14ac:dyDescent="0.2">
      <c r="B5705" s="1341">
        <v>6968</v>
      </c>
      <c r="C5705" s="1341" t="s">
        <v>6425</v>
      </c>
      <c r="D5705" s="1310">
        <v>682.23333700000001</v>
      </c>
    </row>
    <row r="5706" spans="2:4" x14ac:dyDescent="0.2">
      <c r="B5706" s="1341">
        <v>6969</v>
      </c>
      <c r="C5706" s="1341" t="s">
        <v>6426</v>
      </c>
      <c r="D5706" s="1310">
        <v>698.86000999999999</v>
      </c>
    </row>
    <row r="5707" spans="2:4" x14ac:dyDescent="0.2">
      <c r="B5707" s="1341">
        <v>6970</v>
      </c>
      <c r="C5707" s="1341" t="s">
        <v>6427</v>
      </c>
      <c r="D5707" s="1310">
        <v>692.43333900000005</v>
      </c>
    </row>
    <row r="5708" spans="2:4" x14ac:dyDescent="0.2">
      <c r="B5708" s="1341">
        <v>6971</v>
      </c>
      <c r="C5708" s="1341" t="s">
        <v>6428</v>
      </c>
      <c r="D5708" s="1310">
        <v>687.98332700000003</v>
      </c>
    </row>
    <row r="5709" spans="2:4" x14ac:dyDescent="0.2">
      <c r="B5709" s="1341">
        <v>6972</v>
      </c>
      <c r="C5709" s="1341" t="s">
        <v>2514</v>
      </c>
      <c r="D5709" s="1310">
        <v>678.45001200000002</v>
      </c>
    </row>
    <row r="5710" spans="2:4" x14ac:dyDescent="0.2">
      <c r="B5710" s="1341">
        <v>6973</v>
      </c>
      <c r="C5710" s="1341" t="s">
        <v>6429</v>
      </c>
      <c r="D5710" s="1310">
        <v>676.15000899999995</v>
      </c>
    </row>
    <row r="5711" spans="2:4" x14ac:dyDescent="0.2">
      <c r="B5711" s="1341">
        <v>6974</v>
      </c>
      <c r="C5711" s="1341" t="s">
        <v>4839</v>
      </c>
      <c r="D5711" s="1310">
        <v>700.93333900000005</v>
      </c>
    </row>
    <row r="5712" spans="2:4" x14ac:dyDescent="0.2">
      <c r="B5712" s="1341">
        <v>6975</v>
      </c>
      <c r="C5712" s="1341" t="s">
        <v>6430</v>
      </c>
      <c r="D5712" s="1310">
        <v>694.80000800000005</v>
      </c>
    </row>
    <row r="5713" spans="2:4" x14ac:dyDescent="0.2">
      <c r="B5713" s="1341">
        <v>6976</v>
      </c>
      <c r="C5713" s="1341" t="s">
        <v>1760</v>
      </c>
      <c r="D5713" s="1310">
        <v>699.600009</v>
      </c>
    </row>
    <row r="5714" spans="2:4" x14ac:dyDescent="0.2">
      <c r="B5714" s="1341">
        <v>6977</v>
      </c>
      <c r="C5714" s="1341" t="s">
        <v>6431</v>
      </c>
      <c r="D5714" s="1310">
        <v>717.90000399999997</v>
      </c>
    </row>
    <row r="5715" spans="2:4" x14ac:dyDescent="0.2">
      <c r="B5715" s="1341">
        <v>6978</v>
      </c>
      <c r="C5715" s="1341" t="s">
        <v>6432</v>
      </c>
      <c r="D5715" s="1310">
        <v>668.64615100000003</v>
      </c>
    </row>
    <row r="5716" spans="2:4" x14ac:dyDescent="0.2">
      <c r="B5716" s="1341">
        <v>6979</v>
      </c>
      <c r="C5716" s="1341" t="s">
        <v>6433</v>
      </c>
      <c r="D5716" s="1310">
        <v>675.14999399999999</v>
      </c>
    </row>
    <row r="5717" spans="2:4" x14ac:dyDescent="0.2">
      <c r="B5717" s="1341">
        <v>6980</v>
      </c>
      <c r="C5717" s="1341" t="s">
        <v>6434</v>
      </c>
      <c r="D5717" s="1310">
        <v>682.61429299999998</v>
      </c>
    </row>
    <row r="5718" spans="2:4" x14ac:dyDescent="0.2">
      <c r="B5718" s="1341">
        <v>6981</v>
      </c>
      <c r="C5718" s="1341" t="s">
        <v>6435</v>
      </c>
      <c r="D5718" s="1310">
        <v>665.03749800000003</v>
      </c>
    </row>
    <row r="5719" spans="2:4" x14ac:dyDescent="0.2">
      <c r="B5719" s="1341">
        <v>6982</v>
      </c>
      <c r="C5719" s="1341" t="s">
        <v>6436</v>
      </c>
      <c r="D5719" s="1310">
        <v>684.08749399999999</v>
      </c>
    </row>
    <row r="5720" spans="2:4" x14ac:dyDescent="0.2">
      <c r="B5720" s="1341">
        <v>6983</v>
      </c>
      <c r="C5720" s="1341" t="s">
        <v>6437</v>
      </c>
      <c r="D5720" s="1310">
        <v>690.22727299999997</v>
      </c>
    </row>
    <row r="5721" spans="2:4" x14ac:dyDescent="0.2">
      <c r="B5721" s="1341">
        <v>6984</v>
      </c>
      <c r="C5721" s="1341" t="s">
        <v>4173</v>
      </c>
      <c r="D5721" s="1310">
        <v>710.62000699999999</v>
      </c>
    </row>
    <row r="5722" spans="2:4" x14ac:dyDescent="0.2">
      <c r="B5722" s="1341">
        <v>6985</v>
      </c>
      <c r="C5722" s="1341" t="s">
        <v>6438</v>
      </c>
      <c r="D5722" s="1310">
        <v>735.55999799999995</v>
      </c>
    </row>
    <row r="5723" spans="2:4" x14ac:dyDescent="0.2">
      <c r="B5723" s="1341">
        <v>6986</v>
      </c>
      <c r="C5723" s="1341" t="s">
        <v>6439</v>
      </c>
      <c r="D5723" s="1310">
        <v>686.31333400000005</v>
      </c>
    </row>
    <row r="5724" spans="2:4" x14ac:dyDescent="0.2">
      <c r="B5724" s="1341">
        <v>6987</v>
      </c>
      <c r="C5724" s="1341" t="s">
        <v>6440</v>
      </c>
      <c r="D5724" s="1310">
        <v>693.57999299999994</v>
      </c>
    </row>
    <row r="5725" spans="2:4" x14ac:dyDescent="0.2">
      <c r="B5725" s="1341">
        <v>6988</v>
      </c>
      <c r="C5725" s="1341" t="s">
        <v>6441</v>
      </c>
      <c r="D5725" s="1310">
        <v>740.04998799999998</v>
      </c>
    </row>
    <row r="5726" spans="2:4" x14ac:dyDescent="0.2">
      <c r="B5726" s="1341">
        <v>6989</v>
      </c>
      <c r="C5726" s="1341" t="s">
        <v>6442</v>
      </c>
      <c r="D5726" s="1310">
        <v>699.29999699999996</v>
      </c>
    </row>
    <row r="5727" spans="2:4" x14ac:dyDescent="0.2">
      <c r="B5727" s="1341">
        <v>6990</v>
      </c>
      <c r="C5727" s="1341" t="s">
        <v>6443</v>
      </c>
      <c r="D5727" s="1310">
        <v>737.14000199999998</v>
      </c>
    </row>
    <row r="5728" spans="2:4" x14ac:dyDescent="0.2">
      <c r="B5728" s="1341">
        <v>6991</v>
      </c>
      <c r="C5728" s="1341" t="s">
        <v>6444</v>
      </c>
      <c r="D5728" s="1310">
        <v>705.10000300000002</v>
      </c>
    </row>
    <row r="5729" spans="2:4" x14ac:dyDescent="0.2">
      <c r="B5729" s="1341">
        <v>6992</v>
      </c>
      <c r="C5729" s="1341" t="s">
        <v>6445</v>
      </c>
      <c r="D5729" s="1310">
        <v>711.73331700000006</v>
      </c>
    </row>
    <row r="5730" spans="2:4" x14ac:dyDescent="0.2">
      <c r="B5730" s="1341">
        <v>6993</v>
      </c>
      <c r="C5730" s="1341" t="s">
        <v>6446</v>
      </c>
      <c r="D5730" s="1310">
        <v>712.5</v>
      </c>
    </row>
    <row r="5731" spans="2:4" x14ac:dyDescent="0.2">
      <c r="B5731" s="1341">
        <v>6994</v>
      </c>
      <c r="C5731" s="1341" t="s">
        <v>6447</v>
      </c>
      <c r="D5731" s="1310">
        <v>738.1</v>
      </c>
    </row>
    <row r="5732" spans="2:4" x14ac:dyDescent="0.2">
      <c r="B5732" s="1341">
        <v>6995</v>
      </c>
      <c r="C5732" s="1341" t="s">
        <v>2461</v>
      </c>
      <c r="D5732" s="1310">
        <v>746.38570700000002</v>
      </c>
    </row>
    <row r="5733" spans="2:4" x14ac:dyDescent="0.2">
      <c r="B5733" s="1341">
        <v>6996</v>
      </c>
      <c r="C5733" s="1341" t="s">
        <v>6448</v>
      </c>
      <c r="D5733" s="1310">
        <v>694</v>
      </c>
    </row>
    <row r="5734" spans="2:4" x14ac:dyDescent="0.2">
      <c r="B5734" s="1341">
        <v>6997</v>
      </c>
      <c r="C5734" s="1341" t="s">
        <v>6449</v>
      </c>
      <c r="D5734" s="1310">
        <v>751.89999699999998</v>
      </c>
    </row>
    <row r="5735" spans="2:4" x14ac:dyDescent="0.2">
      <c r="B5735" s="1341">
        <v>6998</v>
      </c>
      <c r="C5735" s="1341" t="s">
        <v>6450</v>
      </c>
      <c r="D5735" s="1310">
        <v>703.59999600000003</v>
      </c>
    </row>
    <row r="5736" spans="2:4" x14ac:dyDescent="0.2">
      <c r="B5736" s="1341">
        <v>6999</v>
      </c>
      <c r="C5736" s="1341" t="s">
        <v>6451</v>
      </c>
      <c r="D5736" s="1310">
        <v>707.5</v>
      </c>
    </row>
    <row r="5737" spans="2:4" x14ac:dyDescent="0.2">
      <c r="B5737" s="1341">
        <v>7000</v>
      </c>
      <c r="C5737" s="1341" t="s">
        <v>6452</v>
      </c>
      <c r="D5737" s="1310">
        <v>704.82857000000001</v>
      </c>
    </row>
    <row r="5738" spans="2:4" x14ac:dyDescent="0.2">
      <c r="B5738" s="1341">
        <v>7001</v>
      </c>
      <c r="C5738" s="1341" t="s">
        <v>6453</v>
      </c>
      <c r="D5738" s="1310">
        <v>735.95999800000004</v>
      </c>
    </row>
    <row r="5739" spans="2:4" x14ac:dyDescent="0.2">
      <c r="B5739" s="1341">
        <v>7002</v>
      </c>
      <c r="C5739" s="1341" t="s">
        <v>6454</v>
      </c>
      <c r="D5739" s="1310">
        <v>749.26249700000005</v>
      </c>
    </row>
    <row r="5740" spans="2:4" x14ac:dyDescent="0.2">
      <c r="B5740" s="1341">
        <v>7003</v>
      </c>
      <c r="C5740" s="1341" t="s">
        <v>4374</v>
      </c>
      <c r="D5740" s="1310">
        <v>751.93076699999995</v>
      </c>
    </row>
    <row r="5741" spans="2:4" x14ac:dyDescent="0.2">
      <c r="B5741" s="1341">
        <v>7004</v>
      </c>
      <c r="C5741" s="1341" t="s">
        <v>6455</v>
      </c>
      <c r="D5741" s="1310">
        <v>733.06667100000004</v>
      </c>
    </row>
    <row r="5742" spans="2:4" x14ac:dyDescent="0.2">
      <c r="B5742" s="1341">
        <v>7005</v>
      </c>
      <c r="C5742" s="1341" t="s">
        <v>6456</v>
      </c>
      <c r="D5742" s="1310">
        <v>753.214294</v>
      </c>
    </row>
    <row r="5743" spans="2:4" x14ac:dyDescent="0.2">
      <c r="B5743" s="1341">
        <v>7006</v>
      </c>
      <c r="C5743" s="1341" t="s">
        <v>6457</v>
      </c>
      <c r="D5743" s="1310">
        <v>757.52856399999996</v>
      </c>
    </row>
    <row r="5744" spans="2:4" x14ac:dyDescent="0.2">
      <c r="B5744" s="1341">
        <v>7007</v>
      </c>
      <c r="C5744" s="1341" t="s">
        <v>6458</v>
      </c>
      <c r="D5744" s="1310">
        <v>696.85000600000001</v>
      </c>
    </row>
    <row r="5745" spans="2:4" x14ac:dyDescent="0.2">
      <c r="B5745" s="1341">
        <v>7008</v>
      </c>
      <c r="C5745" s="1341" t="s">
        <v>6459</v>
      </c>
      <c r="D5745" s="1310">
        <v>712.49999400000002</v>
      </c>
    </row>
    <row r="5746" spans="2:4" x14ac:dyDescent="0.2">
      <c r="B5746" s="1341">
        <v>7009</v>
      </c>
      <c r="C5746" s="1341" t="s">
        <v>5984</v>
      </c>
      <c r="D5746" s="1310">
        <v>622.71538399999997</v>
      </c>
    </row>
    <row r="5747" spans="2:4" x14ac:dyDescent="0.2">
      <c r="B5747" s="1341">
        <v>7010</v>
      </c>
      <c r="C5747" s="1341" t="s">
        <v>1776</v>
      </c>
      <c r="D5747" s="1310">
        <v>683.30000600000005</v>
      </c>
    </row>
    <row r="5748" spans="2:4" x14ac:dyDescent="0.2">
      <c r="B5748" s="1341">
        <v>7011</v>
      </c>
      <c r="C5748" s="1341" t="s">
        <v>6460</v>
      </c>
      <c r="D5748" s="1310">
        <v>684.96001000000001</v>
      </c>
    </row>
    <row r="5749" spans="2:4" x14ac:dyDescent="0.2">
      <c r="B5749" s="1341">
        <v>7012</v>
      </c>
      <c r="C5749" s="1341" t="s">
        <v>5795</v>
      </c>
      <c r="D5749" s="1310">
        <v>691.40000199999997</v>
      </c>
    </row>
    <row r="5750" spans="2:4" x14ac:dyDescent="0.2">
      <c r="B5750" s="1341">
        <v>7013</v>
      </c>
      <c r="C5750" s="1341" t="s">
        <v>3775</v>
      </c>
      <c r="D5750" s="1310">
        <v>707.04998799999998</v>
      </c>
    </row>
    <row r="5751" spans="2:4" x14ac:dyDescent="0.2">
      <c r="B5751" s="1341">
        <v>7014</v>
      </c>
      <c r="C5751" s="1341" t="s">
        <v>6461</v>
      </c>
      <c r="D5751" s="1310">
        <v>640.72500600000001</v>
      </c>
    </row>
    <row r="5752" spans="2:4" x14ac:dyDescent="0.2">
      <c r="B5752" s="1341">
        <v>7015</v>
      </c>
      <c r="C5752" s="1341" t="s">
        <v>6462</v>
      </c>
      <c r="D5752" s="1310">
        <v>632.20001200000002</v>
      </c>
    </row>
    <row r="5753" spans="2:4" x14ac:dyDescent="0.2">
      <c r="B5753" s="1341">
        <v>7016</v>
      </c>
      <c r="C5753" s="1341" t="s">
        <v>6463</v>
      </c>
      <c r="D5753" s="1310">
        <v>654.57143699999995</v>
      </c>
    </row>
    <row r="5754" spans="2:4" x14ac:dyDescent="0.2">
      <c r="B5754" s="1341">
        <v>7017</v>
      </c>
      <c r="C5754" s="1341" t="s">
        <v>6464</v>
      </c>
      <c r="D5754" s="1310">
        <v>643.86665900000003</v>
      </c>
    </row>
    <row r="5755" spans="2:4" x14ac:dyDescent="0.2">
      <c r="B5755" s="1341">
        <v>7018</v>
      </c>
      <c r="C5755" s="1341" t="s">
        <v>6465</v>
      </c>
      <c r="D5755" s="1310">
        <v>695.22857699999997</v>
      </c>
    </row>
    <row r="5756" spans="2:4" x14ac:dyDescent="0.2">
      <c r="B5756" s="1341">
        <v>7019</v>
      </c>
      <c r="C5756" s="1341" t="s">
        <v>1895</v>
      </c>
      <c r="D5756" s="1310">
        <v>644.79998799999998</v>
      </c>
    </row>
    <row r="5757" spans="2:4" x14ac:dyDescent="0.2">
      <c r="B5757" s="1341">
        <v>7020</v>
      </c>
      <c r="C5757" s="1341" t="s">
        <v>6466</v>
      </c>
      <c r="D5757" s="1310">
        <v>664.76666299999999</v>
      </c>
    </row>
    <row r="5758" spans="2:4" x14ac:dyDescent="0.2">
      <c r="B5758" s="1341">
        <v>7021</v>
      </c>
      <c r="C5758" s="1341" t="s">
        <v>6467</v>
      </c>
      <c r="D5758" s="1310">
        <v>670.70588199999997</v>
      </c>
    </row>
    <row r="5759" spans="2:4" x14ac:dyDescent="0.2">
      <c r="B5759" s="1341">
        <v>7022</v>
      </c>
      <c r="C5759" s="1341" t="s">
        <v>6468</v>
      </c>
      <c r="D5759" s="1310">
        <v>693.54998799999998</v>
      </c>
    </row>
    <row r="5760" spans="2:4" x14ac:dyDescent="0.2">
      <c r="B5760" s="1341">
        <v>7023</v>
      </c>
      <c r="C5760" s="1341" t="s">
        <v>6469</v>
      </c>
      <c r="D5760" s="1310">
        <v>711.07499700000005</v>
      </c>
    </row>
    <row r="5761" spans="2:4" x14ac:dyDescent="0.2">
      <c r="B5761" s="1341">
        <v>7024</v>
      </c>
      <c r="C5761" s="1341" t="s">
        <v>6470</v>
      </c>
      <c r="D5761" s="1310">
        <v>687</v>
      </c>
    </row>
    <row r="5762" spans="2:4" x14ac:dyDescent="0.2">
      <c r="B5762" s="1341">
        <v>7025</v>
      </c>
      <c r="C5762" s="1341" t="s">
        <v>6471</v>
      </c>
      <c r="D5762" s="1310">
        <v>726.31668100000002</v>
      </c>
    </row>
    <row r="5763" spans="2:4" x14ac:dyDescent="0.2">
      <c r="B5763" s="1341">
        <v>7026</v>
      </c>
      <c r="C5763" s="1341" t="s">
        <v>6472</v>
      </c>
      <c r="D5763" s="1310">
        <v>744</v>
      </c>
    </row>
    <row r="5764" spans="2:4" x14ac:dyDescent="0.2">
      <c r="B5764" s="1341">
        <v>7027</v>
      </c>
      <c r="C5764" s="1341" t="s">
        <v>4229</v>
      </c>
      <c r="D5764" s="1310">
        <v>717.43333900000005</v>
      </c>
    </row>
    <row r="5765" spans="2:4" x14ac:dyDescent="0.2">
      <c r="B5765" s="1341">
        <v>7028</v>
      </c>
      <c r="C5765" s="1341" t="s">
        <v>6473</v>
      </c>
      <c r="D5765" s="1310">
        <v>702.21999500000004</v>
      </c>
    </row>
    <row r="5766" spans="2:4" x14ac:dyDescent="0.2">
      <c r="B5766" s="1341">
        <v>7029</v>
      </c>
      <c r="C5766" s="1341" t="s">
        <v>6474</v>
      </c>
      <c r="D5766" s="1310">
        <v>749.63334099999997</v>
      </c>
    </row>
    <row r="5767" spans="2:4" x14ac:dyDescent="0.2">
      <c r="B5767" s="1341">
        <v>7030</v>
      </c>
      <c r="C5767" s="1341" t="s">
        <v>6475</v>
      </c>
      <c r="D5767" s="1310">
        <v>650.97143600000004</v>
      </c>
    </row>
    <row r="5768" spans="2:4" x14ac:dyDescent="0.2">
      <c r="B5768" s="1341">
        <v>7031</v>
      </c>
      <c r="C5768" s="1341" t="s">
        <v>1939</v>
      </c>
      <c r="D5768" s="1310">
        <v>740.114284</v>
      </c>
    </row>
    <row r="5769" spans="2:4" x14ac:dyDescent="0.2">
      <c r="B5769" s="1341">
        <v>7032</v>
      </c>
      <c r="C5769" s="1341" t="s">
        <v>6476</v>
      </c>
      <c r="D5769" s="1310">
        <v>690.63334099999997</v>
      </c>
    </row>
    <row r="5770" spans="2:4" x14ac:dyDescent="0.2">
      <c r="B5770" s="1341">
        <v>7033</v>
      </c>
      <c r="C5770" s="1341" t="s">
        <v>6477</v>
      </c>
      <c r="D5770" s="1310">
        <v>642.72500600000001</v>
      </c>
    </row>
    <row r="5771" spans="2:4" x14ac:dyDescent="0.2">
      <c r="B5771" s="1341">
        <v>7034</v>
      </c>
      <c r="C5771" s="1341" t="s">
        <v>6478</v>
      </c>
      <c r="D5771" s="1310">
        <v>687.38001699999995</v>
      </c>
    </row>
    <row r="5772" spans="2:4" x14ac:dyDescent="0.2">
      <c r="B5772" s="1341">
        <v>7035</v>
      </c>
      <c r="C5772" s="1341" t="s">
        <v>4902</v>
      </c>
      <c r="D5772" s="1310">
        <v>709.95000500000003</v>
      </c>
    </row>
    <row r="5773" spans="2:4" x14ac:dyDescent="0.2">
      <c r="B5773" s="1341">
        <v>7036</v>
      </c>
      <c r="C5773" s="1341" t="s">
        <v>6479</v>
      </c>
      <c r="D5773" s="1310">
        <v>686.66665599999999</v>
      </c>
    </row>
    <row r="5774" spans="2:4" x14ac:dyDescent="0.2">
      <c r="B5774" s="1341">
        <v>7037</v>
      </c>
      <c r="C5774" s="1341" t="s">
        <v>6480</v>
      </c>
      <c r="D5774" s="1310">
        <v>724.27500899999995</v>
      </c>
    </row>
    <row r="5775" spans="2:4" x14ac:dyDescent="0.2">
      <c r="B5775" s="1341">
        <v>7038</v>
      </c>
      <c r="C5775" s="1341" t="s">
        <v>6481</v>
      </c>
      <c r="D5775" s="1310">
        <v>682</v>
      </c>
    </row>
    <row r="5776" spans="2:4" x14ac:dyDescent="0.2">
      <c r="B5776" s="1341">
        <v>7039</v>
      </c>
      <c r="C5776" s="1341" t="s">
        <v>6482</v>
      </c>
      <c r="D5776" s="1310">
        <v>641.42857100000003</v>
      </c>
    </row>
    <row r="5777" spans="2:4" x14ac:dyDescent="0.2">
      <c r="B5777" s="1341">
        <v>7051</v>
      </c>
      <c r="C5777" s="1341" t="s">
        <v>6483</v>
      </c>
      <c r="D5777" s="1310">
        <v>709.52223000000004</v>
      </c>
    </row>
    <row r="5778" spans="2:4" x14ac:dyDescent="0.2">
      <c r="B5778" s="1341">
        <v>7052</v>
      </c>
      <c r="C5778" s="1341" t="s">
        <v>6484</v>
      </c>
      <c r="D5778" s="1310">
        <v>701.71428600000002</v>
      </c>
    </row>
    <row r="5779" spans="2:4" x14ac:dyDescent="0.2">
      <c r="B5779" s="1341">
        <v>7053</v>
      </c>
      <c r="C5779" s="1341" t="s">
        <v>6485</v>
      </c>
      <c r="D5779" s="1310">
        <v>680.47499100000005</v>
      </c>
    </row>
    <row r="5780" spans="2:4" x14ac:dyDescent="0.2">
      <c r="B5780" s="1341">
        <v>7054</v>
      </c>
      <c r="C5780" s="1341" t="s">
        <v>456</v>
      </c>
      <c r="D5780" s="1310">
        <v>673.73199699999998</v>
      </c>
    </row>
    <row r="5781" spans="2:4" x14ac:dyDescent="0.2">
      <c r="B5781" s="1341">
        <v>7055</v>
      </c>
      <c r="C5781" s="1341" t="s">
        <v>6486</v>
      </c>
      <c r="D5781" s="1310">
        <v>668.96000400000003</v>
      </c>
    </row>
    <row r="5782" spans="2:4" x14ac:dyDescent="0.2">
      <c r="B5782" s="1341">
        <v>7056</v>
      </c>
      <c r="C5782" s="1341" t="s">
        <v>6487</v>
      </c>
      <c r="D5782" s="1310">
        <v>678.70000500000003</v>
      </c>
    </row>
    <row r="5783" spans="2:4" x14ac:dyDescent="0.2">
      <c r="B5783" s="1341">
        <v>7057</v>
      </c>
      <c r="C5783" s="1341" t="s">
        <v>6335</v>
      </c>
      <c r="D5783" s="1310">
        <v>683.59999600000003</v>
      </c>
    </row>
    <row r="5784" spans="2:4" x14ac:dyDescent="0.2">
      <c r="B5784" s="1341">
        <v>7058</v>
      </c>
      <c r="C5784" s="1341" t="s">
        <v>6488</v>
      </c>
      <c r="D5784" s="1310">
        <v>695.98750299999995</v>
      </c>
    </row>
    <row r="5785" spans="2:4" x14ac:dyDescent="0.2">
      <c r="B5785" s="1341">
        <v>7059</v>
      </c>
      <c r="C5785" s="1341" t="s">
        <v>6489</v>
      </c>
      <c r="D5785" s="1310">
        <v>719.66665599999999</v>
      </c>
    </row>
    <row r="5786" spans="2:4" x14ac:dyDescent="0.2">
      <c r="B5786" s="1341">
        <v>7060</v>
      </c>
      <c r="C5786" s="1341" t="s">
        <v>6490</v>
      </c>
      <c r="D5786" s="1310">
        <v>691.740002</v>
      </c>
    </row>
    <row r="5787" spans="2:4" x14ac:dyDescent="0.2">
      <c r="B5787" s="1341">
        <v>7061</v>
      </c>
      <c r="C5787" s="1341" t="s">
        <v>6491</v>
      </c>
      <c r="D5787" s="1310">
        <v>723.759998</v>
      </c>
    </row>
    <row r="5788" spans="2:4" x14ac:dyDescent="0.2">
      <c r="B5788" s="1341">
        <v>7062</v>
      </c>
      <c r="C5788" s="1341" t="s">
        <v>6492</v>
      </c>
      <c r="D5788" s="1310">
        <v>744.56666099999995</v>
      </c>
    </row>
    <row r="5789" spans="2:4" x14ac:dyDescent="0.2">
      <c r="B5789" s="1341">
        <v>7063</v>
      </c>
      <c r="C5789" s="1341" t="s">
        <v>6493</v>
      </c>
      <c r="D5789" s="1310">
        <v>683.10000600000001</v>
      </c>
    </row>
    <row r="5790" spans="2:4" x14ac:dyDescent="0.2">
      <c r="B5790" s="1341">
        <v>7064</v>
      </c>
      <c r="C5790" s="1341" t="s">
        <v>6494</v>
      </c>
      <c r="D5790" s="1310">
        <v>662.71666500000003</v>
      </c>
    </row>
    <row r="5791" spans="2:4" x14ac:dyDescent="0.2">
      <c r="B5791" s="1341">
        <v>7065</v>
      </c>
      <c r="C5791" s="1341" t="s">
        <v>6495</v>
      </c>
      <c r="D5791" s="1310">
        <v>665.90000399999997</v>
      </c>
    </row>
    <row r="5792" spans="2:4" x14ac:dyDescent="0.2">
      <c r="B5792" s="1341">
        <v>7066</v>
      </c>
      <c r="C5792" s="1341" t="s">
        <v>6496</v>
      </c>
      <c r="D5792" s="1310">
        <v>661.31427900000006</v>
      </c>
    </row>
    <row r="5793" spans="2:4" x14ac:dyDescent="0.2">
      <c r="B5793" s="1341">
        <v>7067</v>
      </c>
      <c r="C5793" s="1341" t="s">
        <v>6466</v>
      </c>
      <c r="D5793" s="1310">
        <v>683.883331</v>
      </c>
    </row>
    <row r="5794" spans="2:4" x14ac:dyDescent="0.2">
      <c r="B5794" s="1341">
        <v>7068</v>
      </c>
      <c r="C5794" s="1341" t="s">
        <v>4839</v>
      </c>
      <c r="D5794" s="1310">
        <v>699.81999499999995</v>
      </c>
    </row>
    <row r="5795" spans="2:4" x14ac:dyDescent="0.2">
      <c r="B5795" s="1341">
        <v>7069</v>
      </c>
      <c r="C5795" s="1341" t="s">
        <v>2892</v>
      </c>
      <c r="D5795" s="1310">
        <v>728.29998799999998</v>
      </c>
    </row>
    <row r="5796" spans="2:4" x14ac:dyDescent="0.2">
      <c r="B5796" s="1341">
        <v>7070</v>
      </c>
      <c r="C5796" s="1341" t="s">
        <v>6497</v>
      </c>
      <c r="D5796" s="1310">
        <v>703.34444900000005</v>
      </c>
    </row>
    <row r="5797" spans="2:4" x14ac:dyDescent="0.2">
      <c r="B5797" s="1341">
        <v>7071</v>
      </c>
      <c r="C5797" s="1341" t="s">
        <v>6498</v>
      </c>
      <c r="D5797" s="1310">
        <v>716.36665900000003</v>
      </c>
    </row>
    <row r="5798" spans="2:4" x14ac:dyDescent="0.2">
      <c r="B5798" s="1341">
        <v>7072</v>
      </c>
      <c r="C5798" s="1341" t="s">
        <v>432</v>
      </c>
      <c r="D5798" s="1310">
        <v>722.18749200000002</v>
      </c>
    </row>
    <row r="5799" spans="2:4" x14ac:dyDescent="0.2">
      <c r="B5799" s="1341">
        <v>7073</v>
      </c>
      <c r="C5799" s="1341" t="s">
        <v>2793</v>
      </c>
      <c r="D5799" s="1310">
        <v>737.13332100000002</v>
      </c>
    </row>
    <row r="5800" spans="2:4" x14ac:dyDescent="0.2">
      <c r="B5800" s="1341">
        <v>7074</v>
      </c>
      <c r="C5800" s="1341" t="s">
        <v>6499</v>
      </c>
      <c r="D5800" s="1310">
        <v>750.70001200000002</v>
      </c>
    </row>
    <row r="5801" spans="2:4" x14ac:dyDescent="0.2">
      <c r="B5801" s="1341">
        <v>7075</v>
      </c>
      <c r="C5801" s="1341" t="s">
        <v>6500</v>
      </c>
      <c r="D5801" s="1310">
        <v>728.06001000000003</v>
      </c>
    </row>
    <row r="5802" spans="2:4" x14ac:dyDescent="0.2">
      <c r="B5802" s="1341">
        <v>7076</v>
      </c>
      <c r="C5802" s="1341" t="s">
        <v>6501</v>
      </c>
      <c r="D5802" s="1310">
        <v>731.59997599999997</v>
      </c>
    </row>
    <row r="5803" spans="2:4" x14ac:dyDescent="0.2">
      <c r="B5803" s="1341">
        <v>7077</v>
      </c>
      <c r="C5803" s="1341" t="s">
        <v>6502</v>
      </c>
      <c r="D5803" s="1310">
        <v>735.73333700000001</v>
      </c>
    </row>
    <row r="5804" spans="2:4" x14ac:dyDescent="0.2">
      <c r="B5804" s="1341">
        <v>7078</v>
      </c>
      <c r="C5804" s="1341" t="s">
        <v>5886</v>
      </c>
      <c r="D5804" s="1310">
        <v>771.03334600000005</v>
      </c>
    </row>
    <row r="5805" spans="2:4" x14ac:dyDescent="0.2">
      <c r="B5805" s="1341">
        <v>7079</v>
      </c>
      <c r="C5805" s="1341" t="s">
        <v>6503</v>
      </c>
      <c r="D5805" s="1310">
        <v>754.42500299999995</v>
      </c>
    </row>
    <row r="5806" spans="2:4" x14ac:dyDescent="0.2">
      <c r="B5806" s="1341">
        <v>7080</v>
      </c>
      <c r="C5806" s="1341" t="s">
        <v>6504</v>
      </c>
      <c r="D5806" s="1310">
        <v>754.01999499999999</v>
      </c>
    </row>
    <row r="5807" spans="2:4" x14ac:dyDescent="0.2">
      <c r="B5807" s="1341">
        <v>7081</v>
      </c>
      <c r="C5807" s="1341" t="s">
        <v>6505</v>
      </c>
      <c r="D5807" s="1310">
        <v>711.85000600000001</v>
      </c>
    </row>
    <row r="5808" spans="2:4" x14ac:dyDescent="0.2">
      <c r="B5808" s="1341">
        <v>7082</v>
      </c>
      <c r="C5808" s="1341" t="s">
        <v>6506</v>
      </c>
      <c r="D5808" s="1310">
        <v>737.85000600000001</v>
      </c>
    </row>
    <row r="5809" spans="2:4" x14ac:dyDescent="0.2">
      <c r="B5809" s="1341">
        <v>7083</v>
      </c>
      <c r="C5809" s="1341" t="s">
        <v>6507</v>
      </c>
      <c r="D5809" s="1310">
        <v>741.76666299999999</v>
      </c>
    </row>
    <row r="5810" spans="2:4" x14ac:dyDescent="0.2">
      <c r="B5810" s="1341">
        <v>7084</v>
      </c>
      <c r="C5810" s="1341" t="s">
        <v>6508</v>
      </c>
      <c r="D5810" s="1310">
        <v>759.64999399999999</v>
      </c>
    </row>
    <row r="5811" spans="2:4" x14ac:dyDescent="0.2">
      <c r="B5811" s="1341">
        <v>7085</v>
      </c>
      <c r="C5811" s="1341" t="s">
        <v>6509</v>
      </c>
      <c r="D5811" s="1310">
        <v>749.23332700000003</v>
      </c>
    </row>
    <row r="5812" spans="2:4" x14ac:dyDescent="0.2">
      <c r="B5812" s="1341">
        <v>7086</v>
      </c>
      <c r="C5812" s="1341" t="s">
        <v>6510</v>
      </c>
      <c r="D5812" s="1310">
        <v>772.52500899999995</v>
      </c>
    </row>
    <row r="5813" spans="2:4" x14ac:dyDescent="0.2">
      <c r="B5813" s="1341">
        <v>7087</v>
      </c>
      <c r="C5813" s="1341" t="s">
        <v>5755</v>
      </c>
      <c r="D5813" s="1310">
        <v>761.83749399999999</v>
      </c>
    </row>
    <row r="5814" spans="2:4" x14ac:dyDescent="0.2">
      <c r="B5814" s="1341">
        <v>7088</v>
      </c>
      <c r="C5814" s="1341" t="s">
        <v>5888</v>
      </c>
      <c r="D5814" s="1310">
        <v>784.27499399999999</v>
      </c>
    </row>
    <row r="5815" spans="2:4" x14ac:dyDescent="0.2">
      <c r="B5815" s="1341">
        <v>7089</v>
      </c>
      <c r="C5815" s="1341" t="s">
        <v>6511</v>
      </c>
      <c r="D5815" s="1310">
        <v>770.59999600000003</v>
      </c>
    </row>
    <row r="5816" spans="2:4" x14ac:dyDescent="0.2">
      <c r="B5816" s="1341">
        <v>7090</v>
      </c>
      <c r="C5816" s="1341" t="s">
        <v>6512</v>
      </c>
      <c r="D5816" s="1310">
        <v>772.96667500000001</v>
      </c>
    </row>
    <row r="5817" spans="2:4" x14ac:dyDescent="0.2">
      <c r="B5817" s="1341">
        <v>7091</v>
      </c>
      <c r="C5817" s="1341" t="s">
        <v>6513</v>
      </c>
      <c r="D5817" s="1310">
        <v>795.66428900000005</v>
      </c>
    </row>
    <row r="5818" spans="2:4" x14ac:dyDescent="0.2">
      <c r="B5818" s="1341">
        <v>7092</v>
      </c>
      <c r="C5818" s="1341" t="s">
        <v>3566</v>
      </c>
      <c r="D5818" s="1310">
        <v>806.76668299999994</v>
      </c>
    </row>
    <row r="5819" spans="2:4" x14ac:dyDescent="0.2">
      <c r="B5819" s="1341">
        <v>7093</v>
      </c>
      <c r="C5819" s="1341" t="s">
        <v>6514</v>
      </c>
      <c r="D5819" s="1310">
        <v>801.55714599999999</v>
      </c>
    </row>
    <row r="5820" spans="2:4" x14ac:dyDescent="0.2">
      <c r="B5820" s="1341">
        <v>7094</v>
      </c>
      <c r="C5820" s="1341" t="s">
        <v>6515</v>
      </c>
      <c r="D5820" s="1310">
        <v>785.29998799999998</v>
      </c>
    </row>
    <row r="5821" spans="2:4" x14ac:dyDescent="0.2">
      <c r="B5821" s="1341">
        <v>7095</v>
      </c>
      <c r="C5821" s="1341" t="s">
        <v>6516</v>
      </c>
      <c r="D5821" s="1310">
        <v>809.60001599999998</v>
      </c>
    </row>
    <row r="5822" spans="2:4" x14ac:dyDescent="0.2">
      <c r="B5822" s="1341">
        <v>7096</v>
      </c>
      <c r="C5822" s="1341" t="s">
        <v>6517</v>
      </c>
      <c r="D5822" s="1310">
        <v>816.55555600000002</v>
      </c>
    </row>
    <row r="5823" spans="2:4" x14ac:dyDescent="0.2">
      <c r="B5823" s="1341">
        <v>7097</v>
      </c>
      <c r="C5823" s="1341" t="s">
        <v>6518</v>
      </c>
      <c r="D5823" s="1310">
        <v>822.91666699999996</v>
      </c>
    </row>
    <row r="5824" spans="2:4" x14ac:dyDescent="0.2">
      <c r="B5824" s="1341">
        <v>7098</v>
      </c>
      <c r="C5824" s="1341" t="s">
        <v>6519</v>
      </c>
      <c r="D5824" s="1310">
        <v>822.66250600000001</v>
      </c>
    </row>
    <row r="5825" spans="2:4" x14ac:dyDescent="0.2">
      <c r="B5825" s="1341">
        <v>7099</v>
      </c>
      <c r="C5825" s="1341" t="s">
        <v>6520</v>
      </c>
      <c r="D5825" s="1310">
        <v>844.389996</v>
      </c>
    </row>
    <row r="5826" spans="2:4" x14ac:dyDescent="0.2">
      <c r="B5826" s="1341">
        <v>7100</v>
      </c>
      <c r="C5826" s="1341" t="s">
        <v>6521</v>
      </c>
      <c r="D5826" s="1310">
        <v>849.5</v>
      </c>
    </row>
    <row r="5827" spans="2:4" x14ac:dyDescent="0.2">
      <c r="B5827" s="1341">
        <v>7101</v>
      </c>
      <c r="C5827" s="1341" t="s">
        <v>6522</v>
      </c>
      <c r="D5827" s="1310">
        <v>794.43333299999995</v>
      </c>
    </row>
    <row r="5828" spans="2:4" x14ac:dyDescent="0.2">
      <c r="B5828" s="1341">
        <v>7102</v>
      </c>
      <c r="C5828" s="1341" t="s">
        <v>6523</v>
      </c>
      <c r="D5828" s="1310">
        <v>853.24284999999998</v>
      </c>
    </row>
    <row r="5829" spans="2:4" x14ac:dyDescent="0.2">
      <c r="B5829" s="1341">
        <v>7103</v>
      </c>
      <c r="C5829" s="1341" t="s">
        <v>6524</v>
      </c>
      <c r="D5829" s="1310">
        <v>916</v>
      </c>
    </row>
    <row r="5830" spans="2:4" x14ac:dyDescent="0.2">
      <c r="B5830" s="1341">
        <v>7104</v>
      </c>
      <c r="C5830" s="1341" t="s">
        <v>6430</v>
      </c>
      <c r="D5830" s="1310">
        <v>649.35000600000001</v>
      </c>
    </row>
    <row r="5831" spans="2:4" x14ac:dyDescent="0.2">
      <c r="B5831" s="1341">
        <v>7105</v>
      </c>
      <c r="C5831" s="1341" t="s">
        <v>6525</v>
      </c>
      <c r="D5831" s="1310">
        <v>663.82105100000001</v>
      </c>
    </row>
    <row r="5832" spans="2:4" x14ac:dyDescent="0.2">
      <c r="B5832" s="1341">
        <v>7106</v>
      </c>
      <c r="C5832" s="1341" t="s">
        <v>6526</v>
      </c>
      <c r="D5832" s="1310">
        <v>646.48749499999997</v>
      </c>
    </row>
    <row r="5833" spans="2:4" x14ac:dyDescent="0.2">
      <c r="B5833" s="1341">
        <v>7107</v>
      </c>
      <c r="C5833" s="1341" t="s">
        <v>455</v>
      </c>
      <c r="D5833" s="1310">
        <v>652.98333700000001</v>
      </c>
    </row>
    <row r="5834" spans="2:4" x14ac:dyDescent="0.2">
      <c r="B5834" s="1341">
        <v>7108</v>
      </c>
      <c r="C5834" s="1341" t="s">
        <v>6527</v>
      </c>
      <c r="D5834" s="1310">
        <v>662.32499199999995</v>
      </c>
    </row>
    <row r="5835" spans="2:4" x14ac:dyDescent="0.2">
      <c r="B5835" s="1341">
        <v>7109</v>
      </c>
      <c r="C5835" s="1341" t="s">
        <v>6528</v>
      </c>
      <c r="D5835" s="1310">
        <v>686.29998799999998</v>
      </c>
    </row>
    <row r="5836" spans="2:4" x14ac:dyDescent="0.2">
      <c r="B5836" s="1341">
        <v>7110</v>
      </c>
      <c r="C5836" s="1341" t="s">
        <v>6529</v>
      </c>
      <c r="D5836" s="1310">
        <v>734.69998199999998</v>
      </c>
    </row>
    <row r="5837" spans="2:4" x14ac:dyDescent="0.2">
      <c r="B5837" s="1341">
        <v>7111</v>
      </c>
      <c r="C5837" s="1341" t="s">
        <v>6530</v>
      </c>
      <c r="D5837" s="1310">
        <v>690.70001200000002</v>
      </c>
    </row>
    <row r="5838" spans="2:4" x14ac:dyDescent="0.2">
      <c r="B5838" s="1341">
        <v>7112</v>
      </c>
      <c r="C5838" s="1341" t="s">
        <v>6531</v>
      </c>
      <c r="D5838" s="1310">
        <v>711.5</v>
      </c>
    </row>
    <row r="5839" spans="2:4" x14ac:dyDescent="0.2">
      <c r="B5839" s="1341">
        <v>7113</v>
      </c>
      <c r="C5839" s="1341" t="s">
        <v>6532</v>
      </c>
      <c r="D5839" s="1310">
        <v>748.02000699999996</v>
      </c>
    </row>
    <row r="5840" spans="2:4" x14ac:dyDescent="0.2">
      <c r="B5840" s="1341">
        <v>7114</v>
      </c>
      <c r="C5840" s="1341" t="s">
        <v>6533</v>
      </c>
      <c r="D5840" s="1310">
        <v>692.44000200000005</v>
      </c>
    </row>
    <row r="5841" spans="2:4" x14ac:dyDescent="0.2">
      <c r="B5841" s="1341">
        <v>7115</v>
      </c>
      <c r="C5841" s="1341" t="s">
        <v>6534</v>
      </c>
      <c r="D5841" s="1310">
        <v>737.65000899999995</v>
      </c>
    </row>
    <row r="5842" spans="2:4" x14ac:dyDescent="0.2">
      <c r="B5842" s="1341">
        <v>7116</v>
      </c>
      <c r="C5842" s="1341" t="s">
        <v>6535</v>
      </c>
      <c r="D5842" s="1310">
        <v>719.01818300000002</v>
      </c>
    </row>
    <row r="5843" spans="2:4" x14ac:dyDescent="0.2">
      <c r="B5843" s="1341">
        <v>7117</v>
      </c>
      <c r="C5843" s="1341" t="s">
        <v>5188</v>
      </c>
      <c r="D5843" s="1310">
        <v>726.57999299999994</v>
      </c>
    </row>
    <row r="5844" spans="2:4" x14ac:dyDescent="0.2">
      <c r="B5844" s="1341">
        <v>7118</v>
      </c>
      <c r="C5844" s="1341" t="s">
        <v>6536</v>
      </c>
      <c r="D5844" s="1310">
        <v>714.23333700000001</v>
      </c>
    </row>
    <row r="5845" spans="2:4" x14ac:dyDescent="0.2">
      <c r="B5845" s="1341">
        <v>7119</v>
      </c>
      <c r="C5845" s="1341" t="s">
        <v>6537</v>
      </c>
      <c r="D5845" s="1310">
        <v>745.86667899999998</v>
      </c>
    </row>
    <row r="5846" spans="2:4" x14ac:dyDescent="0.2">
      <c r="B5846" s="1341">
        <v>7120</v>
      </c>
      <c r="C5846" s="1341" t="s">
        <v>6538</v>
      </c>
      <c r="D5846" s="1310">
        <v>741.39999399999999</v>
      </c>
    </row>
    <row r="5847" spans="2:4" x14ac:dyDescent="0.2">
      <c r="B5847" s="1341">
        <v>7121</v>
      </c>
      <c r="C5847" s="1341" t="s">
        <v>6539</v>
      </c>
      <c r="D5847" s="1310">
        <v>767.01428199999998</v>
      </c>
    </row>
    <row r="5848" spans="2:4" x14ac:dyDescent="0.2">
      <c r="B5848" s="1341">
        <v>7122</v>
      </c>
      <c r="C5848" s="1341" t="s">
        <v>6540</v>
      </c>
      <c r="D5848" s="1310">
        <v>742.94998199999998</v>
      </c>
    </row>
    <row r="5849" spans="2:4" x14ac:dyDescent="0.2">
      <c r="B5849" s="1341">
        <v>7123</v>
      </c>
      <c r="C5849" s="1341" t="s">
        <v>4638</v>
      </c>
      <c r="D5849" s="1310">
        <v>733.53998999999999</v>
      </c>
    </row>
    <row r="5850" spans="2:4" x14ac:dyDescent="0.2">
      <c r="B5850" s="1341">
        <v>7124</v>
      </c>
      <c r="C5850" s="1341" t="s">
        <v>6541</v>
      </c>
      <c r="D5850" s="1310">
        <v>754.59999600000003</v>
      </c>
    </row>
    <row r="5851" spans="2:4" x14ac:dyDescent="0.2">
      <c r="B5851" s="1341">
        <v>7125</v>
      </c>
      <c r="C5851" s="1341" t="s">
        <v>6542</v>
      </c>
      <c r="D5851" s="1310">
        <v>779.95713599999999</v>
      </c>
    </row>
    <row r="5852" spans="2:4" x14ac:dyDescent="0.2">
      <c r="B5852" s="1341">
        <v>7126</v>
      </c>
      <c r="C5852" s="1341" t="s">
        <v>6543</v>
      </c>
      <c r="D5852" s="1310">
        <v>769.63334099999997</v>
      </c>
    </row>
    <row r="5853" spans="2:4" x14ac:dyDescent="0.2">
      <c r="B5853" s="1341">
        <v>7127</v>
      </c>
      <c r="C5853" s="1341" t="s">
        <v>6544</v>
      </c>
      <c r="D5853" s="1310">
        <v>773.83333300000004</v>
      </c>
    </row>
    <row r="5854" spans="2:4" x14ac:dyDescent="0.2">
      <c r="B5854" s="1341">
        <v>7128</v>
      </c>
      <c r="C5854" s="1341" t="s">
        <v>5362</v>
      </c>
      <c r="D5854" s="1310">
        <v>770.56001000000003</v>
      </c>
    </row>
    <row r="5855" spans="2:4" x14ac:dyDescent="0.2">
      <c r="B5855" s="1341">
        <v>7129</v>
      </c>
      <c r="C5855" s="1341" t="s">
        <v>6545</v>
      </c>
      <c r="D5855" s="1310">
        <v>782.89999799999998</v>
      </c>
    </row>
    <row r="5856" spans="2:4" x14ac:dyDescent="0.2">
      <c r="B5856" s="1341">
        <v>7130</v>
      </c>
      <c r="C5856" s="1341" t="s">
        <v>6546</v>
      </c>
      <c r="D5856" s="1310">
        <v>794.43332899999996</v>
      </c>
    </row>
    <row r="5857" spans="2:4" x14ac:dyDescent="0.2">
      <c r="B5857" s="1341">
        <v>7131</v>
      </c>
      <c r="C5857" s="1341" t="s">
        <v>6547</v>
      </c>
      <c r="D5857" s="1310">
        <v>801.29998799999998</v>
      </c>
    </row>
    <row r="5858" spans="2:4" x14ac:dyDescent="0.2">
      <c r="B5858" s="1341">
        <v>7132</v>
      </c>
      <c r="C5858" s="1341" t="s">
        <v>6548</v>
      </c>
      <c r="D5858" s="1310">
        <v>802.83333300000004</v>
      </c>
    </row>
    <row r="5859" spans="2:4" x14ac:dyDescent="0.2">
      <c r="B5859" s="1341">
        <v>7133</v>
      </c>
      <c r="C5859" s="1341" t="s">
        <v>6549</v>
      </c>
      <c r="D5859" s="1310">
        <v>795.21999500000004</v>
      </c>
    </row>
    <row r="5860" spans="2:4" x14ac:dyDescent="0.2">
      <c r="B5860" s="1341">
        <v>7134</v>
      </c>
      <c r="C5860" s="1341" t="s">
        <v>6550</v>
      </c>
      <c r="D5860" s="1310">
        <v>680.22500600000001</v>
      </c>
    </row>
    <row r="5861" spans="2:4" x14ac:dyDescent="0.2">
      <c r="B5861" s="1341">
        <v>7135</v>
      </c>
      <c r="C5861" s="1341" t="s">
        <v>3346</v>
      </c>
      <c r="D5861" s="1310">
        <v>693.94998199999998</v>
      </c>
    </row>
    <row r="5862" spans="2:4" x14ac:dyDescent="0.2">
      <c r="B5862" s="1341">
        <v>7136</v>
      </c>
      <c r="C5862" s="1341" t="s">
        <v>6551</v>
      </c>
      <c r="D5862" s="1310">
        <v>696.75998500000003</v>
      </c>
    </row>
    <row r="5863" spans="2:4" x14ac:dyDescent="0.2">
      <c r="B5863" s="1341">
        <v>7137</v>
      </c>
      <c r="C5863" s="1341" t="s">
        <v>6552</v>
      </c>
      <c r="D5863" s="1310">
        <v>715.80000800000005</v>
      </c>
    </row>
    <row r="5864" spans="2:4" x14ac:dyDescent="0.2">
      <c r="B5864" s="1341">
        <v>7138</v>
      </c>
      <c r="C5864" s="1341" t="s">
        <v>6553</v>
      </c>
      <c r="D5864" s="1310">
        <v>706.85000600000001</v>
      </c>
    </row>
    <row r="5865" spans="2:4" x14ac:dyDescent="0.2">
      <c r="B5865" s="1341">
        <v>7139</v>
      </c>
      <c r="C5865" s="1341" t="s">
        <v>6554</v>
      </c>
      <c r="D5865" s="1310">
        <v>728.13334099999997</v>
      </c>
    </row>
    <row r="5866" spans="2:4" x14ac:dyDescent="0.2">
      <c r="B5866" s="1341">
        <v>7140</v>
      </c>
      <c r="C5866" s="1341" t="s">
        <v>6555</v>
      </c>
      <c r="D5866" s="1310">
        <v>733.95001200000002</v>
      </c>
    </row>
    <row r="5867" spans="2:4" x14ac:dyDescent="0.2">
      <c r="B5867" s="1341">
        <v>7141</v>
      </c>
      <c r="C5867" s="1341" t="s">
        <v>6556</v>
      </c>
      <c r="D5867" s="1310">
        <v>723.93750799999998</v>
      </c>
    </row>
    <row r="5868" spans="2:4" x14ac:dyDescent="0.2">
      <c r="B5868" s="1341">
        <v>7142</v>
      </c>
      <c r="C5868" s="1341" t="s">
        <v>6557</v>
      </c>
      <c r="D5868" s="1310">
        <v>688.90000699999996</v>
      </c>
    </row>
    <row r="5869" spans="2:4" x14ac:dyDescent="0.2">
      <c r="B5869" s="1341">
        <v>7143</v>
      </c>
      <c r="C5869" s="1341" t="s">
        <v>6558</v>
      </c>
      <c r="D5869" s="1310">
        <v>703.45555999999999</v>
      </c>
    </row>
    <row r="5870" spans="2:4" x14ac:dyDescent="0.2">
      <c r="B5870" s="1341">
        <v>7144</v>
      </c>
      <c r="C5870" s="1341" t="s">
        <v>6559</v>
      </c>
      <c r="D5870" s="1310">
        <v>717</v>
      </c>
    </row>
    <row r="5871" spans="2:4" x14ac:dyDescent="0.2">
      <c r="B5871" s="1341">
        <v>7145</v>
      </c>
      <c r="C5871" s="1341" t="s">
        <v>1642</v>
      </c>
      <c r="D5871" s="1310">
        <v>748.73333700000001</v>
      </c>
    </row>
    <row r="5872" spans="2:4" x14ac:dyDescent="0.2">
      <c r="B5872" s="1341">
        <v>7146</v>
      </c>
      <c r="C5872" s="1341" t="s">
        <v>2095</v>
      </c>
      <c r="D5872" s="1310">
        <v>758.24999000000003</v>
      </c>
    </row>
    <row r="5873" spans="2:4" x14ac:dyDescent="0.2">
      <c r="B5873" s="1341">
        <v>7147</v>
      </c>
      <c r="C5873" s="1341" t="s">
        <v>6560</v>
      </c>
      <c r="D5873" s="1310">
        <v>720.02500899999995</v>
      </c>
    </row>
    <row r="5874" spans="2:4" x14ac:dyDescent="0.2">
      <c r="B5874" s="1341">
        <v>7148</v>
      </c>
      <c r="C5874" s="1341" t="s">
        <v>6561</v>
      </c>
      <c r="D5874" s="1310">
        <v>738.08500400000003</v>
      </c>
    </row>
    <row r="5875" spans="2:4" x14ac:dyDescent="0.2">
      <c r="B5875" s="1341">
        <v>7149</v>
      </c>
      <c r="C5875" s="1341" t="s">
        <v>6562</v>
      </c>
      <c r="D5875" s="1310">
        <v>710.83332299999995</v>
      </c>
    </row>
    <row r="5876" spans="2:4" x14ac:dyDescent="0.2">
      <c r="B5876" s="1341">
        <v>7150</v>
      </c>
      <c r="C5876" s="1341" t="s">
        <v>6563</v>
      </c>
      <c r="D5876" s="1310">
        <v>715.73333700000001</v>
      </c>
    </row>
    <row r="5877" spans="2:4" x14ac:dyDescent="0.2">
      <c r="B5877" s="1341">
        <v>7151</v>
      </c>
      <c r="C5877" s="1341" t="s">
        <v>6564</v>
      </c>
      <c r="D5877" s="1310">
        <v>768.97502099999997</v>
      </c>
    </row>
    <row r="5878" spans="2:4" x14ac:dyDescent="0.2">
      <c r="B5878" s="1341">
        <v>7152</v>
      </c>
      <c r="C5878" s="1341" t="s">
        <v>6565</v>
      </c>
      <c r="D5878" s="1310">
        <v>720.40000399999997</v>
      </c>
    </row>
    <row r="5879" spans="2:4" x14ac:dyDescent="0.2">
      <c r="B5879" s="1341">
        <v>7153</v>
      </c>
      <c r="C5879" s="1341" t="s">
        <v>6566</v>
      </c>
      <c r="D5879" s="1310">
        <v>710.92857100000003</v>
      </c>
    </row>
    <row r="5880" spans="2:4" x14ac:dyDescent="0.2">
      <c r="B5880" s="1341">
        <v>7154</v>
      </c>
      <c r="C5880" s="1341" t="s">
        <v>6567</v>
      </c>
      <c r="D5880" s="1310">
        <v>756.59999800000003</v>
      </c>
    </row>
    <row r="5881" spans="2:4" x14ac:dyDescent="0.2">
      <c r="B5881" s="1341">
        <v>7155</v>
      </c>
      <c r="C5881" s="1341" t="s">
        <v>6568</v>
      </c>
      <c r="D5881" s="1310">
        <v>750.10909200000003</v>
      </c>
    </row>
    <row r="5882" spans="2:4" x14ac:dyDescent="0.2">
      <c r="B5882" s="1341">
        <v>7156</v>
      </c>
      <c r="C5882" s="1341" t="s">
        <v>6569</v>
      </c>
      <c r="D5882" s="1310">
        <v>788.90000699999996</v>
      </c>
    </row>
    <row r="5883" spans="2:4" x14ac:dyDescent="0.2">
      <c r="B5883" s="1341">
        <v>7157</v>
      </c>
      <c r="C5883" s="1341" t="s">
        <v>6570</v>
      </c>
      <c r="D5883" s="1310">
        <v>779.70001200000002</v>
      </c>
    </row>
    <row r="5884" spans="2:4" x14ac:dyDescent="0.2">
      <c r="B5884" s="1341">
        <v>7158</v>
      </c>
      <c r="C5884" s="1341" t="s">
        <v>6571</v>
      </c>
      <c r="D5884" s="1310">
        <v>807.31999499999995</v>
      </c>
    </row>
    <row r="5885" spans="2:4" x14ac:dyDescent="0.2">
      <c r="B5885" s="1341">
        <v>7159</v>
      </c>
      <c r="C5885" s="1341" t="s">
        <v>6572</v>
      </c>
      <c r="D5885" s="1310">
        <v>723.20001200000002</v>
      </c>
    </row>
    <row r="5886" spans="2:4" x14ac:dyDescent="0.2">
      <c r="B5886" s="1341">
        <v>7160</v>
      </c>
      <c r="C5886" s="1341" t="s">
        <v>6573</v>
      </c>
      <c r="D5886" s="1310">
        <v>747.41428900000005</v>
      </c>
    </row>
    <row r="5887" spans="2:4" x14ac:dyDescent="0.2">
      <c r="B5887" s="1341">
        <v>7161</v>
      </c>
      <c r="C5887" s="1341" t="s">
        <v>6574</v>
      </c>
      <c r="D5887" s="1310">
        <v>774.10000600000001</v>
      </c>
    </row>
    <row r="5888" spans="2:4" x14ac:dyDescent="0.2">
      <c r="B5888" s="1341">
        <v>7162</v>
      </c>
      <c r="C5888" s="1341" t="s">
        <v>6575</v>
      </c>
      <c r="D5888" s="1310">
        <v>778.83333300000004</v>
      </c>
    </row>
    <row r="5889" spans="2:4" x14ac:dyDescent="0.2">
      <c r="B5889" s="1341">
        <v>7163</v>
      </c>
      <c r="C5889" s="1341" t="s">
        <v>1609</v>
      </c>
      <c r="D5889" s="1310">
        <v>772.89999399999999</v>
      </c>
    </row>
    <row r="5890" spans="2:4" x14ac:dyDescent="0.2">
      <c r="B5890" s="1341">
        <v>7164</v>
      </c>
      <c r="C5890" s="1341" t="s">
        <v>6576</v>
      </c>
      <c r="D5890" s="1310">
        <v>755.38000499999998</v>
      </c>
    </row>
    <row r="5891" spans="2:4" x14ac:dyDescent="0.2">
      <c r="B5891" s="1341">
        <v>7165</v>
      </c>
      <c r="C5891" s="1341" t="s">
        <v>6577</v>
      </c>
      <c r="D5891" s="1310">
        <v>804.25</v>
      </c>
    </row>
    <row r="5892" spans="2:4" x14ac:dyDescent="0.2">
      <c r="B5892" s="1341">
        <v>7166</v>
      </c>
      <c r="C5892" s="1341" t="s">
        <v>6578</v>
      </c>
      <c r="D5892" s="1310">
        <v>782.54998799999998</v>
      </c>
    </row>
    <row r="5893" spans="2:4" x14ac:dyDescent="0.2">
      <c r="B5893" s="1341">
        <v>7167</v>
      </c>
      <c r="C5893" s="1341" t="s">
        <v>6579</v>
      </c>
      <c r="D5893" s="1310">
        <v>747.79998799999998</v>
      </c>
    </row>
    <row r="5894" spans="2:4" x14ac:dyDescent="0.2">
      <c r="B5894" s="1341">
        <v>7168</v>
      </c>
      <c r="C5894" s="1341" t="s">
        <v>6580</v>
      </c>
      <c r="D5894" s="1310">
        <v>768.82501200000002</v>
      </c>
    </row>
    <row r="5895" spans="2:4" x14ac:dyDescent="0.2">
      <c r="B5895" s="1341">
        <v>7169</v>
      </c>
      <c r="C5895" s="1341" t="s">
        <v>6581</v>
      </c>
      <c r="D5895" s="1310">
        <v>769.95000200000004</v>
      </c>
    </row>
    <row r="5896" spans="2:4" x14ac:dyDescent="0.2">
      <c r="B5896" s="1341">
        <v>7170</v>
      </c>
      <c r="C5896" s="1341" t="s">
        <v>6582</v>
      </c>
      <c r="D5896" s="1310">
        <v>781.69999700000005</v>
      </c>
    </row>
    <row r="5897" spans="2:4" x14ac:dyDescent="0.2">
      <c r="B5897" s="1341">
        <v>7171</v>
      </c>
      <c r="C5897" s="1341" t="s">
        <v>6583</v>
      </c>
      <c r="D5897" s="1310">
        <v>797.60400100000004</v>
      </c>
    </row>
    <row r="5898" spans="2:4" x14ac:dyDescent="0.2">
      <c r="B5898" s="1341">
        <v>7172</v>
      </c>
      <c r="C5898" s="1341" t="s">
        <v>6584</v>
      </c>
      <c r="D5898" s="1310">
        <v>766.21538399999997</v>
      </c>
    </row>
    <row r="5899" spans="2:4" x14ac:dyDescent="0.2">
      <c r="B5899" s="1341">
        <v>7173</v>
      </c>
      <c r="C5899" s="1341" t="s">
        <v>6585</v>
      </c>
      <c r="D5899" s="1310">
        <v>819.7</v>
      </c>
    </row>
    <row r="5900" spans="2:4" x14ac:dyDescent="0.2">
      <c r="B5900" s="1341">
        <v>7174</v>
      </c>
      <c r="C5900" s="1341" t="s">
        <v>6586</v>
      </c>
      <c r="D5900" s="1310">
        <v>786.44998199999998</v>
      </c>
    </row>
    <row r="5901" spans="2:4" x14ac:dyDescent="0.2">
      <c r="B5901" s="1341">
        <v>7175</v>
      </c>
      <c r="C5901" s="1341" t="s">
        <v>6587</v>
      </c>
      <c r="D5901" s="1310">
        <v>774.25000999999997</v>
      </c>
    </row>
    <row r="5902" spans="2:4" x14ac:dyDescent="0.2">
      <c r="B5902" s="1341">
        <v>7176</v>
      </c>
      <c r="C5902" s="1341" t="s">
        <v>6588</v>
      </c>
      <c r="D5902" s="1310">
        <v>814.17857100000003</v>
      </c>
    </row>
    <row r="5903" spans="2:4" x14ac:dyDescent="0.2">
      <c r="B5903" s="1341">
        <v>7177</v>
      </c>
      <c r="C5903" s="1341" t="s">
        <v>6589</v>
      </c>
      <c r="D5903" s="1310">
        <v>787.56666099999995</v>
      </c>
    </row>
    <row r="5904" spans="2:4" x14ac:dyDescent="0.2">
      <c r="B5904" s="1341">
        <v>7178</v>
      </c>
      <c r="C5904" s="1341" t="s">
        <v>6590</v>
      </c>
      <c r="D5904" s="1310">
        <v>804.48823100000004</v>
      </c>
    </row>
    <row r="5905" spans="2:4" x14ac:dyDescent="0.2">
      <c r="B5905" s="1341">
        <v>7179</v>
      </c>
      <c r="C5905" s="1341" t="s">
        <v>6591</v>
      </c>
      <c r="D5905" s="1310">
        <v>801.10000200000002</v>
      </c>
    </row>
    <row r="5906" spans="2:4" x14ac:dyDescent="0.2">
      <c r="B5906" s="1341">
        <v>7180</v>
      </c>
      <c r="C5906" s="1341" t="s">
        <v>6592</v>
      </c>
      <c r="D5906" s="1310">
        <v>789.009998</v>
      </c>
    </row>
    <row r="5907" spans="2:4" x14ac:dyDescent="0.2">
      <c r="B5907" s="1341">
        <v>7181</v>
      </c>
      <c r="C5907" s="1341" t="s">
        <v>6593</v>
      </c>
      <c r="D5907" s="1310">
        <v>806.35000600000001</v>
      </c>
    </row>
    <row r="5908" spans="2:4" x14ac:dyDescent="0.2">
      <c r="B5908" s="1341">
        <v>7182</v>
      </c>
      <c r="C5908" s="1341" t="s">
        <v>6594</v>
      </c>
      <c r="D5908" s="1310">
        <v>813.81429200000002</v>
      </c>
    </row>
    <row r="5909" spans="2:4" x14ac:dyDescent="0.2">
      <c r="B5909" s="1341">
        <v>7183</v>
      </c>
      <c r="C5909" s="1341" t="s">
        <v>6595</v>
      </c>
      <c r="D5909" s="1310">
        <v>700.30001800000002</v>
      </c>
    </row>
    <row r="5910" spans="2:4" x14ac:dyDescent="0.2">
      <c r="B5910" s="1341">
        <v>7211</v>
      </c>
      <c r="C5910" s="1341" t="s">
        <v>1955</v>
      </c>
      <c r="D5910" s="1310">
        <v>756.05999799999995</v>
      </c>
    </row>
    <row r="5911" spans="2:4" x14ac:dyDescent="0.2">
      <c r="B5911" s="1341">
        <v>7212</v>
      </c>
      <c r="C5911" s="1341" t="s">
        <v>6596</v>
      </c>
      <c r="D5911" s="1310">
        <v>785.03000499999996</v>
      </c>
    </row>
    <row r="5912" spans="2:4" x14ac:dyDescent="0.2">
      <c r="B5912" s="1341">
        <v>7213</v>
      </c>
      <c r="C5912" s="1341" t="s">
        <v>6597</v>
      </c>
      <c r="D5912" s="1310">
        <v>731.80000299999995</v>
      </c>
    </row>
    <row r="5913" spans="2:4" x14ac:dyDescent="0.2">
      <c r="B5913" s="1341">
        <v>7214</v>
      </c>
      <c r="C5913" s="1341" t="s">
        <v>6598</v>
      </c>
      <c r="D5913" s="1310">
        <v>770.81999499999995</v>
      </c>
    </row>
    <row r="5914" spans="2:4" x14ac:dyDescent="0.2">
      <c r="B5914" s="1341">
        <v>7215</v>
      </c>
      <c r="C5914" s="1341" t="s">
        <v>6599</v>
      </c>
      <c r="D5914" s="1310">
        <v>767.22499100000005</v>
      </c>
    </row>
    <row r="5915" spans="2:4" x14ac:dyDescent="0.2">
      <c r="B5915" s="1341">
        <v>7216</v>
      </c>
      <c r="C5915" s="1341" t="s">
        <v>6600</v>
      </c>
      <c r="D5915" s="1310">
        <v>786.70001200000002</v>
      </c>
    </row>
    <row r="5916" spans="2:4" x14ac:dyDescent="0.2">
      <c r="B5916" s="1341">
        <v>7217</v>
      </c>
      <c r="C5916" s="1341" t="s">
        <v>6601</v>
      </c>
      <c r="D5916" s="1310">
        <v>815.259998</v>
      </c>
    </row>
    <row r="5917" spans="2:4" x14ac:dyDescent="0.2">
      <c r="B5917" s="1341">
        <v>7218</v>
      </c>
      <c r="C5917" s="1341" t="s">
        <v>6602</v>
      </c>
      <c r="D5917" s="1310">
        <v>769.38000499999998</v>
      </c>
    </row>
    <row r="5918" spans="2:4" x14ac:dyDescent="0.2">
      <c r="B5918" s="1341">
        <v>7219</v>
      </c>
      <c r="C5918" s="1341" t="s">
        <v>6603</v>
      </c>
      <c r="D5918" s="1310">
        <v>778.61538499999995</v>
      </c>
    </row>
    <row r="5919" spans="2:4" x14ac:dyDescent="0.2">
      <c r="B5919" s="1341">
        <v>7220</v>
      </c>
      <c r="C5919" s="1341" t="s">
        <v>3841</v>
      </c>
      <c r="D5919" s="1310">
        <v>808.26666299999999</v>
      </c>
    </row>
    <row r="5920" spans="2:4" x14ac:dyDescent="0.2">
      <c r="B5920" s="1341">
        <v>7221</v>
      </c>
      <c r="C5920" s="1341" t="s">
        <v>6604</v>
      </c>
      <c r="D5920" s="1310">
        <v>768.82728199999997</v>
      </c>
    </row>
    <row r="5921" spans="2:4" x14ac:dyDescent="0.2">
      <c r="B5921" s="1341">
        <v>7222</v>
      </c>
      <c r="C5921" s="1341" t="s">
        <v>6605</v>
      </c>
      <c r="D5921" s="1310">
        <v>806.87500799999998</v>
      </c>
    </row>
    <row r="5922" spans="2:4" x14ac:dyDescent="0.2">
      <c r="B5922" s="1341">
        <v>7223</v>
      </c>
      <c r="C5922" s="1341" t="s">
        <v>6606</v>
      </c>
      <c r="D5922" s="1310">
        <v>791.45001200000002</v>
      </c>
    </row>
    <row r="5923" spans="2:4" x14ac:dyDescent="0.2">
      <c r="B5923" s="1341">
        <v>7224</v>
      </c>
      <c r="C5923" s="1341" t="s">
        <v>6607</v>
      </c>
      <c r="D5923" s="1310">
        <v>793.45000200000004</v>
      </c>
    </row>
    <row r="5924" spans="2:4" x14ac:dyDescent="0.2">
      <c r="B5924" s="1341">
        <v>7225</v>
      </c>
      <c r="C5924" s="1341" t="s">
        <v>6608</v>
      </c>
      <c r="D5924" s="1310">
        <v>803.84545300000002</v>
      </c>
    </row>
    <row r="5925" spans="2:4" x14ac:dyDescent="0.2">
      <c r="B5925" s="1341">
        <v>7227</v>
      </c>
      <c r="C5925" s="1341" t="s">
        <v>6609</v>
      </c>
      <c r="D5925" s="1310">
        <v>697.26363900000001</v>
      </c>
    </row>
    <row r="5926" spans="2:4" x14ac:dyDescent="0.2">
      <c r="B5926" s="1341">
        <v>7228</v>
      </c>
      <c r="C5926" s="1341" t="s">
        <v>6610</v>
      </c>
      <c r="D5926" s="1310">
        <v>735.36923899999999</v>
      </c>
    </row>
    <row r="5927" spans="2:4" x14ac:dyDescent="0.2">
      <c r="B5927" s="1341">
        <v>7229</v>
      </c>
      <c r="C5927" s="1341" t="s">
        <v>6611</v>
      </c>
      <c r="D5927" s="1310">
        <v>675.45001200000002</v>
      </c>
    </row>
    <row r="5928" spans="2:4" x14ac:dyDescent="0.2">
      <c r="B5928" s="1341">
        <v>7230</v>
      </c>
      <c r="C5928" s="1341" t="s">
        <v>6612</v>
      </c>
      <c r="D5928" s="1310">
        <v>725.472219</v>
      </c>
    </row>
    <row r="5929" spans="2:4" x14ac:dyDescent="0.2">
      <c r="B5929" s="1341">
        <v>7231</v>
      </c>
      <c r="C5929" s="1341" t="s">
        <v>6613</v>
      </c>
      <c r="D5929" s="1310">
        <v>769.4375</v>
      </c>
    </row>
    <row r="5930" spans="2:4" x14ac:dyDescent="0.2">
      <c r="B5930" s="1341">
        <v>7232</v>
      </c>
      <c r="C5930" s="1341" t="s">
        <v>6614</v>
      </c>
      <c r="D5930" s="1310">
        <v>709.47691499999996</v>
      </c>
    </row>
    <row r="5931" spans="2:4" x14ac:dyDescent="0.2">
      <c r="B5931" s="1341">
        <v>7233</v>
      </c>
      <c r="C5931" s="1341" t="s">
        <v>6615</v>
      </c>
      <c r="D5931" s="1310">
        <v>751.46667500000001</v>
      </c>
    </row>
    <row r="5932" spans="2:4" x14ac:dyDescent="0.2">
      <c r="B5932" s="1341">
        <v>7234</v>
      </c>
      <c r="C5932" s="1341" t="s">
        <v>6616</v>
      </c>
      <c r="D5932" s="1310">
        <v>794.79090499999995</v>
      </c>
    </row>
    <row r="5933" spans="2:4" x14ac:dyDescent="0.2">
      <c r="B5933" s="1341">
        <v>7235</v>
      </c>
      <c r="C5933" s="1341" t="s">
        <v>6617</v>
      </c>
      <c r="D5933" s="1310">
        <v>770.15000899999995</v>
      </c>
    </row>
    <row r="5934" spans="2:4" x14ac:dyDescent="0.2">
      <c r="B5934" s="1341">
        <v>7236</v>
      </c>
      <c r="C5934" s="1341" t="s">
        <v>6618</v>
      </c>
      <c r="D5934" s="1310">
        <v>728.67500299999995</v>
      </c>
    </row>
    <row r="5935" spans="2:4" x14ac:dyDescent="0.2">
      <c r="B5935" s="1341">
        <v>7238</v>
      </c>
      <c r="C5935" s="1341" t="s">
        <v>6619</v>
      </c>
      <c r="D5935" s="1310">
        <v>794.02666799999997</v>
      </c>
    </row>
    <row r="5936" spans="2:4" x14ac:dyDescent="0.2">
      <c r="B5936" s="1341">
        <v>7239</v>
      </c>
      <c r="C5936" s="1341" t="s">
        <v>6620</v>
      </c>
      <c r="D5936" s="1310">
        <v>782.41428900000005</v>
      </c>
    </row>
    <row r="5937" spans="2:4" x14ac:dyDescent="0.2">
      <c r="B5937" s="1341">
        <v>7240</v>
      </c>
      <c r="C5937" s="1341" t="s">
        <v>1341</v>
      </c>
      <c r="D5937" s="1310">
        <v>797.10833700000001</v>
      </c>
    </row>
    <row r="5938" spans="2:4" x14ac:dyDescent="0.2">
      <c r="B5938" s="1341">
        <v>7241</v>
      </c>
      <c r="C5938" s="1341" t="s">
        <v>6621</v>
      </c>
      <c r="D5938" s="1310">
        <v>799.5</v>
      </c>
    </row>
    <row r="5939" spans="2:4" x14ac:dyDescent="0.2">
      <c r="B5939" s="1341">
        <v>7242</v>
      </c>
      <c r="C5939" s="1341" t="s">
        <v>6622</v>
      </c>
      <c r="D5939" s="1310">
        <v>836.87498500000004</v>
      </c>
    </row>
    <row r="5940" spans="2:4" x14ac:dyDescent="0.2">
      <c r="B5940" s="1341">
        <v>7243</v>
      </c>
      <c r="C5940" s="1341" t="s">
        <v>6623</v>
      </c>
      <c r="D5940" s="1310">
        <v>808.62857499999996</v>
      </c>
    </row>
    <row r="5941" spans="2:4" x14ac:dyDescent="0.2">
      <c r="B5941" s="1341">
        <v>7244</v>
      </c>
      <c r="C5941" s="1341" t="s">
        <v>6624</v>
      </c>
      <c r="D5941" s="1310">
        <v>824.48570900000004</v>
      </c>
    </row>
    <row r="5942" spans="2:4" x14ac:dyDescent="0.2">
      <c r="B5942" s="1341">
        <v>7245</v>
      </c>
      <c r="C5942" s="1341" t="s">
        <v>6625</v>
      </c>
      <c r="D5942" s="1310">
        <v>812.61537999999996</v>
      </c>
    </row>
    <row r="5943" spans="2:4" x14ac:dyDescent="0.2">
      <c r="B5943" s="1341">
        <v>7246</v>
      </c>
      <c r="C5943" s="1341" t="s">
        <v>3750</v>
      </c>
      <c r="D5943" s="1310">
        <v>796.97999300000004</v>
      </c>
    </row>
    <row r="5944" spans="2:4" x14ac:dyDescent="0.2">
      <c r="B5944" s="1341">
        <v>7247</v>
      </c>
      <c r="C5944" s="1341" t="s">
        <v>6626</v>
      </c>
      <c r="D5944" s="1310">
        <v>779.860004</v>
      </c>
    </row>
    <row r="5945" spans="2:4" x14ac:dyDescent="0.2">
      <c r="B5945" s="1341">
        <v>7248</v>
      </c>
      <c r="C5945" s="1341" t="s">
        <v>6627</v>
      </c>
      <c r="D5945" s="1310">
        <v>792.177775</v>
      </c>
    </row>
    <row r="5946" spans="2:4" x14ac:dyDescent="0.2">
      <c r="B5946" s="1341">
        <v>7249</v>
      </c>
      <c r="C5946" s="1341" t="s">
        <v>6628</v>
      </c>
      <c r="D5946" s="1310">
        <v>803.57000100000005</v>
      </c>
    </row>
    <row r="5947" spans="2:4" x14ac:dyDescent="0.2">
      <c r="B5947" s="1341">
        <v>7250</v>
      </c>
      <c r="C5947" s="1341" t="s">
        <v>6629</v>
      </c>
      <c r="D5947" s="1310">
        <v>778.29998799999998</v>
      </c>
    </row>
    <row r="5948" spans="2:4" x14ac:dyDescent="0.2">
      <c r="B5948" s="1341">
        <v>7251</v>
      </c>
      <c r="C5948" s="1341" t="s">
        <v>6630</v>
      </c>
      <c r="D5948" s="1310">
        <v>776.75</v>
      </c>
    </row>
    <row r="5949" spans="2:4" x14ac:dyDescent="0.2">
      <c r="B5949" s="1341">
        <v>7252</v>
      </c>
      <c r="C5949" s="1341" t="s">
        <v>6631</v>
      </c>
      <c r="D5949" s="1310">
        <v>759.57501200000002</v>
      </c>
    </row>
    <row r="5950" spans="2:4" x14ac:dyDescent="0.2">
      <c r="B5950" s="1341">
        <v>7253</v>
      </c>
      <c r="C5950" s="1341" t="s">
        <v>6632</v>
      </c>
      <c r="D5950" s="1310">
        <v>776.85000600000001</v>
      </c>
    </row>
    <row r="5951" spans="2:4" x14ac:dyDescent="0.2">
      <c r="B5951" s="1341">
        <v>7254</v>
      </c>
      <c r="C5951" s="1341" t="s">
        <v>6633</v>
      </c>
      <c r="D5951" s="1310">
        <v>792.17500299999995</v>
      </c>
    </row>
    <row r="5952" spans="2:4" x14ac:dyDescent="0.2">
      <c r="B5952" s="1341">
        <v>7255</v>
      </c>
      <c r="C5952" s="1341" t="s">
        <v>6634</v>
      </c>
      <c r="D5952" s="1310">
        <v>796.16667700000005</v>
      </c>
    </row>
    <row r="5953" spans="2:4" x14ac:dyDescent="0.2">
      <c r="B5953" s="1341">
        <v>7256</v>
      </c>
      <c r="C5953" s="1341" t="s">
        <v>6635</v>
      </c>
      <c r="D5953" s="1310">
        <v>788.40002400000003</v>
      </c>
    </row>
    <row r="5954" spans="2:4" x14ac:dyDescent="0.2">
      <c r="B5954" s="1341">
        <v>7257</v>
      </c>
      <c r="C5954" s="1341" t="s">
        <v>6636</v>
      </c>
      <c r="D5954" s="1310">
        <v>832.59997599999997</v>
      </c>
    </row>
    <row r="5955" spans="2:4" x14ac:dyDescent="0.2">
      <c r="B5955" s="1341">
        <v>7258</v>
      </c>
      <c r="C5955" s="1341" t="s">
        <v>6637</v>
      </c>
      <c r="D5955" s="1310">
        <v>841.633331</v>
      </c>
    </row>
    <row r="5956" spans="2:4" x14ac:dyDescent="0.2">
      <c r="B5956" s="1341">
        <v>7259</v>
      </c>
      <c r="C5956" s="1341" t="s">
        <v>6638</v>
      </c>
      <c r="D5956" s="1310">
        <v>825.04000199999996</v>
      </c>
    </row>
    <row r="5957" spans="2:4" x14ac:dyDescent="0.2">
      <c r="B5957" s="1341">
        <v>7260</v>
      </c>
      <c r="C5957" s="1341" t="s">
        <v>6639</v>
      </c>
      <c r="D5957" s="1310">
        <v>811.83333300000004</v>
      </c>
    </row>
    <row r="5958" spans="2:4" x14ac:dyDescent="0.2">
      <c r="B5958" s="1341">
        <v>7261</v>
      </c>
      <c r="C5958" s="1341" t="s">
        <v>2141</v>
      </c>
      <c r="D5958" s="1310">
        <v>837.46665399999995</v>
      </c>
    </row>
    <row r="5959" spans="2:4" x14ac:dyDescent="0.2">
      <c r="B5959" s="1341">
        <v>7262</v>
      </c>
      <c r="C5959" s="1341" t="s">
        <v>6640</v>
      </c>
      <c r="D5959" s="1310">
        <v>813.63749700000005</v>
      </c>
    </row>
    <row r="5960" spans="2:4" x14ac:dyDescent="0.2">
      <c r="B5960" s="1341">
        <v>7263</v>
      </c>
      <c r="C5960" s="1341" t="s">
        <v>6641</v>
      </c>
      <c r="D5960" s="1310">
        <v>818.69999199999995</v>
      </c>
    </row>
    <row r="5961" spans="2:4" x14ac:dyDescent="0.2">
      <c r="B5961" s="1341">
        <v>7264</v>
      </c>
      <c r="C5961" s="1341" t="s">
        <v>6642</v>
      </c>
      <c r="D5961" s="1310">
        <v>818.13749700000005</v>
      </c>
    </row>
    <row r="5962" spans="2:4" x14ac:dyDescent="0.2">
      <c r="B5962" s="1341">
        <v>7265</v>
      </c>
      <c r="C5962" s="1341" t="s">
        <v>6643</v>
      </c>
      <c r="D5962" s="1310">
        <v>811.11111100000005</v>
      </c>
    </row>
    <row r="5963" spans="2:4" x14ac:dyDescent="0.2">
      <c r="B5963" s="1341">
        <v>7266</v>
      </c>
      <c r="C5963" s="1341" t="s">
        <v>6644</v>
      </c>
      <c r="D5963" s="1310">
        <v>833.87498500000004</v>
      </c>
    </row>
    <row r="5964" spans="2:4" x14ac:dyDescent="0.2">
      <c r="B5964" s="1341">
        <v>7267</v>
      </c>
      <c r="C5964" s="1341" t="s">
        <v>6645</v>
      </c>
      <c r="D5964" s="1310">
        <v>851.39998400000002</v>
      </c>
    </row>
    <row r="5965" spans="2:4" x14ac:dyDescent="0.2">
      <c r="B5965" s="1341">
        <v>7268</v>
      </c>
      <c r="C5965" s="1341" t="s">
        <v>6375</v>
      </c>
      <c r="D5965" s="1310">
        <v>846.32000700000003</v>
      </c>
    </row>
    <row r="5966" spans="2:4" x14ac:dyDescent="0.2">
      <c r="B5966" s="1341">
        <v>7269</v>
      </c>
      <c r="C5966" s="1341" t="s">
        <v>6646</v>
      </c>
      <c r="D5966" s="1310">
        <v>845.671426</v>
      </c>
    </row>
    <row r="5967" spans="2:4" x14ac:dyDescent="0.2">
      <c r="B5967" s="1341">
        <v>7270</v>
      </c>
      <c r="C5967" s="1341" t="s">
        <v>6564</v>
      </c>
      <c r="D5967" s="1310">
        <v>805.21666500000003</v>
      </c>
    </row>
    <row r="5968" spans="2:4" x14ac:dyDescent="0.2">
      <c r="B5968" s="1341">
        <v>7271</v>
      </c>
      <c r="C5968" s="1341" t="s">
        <v>6647</v>
      </c>
      <c r="D5968" s="1310">
        <v>837.759998</v>
      </c>
    </row>
    <row r="5969" spans="2:4" x14ac:dyDescent="0.2">
      <c r="B5969" s="1341">
        <v>7272</v>
      </c>
      <c r="C5969" s="1341" t="s">
        <v>6648</v>
      </c>
      <c r="D5969" s="1310">
        <v>838.55999799999995</v>
      </c>
    </row>
    <row r="5970" spans="2:4" x14ac:dyDescent="0.2">
      <c r="B5970" s="1341">
        <v>7273</v>
      </c>
      <c r="C5970" s="1341" t="s">
        <v>6649</v>
      </c>
      <c r="D5970" s="1310">
        <v>879.28181600000005</v>
      </c>
    </row>
    <row r="5971" spans="2:4" x14ac:dyDescent="0.2">
      <c r="B5971" s="1341">
        <v>7274</v>
      </c>
      <c r="C5971" s="1341" t="s">
        <v>6650</v>
      </c>
      <c r="D5971" s="1310">
        <v>797.40001199999995</v>
      </c>
    </row>
    <row r="5972" spans="2:4" x14ac:dyDescent="0.2">
      <c r="B5972" s="1341">
        <v>7275</v>
      </c>
      <c r="C5972" s="1341" t="s">
        <v>6651</v>
      </c>
      <c r="D5972" s="1310">
        <v>812.25000799999998</v>
      </c>
    </row>
    <row r="5973" spans="2:4" x14ac:dyDescent="0.2">
      <c r="B5973" s="1341">
        <v>7276</v>
      </c>
      <c r="C5973" s="1341" t="s">
        <v>6652</v>
      </c>
      <c r="D5973" s="1310">
        <v>801.87143400000002</v>
      </c>
    </row>
    <row r="5974" spans="2:4" x14ac:dyDescent="0.2">
      <c r="B5974" s="1341">
        <v>7277</v>
      </c>
      <c r="C5974" s="1341" t="s">
        <v>1939</v>
      </c>
      <c r="D5974" s="1310">
        <v>785.375</v>
      </c>
    </row>
    <row r="5975" spans="2:4" x14ac:dyDescent="0.2">
      <c r="B5975" s="1341">
        <v>7278</v>
      </c>
      <c r="C5975" s="1341" t="s">
        <v>6653</v>
      </c>
      <c r="D5975" s="1310">
        <v>814.81667100000004</v>
      </c>
    </row>
    <row r="5976" spans="2:4" x14ac:dyDescent="0.2">
      <c r="B5976" s="1341">
        <v>7279</v>
      </c>
      <c r="C5976" s="1341" t="s">
        <v>6654</v>
      </c>
      <c r="D5976" s="1310">
        <v>803.19999700000005</v>
      </c>
    </row>
    <row r="5977" spans="2:4" x14ac:dyDescent="0.2">
      <c r="B5977" s="1341">
        <v>7280</v>
      </c>
      <c r="C5977" s="1341" t="s">
        <v>4230</v>
      </c>
      <c r="D5977" s="1310">
        <v>809.48000500000001</v>
      </c>
    </row>
    <row r="5978" spans="2:4" x14ac:dyDescent="0.2">
      <c r="B5978" s="1341">
        <v>7281</v>
      </c>
      <c r="C5978" s="1341" t="s">
        <v>6655</v>
      </c>
      <c r="D5978" s="1310">
        <v>819.87142500000004</v>
      </c>
    </row>
    <row r="5979" spans="2:4" x14ac:dyDescent="0.2">
      <c r="B5979" s="1341">
        <v>7282</v>
      </c>
      <c r="C5979" s="1341" t="s">
        <v>6656</v>
      </c>
      <c r="D5979" s="1310">
        <v>838.39999799999998</v>
      </c>
    </row>
    <row r="5980" spans="2:4" x14ac:dyDescent="0.2">
      <c r="B5980" s="1341">
        <v>7283</v>
      </c>
      <c r="C5980" s="1341" t="s">
        <v>6657</v>
      </c>
      <c r="D5980" s="1310">
        <v>794.46250899999995</v>
      </c>
    </row>
    <row r="5981" spans="2:4" x14ac:dyDescent="0.2">
      <c r="B5981" s="1341">
        <v>7284</v>
      </c>
      <c r="C5981" s="1341" t="s">
        <v>6658</v>
      </c>
      <c r="D5981" s="1310">
        <v>838.75</v>
      </c>
    </row>
    <row r="5982" spans="2:4" x14ac:dyDescent="0.2">
      <c r="B5982" s="1341">
        <v>7285</v>
      </c>
      <c r="C5982" s="1341" t="s">
        <v>6659</v>
      </c>
      <c r="D5982" s="1310">
        <v>812.85000600000001</v>
      </c>
    </row>
    <row r="5983" spans="2:4" x14ac:dyDescent="0.2">
      <c r="B5983" s="1341">
        <v>7286</v>
      </c>
      <c r="C5983" s="1341" t="s">
        <v>447</v>
      </c>
      <c r="D5983" s="1310">
        <v>767.179169</v>
      </c>
    </row>
    <row r="5984" spans="2:4" x14ac:dyDescent="0.2">
      <c r="B5984" s="1341">
        <v>7287</v>
      </c>
      <c r="C5984" s="1341" t="s">
        <v>5888</v>
      </c>
      <c r="D5984" s="1310">
        <v>758.75000799999998</v>
      </c>
    </row>
    <row r="5985" spans="2:4" x14ac:dyDescent="0.2">
      <c r="B5985" s="1341">
        <v>7288</v>
      </c>
      <c r="C5985" s="1341" t="s">
        <v>6660</v>
      </c>
      <c r="D5985" s="1310">
        <v>737.14482599999997</v>
      </c>
    </row>
    <row r="5986" spans="2:4" x14ac:dyDescent="0.2">
      <c r="B5986" s="1341">
        <v>7289</v>
      </c>
      <c r="C5986" s="1341" t="s">
        <v>6661</v>
      </c>
      <c r="D5986" s="1310">
        <v>778.69999199999995</v>
      </c>
    </row>
    <row r="5987" spans="2:4" x14ac:dyDescent="0.2">
      <c r="B5987" s="1341">
        <v>7290</v>
      </c>
      <c r="C5987" s="1341" t="s">
        <v>6662</v>
      </c>
      <c r="D5987" s="1310">
        <v>767.96665399999995</v>
      </c>
    </row>
    <row r="5988" spans="2:4" x14ac:dyDescent="0.2">
      <c r="B5988" s="1341">
        <v>7291</v>
      </c>
      <c r="C5988" s="1341" t="s">
        <v>6663</v>
      </c>
      <c r="D5988" s="1310">
        <v>784.01667299999997</v>
      </c>
    </row>
    <row r="5989" spans="2:4" x14ac:dyDescent="0.2">
      <c r="B5989" s="1341">
        <v>7292</v>
      </c>
      <c r="C5989" s="1341" t="s">
        <v>6664</v>
      </c>
      <c r="D5989" s="1310">
        <v>788.76153999999997</v>
      </c>
    </row>
    <row r="5990" spans="2:4" x14ac:dyDescent="0.2">
      <c r="B5990" s="1341">
        <v>7293</v>
      </c>
      <c r="C5990" s="1341" t="s">
        <v>6318</v>
      </c>
      <c r="D5990" s="1310">
        <v>842.726315</v>
      </c>
    </row>
    <row r="5991" spans="2:4" x14ac:dyDescent="0.2">
      <c r="B5991" s="1341">
        <v>7294</v>
      </c>
      <c r="C5991" s="1341" t="s">
        <v>6665</v>
      </c>
      <c r="D5991" s="1310">
        <v>806.56153800000004</v>
      </c>
    </row>
    <row r="5992" spans="2:4" x14ac:dyDescent="0.2">
      <c r="B5992" s="1341">
        <v>7295</v>
      </c>
      <c r="C5992" s="1341" t="s">
        <v>4399</v>
      </c>
      <c r="D5992" s="1310">
        <v>812.80715899999996</v>
      </c>
    </row>
    <row r="5993" spans="2:4" x14ac:dyDescent="0.2">
      <c r="B5993" s="1341">
        <v>7296</v>
      </c>
      <c r="C5993" s="1341" t="s">
        <v>6666</v>
      </c>
      <c r="D5993" s="1310">
        <v>804.09999600000003</v>
      </c>
    </row>
    <row r="5994" spans="2:4" x14ac:dyDescent="0.2">
      <c r="B5994" s="1341">
        <v>7297</v>
      </c>
      <c r="C5994" s="1341" t="s">
        <v>6667</v>
      </c>
      <c r="D5994" s="1310">
        <v>828.53332499999999</v>
      </c>
    </row>
    <row r="5995" spans="2:4" x14ac:dyDescent="0.2">
      <c r="B5995" s="1341">
        <v>7298</v>
      </c>
      <c r="C5995" s="1341" t="s">
        <v>6668</v>
      </c>
      <c r="D5995" s="1310">
        <v>835.29998799999998</v>
      </c>
    </row>
    <row r="5996" spans="2:4" x14ac:dyDescent="0.2">
      <c r="B5996" s="1341">
        <v>7299</v>
      </c>
      <c r="C5996" s="1341" t="s">
        <v>6669</v>
      </c>
      <c r="D5996" s="1310">
        <v>816.20001200000002</v>
      </c>
    </row>
    <row r="5997" spans="2:4" x14ac:dyDescent="0.2">
      <c r="B5997" s="1341">
        <v>7300</v>
      </c>
      <c r="C5997" s="1341" t="s">
        <v>6670</v>
      </c>
      <c r="D5997" s="1310">
        <v>862.22500600000001</v>
      </c>
    </row>
    <row r="5998" spans="2:4" x14ac:dyDescent="0.2">
      <c r="B5998" s="1341">
        <v>7301</v>
      </c>
      <c r="C5998" s="1341" t="s">
        <v>6671</v>
      </c>
      <c r="D5998" s="1310">
        <v>882</v>
      </c>
    </row>
    <row r="5999" spans="2:4" x14ac:dyDescent="0.2">
      <c r="B5999" s="1341">
        <v>7302</v>
      </c>
      <c r="C5999" s="1341" t="s">
        <v>6672</v>
      </c>
      <c r="D5999" s="1310">
        <v>859.63334099999997</v>
      </c>
    </row>
    <row r="6000" spans="2:4" x14ac:dyDescent="0.2">
      <c r="B6000" s="1341">
        <v>7303</v>
      </c>
      <c r="C6000" s="1341" t="s">
        <v>6673</v>
      </c>
      <c r="D6000" s="1310">
        <v>930.78333499999997</v>
      </c>
    </row>
    <row r="6001" spans="2:4" x14ac:dyDescent="0.2">
      <c r="B6001" s="1341">
        <v>7304</v>
      </c>
      <c r="C6001" s="1341" t="s">
        <v>6674</v>
      </c>
      <c r="D6001" s="1310">
        <v>837.78928699999994</v>
      </c>
    </row>
    <row r="6002" spans="2:4" x14ac:dyDescent="0.2">
      <c r="B6002" s="1341">
        <v>7305</v>
      </c>
      <c r="C6002" s="1341" t="s">
        <v>6675</v>
      </c>
      <c r="D6002" s="1310">
        <v>911.16667700000005</v>
      </c>
    </row>
    <row r="6003" spans="2:4" x14ac:dyDescent="0.2">
      <c r="B6003" s="1341">
        <v>7306</v>
      </c>
      <c r="C6003" s="1341" t="s">
        <v>1352</v>
      </c>
      <c r="D6003" s="1310">
        <v>914.23333700000001</v>
      </c>
    </row>
    <row r="6004" spans="2:4" x14ac:dyDescent="0.2">
      <c r="B6004" s="1341">
        <v>7307</v>
      </c>
      <c r="C6004" s="1341" t="s">
        <v>6676</v>
      </c>
      <c r="D6004" s="1310">
        <v>876.73076900000001</v>
      </c>
    </row>
    <row r="6005" spans="2:4" x14ac:dyDescent="0.2">
      <c r="B6005" s="1341">
        <v>7308</v>
      </c>
      <c r="C6005" s="1341" t="s">
        <v>6677</v>
      </c>
      <c r="D6005" s="1310">
        <v>878.43333900000005</v>
      </c>
    </row>
    <row r="6006" spans="2:4" x14ac:dyDescent="0.2">
      <c r="B6006" s="1341">
        <v>7309</v>
      </c>
      <c r="C6006" s="1341" t="s">
        <v>6678</v>
      </c>
      <c r="D6006" s="1310">
        <v>831.75263700000005</v>
      </c>
    </row>
    <row r="6007" spans="2:4" x14ac:dyDescent="0.2">
      <c r="B6007" s="1341">
        <v>7310</v>
      </c>
      <c r="C6007" s="1341" t="s">
        <v>6679</v>
      </c>
      <c r="D6007" s="1310">
        <v>899.20910100000003</v>
      </c>
    </row>
    <row r="6008" spans="2:4" x14ac:dyDescent="0.2">
      <c r="B6008" s="1341">
        <v>7311</v>
      </c>
      <c r="C6008" s="1341" t="s">
        <v>6680</v>
      </c>
      <c r="D6008" s="1310">
        <v>892.39999399999999</v>
      </c>
    </row>
    <row r="6009" spans="2:4" x14ac:dyDescent="0.2">
      <c r="B6009" s="1341">
        <v>7312</v>
      </c>
      <c r="C6009" s="1341" t="s">
        <v>5838</v>
      </c>
      <c r="D6009" s="1310">
        <v>893.56153800000004</v>
      </c>
    </row>
    <row r="6010" spans="2:4" x14ac:dyDescent="0.2">
      <c r="B6010" s="1341">
        <v>7313</v>
      </c>
      <c r="C6010" s="1341" t="s">
        <v>6681</v>
      </c>
      <c r="D6010" s="1310">
        <v>952.04000199999996</v>
      </c>
    </row>
    <row r="6011" spans="2:4" x14ac:dyDescent="0.2">
      <c r="B6011" s="1341">
        <v>7314</v>
      </c>
      <c r="C6011" s="1341" t="s">
        <v>1760</v>
      </c>
      <c r="D6011" s="1310">
        <v>916.28000499999996</v>
      </c>
    </row>
    <row r="6012" spans="2:4" x14ac:dyDescent="0.2">
      <c r="B6012" s="1341">
        <v>7315</v>
      </c>
      <c r="C6012" s="1341" t="s">
        <v>6682</v>
      </c>
      <c r="D6012" s="1310">
        <v>909.95000200000004</v>
      </c>
    </row>
    <row r="6013" spans="2:4" x14ac:dyDescent="0.2">
      <c r="B6013" s="1341">
        <v>7316</v>
      </c>
      <c r="C6013" s="1341" t="s">
        <v>6683</v>
      </c>
      <c r="D6013" s="1310">
        <v>910.08235400000001</v>
      </c>
    </row>
    <row r="6014" spans="2:4" x14ac:dyDescent="0.2">
      <c r="B6014" s="1341">
        <v>7317</v>
      </c>
      <c r="C6014" s="1341" t="s">
        <v>4870</v>
      </c>
      <c r="D6014" s="1310">
        <v>888.19998199999998</v>
      </c>
    </row>
    <row r="6015" spans="2:4" x14ac:dyDescent="0.2">
      <c r="B6015" s="1341">
        <v>7318</v>
      </c>
      <c r="C6015" s="1341" t="s">
        <v>6684</v>
      </c>
      <c r="D6015" s="1310">
        <v>918.22727799999996</v>
      </c>
    </row>
    <row r="6016" spans="2:4" x14ac:dyDescent="0.2">
      <c r="B6016" s="1341">
        <v>7319</v>
      </c>
      <c r="C6016" s="1341" t="s">
        <v>6685</v>
      </c>
      <c r="D6016" s="1310">
        <v>919.79998799999998</v>
      </c>
    </row>
    <row r="6017" spans="2:4" x14ac:dyDescent="0.2">
      <c r="B6017" s="1341">
        <v>7320</v>
      </c>
      <c r="C6017" s="1341" t="s">
        <v>6686</v>
      </c>
      <c r="D6017" s="1310">
        <v>861.63636399999996</v>
      </c>
    </row>
    <row r="6018" spans="2:4" x14ac:dyDescent="0.2">
      <c r="B6018" s="1341">
        <v>7321</v>
      </c>
      <c r="C6018" s="1341" t="s">
        <v>6687</v>
      </c>
      <c r="D6018" s="1310">
        <v>928.44374800000003</v>
      </c>
    </row>
    <row r="6019" spans="2:4" x14ac:dyDescent="0.2">
      <c r="B6019" s="1341">
        <v>7322</v>
      </c>
      <c r="C6019" s="1341" t="s">
        <v>6688</v>
      </c>
      <c r="D6019" s="1310">
        <v>842.24667599999998</v>
      </c>
    </row>
    <row r="6020" spans="2:4" x14ac:dyDescent="0.2">
      <c r="B6020" s="1341">
        <v>7323</v>
      </c>
      <c r="C6020" s="1341" t="s">
        <v>6689</v>
      </c>
      <c r="D6020" s="1310">
        <v>837.78571399999998</v>
      </c>
    </row>
    <row r="6021" spans="2:4" x14ac:dyDescent="0.2">
      <c r="B6021" s="1341">
        <v>7324</v>
      </c>
      <c r="C6021" s="1341" t="s">
        <v>6690</v>
      </c>
      <c r="D6021" s="1310">
        <v>836.62500399999999</v>
      </c>
    </row>
    <row r="6022" spans="2:4" x14ac:dyDescent="0.2">
      <c r="B6022" s="1341">
        <v>7326</v>
      </c>
      <c r="C6022" s="1341" t="s">
        <v>6691</v>
      </c>
      <c r="D6022" s="1310">
        <v>875.05516899999998</v>
      </c>
    </row>
    <row r="6023" spans="2:4" x14ac:dyDescent="0.2">
      <c r="B6023" s="1341">
        <v>7327</v>
      </c>
      <c r="C6023" s="1341" t="s">
        <v>1967</v>
      </c>
      <c r="D6023" s="1310">
        <v>952.89998400000002</v>
      </c>
    </row>
    <row r="6024" spans="2:4" x14ac:dyDescent="0.2">
      <c r="B6024" s="1341">
        <v>7328</v>
      </c>
      <c r="C6024" s="1341" t="s">
        <v>6692</v>
      </c>
      <c r="D6024" s="1310">
        <v>935.76667599999996</v>
      </c>
    </row>
    <row r="6025" spans="2:4" x14ac:dyDescent="0.2">
      <c r="B6025" s="1341">
        <v>7329</v>
      </c>
      <c r="C6025" s="1341" t="s">
        <v>6421</v>
      </c>
      <c r="D6025" s="1310">
        <v>868.34000200000003</v>
      </c>
    </row>
    <row r="6026" spans="2:4" x14ac:dyDescent="0.2">
      <c r="B6026" s="1341">
        <v>7330</v>
      </c>
      <c r="C6026" s="1341" t="s">
        <v>6693</v>
      </c>
      <c r="D6026" s="1310">
        <v>935.55001100000004</v>
      </c>
    </row>
    <row r="6027" spans="2:4" x14ac:dyDescent="0.2">
      <c r="B6027" s="1341">
        <v>7331</v>
      </c>
      <c r="C6027" s="1341" t="s">
        <v>6694</v>
      </c>
      <c r="D6027" s="1310">
        <v>856.85000300000002</v>
      </c>
    </row>
    <row r="6028" spans="2:4" x14ac:dyDescent="0.2">
      <c r="B6028" s="1341">
        <v>7332</v>
      </c>
      <c r="C6028" s="1341" t="s">
        <v>4248</v>
      </c>
      <c r="D6028" s="1310">
        <v>848.18125499999996</v>
      </c>
    </row>
    <row r="6029" spans="2:4" x14ac:dyDescent="0.2">
      <c r="B6029" s="1341">
        <v>7333</v>
      </c>
      <c r="C6029" s="1341" t="s">
        <v>6695</v>
      </c>
      <c r="D6029" s="1310">
        <v>891.54000499999995</v>
      </c>
    </row>
    <row r="6030" spans="2:4" x14ac:dyDescent="0.2">
      <c r="B6030" s="1341">
        <v>7334</v>
      </c>
      <c r="C6030" s="1341" t="s">
        <v>6696</v>
      </c>
      <c r="D6030" s="1310">
        <v>897.4375</v>
      </c>
    </row>
    <row r="6031" spans="2:4" x14ac:dyDescent="0.2">
      <c r="B6031" s="1341">
        <v>7335</v>
      </c>
      <c r="C6031" s="1341" t="s">
        <v>6697</v>
      </c>
      <c r="D6031" s="1310">
        <v>892.97272299999997</v>
      </c>
    </row>
    <row r="6032" spans="2:4" x14ac:dyDescent="0.2">
      <c r="B6032" s="1341">
        <v>7336</v>
      </c>
      <c r="C6032" s="1341" t="s">
        <v>6698</v>
      </c>
      <c r="D6032" s="1310">
        <v>894.06874100000005</v>
      </c>
    </row>
    <row r="6033" spans="2:4" x14ac:dyDescent="0.2">
      <c r="B6033" s="1341">
        <v>7337</v>
      </c>
      <c r="C6033" s="1341" t="s">
        <v>6699</v>
      </c>
      <c r="D6033" s="1310">
        <v>814.66666699999996</v>
      </c>
    </row>
    <row r="6034" spans="2:4" x14ac:dyDescent="0.2">
      <c r="B6034" s="1341">
        <v>7351</v>
      </c>
      <c r="C6034" s="1341" t="s">
        <v>6700</v>
      </c>
      <c r="D6034" s="1310">
        <v>792.78000499999996</v>
      </c>
    </row>
    <row r="6035" spans="2:4" x14ac:dyDescent="0.2">
      <c r="B6035" s="1341">
        <v>7352</v>
      </c>
      <c r="C6035" s="1341" t="s">
        <v>6701</v>
      </c>
      <c r="D6035" s="1310">
        <v>793.56666099999995</v>
      </c>
    </row>
    <row r="6036" spans="2:4" x14ac:dyDescent="0.2">
      <c r="B6036" s="1341">
        <v>7353</v>
      </c>
      <c r="C6036" s="1341" t="s">
        <v>6702</v>
      </c>
      <c r="D6036" s="1310">
        <v>803.42000099999996</v>
      </c>
    </row>
    <row r="6037" spans="2:4" x14ac:dyDescent="0.2">
      <c r="B6037" s="1341">
        <v>7354</v>
      </c>
      <c r="C6037" s="1341" t="s">
        <v>6703</v>
      </c>
      <c r="D6037" s="1310">
        <v>808.65714800000001</v>
      </c>
    </row>
    <row r="6038" spans="2:4" x14ac:dyDescent="0.2">
      <c r="B6038" s="1341">
        <v>7355</v>
      </c>
      <c r="C6038" s="1341" t="s">
        <v>6704</v>
      </c>
      <c r="D6038" s="1310">
        <v>783.61111100000005</v>
      </c>
    </row>
    <row r="6039" spans="2:4" x14ac:dyDescent="0.2">
      <c r="B6039" s="1341">
        <v>7356</v>
      </c>
      <c r="C6039" s="1341" t="s">
        <v>6705</v>
      </c>
      <c r="D6039" s="1310">
        <v>802.21666500000003</v>
      </c>
    </row>
    <row r="6040" spans="2:4" x14ac:dyDescent="0.2">
      <c r="B6040" s="1341">
        <v>7357</v>
      </c>
      <c r="C6040" s="1341" t="s">
        <v>1830</v>
      </c>
      <c r="D6040" s="1310">
        <v>821.81427900000006</v>
      </c>
    </row>
    <row r="6041" spans="2:4" x14ac:dyDescent="0.2">
      <c r="B6041" s="1341">
        <v>7358</v>
      </c>
      <c r="C6041" s="1341" t="s">
        <v>6706</v>
      </c>
      <c r="D6041" s="1310">
        <v>780.32498899999996</v>
      </c>
    </row>
    <row r="6042" spans="2:4" x14ac:dyDescent="0.2">
      <c r="B6042" s="1341">
        <v>7359</v>
      </c>
      <c r="C6042" s="1341" t="s">
        <v>6707</v>
      </c>
      <c r="D6042" s="1310">
        <v>810.00001499999996</v>
      </c>
    </row>
    <row r="6043" spans="2:4" x14ac:dyDescent="0.2">
      <c r="B6043" s="1341">
        <v>7360</v>
      </c>
      <c r="C6043" s="1341" t="s">
        <v>6708</v>
      </c>
      <c r="D6043" s="1310">
        <v>831.21999500000004</v>
      </c>
    </row>
    <row r="6044" spans="2:4" x14ac:dyDescent="0.2">
      <c r="B6044" s="1341">
        <v>7361</v>
      </c>
      <c r="C6044" s="1341" t="s">
        <v>6709</v>
      </c>
      <c r="D6044" s="1310">
        <v>825.79998799999998</v>
      </c>
    </row>
    <row r="6045" spans="2:4" x14ac:dyDescent="0.2">
      <c r="B6045" s="1341">
        <v>7362</v>
      </c>
      <c r="C6045" s="1341" t="s">
        <v>6710</v>
      </c>
      <c r="D6045" s="1310">
        <v>836.48571800000002</v>
      </c>
    </row>
    <row r="6046" spans="2:4" x14ac:dyDescent="0.2">
      <c r="B6046" s="1341">
        <v>7363</v>
      </c>
      <c r="C6046" s="1341" t="s">
        <v>6711</v>
      </c>
      <c r="D6046" s="1310">
        <v>830.31428700000004</v>
      </c>
    </row>
    <row r="6047" spans="2:4" x14ac:dyDescent="0.2">
      <c r="B6047" s="1341">
        <v>7364</v>
      </c>
      <c r="C6047" s="1341" t="s">
        <v>6712</v>
      </c>
      <c r="D6047" s="1310">
        <v>852.0625</v>
      </c>
    </row>
    <row r="6048" spans="2:4" x14ac:dyDescent="0.2">
      <c r="B6048" s="1341">
        <v>7365</v>
      </c>
      <c r="C6048" s="1341" t="s">
        <v>6713</v>
      </c>
      <c r="D6048" s="1310">
        <v>858.36666500000001</v>
      </c>
    </row>
    <row r="6049" spans="2:4" x14ac:dyDescent="0.2">
      <c r="B6049" s="1341">
        <v>7366</v>
      </c>
      <c r="C6049" s="1341" t="s">
        <v>6714</v>
      </c>
      <c r="D6049" s="1310">
        <v>776.40000399999997</v>
      </c>
    </row>
    <row r="6050" spans="2:4" x14ac:dyDescent="0.2">
      <c r="B6050" s="1341">
        <v>7367</v>
      </c>
      <c r="C6050" s="1341" t="s">
        <v>6715</v>
      </c>
      <c r="D6050" s="1310">
        <v>764.94998199999998</v>
      </c>
    </row>
    <row r="6051" spans="2:4" x14ac:dyDescent="0.2">
      <c r="B6051" s="1341">
        <v>7368</v>
      </c>
      <c r="C6051" s="1341" t="s">
        <v>6716</v>
      </c>
      <c r="D6051" s="1310">
        <v>779.32000700000003</v>
      </c>
    </row>
    <row r="6052" spans="2:4" x14ac:dyDescent="0.2">
      <c r="B6052" s="1341">
        <v>7369</v>
      </c>
      <c r="C6052" s="1341" t="s">
        <v>6717</v>
      </c>
      <c r="D6052" s="1310">
        <v>787.81667100000004</v>
      </c>
    </row>
    <row r="6053" spans="2:4" x14ac:dyDescent="0.2">
      <c r="B6053" s="1341">
        <v>7370</v>
      </c>
      <c r="C6053" s="1341" t="s">
        <v>6718</v>
      </c>
      <c r="D6053" s="1310">
        <v>794.36665900000003</v>
      </c>
    </row>
    <row r="6054" spans="2:4" x14ac:dyDescent="0.2">
      <c r="B6054" s="1341">
        <v>7371</v>
      </c>
      <c r="C6054" s="1341" t="s">
        <v>6719</v>
      </c>
      <c r="D6054" s="1310">
        <v>797.59231299999999</v>
      </c>
    </row>
    <row r="6055" spans="2:4" x14ac:dyDescent="0.2">
      <c r="B6055" s="1341">
        <v>7372</v>
      </c>
      <c r="C6055" s="1341" t="s">
        <v>6720</v>
      </c>
      <c r="D6055" s="1310">
        <v>791.65713900000003</v>
      </c>
    </row>
    <row r="6056" spans="2:4" x14ac:dyDescent="0.2">
      <c r="B6056" s="1341">
        <v>7373</v>
      </c>
      <c r="C6056" s="1341" t="s">
        <v>6721</v>
      </c>
      <c r="D6056" s="1310">
        <v>799.32501200000002</v>
      </c>
    </row>
    <row r="6057" spans="2:4" x14ac:dyDescent="0.2">
      <c r="B6057" s="1341">
        <v>7374</v>
      </c>
      <c r="C6057" s="1341" t="s">
        <v>6537</v>
      </c>
      <c r="D6057" s="1310">
        <v>825.92500299999995</v>
      </c>
    </row>
    <row r="6058" spans="2:4" x14ac:dyDescent="0.2">
      <c r="B6058" s="1341">
        <v>7375</v>
      </c>
      <c r="C6058" s="1341" t="s">
        <v>6722</v>
      </c>
      <c r="D6058" s="1310">
        <v>811.240002</v>
      </c>
    </row>
    <row r="6059" spans="2:4" x14ac:dyDescent="0.2">
      <c r="B6059" s="1341">
        <v>7376</v>
      </c>
      <c r="C6059" s="1341" t="s">
        <v>5391</v>
      </c>
      <c r="D6059" s="1310">
        <v>818.85555699999998</v>
      </c>
    </row>
    <row r="6060" spans="2:4" x14ac:dyDescent="0.2">
      <c r="B6060" s="1341">
        <v>7377</v>
      </c>
      <c r="C6060" s="1341" t="s">
        <v>6723</v>
      </c>
      <c r="D6060" s="1310">
        <v>808.69999199999995</v>
      </c>
    </row>
    <row r="6061" spans="2:4" x14ac:dyDescent="0.2">
      <c r="B6061" s="1341">
        <v>7378</v>
      </c>
      <c r="C6061" s="1341" t="s">
        <v>6724</v>
      </c>
      <c r="D6061" s="1310">
        <v>830.92498799999998</v>
      </c>
    </row>
    <row r="6062" spans="2:4" x14ac:dyDescent="0.2">
      <c r="B6062" s="1341">
        <v>7379</v>
      </c>
      <c r="C6062" s="1341" t="s">
        <v>1776</v>
      </c>
      <c r="D6062" s="1310">
        <v>827.14999399999999</v>
      </c>
    </row>
    <row r="6063" spans="2:4" x14ac:dyDescent="0.2">
      <c r="B6063" s="1341">
        <v>7380</v>
      </c>
      <c r="C6063" s="1341" t="s">
        <v>6725</v>
      </c>
      <c r="D6063" s="1310">
        <v>839.63999000000001</v>
      </c>
    </row>
    <row r="6064" spans="2:4" x14ac:dyDescent="0.2">
      <c r="B6064" s="1341">
        <v>7381</v>
      </c>
      <c r="C6064" s="1341" t="s">
        <v>6726</v>
      </c>
      <c r="D6064" s="1310">
        <v>812.88750700000003</v>
      </c>
    </row>
    <row r="6065" spans="2:4" x14ac:dyDescent="0.2">
      <c r="B6065" s="1341">
        <v>7382</v>
      </c>
      <c r="C6065" s="1341" t="s">
        <v>3982</v>
      </c>
      <c r="D6065" s="1310">
        <v>853.24999000000003</v>
      </c>
    </row>
    <row r="6066" spans="2:4" x14ac:dyDescent="0.2">
      <c r="B6066" s="1341">
        <v>7383</v>
      </c>
      <c r="C6066" s="1341" t="s">
        <v>6727</v>
      </c>
      <c r="D6066" s="1310">
        <v>849.72499100000005</v>
      </c>
    </row>
    <row r="6067" spans="2:4" x14ac:dyDescent="0.2">
      <c r="B6067" s="1341">
        <v>7384</v>
      </c>
      <c r="C6067" s="1341" t="s">
        <v>6375</v>
      </c>
      <c r="D6067" s="1310">
        <v>852.97500600000001</v>
      </c>
    </row>
    <row r="6068" spans="2:4" x14ac:dyDescent="0.2">
      <c r="B6068" s="1341">
        <v>7385</v>
      </c>
      <c r="C6068" s="1341" t="s">
        <v>6728</v>
      </c>
      <c r="D6068" s="1310">
        <v>860.79998799999998</v>
      </c>
    </row>
    <row r="6069" spans="2:4" x14ac:dyDescent="0.2">
      <c r="B6069" s="1341">
        <v>7386</v>
      </c>
      <c r="C6069" s="1341" t="s">
        <v>6729</v>
      </c>
      <c r="D6069" s="1310">
        <v>853.30000800000005</v>
      </c>
    </row>
    <row r="6070" spans="2:4" x14ac:dyDescent="0.2">
      <c r="B6070" s="1341">
        <v>7387</v>
      </c>
      <c r="C6070" s="1341" t="s">
        <v>6730</v>
      </c>
      <c r="D6070" s="1310">
        <v>857.76666299999999</v>
      </c>
    </row>
    <row r="6071" spans="2:4" x14ac:dyDescent="0.2">
      <c r="B6071" s="1341">
        <v>7388</v>
      </c>
      <c r="C6071" s="1341" t="s">
        <v>6731</v>
      </c>
      <c r="D6071" s="1310">
        <v>853.17142200000001</v>
      </c>
    </row>
    <row r="6072" spans="2:4" x14ac:dyDescent="0.2">
      <c r="B6072" s="1341">
        <v>7389</v>
      </c>
      <c r="C6072" s="1341" t="s">
        <v>6732</v>
      </c>
      <c r="D6072" s="1310">
        <v>832.668182</v>
      </c>
    </row>
    <row r="6073" spans="2:4" x14ac:dyDescent="0.2">
      <c r="B6073" s="1341">
        <v>7390</v>
      </c>
      <c r="C6073" s="1341" t="s">
        <v>6733</v>
      </c>
      <c r="D6073" s="1310">
        <v>855</v>
      </c>
    </row>
    <row r="6074" spans="2:4" x14ac:dyDescent="0.2">
      <c r="B6074" s="1341">
        <v>7391</v>
      </c>
      <c r="C6074" s="1341" t="s">
        <v>6734</v>
      </c>
      <c r="D6074" s="1310">
        <v>826.03332499999999</v>
      </c>
    </row>
    <row r="6075" spans="2:4" x14ac:dyDescent="0.2">
      <c r="B6075" s="1341">
        <v>7392</v>
      </c>
      <c r="C6075" s="1341" t="s">
        <v>6735</v>
      </c>
      <c r="D6075" s="1310">
        <v>840.75</v>
      </c>
    </row>
    <row r="6076" spans="2:4" x14ac:dyDescent="0.2">
      <c r="B6076" s="1341">
        <v>7393</v>
      </c>
      <c r="C6076" s="1341" t="s">
        <v>6736</v>
      </c>
      <c r="D6076" s="1310">
        <v>853.56667100000004</v>
      </c>
    </row>
    <row r="6077" spans="2:4" x14ac:dyDescent="0.2">
      <c r="B6077" s="1341">
        <v>7394</v>
      </c>
      <c r="C6077" s="1341" t="s">
        <v>5415</v>
      </c>
      <c r="D6077" s="1310">
        <v>858.90002400000003</v>
      </c>
    </row>
    <row r="6078" spans="2:4" x14ac:dyDescent="0.2">
      <c r="B6078" s="1341">
        <v>7395</v>
      </c>
      <c r="C6078" s="1341" t="s">
        <v>6737</v>
      </c>
      <c r="D6078" s="1310">
        <v>824.08571099999995</v>
      </c>
    </row>
    <row r="6079" spans="2:4" x14ac:dyDescent="0.2">
      <c r="B6079" s="1341">
        <v>7396</v>
      </c>
      <c r="C6079" s="1341" t="s">
        <v>6738</v>
      </c>
      <c r="D6079" s="1310">
        <v>839.51666299999999</v>
      </c>
    </row>
    <row r="6080" spans="2:4" x14ac:dyDescent="0.2">
      <c r="B6080" s="1341">
        <v>7397</v>
      </c>
      <c r="C6080" s="1341" t="s">
        <v>6739</v>
      </c>
      <c r="D6080" s="1310">
        <v>854.31999499999995</v>
      </c>
    </row>
    <row r="6081" spans="2:4" x14ac:dyDescent="0.2">
      <c r="B6081" s="1341">
        <v>7398</v>
      </c>
      <c r="C6081" s="1341" t="s">
        <v>6740</v>
      </c>
      <c r="D6081" s="1310">
        <v>863.13334099999997</v>
      </c>
    </row>
    <row r="6082" spans="2:4" x14ac:dyDescent="0.2">
      <c r="B6082" s="1341">
        <v>7399</v>
      </c>
      <c r="C6082" s="1341" t="s">
        <v>6741</v>
      </c>
      <c r="D6082" s="1310">
        <v>865.125</v>
      </c>
    </row>
    <row r="6083" spans="2:4" x14ac:dyDescent="0.2">
      <c r="B6083" s="1341">
        <v>7400</v>
      </c>
      <c r="C6083" s="1341" t="s">
        <v>6742</v>
      </c>
      <c r="D6083" s="1310">
        <v>882.68000500000005</v>
      </c>
    </row>
    <row r="6084" spans="2:4" x14ac:dyDescent="0.2">
      <c r="B6084" s="1341">
        <v>7401</v>
      </c>
      <c r="C6084" s="1341" t="s">
        <v>6743</v>
      </c>
      <c r="D6084" s="1310">
        <v>716.19998199999998</v>
      </c>
    </row>
    <row r="6085" spans="2:4" x14ac:dyDescent="0.2">
      <c r="B6085" s="1341">
        <v>7402</v>
      </c>
      <c r="C6085" s="1341" t="s">
        <v>6744</v>
      </c>
      <c r="D6085" s="1310">
        <v>718.19999499999994</v>
      </c>
    </row>
    <row r="6086" spans="2:4" x14ac:dyDescent="0.2">
      <c r="B6086" s="1341">
        <v>7403</v>
      </c>
      <c r="C6086" s="1341" t="s">
        <v>6745</v>
      </c>
      <c r="D6086" s="1310">
        <v>709.59999600000003</v>
      </c>
    </row>
    <row r="6087" spans="2:4" x14ac:dyDescent="0.2">
      <c r="B6087" s="1341">
        <v>7404</v>
      </c>
      <c r="C6087" s="1341" t="s">
        <v>6746</v>
      </c>
      <c r="D6087" s="1310">
        <v>719.58000500000003</v>
      </c>
    </row>
    <row r="6088" spans="2:4" x14ac:dyDescent="0.2">
      <c r="B6088" s="1341">
        <v>7405</v>
      </c>
      <c r="C6088" s="1341" t="s">
        <v>6747</v>
      </c>
      <c r="D6088" s="1310">
        <v>751.54998799999998</v>
      </c>
    </row>
    <row r="6089" spans="2:4" x14ac:dyDescent="0.2">
      <c r="B6089" s="1341">
        <v>7406</v>
      </c>
      <c r="C6089" s="1341" t="s">
        <v>6748</v>
      </c>
      <c r="D6089" s="1310">
        <v>728.83332900000005</v>
      </c>
    </row>
    <row r="6090" spans="2:4" x14ac:dyDescent="0.2">
      <c r="B6090" s="1341">
        <v>7407</v>
      </c>
      <c r="C6090" s="1341" t="s">
        <v>6749</v>
      </c>
      <c r="D6090" s="1310">
        <v>710.82999900000004</v>
      </c>
    </row>
    <row r="6091" spans="2:4" x14ac:dyDescent="0.2">
      <c r="B6091" s="1341">
        <v>7408</v>
      </c>
      <c r="C6091" s="1341" t="s">
        <v>6750</v>
      </c>
      <c r="D6091" s="1310">
        <v>699.76666299999999</v>
      </c>
    </row>
    <row r="6092" spans="2:4" x14ac:dyDescent="0.2">
      <c r="B6092" s="1341">
        <v>7409</v>
      </c>
      <c r="C6092" s="1341" t="s">
        <v>6751</v>
      </c>
      <c r="D6092" s="1310">
        <v>729.40000399999997</v>
      </c>
    </row>
    <row r="6093" spans="2:4" x14ac:dyDescent="0.2">
      <c r="B6093" s="1341">
        <v>7410</v>
      </c>
      <c r="C6093" s="1341" t="s">
        <v>4283</v>
      </c>
      <c r="D6093" s="1310">
        <v>767</v>
      </c>
    </row>
    <row r="6094" spans="2:4" x14ac:dyDescent="0.2">
      <c r="B6094" s="1341">
        <v>7411</v>
      </c>
      <c r="C6094" s="1341" t="s">
        <v>6752</v>
      </c>
      <c r="D6094" s="1310">
        <v>720.25714100000005</v>
      </c>
    </row>
    <row r="6095" spans="2:4" x14ac:dyDescent="0.2">
      <c r="B6095" s="1341">
        <v>7412</v>
      </c>
      <c r="C6095" s="1341" t="s">
        <v>6753</v>
      </c>
      <c r="D6095" s="1310">
        <v>731.58572000000004</v>
      </c>
    </row>
    <row r="6096" spans="2:4" x14ac:dyDescent="0.2">
      <c r="B6096" s="1341">
        <v>7413</v>
      </c>
      <c r="C6096" s="1341" t="s">
        <v>2605</v>
      </c>
      <c r="D6096" s="1310">
        <v>746.52857300000005</v>
      </c>
    </row>
    <row r="6097" spans="2:4" x14ac:dyDescent="0.2">
      <c r="B6097" s="1341">
        <v>7414</v>
      </c>
      <c r="C6097" s="1341" t="s">
        <v>6754</v>
      </c>
      <c r="D6097" s="1310">
        <v>734.883331</v>
      </c>
    </row>
    <row r="6098" spans="2:4" x14ac:dyDescent="0.2">
      <c r="B6098" s="1341">
        <v>7415</v>
      </c>
      <c r="C6098" s="1341" t="s">
        <v>6755</v>
      </c>
      <c r="D6098" s="1310">
        <v>751.41427999999996</v>
      </c>
    </row>
    <row r="6099" spans="2:4" x14ac:dyDescent="0.2">
      <c r="B6099" s="1341">
        <v>7416</v>
      </c>
      <c r="C6099" s="1341" t="s">
        <v>5329</v>
      </c>
      <c r="D6099" s="1310">
        <v>723</v>
      </c>
    </row>
    <row r="6100" spans="2:4" x14ac:dyDescent="0.2">
      <c r="B6100" s="1341">
        <v>7417</v>
      </c>
      <c r="C6100" s="1341" t="s">
        <v>6756</v>
      </c>
      <c r="D6100" s="1310">
        <v>705.61428100000001</v>
      </c>
    </row>
    <row r="6101" spans="2:4" x14ac:dyDescent="0.2">
      <c r="B6101" s="1341">
        <v>7418</v>
      </c>
      <c r="C6101" s="1341" t="s">
        <v>6757</v>
      </c>
      <c r="D6101" s="1310">
        <v>745.59999600000003</v>
      </c>
    </row>
    <row r="6102" spans="2:4" x14ac:dyDescent="0.2">
      <c r="B6102" s="1341">
        <v>7419</v>
      </c>
      <c r="C6102" s="1341" t="s">
        <v>6758</v>
      </c>
      <c r="D6102" s="1310">
        <v>731.95001200000002</v>
      </c>
    </row>
    <row r="6103" spans="2:4" x14ac:dyDescent="0.2">
      <c r="B6103" s="1341">
        <v>7420</v>
      </c>
      <c r="C6103" s="1341" t="s">
        <v>6759</v>
      </c>
      <c r="D6103" s="1310">
        <v>739.125</v>
      </c>
    </row>
    <row r="6104" spans="2:4" x14ac:dyDescent="0.2">
      <c r="B6104" s="1341">
        <v>7421</v>
      </c>
      <c r="C6104" s="1341" t="s">
        <v>6760</v>
      </c>
      <c r="D6104" s="1310">
        <v>739.49998800000003</v>
      </c>
    </row>
    <row r="6105" spans="2:4" x14ac:dyDescent="0.2">
      <c r="B6105" s="1341">
        <v>7422</v>
      </c>
      <c r="C6105" s="1341" t="s">
        <v>6761</v>
      </c>
      <c r="D6105" s="1310">
        <v>712.18400399999996</v>
      </c>
    </row>
    <row r="6106" spans="2:4" x14ac:dyDescent="0.2">
      <c r="B6106" s="1341">
        <v>7423</v>
      </c>
      <c r="C6106" s="1341" t="s">
        <v>1290</v>
      </c>
      <c r="D6106" s="1310">
        <v>748.33750199999997</v>
      </c>
    </row>
    <row r="6107" spans="2:4" x14ac:dyDescent="0.2">
      <c r="B6107" s="1341">
        <v>7424</v>
      </c>
      <c r="C6107" s="1341" t="s">
        <v>6762</v>
      </c>
      <c r="D6107" s="1310">
        <v>739.53334600000005</v>
      </c>
    </row>
    <row r="6108" spans="2:4" x14ac:dyDescent="0.2">
      <c r="B6108" s="1341">
        <v>7425</v>
      </c>
      <c r="C6108" s="1341" t="s">
        <v>6763</v>
      </c>
      <c r="D6108" s="1310">
        <v>750.43332899999996</v>
      </c>
    </row>
    <row r="6109" spans="2:4" x14ac:dyDescent="0.2">
      <c r="B6109" s="1341">
        <v>7426</v>
      </c>
      <c r="C6109" s="1341" t="s">
        <v>6764</v>
      </c>
      <c r="D6109" s="1310">
        <v>724.19999700000005</v>
      </c>
    </row>
    <row r="6110" spans="2:4" x14ac:dyDescent="0.2">
      <c r="B6110" s="1341">
        <v>7427</v>
      </c>
      <c r="C6110" s="1341" t="s">
        <v>6765</v>
      </c>
      <c r="D6110" s="1310">
        <v>757.82221100000004</v>
      </c>
    </row>
    <row r="6111" spans="2:4" x14ac:dyDescent="0.2">
      <c r="B6111" s="1341">
        <v>7428</v>
      </c>
      <c r="C6111" s="1341" t="s">
        <v>6766</v>
      </c>
      <c r="D6111" s="1310">
        <v>744.8</v>
      </c>
    </row>
    <row r="6112" spans="2:4" x14ac:dyDescent="0.2">
      <c r="B6112" s="1341">
        <v>7429</v>
      </c>
      <c r="C6112" s="1341" t="s">
        <v>6767</v>
      </c>
      <c r="D6112" s="1310">
        <v>769.46001000000001</v>
      </c>
    </row>
    <row r="6113" spans="2:4" x14ac:dyDescent="0.2">
      <c r="B6113" s="1341">
        <v>7430</v>
      </c>
      <c r="C6113" s="1341" t="s">
        <v>2075</v>
      </c>
      <c r="D6113" s="1310">
        <v>774.90001199999995</v>
      </c>
    </row>
    <row r="6114" spans="2:4" x14ac:dyDescent="0.2">
      <c r="B6114" s="1341">
        <v>7431</v>
      </c>
      <c r="C6114" s="1341" t="s">
        <v>6475</v>
      </c>
      <c r="D6114" s="1310">
        <v>771.67778199999998</v>
      </c>
    </row>
    <row r="6115" spans="2:4" x14ac:dyDescent="0.2">
      <c r="B6115" s="1341">
        <v>7432</v>
      </c>
      <c r="C6115" s="1341" t="s">
        <v>6768</v>
      </c>
      <c r="D6115" s="1310">
        <v>760.79998799999998</v>
      </c>
    </row>
    <row r="6116" spans="2:4" x14ac:dyDescent="0.2">
      <c r="B6116" s="1341">
        <v>7433</v>
      </c>
      <c r="C6116" s="1341" t="s">
        <v>6769</v>
      </c>
      <c r="D6116" s="1310">
        <v>788.5</v>
      </c>
    </row>
    <row r="6117" spans="2:4" x14ac:dyDescent="0.2">
      <c r="B6117" s="1341">
        <v>7434</v>
      </c>
      <c r="C6117" s="1341" t="s">
        <v>6770</v>
      </c>
      <c r="D6117" s="1310">
        <v>716.10001</v>
      </c>
    </row>
    <row r="6118" spans="2:4" x14ac:dyDescent="0.2">
      <c r="B6118" s="1341">
        <v>7435</v>
      </c>
      <c r="C6118" s="1341" t="s">
        <v>6771</v>
      </c>
      <c r="D6118" s="1310">
        <v>732.15998500000001</v>
      </c>
    </row>
    <row r="6119" spans="2:4" x14ac:dyDescent="0.2">
      <c r="B6119" s="1341">
        <v>7436</v>
      </c>
      <c r="C6119" s="1341" t="s">
        <v>6772</v>
      </c>
      <c r="D6119" s="1310">
        <v>731.27692100000002</v>
      </c>
    </row>
    <row r="6120" spans="2:4" x14ac:dyDescent="0.2">
      <c r="B6120" s="1341">
        <v>7437</v>
      </c>
      <c r="C6120" s="1341" t="s">
        <v>6773</v>
      </c>
      <c r="D6120" s="1310">
        <v>787.77500199999997</v>
      </c>
    </row>
    <row r="6121" spans="2:4" x14ac:dyDescent="0.2">
      <c r="B6121" s="1341">
        <v>7438</v>
      </c>
      <c r="C6121" s="1341" t="s">
        <v>6774</v>
      </c>
      <c r="D6121" s="1310">
        <v>770.25</v>
      </c>
    </row>
    <row r="6122" spans="2:4" x14ac:dyDescent="0.2">
      <c r="B6122" s="1341">
        <v>7439</v>
      </c>
      <c r="C6122" s="1341" t="s">
        <v>6775</v>
      </c>
      <c r="D6122" s="1310">
        <v>782.23333700000001</v>
      </c>
    </row>
    <row r="6123" spans="2:4" x14ac:dyDescent="0.2">
      <c r="B6123" s="1341">
        <v>7440</v>
      </c>
      <c r="C6123" s="1341" t="s">
        <v>6776</v>
      </c>
      <c r="D6123" s="1310">
        <v>780.24284999999998</v>
      </c>
    </row>
    <row r="6124" spans="2:4" x14ac:dyDescent="0.2">
      <c r="B6124" s="1341">
        <v>7441</v>
      </c>
      <c r="C6124" s="1341" t="s">
        <v>6777</v>
      </c>
      <c r="D6124" s="1310">
        <v>814.41428900000005</v>
      </c>
    </row>
    <row r="6125" spans="2:4" x14ac:dyDescent="0.2">
      <c r="B6125" s="1341">
        <v>7442</v>
      </c>
      <c r="C6125" s="1341" t="s">
        <v>6778</v>
      </c>
      <c r="D6125" s="1310">
        <v>806.54998799999998</v>
      </c>
    </row>
    <row r="6126" spans="2:4" x14ac:dyDescent="0.2">
      <c r="B6126" s="1341">
        <v>7443</v>
      </c>
      <c r="C6126" s="1341" t="s">
        <v>5218</v>
      </c>
      <c r="D6126" s="1310">
        <v>806.8</v>
      </c>
    </row>
    <row r="6127" spans="2:4" x14ac:dyDescent="0.2">
      <c r="B6127" s="1341">
        <v>7444</v>
      </c>
      <c r="C6127" s="1341" t="s">
        <v>6779</v>
      </c>
      <c r="D6127" s="1310">
        <v>702.23749499999997</v>
      </c>
    </row>
    <row r="6128" spans="2:4" x14ac:dyDescent="0.2">
      <c r="B6128" s="1341">
        <v>7445</v>
      </c>
      <c r="C6128" s="1341" t="s">
        <v>6780</v>
      </c>
      <c r="D6128" s="1310">
        <v>748.91666699999996</v>
      </c>
    </row>
    <row r="6129" spans="2:4" x14ac:dyDescent="0.2">
      <c r="B6129" s="1341">
        <v>7446</v>
      </c>
      <c r="C6129" s="1341" t="s">
        <v>6781</v>
      </c>
      <c r="D6129" s="1310">
        <v>759.98889199999996</v>
      </c>
    </row>
    <row r="6130" spans="2:4" x14ac:dyDescent="0.2">
      <c r="B6130" s="1341">
        <v>7447</v>
      </c>
      <c r="C6130" s="1341" t="s">
        <v>6782</v>
      </c>
      <c r="D6130" s="1310">
        <v>765.46249399999999</v>
      </c>
    </row>
    <row r="6131" spans="2:4" x14ac:dyDescent="0.2">
      <c r="B6131" s="1341">
        <v>7448</v>
      </c>
      <c r="C6131" s="1341" t="s">
        <v>1846</v>
      </c>
      <c r="D6131" s="1310">
        <v>727.85833200000002</v>
      </c>
    </row>
    <row r="6132" spans="2:4" x14ac:dyDescent="0.2">
      <c r="B6132" s="1341">
        <v>7449</v>
      </c>
      <c r="C6132" s="1341" t="s">
        <v>6783</v>
      </c>
      <c r="D6132" s="1310">
        <v>737.83335399999999</v>
      </c>
    </row>
    <row r="6133" spans="2:4" x14ac:dyDescent="0.2">
      <c r="B6133" s="1341">
        <v>7450</v>
      </c>
      <c r="C6133" s="1341" t="s">
        <v>6784</v>
      </c>
      <c r="D6133" s="1310">
        <v>757.94000200000005</v>
      </c>
    </row>
    <row r="6134" spans="2:4" x14ac:dyDescent="0.2">
      <c r="B6134" s="1341">
        <v>7451</v>
      </c>
      <c r="C6134" s="1341" t="s">
        <v>6785</v>
      </c>
      <c r="D6134" s="1310">
        <v>813.98333700000001</v>
      </c>
    </row>
    <row r="6135" spans="2:4" x14ac:dyDescent="0.2">
      <c r="B6135" s="1341">
        <v>7452</v>
      </c>
      <c r="C6135" s="1341" t="s">
        <v>6786</v>
      </c>
      <c r="D6135" s="1310">
        <v>791</v>
      </c>
    </row>
    <row r="6136" spans="2:4" x14ac:dyDescent="0.2">
      <c r="B6136" s="1341">
        <v>7453</v>
      </c>
      <c r="C6136" s="1341" t="s">
        <v>6787</v>
      </c>
      <c r="D6136" s="1310">
        <v>830.96666500000003</v>
      </c>
    </row>
    <row r="6137" spans="2:4" x14ac:dyDescent="0.2">
      <c r="B6137" s="1341">
        <v>7454</v>
      </c>
      <c r="C6137" s="1341" t="s">
        <v>6788</v>
      </c>
      <c r="D6137" s="1310">
        <v>809.5</v>
      </c>
    </row>
    <row r="6138" spans="2:4" x14ac:dyDescent="0.2">
      <c r="B6138" s="1341">
        <v>7455</v>
      </c>
      <c r="C6138" s="1341" t="s">
        <v>6789</v>
      </c>
      <c r="D6138" s="1310">
        <v>839.70001200000002</v>
      </c>
    </row>
    <row r="6139" spans="2:4" x14ac:dyDescent="0.2">
      <c r="B6139" s="1341">
        <v>7456</v>
      </c>
      <c r="C6139" s="1341" t="s">
        <v>6790</v>
      </c>
      <c r="D6139" s="1310">
        <v>823.67142999999999</v>
      </c>
    </row>
    <row r="6140" spans="2:4" x14ac:dyDescent="0.2">
      <c r="B6140" s="1341">
        <v>7457</v>
      </c>
      <c r="C6140" s="1341" t="s">
        <v>5948</v>
      </c>
      <c r="D6140" s="1310">
        <v>800.09997599999997</v>
      </c>
    </row>
    <row r="6141" spans="2:4" x14ac:dyDescent="0.2">
      <c r="B6141" s="1341">
        <v>7458</v>
      </c>
      <c r="C6141" s="1341" t="s">
        <v>6791</v>
      </c>
      <c r="D6141" s="1310">
        <v>781.70001200000002</v>
      </c>
    </row>
    <row r="6142" spans="2:4" x14ac:dyDescent="0.2">
      <c r="B6142" s="1341">
        <v>7459</v>
      </c>
      <c r="C6142" s="1341" t="s">
        <v>6792</v>
      </c>
      <c r="D6142" s="1310">
        <v>808.51428199999998</v>
      </c>
    </row>
    <row r="6143" spans="2:4" x14ac:dyDescent="0.2">
      <c r="B6143" s="1341">
        <v>7460</v>
      </c>
      <c r="C6143" s="1341" t="s">
        <v>1964</v>
      </c>
      <c r="D6143" s="1310">
        <v>803.90002400000003</v>
      </c>
    </row>
    <row r="6144" spans="2:4" x14ac:dyDescent="0.2">
      <c r="B6144" s="1341">
        <v>7461</v>
      </c>
      <c r="C6144" s="1341" t="s">
        <v>6793</v>
      </c>
      <c r="D6144" s="1310">
        <v>803.02499399999999</v>
      </c>
    </row>
    <row r="6145" spans="2:4" x14ac:dyDescent="0.2">
      <c r="B6145" s="1341">
        <v>7462</v>
      </c>
      <c r="C6145" s="1341" t="s">
        <v>6794</v>
      </c>
      <c r="D6145" s="1310">
        <v>838.53635499999996</v>
      </c>
    </row>
    <row r="6146" spans="2:4" x14ac:dyDescent="0.2">
      <c r="B6146" s="1341">
        <v>7463</v>
      </c>
      <c r="C6146" s="1341" t="s">
        <v>6795</v>
      </c>
      <c r="D6146" s="1310">
        <v>823.92499499999997</v>
      </c>
    </row>
    <row r="6147" spans="2:4" x14ac:dyDescent="0.2">
      <c r="B6147" s="1341">
        <v>7464</v>
      </c>
      <c r="C6147" s="1341" t="s">
        <v>1941</v>
      </c>
      <c r="D6147" s="1310">
        <v>823.87691099999995</v>
      </c>
    </row>
    <row r="6148" spans="2:4" x14ac:dyDescent="0.2">
      <c r="B6148" s="1341">
        <v>7465</v>
      </c>
      <c r="C6148" s="1341" t="s">
        <v>6796</v>
      </c>
      <c r="D6148" s="1310">
        <v>837.76250500000003</v>
      </c>
    </row>
    <row r="6149" spans="2:4" x14ac:dyDescent="0.2">
      <c r="B6149" s="1341">
        <v>7501</v>
      </c>
      <c r="C6149" s="1341" t="s">
        <v>6797</v>
      </c>
      <c r="D6149" s="1310">
        <v>739.66666699999996</v>
      </c>
    </row>
    <row r="6150" spans="2:4" x14ac:dyDescent="0.2">
      <c r="B6150" s="1341">
        <v>7502</v>
      </c>
      <c r="C6150" s="1341" t="s">
        <v>6798</v>
      </c>
      <c r="D6150" s="1310">
        <v>766.18571299999996</v>
      </c>
    </row>
    <row r="6151" spans="2:4" x14ac:dyDescent="0.2">
      <c r="B6151" s="1341">
        <v>7503</v>
      </c>
      <c r="C6151" s="1341" t="s">
        <v>6799</v>
      </c>
      <c r="D6151" s="1310">
        <v>774.97500600000001</v>
      </c>
    </row>
    <row r="6152" spans="2:4" x14ac:dyDescent="0.2">
      <c r="B6152" s="1341">
        <v>7504</v>
      </c>
      <c r="C6152" s="1341" t="s">
        <v>6800</v>
      </c>
      <c r="D6152" s="1310">
        <v>786.82223199999999</v>
      </c>
    </row>
    <row r="6153" spans="2:4" x14ac:dyDescent="0.2">
      <c r="B6153" s="1341">
        <v>7506</v>
      </c>
      <c r="C6153" s="1341" t="s">
        <v>6801</v>
      </c>
      <c r="D6153" s="1310">
        <v>806.29999799999996</v>
      </c>
    </row>
    <row r="6154" spans="2:4" x14ac:dyDescent="0.2">
      <c r="B6154" s="1341">
        <v>7507</v>
      </c>
      <c r="C6154" s="1341" t="s">
        <v>6802</v>
      </c>
      <c r="D6154" s="1310">
        <v>828.36665900000003</v>
      </c>
    </row>
    <row r="6155" spans="2:4" x14ac:dyDescent="0.2">
      <c r="B6155" s="1341">
        <v>7508</v>
      </c>
      <c r="C6155" s="1341" t="s">
        <v>2642</v>
      </c>
      <c r="D6155" s="1310">
        <v>816.76666299999999</v>
      </c>
    </row>
    <row r="6156" spans="2:4" x14ac:dyDescent="0.2">
      <c r="B6156" s="1341">
        <v>7509</v>
      </c>
      <c r="C6156" s="1341" t="s">
        <v>6803</v>
      </c>
      <c r="D6156" s="1310">
        <v>831.29998799999998</v>
      </c>
    </row>
    <row r="6157" spans="2:4" x14ac:dyDescent="0.2">
      <c r="B6157" s="1341">
        <v>7510</v>
      </c>
      <c r="C6157" s="1341" t="s">
        <v>4363</v>
      </c>
      <c r="D6157" s="1310">
        <v>818.37142500000004</v>
      </c>
    </row>
    <row r="6158" spans="2:4" x14ac:dyDescent="0.2">
      <c r="B6158" s="1341">
        <v>7511</v>
      </c>
      <c r="C6158" s="1341" t="s">
        <v>6804</v>
      </c>
      <c r="D6158" s="1310">
        <v>834.98570900000004</v>
      </c>
    </row>
    <row r="6159" spans="2:4" x14ac:dyDescent="0.2">
      <c r="B6159" s="1341">
        <v>7512</v>
      </c>
      <c r="C6159" s="1341" t="s">
        <v>6805</v>
      </c>
      <c r="D6159" s="1310">
        <v>845.072721</v>
      </c>
    </row>
    <row r="6160" spans="2:4" x14ac:dyDescent="0.2">
      <c r="B6160" s="1341">
        <v>7513</v>
      </c>
      <c r="C6160" s="1341" t="s">
        <v>6806</v>
      </c>
      <c r="D6160" s="1310">
        <v>839.27499399999999</v>
      </c>
    </row>
    <row r="6161" spans="2:4" x14ac:dyDescent="0.2">
      <c r="B6161" s="1341">
        <v>7514</v>
      </c>
      <c r="C6161" s="1341" t="s">
        <v>6807</v>
      </c>
      <c r="D6161" s="1310">
        <v>859.5</v>
      </c>
    </row>
    <row r="6162" spans="2:4" x14ac:dyDescent="0.2">
      <c r="B6162" s="1341">
        <v>7515</v>
      </c>
      <c r="C6162" s="1341" t="s">
        <v>6808</v>
      </c>
      <c r="D6162" s="1310">
        <v>836.88000499999998</v>
      </c>
    </row>
    <row r="6163" spans="2:4" x14ac:dyDescent="0.2">
      <c r="B6163" s="1341">
        <v>7516</v>
      </c>
      <c r="C6163" s="1341" t="s">
        <v>6809</v>
      </c>
      <c r="D6163" s="1310">
        <v>863.67500299999995</v>
      </c>
    </row>
    <row r="6164" spans="2:4" x14ac:dyDescent="0.2">
      <c r="B6164" s="1341">
        <v>7517</v>
      </c>
      <c r="C6164" s="1341" t="s">
        <v>6461</v>
      </c>
      <c r="D6164" s="1310">
        <v>870.03334600000005</v>
      </c>
    </row>
    <row r="6165" spans="2:4" x14ac:dyDescent="0.2">
      <c r="B6165" s="1341">
        <v>7518</v>
      </c>
      <c r="C6165" s="1341" t="s">
        <v>1939</v>
      </c>
      <c r="D6165" s="1310">
        <v>879.353341</v>
      </c>
    </row>
    <row r="6166" spans="2:4" x14ac:dyDescent="0.2">
      <c r="B6166" s="1341">
        <v>7519</v>
      </c>
      <c r="C6166" s="1341" t="s">
        <v>6810</v>
      </c>
      <c r="D6166" s="1310">
        <v>901.19998799999996</v>
      </c>
    </row>
    <row r="6167" spans="2:4" x14ac:dyDescent="0.2">
      <c r="B6167" s="1341">
        <v>7520</v>
      </c>
      <c r="C6167" s="1341" t="s">
        <v>6811</v>
      </c>
      <c r="D6167" s="1310">
        <v>888.16666699999996</v>
      </c>
    </row>
    <row r="6168" spans="2:4" x14ac:dyDescent="0.2">
      <c r="B6168" s="1341">
        <v>7521</v>
      </c>
      <c r="C6168" s="1341" t="s">
        <v>6812</v>
      </c>
      <c r="D6168" s="1310">
        <v>882.20000100000004</v>
      </c>
    </row>
    <row r="6169" spans="2:4" x14ac:dyDescent="0.2">
      <c r="B6169" s="1341">
        <v>7522</v>
      </c>
      <c r="C6169" s="1341" t="s">
        <v>6813</v>
      </c>
      <c r="D6169" s="1310">
        <v>879.366669</v>
      </c>
    </row>
    <row r="6170" spans="2:4" x14ac:dyDescent="0.2">
      <c r="B6170" s="1341">
        <v>7523</v>
      </c>
      <c r="C6170" s="1341" t="s">
        <v>6814</v>
      </c>
      <c r="D6170" s="1310">
        <v>857.07777899999996</v>
      </c>
    </row>
    <row r="6171" spans="2:4" x14ac:dyDescent="0.2">
      <c r="B6171" s="1341">
        <v>7524</v>
      </c>
      <c r="C6171" s="1341" t="s">
        <v>6815</v>
      </c>
      <c r="D6171" s="1310">
        <v>851.77499399999999</v>
      </c>
    </row>
    <row r="6172" spans="2:4" x14ac:dyDescent="0.2">
      <c r="B6172" s="1341">
        <v>7525</v>
      </c>
      <c r="C6172" s="1341" t="s">
        <v>6816</v>
      </c>
      <c r="D6172" s="1310">
        <v>880.70713999999998</v>
      </c>
    </row>
    <row r="6173" spans="2:4" x14ac:dyDescent="0.2">
      <c r="B6173" s="1341">
        <v>7526</v>
      </c>
      <c r="C6173" s="1341" t="s">
        <v>6817</v>
      </c>
      <c r="D6173" s="1310">
        <v>875.85000600000001</v>
      </c>
    </row>
    <row r="6174" spans="2:4" x14ac:dyDescent="0.2">
      <c r="B6174" s="1341">
        <v>7527</v>
      </c>
      <c r="C6174" s="1341" t="s">
        <v>6818</v>
      </c>
      <c r="D6174" s="1310">
        <v>863.04998799999998</v>
      </c>
    </row>
    <row r="6175" spans="2:4" x14ac:dyDescent="0.2">
      <c r="B6175" s="1341">
        <v>7528</v>
      </c>
      <c r="C6175" s="1341" t="s">
        <v>6819</v>
      </c>
      <c r="D6175" s="1310">
        <v>866.759998</v>
      </c>
    </row>
    <row r="6176" spans="2:4" x14ac:dyDescent="0.2">
      <c r="B6176" s="1341">
        <v>7529</v>
      </c>
      <c r="C6176" s="1341" t="s">
        <v>6820</v>
      </c>
      <c r="D6176" s="1310">
        <v>891.35000600000001</v>
      </c>
    </row>
    <row r="6177" spans="2:4" x14ac:dyDescent="0.2">
      <c r="B6177" s="1341">
        <v>7530</v>
      </c>
      <c r="C6177" s="1341" t="s">
        <v>6821</v>
      </c>
      <c r="D6177" s="1310">
        <v>889.52499399999999</v>
      </c>
    </row>
    <row r="6178" spans="2:4" x14ac:dyDescent="0.2">
      <c r="B6178" s="1341">
        <v>7531</v>
      </c>
      <c r="C6178" s="1341" t="s">
        <v>6822</v>
      </c>
      <c r="D6178" s="1310">
        <v>868.53332499999999</v>
      </c>
    </row>
    <row r="6179" spans="2:4" x14ac:dyDescent="0.2">
      <c r="B6179" s="1341">
        <v>7532</v>
      </c>
      <c r="C6179" s="1341" t="s">
        <v>6823</v>
      </c>
      <c r="D6179" s="1310">
        <v>887.45001200000002</v>
      </c>
    </row>
    <row r="6180" spans="2:4" x14ac:dyDescent="0.2">
      <c r="B6180" s="1341">
        <v>7533</v>
      </c>
      <c r="C6180" s="1341" t="s">
        <v>6824</v>
      </c>
      <c r="D6180" s="1310">
        <v>884.29166699999996</v>
      </c>
    </row>
    <row r="6181" spans="2:4" x14ac:dyDescent="0.2">
      <c r="B6181" s="1341">
        <v>7534</v>
      </c>
      <c r="C6181" s="1341" t="s">
        <v>6825</v>
      </c>
      <c r="D6181" s="1310">
        <v>885.71665399999995</v>
      </c>
    </row>
    <row r="6182" spans="2:4" x14ac:dyDescent="0.2">
      <c r="B6182" s="1341">
        <v>7535</v>
      </c>
      <c r="C6182" s="1341" t="s">
        <v>6826</v>
      </c>
      <c r="D6182" s="1310">
        <v>888.47499100000005</v>
      </c>
    </row>
    <row r="6183" spans="2:4" x14ac:dyDescent="0.2">
      <c r="B6183" s="1341">
        <v>7536</v>
      </c>
      <c r="C6183" s="1341" t="s">
        <v>6827</v>
      </c>
      <c r="D6183" s="1310">
        <v>904.68750799999998</v>
      </c>
    </row>
    <row r="6184" spans="2:4" x14ac:dyDescent="0.2">
      <c r="B6184" s="1341">
        <v>7537</v>
      </c>
      <c r="C6184" s="1341" t="s">
        <v>6828</v>
      </c>
      <c r="D6184" s="1310">
        <v>887.70833300000004</v>
      </c>
    </row>
    <row r="6185" spans="2:4" x14ac:dyDescent="0.2">
      <c r="B6185" s="1341">
        <v>7538</v>
      </c>
      <c r="C6185" s="1341" t="s">
        <v>6829</v>
      </c>
      <c r="D6185" s="1310">
        <v>885.42858000000001</v>
      </c>
    </row>
    <row r="6186" spans="2:4" x14ac:dyDescent="0.2">
      <c r="B6186" s="1341">
        <v>7539</v>
      </c>
      <c r="C6186" s="1341" t="s">
        <v>6830</v>
      </c>
      <c r="D6186" s="1310">
        <v>859.3</v>
      </c>
    </row>
    <row r="6187" spans="2:4" x14ac:dyDescent="0.2">
      <c r="B6187" s="1341">
        <v>7540</v>
      </c>
      <c r="C6187" s="1341" t="s">
        <v>6831</v>
      </c>
      <c r="D6187" s="1310">
        <v>873.25556800000004</v>
      </c>
    </row>
    <row r="6188" spans="2:4" x14ac:dyDescent="0.2">
      <c r="B6188" s="1341">
        <v>7541</v>
      </c>
      <c r="C6188" s="1341" t="s">
        <v>6832</v>
      </c>
      <c r="D6188" s="1310">
        <v>880.07778299999995</v>
      </c>
    </row>
    <row r="6189" spans="2:4" x14ac:dyDescent="0.2">
      <c r="B6189" s="1341">
        <v>7542</v>
      </c>
      <c r="C6189" s="1341" t="s">
        <v>6833</v>
      </c>
      <c r="D6189" s="1310">
        <v>893.35999800000002</v>
      </c>
    </row>
    <row r="6190" spans="2:4" x14ac:dyDescent="0.2">
      <c r="B6190" s="1341">
        <v>7543</v>
      </c>
      <c r="C6190" s="1341" t="s">
        <v>6834</v>
      </c>
      <c r="D6190" s="1310">
        <v>899.79999799999996</v>
      </c>
    </row>
    <row r="6191" spans="2:4" x14ac:dyDescent="0.2">
      <c r="B6191" s="1341">
        <v>7544</v>
      </c>
      <c r="C6191" s="1341" t="s">
        <v>6835</v>
      </c>
      <c r="D6191" s="1310">
        <v>924.24000899999999</v>
      </c>
    </row>
    <row r="6192" spans="2:4" x14ac:dyDescent="0.2">
      <c r="B6192" s="1341">
        <v>7545</v>
      </c>
      <c r="C6192" s="1341" t="s">
        <v>6836</v>
      </c>
      <c r="D6192" s="1310">
        <v>867.125</v>
      </c>
    </row>
    <row r="6193" spans="2:4" x14ac:dyDescent="0.2">
      <c r="B6193" s="1341">
        <v>7546</v>
      </c>
      <c r="C6193" s="1341" t="s">
        <v>6837</v>
      </c>
      <c r="D6193" s="1310">
        <v>899.20001200000002</v>
      </c>
    </row>
    <row r="6194" spans="2:4" x14ac:dyDescent="0.2">
      <c r="B6194" s="1341">
        <v>7547</v>
      </c>
      <c r="C6194" s="1341" t="s">
        <v>6838</v>
      </c>
      <c r="D6194" s="1310">
        <v>885.07000700000003</v>
      </c>
    </row>
    <row r="6195" spans="2:4" x14ac:dyDescent="0.2">
      <c r="B6195" s="1341">
        <v>7548</v>
      </c>
      <c r="C6195" s="1341" t="s">
        <v>6839</v>
      </c>
      <c r="D6195" s="1310">
        <v>918.14999399999999</v>
      </c>
    </row>
    <row r="6196" spans="2:4" x14ac:dyDescent="0.2">
      <c r="B6196" s="1341">
        <v>7549</v>
      </c>
      <c r="C6196" s="1341" t="s">
        <v>6840</v>
      </c>
      <c r="D6196" s="1310">
        <v>860.36000200000001</v>
      </c>
    </row>
    <row r="6197" spans="2:4" x14ac:dyDescent="0.2">
      <c r="B6197" s="1341">
        <v>7550</v>
      </c>
      <c r="C6197" s="1341" t="s">
        <v>6841</v>
      </c>
      <c r="D6197" s="1310">
        <v>863.79998799999998</v>
      </c>
    </row>
    <row r="6198" spans="2:4" x14ac:dyDescent="0.2">
      <c r="B6198" s="1341">
        <v>7551</v>
      </c>
      <c r="C6198" s="1341" t="s">
        <v>6842</v>
      </c>
      <c r="D6198" s="1310">
        <v>896.80909899999995</v>
      </c>
    </row>
    <row r="6199" spans="2:4" x14ac:dyDescent="0.2">
      <c r="B6199" s="1341">
        <v>7552</v>
      </c>
      <c r="C6199" s="1341" t="s">
        <v>6843</v>
      </c>
      <c r="D6199" s="1310">
        <v>925.08000500000003</v>
      </c>
    </row>
    <row r="6200" spans="2:4" x14ac:dyDescent="0.2">
      <c r="B6200" s="1341">
        <v>7553</v>
      </c>
      <c r="C6200" s="1341" t="s">
        <v>6844</v>
      </c>
      <c r="D6200" s="1310">
        <v>901.08333300000004</v>
      </c>
    </row>
    <row r="6201" spans="2:4" x14ac:dyDescent="0.2">
      <c r="B6201" s="1341">
        <v>7554</v>
      </c>
      <c r="C6201" s="1341" t="s">
        <v>6845</v>
      </c>
      <c r="D6201" s="1310">
        <v>928.16875100000004</v>
      </c>
    </row>
    <row r="6202" spans="2:4" x14ac:dyDescent="0.2">
      <c r="B6202" s="1341">
        <v>7555</v>
      </c>
      <c r="C6202" s="1341" t="s">
        <v>6846</v>
      </c>
      <c r="D6202" s="1310">
        <v>920.10768900000005</v>
      </c>
    </row>
    <row r="6203" spans="2:4" x14ac:dyDescent="0.2">
      <c r="B6203" s="1341">
        <v>7556</v>
      </c>
      <c r="C6203" s="1341" t="s">
        <v>1323</v>
      </c>
      <c r="D6203" s="1310">
        <v>898.66249800000003</v>
      </c>
    </row>
    <row r="6204" spans="2:4" x14ac:dyDescent="0.2">
      <c r="B6204" s="1341">
        <v>7557</v>
      </c>
      <c r="C6204" s="1341" t="s">
        <v>6847</v>
      </c>
      <c r="D6204" s="1310">
        <v>933.95999800000004</v>
      </c>
    </row>
    <row r="6205" spans="2:4" x14ac:dyDescent="0.2">
      <c r="B6205" s="1341">
        <v>7558</v>
      </c>
      <c r="C6205" s="1341" t="s">
        <v>1594</v>
      </c>
      <c r="D6205" s="1310">
        <v>929.72500600000001</v>
      </c>
    </row>
    <row r="6206" spans="2:4" x14ac:dyDescent="0.2">
      <c r="B6206" s="1341">
        <v>7559</v>
      </c>
      <c r="C6206" s="1341" t="s">
        <v>6848</v>
      </c>
      <c r="D6206" s="1310">
        <v>940.03750200000002</v>
      </c>
    </row>
    <row r="6207" spans="2:4" x14ac:dyDescent="0.2">
      <c r="B6207" s="1341">
        <v>7560</v>
      </c>
      <c r="C6207" s="1341" t="s">
        <v>6849</v>
      </c>
      <c r="D6207" s="1310">
        <v>956.96249399999999</v>
      </c>
    </row>
    <row r="6208" spans="2:4" x14ac:dyDescent="0.2">
      <c r="B6208" s="1341">
        <v>7561</v>
      </c>
      <c r="C6208" s="1341" t="s">
        <v>6850</v>
      </c>
      <c r="D6208" s="1310">
        <v>931.99998600000004</v>
      </c>
    </row>
    <row r="6209" spans="2:4" x14ac:dyDescent="0.2">
      <c r="B6209" s="1341">
        <v>7562</v>
      </c>
      <c r="C6209" s="1341" t="s">
        <v>6851</v>
      </c>
      <c r="D6209" s="1310">
        <v>942.36666400000001</v>
      </c>
    </row>
    <row r="6210" spans="2:4" x14ac:dyDescent="0.2">
      <c r="B6210" s="1341">
        <v>7563</v>
      </c>
      <c r="C6210" s="1341" t="s">
        <v>6149</v>
      </c>
      <c r="D6210" s="1310">
        <v>954.97776999999996</v>
      </c>
    </row>
    <row r="6211" spans="2:4" x14ac:dyDescent="0.2">
      <c r="B6211" s="1341">
        <v>7564</v>
      </c>
      <c r="C6211" s="1341" t="s">
        <v>6356</v>
      </c>
      <c r="D6211" s="1310">
        <v>953.44000200000005</v>
      </c>
    </row>
    <row r="6212" spans="2:4" x14ac:dyDescent="0.2">
      <c r="B6212" s="1341">
        <v>7565</v>
      </c>
      <c r="C6212" s="1341" t="s">
        <v>4458</v>
      </c>
      <c r="D6212" s="1310">
        <v>911.59000200000003</v>
      </c>
    </row>
    <row r="6213" spans="2:4" x14ac:dyDescent="0.2">
      <c r="B6213" s="1341">
        <v>7566</v>
      </c>
      <c r="C6213" s="1341" t="s">
        <v>6335</v>
      </c>
      <c r="D6213" s="1310">
        <v>939.38333599999999</v>
      </c>
    </row>
    <row r="6214" spans="2:4" x14ac:dyDescent="0.2">
      <c r="B6214" s="1341">
        <v>7567</v>
      </c>
      <c r="C6214" s="1341" t="s">
        <v>6852</v>
      </c>
      <c r="D6214" s="1310">
        <v>916.14285700000005</v>
      </c>
    </row>
    <row r="6215" spans="2:4" x14ac:dyDescent="0.2">
      <c r="B6215" s="1341">
        <v>7568</v>
      </c>
      <c r="C6215" s="1341" t="s">
        <v>6853</v>
      </c>
      <c r="D6215" s="1310">
        <v>963.54000199999996</v>
      </c>
    </row>
    <row r="6216" spans="2:4" x14ac:dyDescent="0.2">
      <c r="B6216" s="1341">
        <v>7569</v>
      </c>
      <c r="C6216" s="1341" t="s">
        <v>6854</v>
      </c>
      <c r="D6216" s="1310">
        <v>940.46250199999997</v>
      </c>
    </row>
    <row r="6217" spans="2:4" x14ac:dyDescent="0.2">
      <c r="B6217" s="1341">
        <v>7570</v>
      </c>
      <c r="C6217" s="1341" t="s">
        <v>451</v>
      </c>
      <c r="D6217" s="1310">
        <v>935.47142199999996</v>
      </c>
    </row>
    <row r="6218" spans="2:4" x14ac:dyDescent="0.2">
      <c r="B6218" s="1341">
        <v>7571</v>
      </c>
      <c r="C6218" s="1341" t="s">
        <v>6855</v>
      </c>
      <c r="D6218" s="1310">
        <v>969.15713900000003</v>
      </c>
    </row>
    <row r="6219" spans="2:4" x14ac:dyDescent="0.2">
      <c r="B6219" s="1341">
        <v>7572</v>
      </c>
      <c r="C6219" s="1341" t="s">
        <v>6856</v>
      </c>
      <c r="D6219" s="1310">
        <v>979.87142900000003</v>
      </c>
    </row>
    <row r="6220" spans="2:4" x14ac:dyDescent="0.2">
      <c r="B6220" s="1341">
        <v>7573</v>
      </c>
      <c r="C6220" s="1341" t="s">
        <v>6857</v>
      </c>
      <c r="D6220" s="1310">
        <v>999.77500399999997</v>
      </c>
    </row>
    <row r="6221" spans="2:4" x14ac:dyDescent="0.2">
      <c r="B6221" s="1341">
        <v>7574</v>
      </c>
      <c r="C6221" s="1341" t="s">
        <v>6858</v>
      </c>
      <c r="D6221" s="1310">
        <v>956.40002400000003</v>
      </c>
    </row>
    <row r="6222" spans="2:4" x14ac:dyDescent="0.2">
      <c r="B6222" s="1341">
        <v>7575</v>
      </c>
      <c r="C6222" s="1341" t="s">
        <v>6859</v>
      </c>
      <c r="D6222" s="1310">
        <v>951.86667899999998</v>
      </c>
    </row>
    <row r="6223" spans="2:4" x14ac:dyDescent="0.2">
      <c r="B6223" s="1341">
        <v>7576</v>
      </c>
      <c r="C6223" s="1341" t="s">
        <v>6860</v>
      </c>
      <c r="D6223" s="1310">
        <v>943.883331</v>
      </c>
    </row>
    <row r="6224" spans="2:4" x14ac:dyDescent="0.2">
      <c r="B6224" s="1341">
        <v>7577</v>
      </c>
      <c r="C6224" s="1341" t="s">
        <v>6861</v>
      </c>
      <c r="D6224" s="1310">
        <v>957.06666099999995</v>
      </c>
    </row>
    <row r="6225" spans="2:4" x14ac:dyDescent="0.2">
      <c r="B6225" s="1341">
        <v>7578</v>
      </c>
      <c r="C6225" s="1341" t="s">
        <v>6862</v>
      </c>
      <c r="D6225" s="1310">
        <v>953.67500299999995</v>
      </c>
    </row>
    <row r="6226" spans="2:4" x14ac:dyDescent="0.2">
      <c r="B6226" s="1341">
        <v>7579</v>
      </c>
      <c r="C6226" s="1341" t="s">
        <v>6863</v>
      </c>
      <c r="D6226" s="1310">
        <v>963.14999399999999</v>
      </c>
    </row>
    <row r="6227" spans="2:4" x14ac:dyDescent="0.2">
      <c r="B6227" s="1341">
        <v>7580</v>
      </c>
      <c r="C6227" s="1341" t="s">
        <v>6864</v>
      </c>
      <c r="D6227" s="1310">
        <v>1023.100008</v>
      </c>
    </row>
    <row r="6228" spans="2:4" x14ac:dyDescent="0.2">
      <c r="B6228" s="1341">
        <v>7581</v>
      </c>
      <c r="C6228" s="1341" t="s">
        <v>6865</v>
      </c>
      <c r="D6228" s="1310">
        <v>964.79998799999998</v>
      </c>
    </row>
    <row r="6229" spans="2:4" x14ac:dyDescent="0.2">
      <c r="B6229" s="1341">
        <v>7582</v>
      </c>
      <c r="C6229" s="1341" t="s">
        <v>6866</v>
      </c>
      <c r="D6229" s="1310">
        <v>986.85881900000004</v>
      </c>
    </row>
    <row r="6230" spans="2:4" x14ac:dyDescent="0.2">
      <c r="B6230" s="1341">
        <v>7583</v>
      </c>
      <c r="C6230" s="1341" t="s">
        <v>6867</v>
      </c>
      <c r="D6230" s="1310">
        <v>1071.0333350000001</v>
      </c>
    </row>
    <row r="6231" spans="2:4" x14ac:dyDescent="0.2">
      <c r="B6231" s="1341">
        <v>7584</v>
      </c>
      <c r="C6231" s="1341" t="s">
        <v>6868</v>
      </c>
      <c r="D6231" s="1310">
        <v>1025.037491</v>
      </c>
    </row>
    <row r="6232" spans="2:4" x14ac:dyDescent="0.2">
      <c r="B6232" s="1341">
        <v>7585</v>
      </c>
      <c r="C6232" s="1341" t="s">
        <v>6869</v>
      </c>
      <c r="D6232" s="1310">
        <v>1041.0875020000001</v>
      </c>
    </row>
    <row r="6233" spans="2:4" x14ac:dyDescent="0.2">
      <c r="B6233" s="1341">
        <v>7586</v>
      </c>
      <c r="C6233" s="1341" t="s">
        <v>6870</v>
      </c>
      <c r="D6233" s="1310">
        <v>1080.045443</v>
      </c>
    </row>
    <row r="6234" spans="2:4" x14ac:dyDescent="0.2">
      <c r="B6234" s="1341">
        <v>7587</v>
      </c>
      <c r="C6234" s="1341" t="s">
        <v>6871</v>
      </c>
      <c r="D6234" s="1310">
        <v>1145.9000020000001</v>
      </c>
    </row>
    <row r="6235" spans="2:4" x14ac:dyDescent="0.2">
      <c r="B6235" s="1341">
        <v>7588</v>
      </c>
      <c r="C6235" s="1341" t="s">
        <v>6872</v>
      </c>
      <c r="D6235" s="1310">
        <v>1158.6000100000001</v>
      </c>
    </row>
    <row r="6236" spans="2:4" x14ac:dyDescent="0.2">
      <c r="B6236" s="1341">
        <v>7589</v>
      </c>
      <c r="C6236" s="1341" t="s">
        <v>6873</v>
      </c>
      <c r="D6236" s="1310">
        <v>1000.671426</v>
      </c>
    </row>
    <row r="6237" spans="2:4" x14ac:dyDescent="0.2">
      <c r="B6237" s="1341">
        <v>7590</v>
      </c>
      <c r="C6237" s="1341" t="s">
        <v>6874</v>
      </c>
      <c r="D6237" s="1310">
        <v>1013.2166539999999</v>
      </c>
    </row>
    <row r="6238" spans="2:4" x14ac:dyDescent="0.2">
      <c r="B6238" s="1341">
        <v>7591</v>
      </c>
      <c r="C6238" s="1341" t="s">
        <v>6875</v>
      </c>
      <c r="D6238" s="1310">
        <v>1007.199992</v>
      </c>
    </row>
    <row r="6239" spans="2:4" x14ac:dyDescent="0.2">
      <c r="B6239" s="1341">
        <v>7592</v>
      </c>
      <c r="C6239" s="1341" t="s">
        <v>6876</v>
      </c>
      <c r="D6239" s="1310">
        <v>1052.733348</v>
      </c>
    </row>
    <row r="6240" spans="2:4" x14ac:dyDescent="0.2">
      <c r="B6240" s="1341">
        <v>7593</v>
      </c>
      <c r="C6240" s="1341" t="s">
        <v>6877</v>
      </c>
      <c r="D6240" s="1310">
        <v>1068.5428469999999</v>
      </c>
    </row>
    <row r="6241" spans="2:4" x14ac:dyDescent="0.2">
      <c r="B6241" s="1341">
        <v>7594</v>
      </c>
      <c r="C6241" s="1341" t="s">
        <v>6878</v>
      </c>
      <c r="D6241" s="1310">
        <v>1044.6000160000001</v>
      </c>
    </row>
    <row r="6242" spans="2:4" x14ac:dyDescent="0.2">
      <c r="B6242" s="1341">
        <v>7595</v>
      </c>
      <c r="C6242" s="1341" t="s">
        <v>6879</v>
      </c>
      <c r="D6242" s="1310">
        <v>1106.971436</v>
      </c>
    </row>
    <row r="6243" spans="2:4" x14ac:dyDescent="0.2">
      <c r="B6243" s="1341">
        <v>7596</v>
      </c>
      <c r="C6243" s="1341" t="s">
        <v>6880</v>
      </c>
      <c r="D6243" s="1310">
        <v>1125.3599850000001</v>
      </c>
    </row>
    <row r="6244" spans="2:4" x14ac:dyDescent="0.2">
      <c r="B6244" s="1341">
        <v>7597</v>
      </c>
      <c r="C6244" s="1341" t="s">
        <v>6881</v>
      </c>
      <c r="D6244" s="1310">
        <v>1153.599976</v>
      </c>
    </row>
    <row r="6245" spans="2:4" x14ac:dyDescent="0.2">
      <c r="B6245" s="1341">
        <v>7598</v>
      </c>
      <c r="C6245" s="1341" t="s">
        <v>6882</v>
      </c>
      <c r="D6245" s="1310">
        <v>1012.533325</v>
      </c>
    </row>
    <row r="6246" spans="2:4" x14ac:dyDescent="0.2">
      <c r="B6246" s="1341">
        <v>7599</v>
      </c>
      <c r="C6246" s="1341" t="s">
        <v>6883</v>
      </c>
      <c r="D6246" s="1310">
        <v>1055.4368609999999</v>
      </c>
    </row>
    <row r="6247" spans="2:4" x14ac:dyDescent="0.2">
      <c r="B6247" s="1341">
        <v>7600</v>
      </c>
      <c r="C6247" s="1341" t="s">
        <v>6884</v>
      </c>
      <c r="D6247" s="1310">
        <v>1077.625</v>
      </c>
    </row>
    <row r="6248" spans="2:4" x14ac:dyDescent="0.2">
      <c r="B6248" s="1341">
        <v>7601</v>
      </c>
      <c r="C6248" s="1341" t="s">
        <v>6885</v>
      </c>
      <c r="D6248" s="1310">
        <v>1079.919995</v>
      </c>
    </row>
    <row r="6249" spans="2:4" x14ac:dyDescent="0.2">
      <c r="B6249" s="1341">
        <v>7602</v>
      </c>
      <c r="C6249" s="1341" t="s">
        <v>6886</v>
      </c>
      <c r="D6249" s="1310">
        <v>1137.265629</v>
      </c>
    </row>
    <row r="6250" spans="2:4" x14ac:dyDescent="0.2">
      <c r="B6250" s="1341">
        <v>7603</v>
      </c>
      <c r="C6250" s="1341" t="s">
        <v>6887</v>
      </c>
      <c r="D6250" s="1310">
        <v>1028.3941219999999</v>
      </c>
    </row>
    <row r="6251" spans="2:4" x14ac:dyDescent="0.2">
      <c r="B6251" s="1341">
        <v>7604</v>
      </c>
      <c r="C6251" s="1341" t="s">
        <v>1998</v>
      </c>
      <c r="D6251" s="1310">
        <v>1070.271432</v>
      </c>
    </row>
    <row r="6252" spans="2:4" x14ac:dyDescent="0.2">
      <c r="B6252" s="1341">
        <v>7605</v>
      </c>
      <c r="C6252" s="1341" t="s">
        <v>6888</v>
      </c>
      <c r="D6252" s="1310">
        <v>1144.184851</v>
      </c>
    </row>
    <row r="6253" spans="2:4" x14ac:dyDescent="0.2">
      <c r="B6253" s="1341">
        <v>7606</v>
      </c>
      <c r="C6253" s="1341" t="s">
        <v>6889</v>
      </c>
      <c r="D6253" s="1310">
        <v>1053.049988</v>
      </c>
    </row>
    <row r="6254" spans="2:4" x14ac:dyDescent="0.2">
      <c r="B6254" s="1341">
        <v>7607</v>
      </c>
      <c r="C6254" s="1341" t="s">
        <v>6890</v>
      </c>
      <c r="D6254" s="1310">
        <v>1093.03999</v>
      </c>
    </row>
    <row r="6255" spans="2:4" x14ac:dyDescent="0.2">
      <c r="B6255" s="1341">
        <v>7608</v>
      </c>
      <c r="C6255" s="1341" t="s">
        <v>6891</v>
      </c>
      <c r="D6255" s="1310">
        <v>1098.816671</v>
      </c>
    </row>
    <row r="6256" spans="2:4" x14ac:dyDescent="0.2">
      <c r="B6256" s="1341">
        <v>7609</v>
      </c>
      <c r="C6256" s="1341" t="s">
        <v>6892</v>
      </c>
      <c r="D6256" s="1310">
        <v>861.03334600000005</v>
      </c>
    </row>
    <row r="6257" spans="2:4" x14ac:dyDescent="0.2">
      <c r="B6257" s="1341">
        <v>7651</v>
      </c>
      <c r="C6257" s="1341" t="s">
        <v>5243</v>
      </c>
      <c r="D6257" s="1310">
        <v>1375.008331</v>
      </c>
    </row>
    <row r="6258" spans="2:4" x14ac:dyDescent="0.2">
      <c r="B6258" s="1341">
        <v>7652</v>
      </c>
      <c r="C6258" s="1341" t="s">
        <v>6893</v>
      </c>
      <c r="D6258" s="1310">
        <v>1313.5333390000001</v>
      </c>
    </row>
    <row r="6259" spans="2:4" x14ac:dyDescent="0.2">
      <c r="B6259" s="1341">
        <v>7653</v>
      </c>
      <c r="C6259" s="1341" t="s">
        <v>6894</v>
      </c>
      <c r="D6259" s="1310">
        <v>1476.125</v>
      </c>
    </row>
    <row r="6260" spans="2:4" x14ac:dyDescent="0.2">
      <c r="B6260" s="1341">
        <v>7654</v>
      </c>
      <c r="C6260" s="1341" t="s">
        <v>6895</v>
      </c>
      <c r="D6260" s="1310">
        <v>1339.7999990000001</v>
      </c>
    </row>
    <row r="6261" spans="2:4" x14ac:dyDescent="0.2">
      <c r="B6261" s="1341">
        <v>7655</v>
      </c>
      <c r="C6261" s="1341" t="s">
        <v>6896</v>
      </c>
      <c r="D6261" s="1310">
        <v>1232.952935</v>
      </c>
    </row>
    <row r="6262" spans="2:4" x14ac:dyDescent="0.2">
      <c r="B6262" s="1341">
        <v>7656</v>
      </c>
      <c r="C6262" s="1341" t="s">
        <v>6897</v>
      </c>
      <c r="D6262" s="1310">
        <v>1192.266656</v>
      </c>
    </row>
    <row r="6263" spans="2:4" x14ac:dyDescent="0.2">
      <c r="B6263" s="1341">
        <v>7657</v>
      </c>
      <c r="C6263" s="1341" t="s">
        <v>6898</v>
      </c>
      <c r="D6263" s="1310">
        <v>1186.2466549999999</v>
      </c>
    </row>
    <row r="6264" spans="2:4" x14ac:dyDescent="0.2">
      <c r="B6264" s="1341">
        <v>7658</v>
      </c>
      <c r="C6264" s="1341" t="s">
        <v>6899</v>
      </c>
      <c r="D6264" s="1310">
        <v>1184.415377</v>
      </c>
    </row>
    <row r="6265" spans="2:4" x14ac:dyDescent="0.2">
      <c r="B6265" s="1341">
        <v>7659</v>
      </c>
      <c r="C6265" s="1341" t="s">
        <v>6900</v>
      </c>
      <c r="D6265" s="1310">
        <v>1244.6312640000001</v>
      </c>
    </row>
    <row r="6266" spans="2:4" x14ac:dyDescent="0.2">
      <c r="B6266" s="1341">
        <v>7660</v>
      </c>
      <c r="C6266" s="1341" t="s">
        <v>6901</v>
      </c>
      <c r="D6266" s="1310">
        <v>1185.4000040000001</v>
      </c>
    </row>
    <row r="6267" spans="2:4" x14ac:dyDescent="0.2">
      <c r="B6267" s="1341">
        <v>7661</v>
      </c>
      <c r="C6267" s="1341" t="s">
        <v>6902</v>
      </c>
      <c r="D6267" s="1310">
        <v>1211.25</v>
      </c>
    </row>
    <row r="6268" spans="2:4" x14ac:dyDescent="0.2">
      <c r="B6268" s="1341">
        <v>7662</v>
      </c>
      <c r="C6268" s="1341" t="s">
        <v>6846</v>
      </c>
      <c r="D6268" s="1310">
        <v>1206.0571460000001</v>
      </c>
    </row>
    <row r="6269" spans="2:4" x14ac:dyDescent="0.2">
      <c r="B6269" s="1341">
        <v>7663</v>
      </c>
      <c r="C6269" s="1341" t="s">
        <v>6545</v>
      </c>
      <c r="D6269" s="1310">
        <v>1278.711538</v>
      </c>
    </row>
    <row r="6270" spans="2:4" x14ac:dyDescent="0.2">
      <c r="B6270" s="1341">
        <v>7664</v>
      </c>
      <c r="C6270" s="1341" t="s">
        <v>6903</v>
      </c>
      <c r="D6270" s="1310">
        <v>1299.613625</v>
      </c>
    </row>
    <row r="6271" spans="2:4" x14ac:dyDescent="0.2">
      <c r="B6271" s="1341">
        <v>7665</v>
      </c>
      <c r="C6271" s="1341" t="s">
        <v>6904</v>
      </c>
      <c r="D6271" s="1310">
        <v>1336.3892949999999</v>
      </c>
    </row>
    <row r="6272" spans="2:4" x14ac:dyDescent="0.2">
      <c r="B6272" s="1341">
        <v>7666</v>
      </c>
      <c r="C6272" s="1341" t="s">
        <v>6905</v>
      </c>
      <c r="D6272" s="1310">
        <v>1602.0799930000001</v>
      </c>
    </row>
    <row r="6273" spans="2:4" x14ac:dyDescent="0.2">
      <c r="B6273" s="1341">
        <v>7667</v>
      </c>
      <c r="C6273" s="1341" t="s">
        <v>6906</v>
      </c>
      <c r="D6273" s="1310">
        <v>1687.2823490000001</v>
      </c>
    </row>
    <row r="6274" spans="2:4" x14ac:dyDescent="0.2">
      <c r="B6274" s="1341">
        <v>7668</v>
      </c>
      <c r="C6274" s="1341" t="s">
        <v>6907</v>
      </c>
      <c r="D6274" s="1310">
        <v>1562.0750009999999</v>
      </c>
    </row>
    <row r="6275" spans="2:4" x14ac:dyDescent="0.2">
      <c r="B6275" s="1341">
        <v>7669</v>
      </c>
      <c r="C6275" s="1341" t="s">
        <v>6908</v>
      </c>
      <c r="D6275" s="1310">
        <v>1454.306456</v>
      </c>
    </row>
    <row r="6276" spans="2:4" x14ac:dyDescent="0.2">
      <c r="B6276" s="1341">
        <v>7670</v>
      </c>
      <c r="C6276" s="1341" t="s">
        <v>450</v>
      </c>
      <c r="D6276" s="1310">
        <v>1282.524999</v>
      </c>
    </row>
    <row r="6277" spans="2:4" x14ac:dyDescent="0.2">
      <c r="B6277" s="1341">
        <v>7671</v>
      </c>
      <c r="C6277" s="1341" t="s">
        <v>6909</v>
      </c>
      <c r="D6277" s="1310">
        <v>1272.942119</v>
      </c>
    </row>
    <row r="6278" spans="2:4" x14ac:dyDescent="0.2">
      <c r="B6278" s="1341">
        <v>7672</v>
      </c>
      <c r="C6278" s="1341" t="s">
        <v>6910</v>
      </c>
      <c r="D6278" s="1310">
        <v>1248.7791749999999</v>
      </c>
    </row>
    <row r="6279" spans="2:4" x14ac:dyDescent="0.2">
      <c r="B6279" s="1341">
        <v>7673</v>
      </c>
      <c r="C6279" s="1341" t="s">
        <v>6911</v>
      </c>
      <c r="D6279" s="1310">
        <v>1312.8133459999999</v>
      </c>
    </row>
    <row r="6280" spans="2:4" x14ac:dyDescent="0.2">
      <c r="B6280" s="1341">
        <v>7674</v>
      </c>
      <c r="C6280" s="1341" t="s">
        <v>6912</v>
      </c>
      <c r="D6280" s="1310">
        <v>1428.9399900000001</v>
      </c>
    </row>
    <row r="6281" spans="2:4" x14ac:dyDescent="0.2">
      <c r="B6281" s="1341">
        <v>7675</v>
      </c>
      <c r="C6281" s="1341" t="s">
        <v>6913</v>
      </c>
      <c r="D6281" s="1310">
        <v>1418.581809</v>
      </c>
    </row>
    <row r="6282" spans="2:4" x14ac:dyDescent="0.2">
      <c r="B6282" s="1341">
        <v>7676</v>
      </c>
      <c r="C6282" s="1341" t="s">
        <v>4229</v>
      </c>
      <c r="D6282" s="1310">
        <v>1693.252383</v>
      </c>
    </row>
    <row r="6283" spans="2:4" x14ac:dyDescent="0.2">
      <c r="B6283" s="1341">
        <v>7677</v>
      </c>
      <c r="C6283" s="1341" t="s">
        <v>6914</v>
      </c>
      <c r="D6283" s="1310">
        <v>1675.2166609999999</v>
      </c>
    </row>
    <row r="6284" spans="2:4" x14ac:dyDescent="0.2">
      <c r="B6284" s="1341">
        <v>7678</v>
      </c>
      <c r="C6284" s="1341" t="s">
        <v>6915</v>
      </c>
      <c r="D6284" s="1310">
        <v>1628.8999839999999</v>
      </c>
    </row>
    <row r="6285" spans="2:4" x14ac:dyDescent="0.2">
      <c r="B6285" s="1341">
        <v>7679</v>
      </c>
      <c r="C6285" s="1341" t="s">
        <v>6916</v>
      </c>
      <c r="D6285" s="1310">
        <v>1709.749969</v>
      </c>
    </row>
    <row r="6286" spans="2:4" x14ac:dyDescent="0.2">
      <c r="B6286" s="1341">
        <v>7680</v>
      </c>
      <c r="C6286" s="1341" t="s">
        <v>6917</v>
      </c>
      <c r="D6286" s="1310">
        <v>1356.9444510000001</v>
      </c>
    </row>
    <row r="6287" spans="2:4" x14ac:dyDescent="0.2">
      <c r="B6287" s="1341">
        <v>7681</v>
      </c>
      <c r="C6287" s="1341" t="s">
        <v>6918</v>
      </c>
      <c r="D6287" s="1310">
        <v>1444.950012</v>
      </c>
    </row>
    <row r="6288" spans="2:4" x14ac:dyDescent="0.2">
      <c r="B6288" s="1341">
        <v>7682</v>
      </c>
      <c r="C6288" s="1341" t="s">
        <v>6919</v>
      </c>
      <c r="D6288" s="1310">
        <v>1583.7846119999999</v>
      </c>
    </row>
    <row r="6289" spans="2:4" x14ac:dyDescent="0.2">
      <c r="B6289" s="1341">
        <v>7683</v>
      </c>
      <c r="C6289" s="1341" t="s">
        <v>6920</v>
      </c>
      <c r="D6289" s="1310">
        <v>1363.546171</v>
      </c>
    </row>
    <row r="6290" spans="2:4" x14ac:dyDescent="0.2">
      <c r="B6290" s="1341">
        <v>7684</v>
      </c>
      <c r="C6290" s="1341" t="s">
        <v>6921</v>
      </c>
      <c r="D6290" s="1310">
        <v>1364.660719</v>
      </c>
    </row>
    <row r="6291" spans="2:4" x14ac:dyDescent="0.2">
      <c r="B6291" s="1341">
        <v>7685</v>
      </c>
      <c r="C6291" s="1341" t="s">
        <v>6922</v>
      </c>
      <c r="D6291" s="1310">
        <v>1439.959985</v>
      </c>
    </row>
    <row r="6292" spans="2:4" x14ac:dyDescent="0.2">
      <c r="B6292" s="1341">
        <v>7686</v>
      </c>
      <c r="C6292" s="1341" t="s">
        <v>3822</v>
      </c>
      <c r="D6292" s="1310">
        <v>1484.0832929999999</v>
      </c>
    </row>
    <row r="6293" spans="2:4" x14ac:dyDescent="0.2">
      <c r="B6293" s="1341">
        <v>7687</v>
      </c>
      <c r="C6293" s="1341" t="s">
        <v>6923</v>
      </c>
      <c r="D6293" s="1310">
        <v>1503.2647059999999</v>
      </c>
    </row>
    <row r="6294" spans="2:4" x14ac:dyDescent="0.2">
      <c r="B6294" s="1341">
        <v>7688</v>
      </c>
      <c r="C6294" s="1341" t="s">
        <v>2450</v>
      </c>
      <c r="D6294" s="1310">
        <v>1423.778251</v>
      </c>
    </row>
    <row r="6295" spans="2:4" x14ac:dyDescent="0.2">
      <c r="B6295" s="1341">
        <v>7689</v>
      </c>
      <c r="C6295" s="1341" t="s">
        <v>6924</v>
      </c>
      <c r="D6295" s="1310">
        <v>1651.288638</v>
      </c>
    </row>
    <row r="6296" spans="2:4" x14ac:dyDescent="0.2">
      <c r="B6296" s="1341">
        <v>7690</v>
      </c>
      <c r="C6296" s="1341" t="s">
        <v>6925</v>
      </c>
      <c r="D6296" s="1310">
        <v>1283.0999919999999</v>
      </c>
    </row>
    <row r="6297" spans="2:4" x14ac:dyDescent="0.2">
      <c r="B6297" s="1341">
        <v>7691</v>
      </c>
      <c r="C6297" s="1341" t="s">
        <v>6926</v>
      </c>
      <c r="D6297" s="1310">
        <v>1218.518188</v>
      </c>
    </row>
    <row r="6298" spans="2:4" x14ac:dyDescent="0.2">
      <c r="B6298" s="1341">
        <v>7692</v>
      </c>
      <c r="C6298" s="1341" t="s">
        <v>6927</v>
      </c>
      <c r="D6298" s="1310">
        <v>1164.1437530000001</v>
      </c>
    </row>
    <row r="6299" spans="2:4" x14ac:dyDescent="0.2">
      <c r="B6299" s="1341">
        <v>7693</v>
      </c>
      <c r="C6299" s="1341" t="s">
        <v>6928</v>
      </c>
      <c r="D6299" s="1310">
        <v>1213.7833459999999</v>
      </c>
    </row>
    <row r="6300" spans="2:4" x14ac:dyDescent="0.2">
      <c r="B6300" s="1341">
        <v>7694</v>
      </c>
      <c r="C6300" s="1341" t="s">
        <v>6929</v>
      </c>
      <c r="D6300" s="1310">
        <v>1241.646146</v>
      </c>
    </row>
    <row r="6301" spans="2:4" x14ac:dyDescent="0.2">
      <c r="B6301" s="1341">
        <v>7695</v>
      </c>
      <c r="C6301" s="1341" t="s">
        <v>6930</v>
      </c>
      <c r="D6301" s="1310">
        <v>1199.3</v>
      </c>
    </row>
    <row r="6302" spans="2:4" x14ac:dyDescent="0.2">
      <c r="B6302" s="1341">
        <v>7696</v>
      </c>
      <c r="C6302" s="1341" t="s">
        <v>1642</v>
      </c>
      <c r="D6302" s="1310">
        <v>1222.3631660000001</v>
      </c>
    </row>
    <row r="6303" spans="2:4" x14ac:dyDescent="0.2">
      <c r="B6303" s="1341">
        <v>7697</v>
      </c>
      <c r="C6303" s="1341" t="s">
        <v>6931</v>
      </c>
      <c r="D6303" s="1310">
        <v>1267.611539</v>
      </c>
    </row>
    <row r="6304" spans="2:4" x14ac:dyDescent="0.2">
      <c r="B6304" s="1341">
        <v>7701</v>
      </c>
      <c r="C6304" s="1341" t="s">
        <v>6932</v>
      </c>
      <c r="D6304" s="1310">
        <v>811.21999500000004</v>
      </c>
    </row>
    <row r="6305" spans="2:4" x14ac:dyDescent="0.2">
      <c r="B6305" s="1341">
        <v>7702</v>
      </c>
      <c r="C6305" s="1341" t="s">
        <v>6933</v>
      </c>
      <c r="D6305" s="1310">
        <v>816</v>
      </c>
    </row>
    <row r="6306" spans="2:4" x14ac:dyDescent="0.2">
      <c r="B6306" s="1341">
        <v>7703</v>
      </c>
      <c r="C6306" s="1341" t="s">
        <v>6934</v>
      </c>
      <c r="D6306" s="1310">
        <v>823.88000499999998</v>
      </c>
    </row>
    <row r="6307" spans="2:4" x14ac:dyDescent="0.2">
      <c r="B6307" s="1341">
        <v>7704</v>
      </c>
      <c r="C6307" s="1341" t="s">
        <v>6935</v>
      </c>
      <c r="D6307" s="1310">
        <v>800.80001800000002</v>
      </c>
    </row>
    <row r="6308" spans="2:4" x14ac:dyDescent="0.2">
      <c r="B6308" s="1341">
        <v>7705</v>
      </c>
      <c r="C6308" s="1341" t="s">
        <v>6936</v>
      </c>
      <c r="D6308" s="1310">
        <v>814.09997599999997</v>
      </c>
    </row>
    <row r="6309" spans="2:4" x14ac:dyDescent="0.2">
      <c r="B6309" s="1341">
        <v>7706</v>
      </c>
      <c r="C6309" s="1341" t="s">
        <v>6937</v>
      </c>
      <c r="D6309" s="1310">
        <v>835.91667700000005</v>
      </c>
    </row>
    <row r="6310" spans="2:4" x14ac:dyDescent="0.2">
      <c r="B6310" s="1341">
        <v>7707</v>
      </c>
      <c r="C6310" s="1341" t="s">
        <v>6938</v>
      </c>
      <c r="D6310" s="1310">
        <v>851.88181899999995</v>
      </c>
    </row>
    <row r="6311" spans="2:4" x14ac:dyDescent="0.2">
      <c r="B6311" s="1341">
        <v>7708</v>
      </c>
      <c r="C6311" s="1341" t="s">
        <v>6939</v>
      </c>
      <c r="D6311" s="1310">
        <v>862.02000699999996</v>
      </c>
    </row>
    <row r="6312" spans="2:4" x14ac:dyDescent="0.2">
      <c r="B6312" s="1341">
        <v>7709</v>
      </c>
      <c r="C6312" s="1341" t="s">
        <v>6940</v>
      </c>
      <c r="D6312" s="1310">
        <v>891.51999499999999</v>
      </c>
    </row>
    <row r="6313" spans="2:4" x14ac:dyDescent="0.2">
      <c r="B6313" s="1341">
        <v>7710</v>
      </c>
      <c r="C6313" s="1341" t="s">
        <v>6941</v>
      </c>
      <c r="D6313" s="1310">
        <v>878.88000499999998</v>
      </c>
    </row>
    <row r="6314" spans="2:4" x14ac:dyDescent="0.2">
      <c r="B6314" s="1341">
        <v>7711</v>
      </c>
      <c r="C6314" s="1341" t="s">
        <v>6942</v>
      </c>
      <c r="D6314" s="1310">
        <v>888.73333700000001</v>
      </c>
    </row>
    <row r="6315" spans="2:4" x14ac:dyDescent="0.2">
      <c r="B6315" s="1341">
        <v>7712</v>
      </c>
      <c r="C6315" s="1341" t="s">
        <v>6943</v>
      </c>
      <c r="D6315" s="1310">
        <v>886.73333700000001</v>
      </c>
    </row>
    <row r="6316" spans="2:4" x14ac:dyDescent="0.2">
      <c r="B6316" s="1341">
        <v>7713</v>
      </c>
      <c r="C6316" s="1341" t="s">
        <v>6944</v>
      </c>
      <c r="D6316" s="1310">
        <v>893.65002400000003</v>
      </c>
    </row>
    <row r="6317" spans="2:4" x14ac:dyDescent="0.2">
      <c r="B6317" s="1341">
        <v>7714</v>
      </c>
      <c r="C6317" s="1341" t="s">
        <v>6945</v>
      </c>
      <c r="D6317" s="1310">
        <v>868.79999699999996</v>
      </c>
    </row>
    <row r="6318" spans="2:4" x14ac:dyDescent="0.2">
      <c r="B6318" s="1341">
        <v>7715</v>
      </c>
      <c r="C6318" s="1341" t="s">
        <v>5350</v>
      </c>
      <c r="D6318" s="1310">
        <v>881.17142999999999</v>
      </c>
    </row>
    <row r="6319" spans="2:4" x14ac:dyDescent="0.2">
      <c r="B6319" s="1341">
        <v>7716</v>
      </c>
      <c r="C6319" s="1341" t="s">
        <v>6946</v>
      </c>
      <c r="D6319" s="1310">
        <v>855.20001200000002</v>
      </c>
    </row>
    <row r="6320" spans="2:4" x14ac:dyDescent="0.2">
      <c r="B6320" s="1341">
        <v>7717</v>
      </c>
      <c r="C6320" s="1341" t="s">
        <v>6947</v>
      </c>
      <c r="D6320" s="1310">
        <v>837.91427999999996</v>
      </c>
    </row>
    <row r="6321" spans="2:4" x14ac:dyDescent="0.2">
      <c r="B6321" s="1341">
        <v>7718</v>
      </c>
      <c r="C6321" s="1341" t="s">
        <v>6948</v>
      </c>
      <c r="D6321" s="1310">
        <v>910.74001499999997</v>
      </c>
    </row>
    <row r="6322" spans="2:4" x14ac:dyDescent="0.2">
      <c r="B6322" s="1341">
        <v>7719</v>
      </c>
      <c r="C6322" s="1341" t="s">
        <v>6149</v>
      </c>
      <c r="D6322" s="1310">
        <v>883.97500600000001</v>
      </c>
    </row>
    <row r="6323" spans="2:4" x14ac:dyDescent="0.2">
      <c r="B6323" s="1341">
        <v>7720</v>
      </c>
      <c r="C6323" s="1341" t="s">
        <v>6949</v>
      </c>
      <c r="D6323" s="1310">
        <v>879.19998899999996</v>
      </c>
    </row>
    <row r="6324" spans="2:4" x14ac:dyDescent="0.2">
      <c r="B6324" s="1341">
        <v>7721</v>
      </c>
      <c r="C6324" s="1341" t="s">
        <v>6950</v>
      </c>
      <c r="D6324" s="1310">
        <v>854.95000200000004</v>
      </c>
    </row>
    <row r="6325" spans="2:4" x14ac:dyDescent="0.2">
      <c r="B6325" s="1341">
        <v>7722</v>
      </c>
      <c r="C6325" s="1341" t="s">
        <v>6951</v>
      </c>
      <c r="D6325" s="1310">
        <v>872.38888899999995</v>
      </c>
    </row>
    <row r="6326" spans="2:4" x14ac:dyDescent="0.2">
      <c r="B6326" s="1341">
        <v>7723</v>
      </c>
      <c r="C6326" s="1341" t="s">
        <v>6952</v>
      </c>
      <c r="D6326" s="1310">
        <v>888.89999399999999</v>
      </c>
    </row>
    <row r="6327" spans="2:4" x14ac:dyDescent="0.2">
      <c r="B6327" s="1341">
        <v>7724</v>
      </c>
      <c r="C6327" s="1341" t="s">
        <v>6953</v>
      </c>
      <c r="D6327" s="1310">
        <v>772.22000700000001</v>
      </c>
    </row>
    <row r="6328" spans="2:4" x14ac:dyDescent="0.2">
      <c r="B6328" s="1341">
        <v>7725</v>
      </c>
      <c r="C6328" s="1341" t="s">
        <v>6954</v>
      </c>
      <c r="D6328" s="1310">
        <v>807.22499800000003</v>
      </c>
    </row>
    <row r="6329" spans="2:4" x14ac:dyDescent="0.2">
      <c r="B6329" s="1341">
        <v>7726</v>
      </c>
      <c r="C6329" s="1341" t="s">
        <v>4145</v>
      </c>
      <c r="D6329" s="1310">
        <v>825.39999899999998</v>
      </c>
    </row>
    <row r="6330" spans="2:4" x14ac:dyDescent="0.2">
      <c r="B6330" s="1341">
        <v>7727</v>
      </c>
      <c r="C6330" s="1341" t="s">
        <v>6929</v>
      </c>
      <c r="D6330" s="1310">
        <v>831.11249499999997</v>
      </c>
    </row>
    <row r="6331" spans="2:4" x14ac:dyDescent="0.2">
      <c r="B6331" s="1341">
        <v>7728</v>
      </c>
      <c r="C6331" s="1341" t="s">
        <v>6955</v>
      </c>
      <c r="D6331" s="1310">
        <v>823.259998</v>
      </c>
    </row>
    <row r="6332" spans="2:4" x14ac:dyDescent="0.2">
      <c r="B6332" s="1341">
        <v>7729</v>
      </c>
      <c r="C6332" s="1341" t="s">
        <v>6956</v>
      </c>
      <c r="D6332" s="1310">
        <v>847.43332899999996</v>
      </c>
    </row>
    <row r="6333" spans="2:4" x14ac:dyDescent="0.2">
      <c r="B6333" s="1341">
        <v>7730</v>
      </c>
      <c r="C6333" s="1341" t="s">
        <v>6957</v>
      </c>
      <c r="D6333" s="1310">
        <v>859.10001199999999</v>
      </c>
    </row>
    <row r="6334" spans="2:4" x14ac:dyDescent="0.2">
      <c r="B6334" s="1341">
        <v>7731</v>
      </c>
      <c r="C6334" s="1341" t="s">
        <v>6958</v>
      </c>
      <c r="D6334" s="1310">
        <v>878.86667899999998</v>
      </c>
    </row>
    <row r="6335" spans="2:4" x14ac:dyDescent="0.2">
      <c r="B6335" s="1341">
        <v>7732</v>
      </c>
      <c r="C6335" s="1341" t="s">
        <v>6959</v>
      </c>
      <c r="D6335" s="1310">
        <v>875.35999800000002</v>
      </c>
    </row>
    <row r="6336" spans="2:4" x14ac:dyDescent="0.2">
      <c r="B6336" s="1341">
        <v>7733</v>
      </c>
      <c r="C6336" s="1341" t="s">
        <v>6960</v>
      </c>
      <c r="D6336" s="1310">
        <v>833.60000600000001</v>
      </c>
    </row>
    <row r="6337" spans="2:4" x14ac:dyDescent="0.2">
      <c r="B6337" s="1341">
        <v>7734</v>
      </c>
      <c r="C6337" s="1341" t="s">
        <v>6961</v>
      </c>
      <c r="D6337" s="1310">
        <v>825.61764000000005</v>
      </c>
    </row>
    <row r="6338" spans="2:4" x14ac:dyDescent="0.2">
      <c r="B6338" s="1341">
        <v>7735</v>
      </c>
      <c r="C6338" s="1341" t="s">
        <v>3728</v>
      </c>
      <c r="D6338" s="1310">
        <v>797.34000200000003</v>
      </c>
    </row>
    <row r="6339" spans="2:4" x14ac:dyDescent="0.2">
      <c r="B6339" s="1341">
        <v>7736</v>
      </c>
      <c r="C6339" s="1341" t="s">
        <v>6962</v>
      </c>
      <c r="D6339" s="1310">
        <v>816.53334600000005</v>
      </c>
    </row>
    <row r="6340" spans="2:4" x14ac:dyDescent="0.2">
      <c r="B6340" s="1341">
        <v>7737</v>
      </c>
      <c r="C6340" s="1341" t="s">
        <v>6963</v>
      </c>
      <c r="D6340" s="1310">
        <v>853.48333700000001</v>
      </c>
    </row>
    <row r="6341" spans="2:4" x14ac:dyDescent="0.2">
      <c r="B6341" s="1341">
        <v>7738</v>
      </c>
      <c r="C6341" s="1341" t="s">
        <v>6964</v>
      </c>
      <c r="D6341" s="1310">
        <v>802.64000199999998</v>
      </c>
    </row>
    <row r="6342" spans="2:4" x14ac:dyDescent="0.2">
      <c r="B6342" s="1341">
        <v>7739</v>
      </c>
      <c r="C6342" s="1341" t="s">
        <v>6965</v>
      </c>
      <c r="D6342" s="1310">
        <v>816.90002400000003</v>
      </c>
    </row>
    <row r="6343" spans="2:4" x14ac:dyDescent="0.2">
      <c r="B6343" s="1341">
        <v>7740</v>
      </c>
      <c r="C6343" s="1341" t="s">
        <v>2913</v>
      </c>
      <c r="D6343" s="1310">
        <v>882.30000800000005</v>
      </c>
    </row>
    <row r="6344" spans="2:4" x14ac:dyDescent="0.2">
      <c r="B6344" s="1341">
        <v>7741</v>
      </c>
      <c r="C6344" s="1341" t="s">
        <v>6966</v>
      </c>
      <c r="D6344" s="1310">
        <v>810.64285700000005</v>
      </c>
    </row>
    <row r="6345" spans="2:4" x14ac:dyDescent="0.2">
      <c r="B6345" s="1341">
        <v>7742</v>
      </c>
      <c r="C6345" s="1341" t="s">
        <v>6967</v>
      </c>
      <c r="D6345" s="1310">
        <v>856.85000600000001</v>
      </c>
    </row>
    <row r="6346" spans="2:4" x14ac:dyDescent="0.2">
      <c r="B6346" s="1341">
        <v>7743</v>
      </c>
      <c r="C6346" s="1341" t="s">
        <v>6968</v>
      </c>
      <c r="D6346" s="1310">
        <v>887.14285700000005</v>
      </c>
    </row>
    <row r="6347" spans="2:4" x14ac:dyDescent="0.2">
      <c r="B6347" s="1341">
        <v>7744</v>
      </c>
      <c r="C6347" s="1341" t="s">
        <v>6969</v>
      </c>
      <c r="D6347" s="1310">
        <v>863.22999900000002</v>
      </c>
    </row>
    <row r="6348" spans="2:4" x14ac:dyDescent="0.2">
      <c r="B6348" s="1341">
        <v>7745</v>
      </c>
      <c r="C6348" s="1341" t="s">
        <v>6970</v>
      </c>
      <c r="D6348" s="1310">
        <v>857.36667199999999</v>
      </c>
    </row>
    <row r="6349" spans="2:4" x14ac:dyDescent="0.2">
      <c r="B6349" s="1341">
        <v>7746</v>
      </c>
      <c r="C6349" s="1341" t="s">
        <v>6971</v>
      </c>
      <c r="D6349" s="1310">
        <v>854.17498799999998</v>
      </c>
    </row>
    <row r="6350" spans="2:4" x14ac:dyDescent="0.2">
      <c r="B6350" s="1341">
        <v>7747</v>
      </c>
      <c r="C6350" s="1341" t="s">
        <v>6972</v>
      </c>
      <c r="D6350" s="1310">
        <v>865.72499100000005</v>
      </c>
    </row>
    <row r="6351" spans="2:4" x14ac:dyDescent="0.2">
      <c r="B6351" s="1341">
        <v>7748</v>
      </c>
      <c r="C6351" s="1341" t="s">
        <v>6973</v>
      </c>
      <c r="D6351" s="1310">
        <v>860.60000600000001</v>
      </c>
    </row>
    <row r="6352" spans="2:4" x14ac:dyDescent="0.2">
      <c r="B6352" s="1341">
        <v>7749</v>
      </c>
      <c r="C6352" s="1341" t="s">
        <v>4902</v>
      </c>
      <c r="D6352" s="1310">
        <v>878.375</v>
      </c>
    </row>
    <row r="6353" spans="2:4" x14ac:dyDescent="0.2">
      <c r="B6353" s="1341">
        <v>7750</v>
      </c>
      <c r="C6353" s="1341" t="s">
        <v>6974</v>
      </c>
      <c r="D6353" s="1310">
        <v>886.41665599999999</v>
      </c>
    </row>
    <row r="6354" spans="2:4" x14ac:dyDescent="0.2">
      <c r="B6354" s="1341">
        <v>7751</v>
      </c>
      <c r="C6354" s="1341" t="s">
        <v>6975</v>
      </c>
      <c r="D6354" s="1310">
        <v>880.39000899999996</v>
      </c>
    </row>
    <row r="6355" spans="2:4" x14ac:dyDescent="0.2">
      <c r="B6355" s="1341">
        <v>7752</v>
      </c>
      <c r="C6355" s="1341" t="s">
        <v>6976</v>
      </c>
      <c r="D6355" s="1310">
        <v>869.42857100000003</v>
      </c>
    </row>
    <row r="6356" spans="2:4" x14ac:dyDescent="0.2">
      <c r="B6356" s="1341">
        <v>7753</v>
      </c>
      <c r="C6356" s="1341" t="s">
        <v>6977</v>
      </c>
      <c r="D6356" s="1310">
        <v>873.81817599999999</v>
      </c>
    </row>
    <row r="6357" spans="2:4" x14ac:dyDescent="0.2">
      <c r="B6357" s="1341">
        <v>7754</v>
      </c>
      <c r="C6357" s="1341" t="s">
        <v>1678</v>
      </c>
      <c r="D6357" s="1310">
        <v>887.27059399999996</v>
      </c>
    </row>
    <row r="6358" spans="2:4" x14ac:dyDescent="0.2">
      <c r="B6358" s="1341">
        <v>7755</v>
      </c>
      <c r="C6358" s="1341" t="s">
        <v>6978</v>
      </c>
      <c r="D6358" s="1310">
        <v>918.90909099999999</v>
      </c>
    </row>
    <row r="6359" spans="2:4" x14ac:dyDescent="0.2">
      <c r="B6359" s="1341">
        <v>7756</v>
      </c>
      <c r="C6359" s="1341" t="s">
        <v>6979</v>
      </c>
      <c r="D6359" s="1310">
        <v>851.01429099999996</v>
      </c>
    </row>
    <row r="6360" spans="2:4" x14ac:dyDescent="0.2">
      <c r="B6360" s="1341">
        <v>7757</v>
      </c>
      <c r="C6360" s="1341" t="s">
        <v>1697</v>
      </c>
      <c r="D6360" s="1310">
        <v>865.14999399999999</v>
      </c>
    </row>
    <row r="6361" spans="2:4" x14ac:dyDescent="0.2">
      <c r="B6361" s="1341">
        <v>7758</v>
      </c>
      <c r="C6361" s="1341" t="s">
        <v>1543</v>
      </c>
      <c r="D6361" s="1310">
        <v>847.15713900000003</v>
      </c>
    </row>
    <row r="6362" spans="2:4" x14ac:dyDescent="0.2">
      <c r="B6362" s="1341">
        <v>7759</v>
      </c>
      <c r="C6362" s="1341" t="s">
        <v>6980</v>
      </c>
      <c r="D6362" s="1310">
        <v>881.23333700000001</v>
      </c>
    </row>
    <row r="6363" spans="2:4" x14ac:dyDescent="0.2">
      <c r="B6363" s="1341">
        <v>7760</v>
      </c>
      <c r="C6363" s="1341" t="s">
        <v>6981</v>
      </c>
      <c r="D6363" s="1310">
        <v>873.68333900000005</v>
      </c>
    </row>
    <row r="6364" spans="2:4" x14ac:dyDescent="0.2">
      <c r="B6364" s="1341">
        <v>7761</v>
      </c>
      <c r="C6364" s="1341" t="s">
        <v>6982</v>
      </c>
      <c r="D6364" s="1310">
        <v>905.35833200000002</v>
      </c>
    </row>
    <row r="6365" spans="2:4" x14ac:dyDescent="0.2">
      <c r="B6365" s="1341">
        <v>7762</v>
      </c>
      <c r="C6365" s="1341" t="s">
        <v>6983</v>
      </c>
      <c r="D6365" s="1310">
        <v>823.95000200000004</v>
      </c>
    </row>
    <row r="6366" spans="2:4" x14ac:dyDescent="0.2">
      <c r="B6366" s="1341">
        <v>7763</v>
      </c>
      <c r="C6366" s="1341" t="s">
        <v>6984</v>
      </c>
      <c r="D6366" s="1310">
        <v>826.0625</v>
      </c>
    </row>
    <row r="6367" spans="2:4" x14ac:dyDescent="0.2">
      <c r="B6367" s="1341">
        <v>7764</v>
      </c>
      <c r="C6367" s="1341" t="s">
        <v>1290</v>
      </c>
      <c r="D6367" s="1310">
        <v>866.06363199999998</v>
      </c>
    </row>
    <row r="6368" spans="2:4" x14ac:dyDescent="0.2">
      <c r="B6368" s="1341">
        <v>7765</v>
      </c>
      <c r="C6368" s="1341" t="s">
        <v>6985</v>
      </c>
      <c r="D6368" s="1310">
        <v>905.11998300000005</v>
      </c>
    </row>
    <row r="6369" spans="2:4" x14ac:dyDescent="0.2">
      <c r="B6369" s="1341">
        <v>7766</v>
      </c>
      <c r="C6369" s="1341" t="s">
        <v>6986</v>
      </c>
      <c r="D6369" s="1310">
        <v>891.53332499999999</v>
      </c>
    </row>
    <row r="6370" spans="2:4" x14ac:dyDescent="0.2">
      <c r="B6370" s="1341">
        <v>7767</v>
      </c>
      <c r="C6370" s="1341" t="s">
        <v>6556</v>
      </c>
      <c r="D6370" s="1310">
        <v>919.46364000000005</v>
      </c>
    </row>
    <row r="6371" spans="2:4" x14ac:dyDescent="0.2">
      <c r="B6371" s="1341">
        <v>7768</v>
      </c>
      <c r="C6371" s="1341" t="s">
        <v>6987</v>
      </c>
      <c r="D6371" s="1310">
        <v>907.84000900000001</v>
      </c>
    </row>
    <row r="6372" spans="2:4" x14ac:dyDescent="0.2">
      <c r="B6372" s="1341">
        <v>7769</v>
      </c>
      <c r="C6372" s="1341" t="s">
        <v>6988</v>
      </c>
      <c r="D6372" s="1310">
        <v>889.46365100000003</v>
      </c>
    </row>
    <row r="6373" spans="2:4" x14ac:dyDescent="0.2">
      <c r="B6373" s="1341">
        <v>7770</v>
      </c>
      <c r="C6373" s="1341" t="s">
        <v>6989</v>
      </c>
      <c r="D6373" s="1310">
        <v>899.910526</v>
      </c>
    </row>
    <row r="6374" spans="2:4" x14ac:dyDescent="0.2">
      <c r="B6374" s="1341">
        <v>7771</v>
      </c>
      <c r="C6374" s="1341" t="s">
        <v>6990</v>
      </c>
      <c r="D6374" s="1310">
        <v>907.866669</v>
      </c>
    </row>
    <row r="6375" spans="2:4" x14ac:dyDescent="0.2">
      <c r="B6375" s="1341">
        <v>7772</v>
      </c>
      <c r="C6375" s="1341" t="s">
        <v>6991</v>
      </c>
      <c r="D6375" s="1310">
        <v>918.07500500000003</v>
      </c>
    </row>
    <row r="6376" spans="2:4" x14ac:dyDescent="0.2">
      <c r="B6376" s="1341">
        <v>7773</v>
      </c>
      <c r="C6376" s="1341" t="s">
        <v>6992</v>
      </c>
      <c r="D6376" s="1310">
        <v>909.80000399999994</v>
      </c>
    </row>
    <row r="6377" spans="2:4" x14ac:dyDescent="0.2">
      <c r="B6377" s="1341">
        <v>7774</v>
      </c>
      <c r="C6377" s="1341" t="s">
        <v>6993</v>
      </c>
      <c r="D6377" s="1310">
        <v>894.68636500000002</v>
      </c>
    </row>
    <row r="6378" spans="2:4" x14ac:dyDescent="0.2">
      <c r="B6378" s="1341">
        <v>7775</v>
      </c>
      <c r="C6378" s="1341" t="s">
        <v>6994</v>
      </c>
      <c r="D6378" s="1310">
        <v>934.78749500000004</v>
      </c>
    </row>
    <row r="6379" spans="2:4" x14ac:dyDescent="0.2">
      <c r="B6379" s="1341">
        <v>7776</v>
      </c>
      <c r="C6379" s="1341" t="s">
        <v>6995</v>
      </c>
      <c r="D6379" s="1310">
        <v>945.79166699999996</v>
      </c>
    </row>
    <row r="6380" spans="2:4" x14ac:dyDescent="0.2">
      <c r="B6380" s="1341">
        <v>7777</v>
      </c>
      <c r="C6380" s="1341" t="s">
        <v>6996</v>
      </c>
      <c r="D6380" s="1310">
        <v>914.53333499999997</v>
      </c>
    </row>
    <row r="6381" spans="2:4" x14ac:dyDescent="0.2">
      <c r="B6381" s="1341">
        <v>7778</v>
      </c>
      <c r="C6381" s="1341" t="s">
        <v>6997</v>
      </c>
      <c r="D6381" s="1310">
        <v>905.90909099999999</v>
      </c>
    </row>
    <row r="6382" spans="2:4" x14ac:dyDescent="0.2">
      <c r="B6382" s="1341">
        <v>7779</v>
      </c>
      <c r="C6382" s="1341" t="s">
        <v>5002</v>
      </c>
      <c r="D6382" s="1310">
        <v>930.36665900000003</v>
      </c>
    </row>
    <row r="6383" spans="2:4" x14ac:dyDescent="0.2">
      <c r="B6383" s="1341">
        <v>7780</v>
      </c>
      <c r="C6383" s="1341" t="s">
        <v>6998</v>
      </c>
      <c r="D6383" s="1310">
        <v>942.15000899999995</v>
      </c>
    </row>
    <row r="6384" spans="2:4" x14ac:dyDescent="0.2">
      <c r="B6384" s="1341">
        <v>7781</v>
      </c>
      <c r="C6384" s="1341" t="s">
        <v>6999</v>
      </c>
      <c r="D6384" s="1310">
        <v>945.47894899999994</v>
      </c>
    </row>
    <row r="6385" spans="2:4" x14ac:dyDescent="0.2">
      <c r="B6385" s="1341">
        <v>7782</v>
      </c>
      <c r="C6385" s="1341" t="s">
        <v>7000</v>
      </c>
      <c r="D6385" s="1310">
        <v>947.16666699999996</v>
      </c>
    </row>
    <row r="6386" spans="2:4" x14ac:dyDescent="0.2">
      <c r="B6386" s="1341">
        <v>7783</v>
      </c>
      <c r="C6386" s="1341" t="s">
        <v>7001</v>
      </c>
      <c r="D6386" s="1310">
        <v>949.59997599999997</v>
      </c>
    </row>
    <row r="6387" spans="2:4" x14ac:dyDescent="0.2">
      <c r="B6387" s="1341">
        <v>7784</v>
      </c>
      <c r="C6387" s="1341" t="s">
        <v>7002</v>
      </c>
      <c r="D6387" s="1310">
        <v>975.04999799999996</v>
      </c>
    </row>
    <row r="6388" spans="2:4" x14ac:dyDescent="0.2">
      <c r="B6388" s="1341">
        <v>7785</v>
      </c>
      <c r="C6388" s="1341" t="s">
        <v>7003</v>
      </c>
      <c r="D6388" s="1310">
        <v>906.75999100000001</v>
      </c>
    </row>
    <row r="6389" spans="2:4" x14ac:dyDescent="0.2">
      <c r="B6389" s="1341">
        <v>7786</v>
      </c>
      <c r="C6389" s="1341" t="s">
        <v>7004</v>
      </c>
      <c r="D6389" s="1310">
        <v>915.44444399999998</v>
      </c>
    </row>
    <row r="6390" spans="2:4" x14ac:dyDescent="0.2">
      <c r="B6390" s="1341">
        <v>7787</v>
      </c>
      <c r="C6390" s="1341" t="s">
        <v>7005</v>
      </c>
      <c r="D6390" s="1310">
        <v>906.71818399999995</v>
      </c>
    </row>
    <row r="6391" spans="2:4" x14ac:dyDescent="0.2">
      <c r="B6391" s="1341">
        <v>7788</v>
      </c>
      <c r="C6391" s="1341" t="s">
        <v>4185</v>
      </c>
      <c r="D6391" s="1310">
        <v>922.73749499999997</v>
      </c>
    </row>
    <row r="6392" spans="2:4" x14ac:dyDescent="0.2">
      <c r="B6392" s="1341">
        <v>7789</v>
      </c>
      <c r="C6392" s="1341" t="s">
        <v>402</v>
      </c>
      <c r="D6392" s="1310">
        <v>917.18999599999995</v>
      </c>
    </row>
    <row r="6393" spans="2:4" x14ac:dyDescent="0.2">
      <c r="B6393" s="1341">
        <v>7790</v>
      </c>
      <c r="C6393" s="1341" t="s">
        <v>7006</v>
      </c>
      <c r="D6393" s="1310">
        <v>941.91666199999997</v>
      </c>
    </row>
    <row r="6394" spans="2:4" x14ac:dyDescent="0.2">
      <c r="B6394" s="1341">
        <v>7792</v>
      </c>
      <c r="C6394" s="1341" t="s">
        <v>1295</v>
      </c>
      <c r="D6394" s="1310">
        <v>968.20001200000002</v>
      </c>
    </row>
    <row r="6395" spans="2:4" x14ac:dyDescent="0.2">
      <c r="B6395" s="1341">
        <v>7793</v>
      </c>
      <c r="C6395" s="1341" t="s">
        <v>7007</v>
      </c>
      <c r="D6395" s="1310">
        <v>987.163635</v>
      </c>
    </row>
    <row r="6396" spans="2:4" x14ac:dyDescent="0.2">
      <c r="B6396" s="1341">
        <v>7794</v>
      </c>
      <c r="C6396" s="1341" t="s">
        <v>7008</v>
      </c>
      <c r="D6396" s="1310">
        <v>965.11251100000004</v>
      </c>
    </row>
    <row r="6397" spans="2:4" x14ac:dyDescent="0.2">
      <c r="B6397" s="1341">
        <v>7795</v>
      </c>
      <c r="C6397" s="1341" t="s">
        <v>7009</v>
      </c>
      <c r="D6397" s="1310">
        <v>1005.866659</v>
      </c>
    </row>
    <row r="6398" spans="2:4" x14ac:dyDescent="0.2">
      <c r="B6398" s="1341">
        <v>7796</v>
      </c>
      <c r="C6398" s="1341" t="s">
        <v>7010</v>
      </c>
      <c r="D6398" s="1310">
        <v>1069.375</v>
      </c>
    </row>
    <row r="6399" spans="2:4" x14ac:dyDescent="0.2">
      <c r="B6399" s="1341">
        <v>7797</v>
      </c>
      <c r="C6399" s="1341" t="s">
        <v>7011</v>
      </c>
      <c r="D6399" s="1310">
        <v>996.60832200000004</v>
      </c>
    </row>
    <row r="6400" spans="2:4" x14ac:dyDescent="0.2">
      <c r="B6400" s="1341">
        <v>7798</v>
      </c>
      <c r="C6400" s="1341" t="s">
        <v>7012</v>
      </c>
      <c r="D6400" s="1310">
        <v>983.93332899999996</v>
      </c>
    </row>
    <row r="6401" spans="2:4" x14ac:dyDescent="0.2">
      <c r="B6401" s="1341">
        <v>7799</v>
      </c>
      <c r="C6401" s="1341" t="s">
        <v>7013</v>
      </c>
      <c r="D6401" s="1310">
        <v>985.66666699999996</v>
      </c>
    </row>
    <row r="6402" spans="2:4" x14ac:dyDescent="0.2">
      <c r="B6402" s="1341">
        <v>7800</v>
      </c>
      <c r="C6402" s="1341" t="s">
        <v>7014</v>
      </c>
      <c r="D6402" s="1310">
        <v>1065.2624969999999</v>
      </c>
    </row>
    <row r="6403" spans="2:4" x14ac:dyDescent="0.2">
      <c r="B6403" s="1341">
        <v>7801</v>
      </c>
      <c r="C6403" s="1341" t="s">
        <v>7015</v>
      </c>
      <c r="D6403" s="1310">
        <v>1062.587509</v>
      </c>
    </row>
    <row r="6404" spans="2:4" x14ac:dyDescent="0.2">
      <c r="B6404" s="1341">
        <v>7802</v>
      </c>
      <c r="C6404" s="1341" t="s">
        <v>7016</v>
      </c>
      <c r="D6404" s="1310">
        <v>1097.5500030000001</v>
      </c>
    </row>
    <row r="6405" spans="2:4" x14ac:dyDescent="0.2">
      <c r="B6405" s="1341">
        <v>7803</v>
      </c>
      <c r="C6405" s="1341" t="s">
        <v>5786</v>
      </c>
      <c r="D6405" s="1310">
        <v>936.57272599999999</v>
      </c>
    </row>
    <row r="6406" spans="2:4" x14ac:dyDescent="0.2">
      <c r="B6406" s="1341">
        <v>7804</v>
      </c>
      <c r="C6406" s="1341" t="s">
        <v>7017</v>
      </c>
      <c r="D6406" s="1310">
        <v>986.57501200000002</v>
      </c>
    </row>
    <row r="6407" spans="2:4" x14ac:dyDescent="0.2">
      <c r="B6407" s="1341">
        <v>7805</v>
      </c>
      <c r="C6407" s="1341" t="s">
        <v>7018</v>
      </c>
      <c r="D6407" s="1310">
        <v>965.44583399999999</v>
      </c>
    </row>
    <row r="6408" spans="2:4" x14ac:dyDescent="0.2">
      <c r="B6408" s="1341">
        <v>7806</v>
      </c>
      <c r="C6408" s="1341" t="s">
        <v>1304</v>
      </c>
      <c r="D6408" s="1310">
        <v>951</v>
      </c>
    </row>
    <row r="6409" spans="2:4" x14ac:dyDescent="0.2">
      <c r="B6409" s="1341">
        <v>7807</v>
      </c>
      <c r="C6409" s="1341" t="s">
        <v>7019</v>
      </c>
      <c r="D6409" s="1310">
        <v>957.54000699999995</v>
      </c>
    </row>
    <row r="6410" spans="2:4" x14ac:dyDescent="0.2">
      <c r="B6410" s="1341">
        <v>7821</v>
      </c>
      <c r="C6410" s="1341" t="s">
        <v>7020</v>
      </c>
      <c r="D6410" s="1310">
        <v>897.37272499999995</v>
      </c>
    </row>
    <row r="6411" spans="2:4" x14ac:dyDescent="0.2">
      <c r="B6411" s="1341">
        <v>7822</v>
      </c>
      <c r="C6411" s="1341" t="s">
        <v>7021</v>
      </c>
      <c r="D6411" s="1310">
        <v>901.06668100000002</v>
      </c>
    </row>
    <row r="6412" spans="2:4" x14ac:dyDescent="0.2">
      <c r="B6412" s="1341">
        <v>7823</v>
      </c>
      <c r="C6412" s="1341" t="s">
        <v>7022</v>
      </c>
      <c r="D6412" s="1310">
        <v>900.52222400000005</v>
      </c>
    </row>
    <row r="6413" spans="2:4" x14ac:dyDescent="0.2">
      <c r="B6413" s="1341">
        <v>7824</v>
      </c>
      <c r="C6413" s="1341" t="s">
        <v>7023</v>
      </c>
      <c r="D6413" s="1310">
        <v>913.58750199999997</v>
      </c>
    </row>
    <row r="6414" spans="2:4" x14ac:dyDescent="0.2">
      <c r="B6414" s="1341">
        <v>7825</v>
      </c>
      <c r="C6414" s="1341" t="s">
        <v>7024</v>
      </c>
      <c r="D6414" s="1310">
        <v>935.95624899999996</v>
      </c>
    </row>
    <row r="6415" spans="2:4" x14ac:dyDescent="0.2">
      <c r="B6415" s="1341">
        <v>7826</v>
      </c>
      <c r="C6415" s="1341" t="s">
        <v>7025</v>
      </c>
      <c r="D6415" s="1310">
        <v>954.82999900000004</v>
      </c>
    </row>
    <row r="6416" spans="2:4" x14ac:dyDescent="0.2">
      <c r="B6416" s="1341">
        <v>7827</v>
      </c>
      <c r="C6416" s="1341" t="s">
        <v>7026</v>
      </c>
      <c r="D6416" s="1310">
        <v>931.92000099999996</v>
      </c>
    </row>
    <row r="6417" spans="2:4" x14ac:dyDescent="0.2">
      <c r="B6417" s="1341">
        <v>7828</v>
      </c>
      <c r="C6417" s="1341" t="s">
        <v>7027</v>
      </c>
      <c r="D6417" s="1310">
        <v>955.10000600000001</v>
      </c>
    </row>
    <row r="6418" spans="2:4" x14ac:dyDescent="0.2">
      <c r="B6418" s="1341">
        <v>7829</v>
      </c>
      <c r="C6418" s="1341" t="s">
        <v>7028</v>
      </c>
      <c r="D6418" s="1310">
        <v>961.01666299999999</v>
      </c>
    </row>
    <row r="6419" spans="2:4" x14ac:dyDescent="0.2">
      <c r="B6419" s="1341">
        <v>7830</v>
      </c>
      <c r="C6419" s="1341" t="s">
        <v>7029</v>
      </c>
      <c r="D6419" s="1310">
        <v>969.23749499999997</v>
      </c>
    </row>
    <row r="6420" spans="2:4" x14ac:dyDescent="0.2">
      <c r="B6420" s="1341">
        <v>7831</v>
      </c>
      <c r="C6420" s="1341" t="s">
        <v>7030</v>
      </c>
      <c r="D6420" s="1310">
        <v>968.759998</v>
      </c>
    </row>
    <row r="6421" spans="2:4" x14ac:dyDescent="0.2">
      <c r="B6421" s="1341">
        <v>7832</v>
      </c>
      <c r="C6421" s="1341" t="s">
        <v>7031</v>
      </c>
      <c r="D6421" s="1310">
        <v>962.91666699999996</v>
      </c>
    </row>
    <row r="6422" spans="2:4" x14ac:dyDescent="0.2">
      <c r="B6422" s="1341">
        <v>7833</v>
      </c>
      <c r="C6422" s="1341" t="s">
        <v>6983</v>
      </c>
      <c r="D6422" s="1310">
        <v>948.75</v>
      </c>
    </row>
    <row r="6423" spans="2:4" x14ac:dyDescent="0.2">
      <c r="B6423" s="1341">
        <v>7834</v>
      </c>
      <c r="C6423" s="1341" t="s">
        <v>7032</v>
      </c>
      <c r="D6423" s="1310">
        <v>970.37693400000001</v>
      </c>
    </row>
    <row r="6424" spans="2:4" x14ac:dyDescent="0.2">
      <c r="B6424" s="1341">
        <v>7835</v>
      </c>
      <c r="C6424" s="1341" t="s">
        <v>7033</v>
      </c>
      <c r="D6424" s="1310">
        <v>977.54998799999998</v>
      </c>
    </row>
    <row r="6425" spans="2:4" x14ac:dyDescent="0.2">
      <c r="B6425" s="1341">
        <v>7836</v>
      </c>
      <c r="C6425" s="1341" t="s">
        <v>7034</v>
      </c>
      <c r="D6425" s="1310">
        <v>984.15713900000003</v>
      </c>
    </row>
    <row r="6426" spans="2:4" x14ac:dyDescent="0.2">
      <c r="B6426" s="1341">
        <v>7837</v>
      </c>
      <c r="C6426" s="1341" t="s">
        <v>7035</v>
      </c>
      <c r="D6426" s="1310">
        <v>1012.927263</v>
      </c>
    </row>
    <row r="6427" spans="2:4" x14ac:dyDescent="0.2">
      <c r="B6427" s="1341">
        <v>7838</v>
      </c>
      <c r="C6427" s="1341" t="s">
        <v>7036</v>
      </c>
      <c r="D6427" s="1310">
        <v>1034.014287</v>
      </c>
    </row>
    <row r="6428" spans="2:4" x14ac:dyDescent="0.2">
      <c r="B6428" s="1341">
        <v>7839</v>
      </c>
      <c r="C6428" s="1341" t="s">
        <v>6957</v>
      </c>
      <c r="D6428" s="1310">
        <v>1144.630017</v>
      </c>
    </row>
    <row r="6429" spans="2:4" x14ac:dyDescent="0.2">
      <c r="B6429" s="1341">
        <v>7840</v>
      </c>
      <c r="C6429" s="1341" t="s">
        <v>7037</v>
      </c>
      <c r="D6429" s="1310">
        <v>1117.375006</v>
      </c>
    </row>
    <row r="6430" spans="2:4" x14ac:dyDescent="0.2">
      <c r="B6430" s="1341">
        <v>7841</v>
      </c>
      <c r="C6430" s="1341" t="s">
        <v>7038</v>
      </c>
      <c r="D6430" s="1310">
        <v>1151.7833459999999</v>
      </c>
    </row>
    <row r="6431" spans="2:4" x14ac:dyDescent="0.2">
      <c r="B6431" s="1341">
        <v>7842</v>
      </c>
      <c r="C6431" s="1341" t="s">
        <v>7039</v>
      </c>
      <c r="D6431" s="1310">
        <v>1151.2058750000001</v>
      </c>
    </row>
    <row r="6432" spans="2:4" x14ac:dyDescent="0.2">
      <c r="B6432" s="1341">
        <v>7843</v>
      </c>
      <c r="C6432" s="1341" t="s">
        <v>7040</v>
      </c>
      <c r="D6432" s="1310">
        <v>977.59999600000003</v>
      </c>
    </row>
    <row r="6433" spans="2:4" x14ac:dyDescent="0.2">
      <c r="B6433" s="1341">
        <v>7844</v>
      </c>
      <c r="C6433" s="1341" t="s">
        <v>7041</v>
      </c>
      <c r="D6433" s="1310">
        <v>980.59333900000001</v>
      </c>
    </row>
    <row r="6434" spans="2:4" x14ac:dyDescent="0.2">
      <c r="B6434" s="1341">
        <v>7845</v>
      </c>
      <c r="C6434" s="1341" t="s">
        <v>1830</v>
      </c>
      <c r="D6434" s="1310">
        <v>961.8125</v>
      </c>
    </row>
    <row r="6435" spans="2:4" x14ac:dyDescent="0.2">
      <c r="B6435" s="1341">
        <v>7846</v>
      </c>
      <c r="C6435" s="1341" t="s">
        <v>7042</v>
      </c>
      <c r="D6435" s="1310">
        <v>1071.511765</v>
      </c>
    </row>
    <row r="6436" spans="2:4" x14ac:dyDescent="0.2">
      <c r="B6436" s="1341">
        <v>7847</v>
      </c>
      <c r="C6436" s="1341" t="s">
        <v>7043</v>
      </c>
      <c r="D6436" s="1310">
        <v>956.68888300000003</v>
      </c>
    </row>
    <row r="6437" spans="2:4" x14ac:dyDescent="0.2">
      <c r="B6437" s="1341">
        <v>7848</v>
      </c>
      <c r="C6437" s="1341" t="s">
        <v>7044</v>
      </c>
      <c r="D6437" s="1310">
        <v>993.64285700000005</v>
      </c>
    </row>
    <row r="6438" spans="2:4" x14ac:dyDescent="0.2">
      <c r="B6438" s="1341">
        <v>7849</v>
      </c>
      <c r="C6438" s="1341" t="s">
        <v>7045</v>
      </c>
      <c r="D6438" s="1310">
        <v>1041.010004</v>
      </c>
    </row>
    <row r="6439" spans="2:4" x14ac:dyDescent="0.2">
      <c r="B6439" s="1341">
        <v>7850</v>
      </c>
      <c r="C6439" s="1341" t="s">
        <v>7046</v>
      </c>
      <c r="D6439" s="1310">
        <v>1096.112488</v>
      </c>
    </row>
    <row r="6440" spans="2:4" x14ac:dyDescent="0.2">
      <c r="B6440" s="1341">
        <v>7851</v>
      </c>
      <c r="C6440" s="1341" t="s">
        <v>7047</v>
      </c>
      <c r="D6440" s="1310">
        <v>1098.8222109999999</v>
      </c>
    </row>
    <row r="6441" spans="2:4" x14ac:dyDescent="0.2">
      <c r="B6441" s="1341">
        <v>7852</v>
      </c>
      <c r="C6441" s="1341" t="s">
        <v>7048</v>
      </c>
      <c r="D6441" s="1310">
        <v>964.30000299999995</v>
      </c>
    </row>
    <row r="6442" spans="2:4" x14ac:dyDescent="0.2">
      <c r="B6442" s="1341">
        <v>7853</v>
      </c>
      <c r="C6442" s="1341" t="s">
        <v>7049</v>
      </c>
      <c r="D6442" s="1310">
        <v>975.39998400000002</v>
      </c>
    </row>
    <row r="6443" spans="2:4" x14ac:dyDescent="0.2">
      <c r="B6443" s="1341">
        <v>7854</v>
      </c>
      <c r="C6443" s="1341" t="s">
        <v>7050</v>
      </c>
      <c r="D6443" s="1310">
        <v>994.03333499999997</v>
      </c>
    </row>
    <row r="6444" spans="2:4" x14ac:dyDescent="0.2">
      <c r="B6444" s="1341">
        <v>7855</v>
      </c>
      <c r="C6444" s="1341" t="s">
        <v>4843</v>
      </c>
      <c r="D6444" s="1310">
        <v>1013.887505</v>
      </c>
    </row>
    <row r="6445" spans="2:4" x14ac:dyDescent="0.2">
      <c r="B6445" s="1341">
        <v>7856</v>
      </c>
      <c r="C6445" s="1341" t="s">
        <v>6442</v>
      </c>
      <c r="D6445" s="1310">
        <v>994.79999799999996</v>
      </c>
    </row>
    <row r="6446" spans="2:4" x14ac:dyDescent="0.2">
      <c r="B6446" s="1341">
        <v>7857</v>
      </c>
      <c r="C6446" s="1341" t="s">
        <v>7051</v>
      </c>
      <c r="D6446" s="1310">
        <v>1041.4000000000001</v>
      </c>
    </row>
    <row r="6447" spans="2:4" x14ac:dyDescent="0.2">
      <c r="B6447" s="1341">
        <v>7858</v>
      </c>
      <c r="C6447" s="1341" t="s">
        <v>7052</v>
      </c>
      <c r="D6447" s="1310">
        <v>1039.666667</v>
      </c>
    </row>
    <row r="6448" spans="2:4" x14ac:dyDescent="0.2">
      <c r="B6448" s="1341">
        <v>7859</v>
      </c>
      <c r="C6448" s="1341" t="s">
        <v>7053</v>
      </c>
      <c r="D6448" s="1310">
        <v>1065.090009</v>
      </c>
    </row>
    <row r="6449" spans="2:4" x14ac:dyDescent="0.2">
      <c r="B6449" s="1341">
        <v>7860</v>
      </c>
      <c r="C6449" s="1341" t="s">
        <v>4195</v>
      </c>
      <c r="D6449" s="1310">
        <v>1081.7800050000001</v>
      </c>
    </row>
    <row r="6450" spans="2:4" x14ac:dyDescent="0.2">
      <c r="B6450" s="1341">
        <v>7861</v>
      </c>
      <c r="C6450" s="1341" t="s">
        <v>3926</v>
      </c>
      <c r="D6450" s="1310">
        <v>1072.349976</v>
      </c>
    </row>
    <row r="6451" spans="2:4" x14ac:dyDescent="0.2">
      <c r="B6451" s="1341">
        <v>7862</v>
      </c>
      <c r="C6451" s="1341" t="s">
        <v>7054</v>
      </c>
      <c r="D6451" s="1310">
        <v>1081.900024</v>
      </c>
    </row>
    <row r="6452" spans="2:4" x14ac:dyDescent="0.2">
      <c r="B6452" s="1341">
        <v>7863</v>
      </c>
      <c r="C6452" s="1341" t="s">
        <v>7055</v>
      </c>
      <c r="D6452" s="1310">
        <v>1095.366659</v>
      </c>
    </row>
    <row r="6453" spans="2:4" x14ac:dyDescent="0.2">
      <c r="B6453" s="1341">
        <v>7864</v>
      </c>
      <c r="C6453" s="1341" t="s">
        <v>1460</v>
      </c>
      <c r="D6453" s="1310">
        <v>1084.383341</v>
      </c>
    </row>
    <row r="6454" spans="2:4" x14ac:dyDescent="0.2">
      <c r="B6454" s="1341">
        <v>7865</v>
      </c>
      <c r="C6454" s="1341" t="s">
        <v>7056</v>
      </c>
      <c r="D6454" s="1310">
        <v>1092.3600100000001</v>
      </c>
    </row>
    <row r="6455" spans="2:4" x14ac:dyDescent="0.2">
      <c r="B6455" s="1341">
        <v>7866</v>
      </c>
      <c r="C6455" s="1341" t="s">
        <v>7057</v>
      </c>
      <c r="D6455" s="1310">
        <v>1107.0333459999999</v>
      </c>
    </row>
    <row r="6456" spans="2:4" x14ac:dyDescent="0.2">
      <c r="B6456" s="1341">
        <v>7867</v>
      </c>
      <c r="C6456" s="1341" t="s">
        <v>448</v>
      </c>
      <c r="D6456" s="1310">
        <v>1045.5863730000001</v>
      </c>
    </row>
    <row r="6457" spans="2:4" x14ac:dyDescent="0.2">
      <c r="B6457" s="1341">
        <v>7868</v>
      </c>
      <c r="C6457" s="1341" t="s">
        <v>7058</v>
      </c>
      <c r="D6457" s="1310">
        <v>1108.7875059999999</v>
      </c>
    </row>
    <row r="6458" spans="2:4" x14ac:dyDescent="0.2">
      <c r="B6458" s="1341">
        <v>7869</v>
      </c>
      <c r="C6458" s="1341" t="s">
        <v>7059</v>
      </c>
      <c r="D6458" s="1310">
        <v>1078.0600099999999</v>
      </c>
    </row>
    <row r="6459" spans="2:4" x14ac:dyDescent="0.2">
      <c r="B6459" s="1341">
        <v>7870</v>
      </c>
      <c r="C6459" s="1341" t="s">
        <v>7060</v>
      </c>
      <c r="D6459" s="1310">
        <v>1199.8499999999999</v>
      </c>
    </row>
    <row r="6460" spans="2:4" x14ac:dyDescent="0.2">
      <c r="B6460" s="1341">
        <v>7871</v>
      </c>
      <c r="C6460" s="1341" t="s">
        <v>7061</v>
      </c>
      <c r="D6460" s="1310">
        <v>1195.1210679999999</v>
      </c>
    </row>
    <row r="6461" spans="2:4" x14ac:dyDescent="0.2">
      <c r="B6461" s="1341">
        <v>7872</v>
      </c>
      <c r="C6461" s="1341" t="s">
        <v>7062</v>
      </c>
      <c r="D6461" s="1310">
        <v>1141.6499940000001</v>
      </c>
    </row>
    <row r="6462" spans="2:4" x14ac:dyDescent="0.2">
      <c r="B6462" s="1341">
        <v>7873</v>
      </c>
      <c r="C6462" s="1341" t="s">
        <v>7063</v>
      </c>
      <c r="D6462" s="1310">
        <v>1156.595442</v>
      </c>
    </row>
    <row r="6463" spans="2:4" x14ac:dyDescent="0.2">
      <c r="B6463" s="1341">
        <v>7874</v>
      </c>
      <c r="C6463" s="1341" t="s">
        <v>7064</v>
      </c>
      <c r="D6463" s="1310">
        <v>1106.4857179999999</v>
      </c>
    </row>
    <row r="6464" spans="2:4" x14ac:dyDescent="0.2">
      <c r="B6464" s="1341">
        <v>7875</v>
      </c>
      <c r="C6464" s="1341" t="s">
        <v>4395</v>
      </c>
      <c r="D6464" s="1310">
        <v>1098.223532</v>
      </c>
    </row>
    <row r="6465" spans="2:4" x14ac:dyDescent="0.2">
      <c r="B6465" s="1341">
        <v>7876</v>
      </c>
      <c r="C6465" s="1341" t="s">
        <v>7065</v>
      </c>
      <c r="D6465" s="1310">
        <v>1124.306673</v>
      </c>
    </row>
    <row r="6466" spans="2:4" x14ac:dyDescent="0.2">
      <c r="B6466" s="1341">
        <v>7877</v>
      </c>
      <c r="C6466" s="1341" t="s">
        <v>7066</v>
      </c>
      <c r="D6466" s="1310">
        <v>1123.3791610000001</v>
      </c>
    </row>
    <row r="6467" spans="2:4" x14ac:dyDescent="0.2">
      <c r="B6467" s="1341">
        <v>7878</v>
      </c>
      <c r="C6467" s="1341" t="s">
        <v>7067</v>
      </c>
      <c r="D6467" s="1310">
        <v>1336.5062559999999</v>
      </c>
    </row>
    <row r="6468" spans="2:4" x14ac:dyDescent="0.2">
      <c r="B6468" s="1341">
        <v>7879</v>
      </c>
      <c r="C6468" s="1341" t="s">
        <v>7068</v>
      </c>
      <c r="D6468" s="1310">
        <v>1273.945479</v>
      </c>
    </row>
    <row r="6469" spans="2:4" x14ac:dyDescent="0.2">
      <c r="B6469" s="1341">
        <v>7880</v>
      </c>
      <c r="C6469" s="1341" t="s">
        <v>7069</v>
      </c>
      <c r="D6469" s="1310">
        <v>1293.6058849999999</v>
      </c>
    </row>
    <row r="6470" spans="2:4" x14ac:dyDescent="0.2">
      <c r="B6470" s="1341">
        <v>7881</v>
      </c>
      <c r="C6470" s="1341" t="s">
        <v>7070</v>
      </c>
      <c r="D6470" s="1310">
        <v>1333.106262</v>
      </c>
    </row>
    <row r="6471" spans="2:4" x14ac:dyDescent="0.2">
      <c r="B6471" s="1341">
        <v>7882</v>
      </c>
      <c r="C6471" s="1341" t="s">
        <v>7071</v>
      </c>
      <c r="D6471" s="1310">
        <v>1424.3874969999999</v>
      </c>
    </row>
    <row r="6472" spans="2:4" x14ac:dyDescent="0.2">
      <c r="B6472" s="1341">
        <v>7883</v>
      </c>
      <c r="C6472" s="1341" t="s">
        <v>7072</v>
      </c>
      <c r="D6472" s="1310">
        <v>1162.9105219999999</v>
      </c>
    </row>
    <row r="6473" spans="2:4" x14ac:dyDescent="0.2">
      <c r="B6473" s="1341">
        <v>7884</v>
      </c>
      <c r="C6473" s="1341" t="s">
        <v>7073</v>
      </c>
      <c r="D6473" s="1310">
        <v>1130.3000010000001</v>
      </c>
    </row>
    <row r="6474" spans="2:4" x14ac:dyDescent="0.2">
      <c r="B6474" s="1341">
        <v>7885</v>
      </c>
      <c r="C6474" s="1341" t="s">
        <v>7074</v>
      </c>
      <c r="D6474" s="1310">
        <v>1202.6466720000001</v>
      </c>
    </row>
    <row r="6475" spans="2:4" x14ac:dyDescent="0.2">
      <c r="B6475" s="1341">
        <v>7886</v>
      </c>
      <c r="C6475" s="1341" t="s">
        <v>7075</v>
      </c>
      <c r="D6475" s="1310">
        <v>1171.950012</v>
      </c>
    </row>
    <row r="6476" spans="2:4" x14ac:dyDescent="0.2">
      <c r="B6476" s="1341">
        <v>7887</v>
      </c>
      <c r="C6476" s="1341" t="s">
        <v>7076</v>
      </c>
      <c r="D6476" s="1310">
        <v>1226.1357069999999</v>
      </c>
    </row>
    <row r="6477" spans="2:4" x14ac:dyDescent="0.2">
      <c r="B6477" s="1341">
        <v>7888</v>
      </c>
      <c r="C6477" s="1341" t="s">
        <v>7077</v>
      </c>
      <c r="D6477" s="1310">
        <v>1119.5333390000001</v>
      </c>
    </row>
    <row r="6478" spans="2:4" x14ac:dyDescent="0.2">
      <c r="B6478" s="1341">
        <v>7889</v>
      </c>
      <c r="C6478" s="1341" t="s">
        <v>7078</v>
      </c>
      <c r="D6478" s="1310">
        <v>1141.691671</v>
      </c>
    </row>
    <row r="6479" spans="2:4" x14ac:dyDescent="0.2">
      <c r="B6479" s="1341">
        <v>7890</v>
      </c>
      <c r="C6479" s="1341" t="s">
        <v>7079</v>
      </c>
      <c r="D6479" s="1310">
        <v>1176.9571450000001</v>
      </c>
    </row>
    <row r="6480" spans="2:4" x14ac:dyDescent="0.2">
      <c r="B6480" s="1341">
        <v>7891</v>
      </c>
      <c r="C6480" s="1341" t="s">
        <v>7080</v>
      </c>
      <c r="D6480" s="1310">
        <v>1131.950012</v>
      </c>
    </row>
    <row r="6481" spans="2:4" x14ac:dyDescent="0.2">
      <c r="B6481" s="1341">
        <v>7892</v>
      </c>
      <c r="C6481" s="1341" t="s">
        <v>7081</v>
      </c>
      <c r="D6481" s="1310">
        <v>1133.070007</v>
      </c>
    </row>
    <row r="6482" spans="2:4" x14ac:dyDescent="0.2">
      <c r="B6482" s="1341">
        <v>7893</v>
      </c>
      <c r="C6482" s="1341" t="s">
        <v>1599</v>
      </c>
      <c r="D6482" s="1310">
        <v>1113.831582</v>
      </c>
    </row>
    <row r="6483" spans="2:4" x14ac:dyDescent="0.2">
      <c r="B6483" s="1341">
        <v>7894</v>
      </c>
      <c r="C6483" s="1341" t="s">
        <v>4127</v>
      </c>
      <c r="D6483" s="1310">
        <v>1334.6000140000001</v>
      </c>
    </row>
    <row r="6484" spans="2:4" x14ac:dyDescent="0.2">
      <c r="B6484" s="1341">
        <v>7895</v>
      </c>
      <c r="C6484" s="1341" t="s">
        <v>7082</v>
      </c>
      <c r="D6484" s="1310">
        <v>1217.828573</v>
      </c>
    </row>
    <row r="6485" spans="2:4" x14ac:dyDescent="0.2">
      <c r="B6485" s="1341">
        <v>7896</v>
      </c>
      <c r="C6485" s="1341" t="s">
        <v>7083</v>
      </c>
      <c r="D6485" s="1310">
        <v>1330.5312730000001</v>
      </c>
    </row>
    <row r="6486" spans="2:4" x14ac:dyDescent="0.2">
      <c r="B6486" s="1341">
        <v>7897</v>
      </c>
      <c r="C6486" s="1341" t="s">
        <v>7084</v>
      </c>
      <c r="D6486" s="1310">
        <v>1194.047988</v>
      </c>
    </row>
    <row r="6487" spans="2:4" x14ac:dyDescent="0.2">
      <c r="B6487" s="1341">
        <v>7898</v>
      </c>
      <c r="C6487" s="1341" t="s">
        <v>7085</v>
      </c>
      <c r="D6487" s="1310">
        <v>1198.0333250000001</v>
      </c>
    </row>
    <row r="6488" spans="2:4" x14ac:dyDescent="0.2">
      <c r="B6488" s="1341">
        <v>7899</v>
      </c>
      <c r="C6488" s="1341" t="s">
        <v>7086</v>
      </c>
      <c r="D6488" s="1310">
        <v>1287.700012</v>
      </c>
    </row>
    <row r="6489" spans="2:4" x14ac:dyDescent="0.2">
      <c r="B6489" s="1341">
        <v>7900</v>
      </c>
      <c r="C6489" s="1341" t="s">
        <v>7087</v>
      </c>
      <c r="D6489" s="1310">
        <v>1233.539998</v>
      </c>
    </row>
    <row r="6490" spans="2:4" x14ac:dyDescent="0.2">
      <c r="B6490" s="1341">
        <v>7901</v>
      </c>
      <c r="C6490" s="1341" t="s">
        <v>7088</v>
      </c>
      <c r="D6490" s="1310">
        <v>1232.799988</v>
      </c>
    </row>
    <row r="6491" spans="2:4" x14ac:dyDescent="0.2">
      <c r="B6491" s="1341">
        <v>7902</v>
      </c>
      <c r="C6491" s="1341" t="s">
        <v>7089</v>
      </c>
      <c r="D6491" s="1310">
        <v>1291.6230660000001</v>
      </c>
    </row>
    <row r="6492" spans="2:4" x14ac:dyDescent="0.2">
      <c r="B6492" s="1341">
        <v>7903</v>
      </c>
      <c r="C6492" s="1341" t="s">
        <v>7090</v>
      </c>
      <c r="D6492" s="1310">
        <v>1233.4727339999999</v>
      </c>
    </row>
    <row r="6493" spans="2:4" x14ac:dyDescent="0.2">
      <c r="B6493" s="1341">
        <v>7904</v>
      </c>
      <c r="C6493" s="1341" t="s">
        <v>7091</v>
      </c>
      <c r="D6493" s="1310">
        <v>1173.6105190000001</v>
      </c>
    </row>
    <row r="6494" spans="2:4" x14ac:dyDescent="0.2">
      <c r="B6494" s="1341">
        <v>7905</v>
      </c>
      <c r="C6494" s="1341" t="s">
        <v>6547</v>
      </c>
      <c r="D6494" s="1310">
        <v>1237.5342840000001</v>
      </c>
    </row>
    <row r="6495" spans="2:4" x14ac:dyDescent="0.2">
      <c r="B6495" s="1341">
        <v>7906</v>
      </c>
      <c r="C6495" s="1341" t="s">
        <v>7092</v>
      </c>
      <c r="D6495" s="1310">
        <v>1321.4250179999999</v>
      </c>
    </row>
    <row r="6496" spans="2:4" x14ac:dyDescent="0.2">
      <c r="B6496" s="1341">
        <v>7907</v>
      </c>
      <c r="C6496" s="1341" t="s">
        <v>7093</v>
      </c>
      <c r="D6496" s="1310">
        <v>1270.7714410000001</v>
      </c>
    </row>
    <row r="6497" spans="2:4" x14ac:dyDescent="0.2">
      <c r="B6497" s="1341">
        <v>7908</v>
      </c>
      <c r="C6497" s="1341" t="s">
        <v>7094</v>
      </c>
      <c r="D6497" s="1310">
        <v>1421.0384710000001</v>
      </c>
    </row>
    <row r="6498" spans="2:4" x14ac:dyDescent="0.2">
      <c r="B6498" s="1341">
        <v>7909</v>
      </c>
      <c r="C6498" s="1341" t="s">
        <v>7095</v>
      </c>
      <c r="D6498" s="1310">
        <v>1509.347039</v>
      </c>
    </row>
    <row r="6499" spans="2:4" x14ac:dyDescent="0.2">
      <c r="B6499" s="1341">
        <v>7910</v>
      </c>
      <c r="C6499" s="1341" t="s">
        <v>7096</v>
      </c>
      <c r="D6499" s="1310">
        <v>1482.4055510000001</v>
      </c>
    </row>
    <row r="6500" spans="2:4" x14ac:dyDescent="0.2">
      <c r="B6500" s="1341">
        <v>7911</v>
      </c>
      <c r="C6500" s="1341" t="s">
        <v>7097</v>
      </c>
      <c r="D6500" s="1310">
        <v>1676.1068230000001</v>
      </c>
    </row>
    <row r="6501" spans="2:4" x14ac:dyDescent="0.2">
      <c r="B6501" s="1341">
        <v>7912</v>
      </c>
      <c r="C6501" s="1341" t="s">
        <v>7098</v>
      </c>
      <c r="D6501" s="1310">
        <v>1228.43335</v>
      </c>
    </row>
    <row r="6502" spans="2:4" x14ac:dyDescent="0.2">
      <c r="B6502" s="1341">
        <v>7913</v>
      </c>
      <c r="C6502" s="1341" t="s">
        <v>7099</v>
      </c>
      <c r="D6502" s="1310">
        <v>1224.9571530000001</v>
      </c>
    </row>
    <row r="6503" spans="2:4" x14ac:dyDescent="0.2">
      <c r="B6503" s="1341">
        <v>7914</v>
      </c>
      <c r="C6503" s="1341" t="s">
        <v>7100</v>
      </c>
      <c r="D6503" s="1310">
        <v>1295.6428659999999</v>
      </c>
    </row>
    <row r="6504" spans="2:4" x14ac:dyDescent="0.2">
      <c r="B6504" s="1341">
        <v>7915</v>
      </c>
      <c r="C6504" s="1341" t="s">
        <v>7101</v>
      </c>
      <c r="D6504" s="1310">
        <v>1255.600003</v>
      </c>
    </row>
    <row r="6505" spans="2:4" x14ac:dyDescent="0.2">
      <c r="B6505" s="1341">
        <v>7916</v>
      </c>
      <c r="C6505" s="1341" t="s">
        <v>7102</v>
      </c>
      <c r="D6505" s="1310">
        <v>1537.1742919999999</v>
      </c>
    </row>
    <row r="6506" spans="2:4" x14ac:dyDescent="0.2">
      <c r="B6506" s="1341">
        <v>7917</v>
      </c>
      <c r="C6506" s="1341" t="s">
        <v>7103</v>
      </c>
      <c r="D6506" s="1310">
        <v>1624.2847449999999</v>
      </c>
    </row>
    <row r="6507" spans="2:4" x14ac:dyDescent="0.2">
      <c r="B6507" s="1341">
        <v>7918</v>
      </c>
      <c r="C6507" s="1341" t="s">
        <v>7104</v>
      </c>
      <c r="D6507" s="1310">
        <v>1610.0095229999999</v>
      </c>
    </row>
    <row r="6508" spans="2:4" x14ac:dyDescent="0.2">
      <c r="B6508" s="1341">
        <v>7919</v>
      </c>
      <c r="C6508" s="1341" t="s">
        <v>7105</v>
      </c>
      <c r="D6508" s="1310">
        <v>1287.5</v>
      </c>
    </row>
    <row r="6509" spans="2:4" x14ac:dyDescent="0.2">
      <c r="B6509" s="1341">
        <v>7920</v>
      </c>
      <c r="C6509" s="1341" t="s">
        <v>7106</v>
      </c>
      <c r="D6509" s="1310">
        <v>952.94998199999998</v>
      </c>
    </row>
    <row r="6510" spans="2:4" x14ac:dyDescent="0.2">
      <c r="B6510" s="1341">
        <v>7921</v>
      </c>
      <c r="C6510" s="1341" t="s">
        <v>7107</v>
      </c>
      <c r="D6510" s="1310">
        <v>1158.200012</v>
      </c>
    </row>
    <row r="6511" spans="2:4" x14ac:dyDescent="0.2">
      <c r="B6511" s="1341">
        <v>7931</v>
      </c>
      <c r="C6511" s="1341" t="s">
        <v>7108</v>
      </c>
      <c r="D6511" s="1310">
        <v>1086</v>
      </c>
    </row>
    <row r="6512" spans="2:4" x14ac:dyDescent="0.2">
      <c r="B6512" s="1341">
        <v>7932</v>
      </c>
      <c r="C6512" s="1341" t="s">
        <v>7109</v>
      </c>
      <c r="D6512" s="1310">
        <v>1146.6499630000001</v>
      </c>
    </row>
    <row r="6513" spans="2:4" x14ac:dyDescent="0.2">
      <c r="B6513" s="1341">
        <v>7933</v>
      </c>
      <c r="C6513" s="1341" t="s">
        <v>7110</v>
      </c>
      <c r="D6513" s="1310">
        <v>1149.866659</v>
      </c>
    </row>
    <row r="6514" spans="2:4" x14ac:dyDescent="0.2">
      <c r="B6514" s="1341">
        <v>7934</v>
      </c>
      <c r="C6514" s="1341" t="s">
        <v>7111</v>
      </c>
      <c r="D6514" s="1310">
        <v>1192.9250179999999</v>
      </c>
    </row>
    <row r="6515" spans="2:4" x14ac:dyDescent="0.2">
      <c r="B6515" s="1341">
        <v>7935</v>
      </c>
      <c r="C6515" s="1341" t="s">
        <v>7112</v>
      </c>
      <c r="D6515" s="1310">
        <v>1201.5199950000001</v>
      </c>
    </row>
    <row r="6516" spans="2:4" x14ac:dyDescent="0.2">
      <c r="B6516" s="1341">
        <v>7936</v>
      </c>
      <c r="C6516" s="1341" t="s">
        <v>7113</v>
      </c>
      <c r="D6516" s="1310">
        <v>1285.4499880000001</v>
      </c>
    </row>
    <row r="6517" spans="2:4" x14ac:dyDescent="0.2">
      <c r="B6517" s="1341">
        <v>7937</v>
      </c>
      <c r="C6517" s="1341" t="s">
        <v>7114</v>
      </c>
      <c r="D6517" s="1310">
        <v>1234.174988</v>
      </c>
    </row>
    <row r="6518" spans="2:4" x14ac:dyDescent="0.2">
      <c r="B6518" s="1341">
        <v>7938</v>
      </c>
      <c r="C6518" s="1341" t="s">
        <v>7115</v>
      </c>
      <c r="D6518" s="1310">
        <v>1302.599976</v>
      </c>
    </row>
    <row r="6519" spans="2:4" x14ac:dyDescent="0.2">
      <c r="B6519" s="1341">
        <v>7939</v>
      </c>
      <c r="C6519" s="1341" t="s">
        <v>7116</v>
      </c>
      <c r="D6519" s="1310">
        <v>1351.7571499999999</v>
      </c>
    </row>
    <row r="6520" spans="2:4" x14ac:dyDescent="0.2">
      <c r="B6520" s="1341">
        <v>7940</v>
      </c>
      <c r="C6520" s="1341" t="s">
        <v>457</v>
      </c>
      <c r="D6520" s="1310">
        <v>1291.1999510000001</v>
      </c>
    </row>
    <row r="6521" spans="2:4" x14ac:dyDescent="0.2">
      <c r="B6521" s="1341">
        <v>7941</v>
      </c>
      <c r="C6521" s="1341" t="s">
        <v>7117</v>
      </c>
      <c r="D6521" s="1310">
        <v>1386.088894</v>
      </c>
    </row>
    <row r="6522" spans="2:4" x14ac:dyDescent="0.2">
      <c r="B6522" s="1341">
        <v>7942</v>
      </c>
      <c r="C6522" s="1341" t="s">
        <v>7118</v>
      </c>
      <c r="D6522" s="1310">
        <v>1392.749969</v>
      </c>
    </row>
    <row r="6523" spans="2:4" x14ac:dyDescent="0.2">
      <c r="B6523" s="1341">
        <v>7943</v>
      </c>
      <c r="C6523" s="1341" t="s">
        <v>7119</v>
      </c>
      <c r="D6523" s="1310">
        <v>1418.133341</v>
      </c>
    </row>
    <row r="6524" spans="2:4" x14ac:dyDescent="0.2">
      <c r="B6524" s="1341">
        <v>7944</v>
      </c>
      <c r="C6524" s="1341" t="s">
        <v>7120</v>
      </c>
      <c r="D6524" s="1310">
        <v>1491.3374940000001</v>
      </c>
    </row>
    <row r="6525" spans="2:4" x14ac:dyDescent="0.2">
      <c r="B6525" s="1341">
        <v>7945</v>
      </c>
      <c r="C6525" s="1341" t="s">
        <v>7121</v>
      </c>
      <c r="D6525" s="1310">
        <v>1389.878557</v>
      </c>
    </row>
    <row r="6526" spans="2:4" x14ac:dyDescent="0.2">
      <c r="B6526" s="1341">
        <v>7946</v>
      </c>
      <c r="C6526" s="1341" t="s">
        <v>7122</v>
      </c>
      <c r="D6526" s="1310">
        <v>1466.4052730000001</v>
      </c>
    </row>
    <row r="6527" spans="2:4" x14ac:dyDescent="0.2">
      <c r="B6527" s="1341">
        <v>7947</v>
      </c>
      <c r="C6527" s="1341" t="s">
        <v>7123</v>
      </c>
      <c r="D6527" s="1310">
        <v>1386.9636230000001</v>
      </c>
    </row>
    <row r="6528" spans="2:4" x14ac:dyDescent="0.2">
      <c r="B6528" s="1341">
        <v>7948</v>
      </c>
      <c r="C6528" s="1341" t="s">
        <v>7124</v>
      </c>
      <c r="D6528" s="1310">
        <v>1450.211114</v>
      </c>
    </row>
    <row r="6529" spans="2:4" x14ac:dyDescent="0.2">
      <c r="B6529" s="1341">
        <v>7949</v>
      </c>
      <c r="C6529" s="1341" t="s">
        <v>7125</v>
      </c>
      <c r="D6529" s="1310">
        <v>1560.7909099999999</v>
      </c>
    </row>
    <row r="6530" spans="2:4" x14ac:dyDescent="0.2">
      <c r="B6530" s="1341">
        <v>7950</v>
      </c>
      <c r="C6530" s="1341" t="s">
        <v>7126</v>
      </c>
      <c r="D6530" s="1310">
        <v>1717.9526430000001</v>
      </c>
    </row>
    <row r="6531" spans="2:4" x14ac:dyDescent="0.2">
      <c r="B6531" s="1341">
        <v>7951</v>
      </c>
      <c r="C6531" s="1341" t="s">
        <v>7127</v>
      </c>
      <c r="D6531" s="1310">
        <v>1600.100003</v>
      </c>
    </row>
    <row r="6532" spans="2:4" x14ac:dyDescent="0.2">
      <c r="B6532" s="1341">
        <v>7952</v>
      </c>
      <c r="C6532" s="1341" t="s">
        <v>7128</v>
      </c>
      <c r="D6532" s="1310">
        <v>1683.1999880000001</v>
      </c>
    </row>
    <row r="6533" spans="2:4" x14ac:dyDescent="0.2">
      <c r="B6533" s="1341">
        <v>7953</v>
      </c>
      <c r="C6533" s="1341" t="s">
        <v>7129</v>
      </c>
      <c r="D6533" s="1310">
        <v>1564.1461650000001</v>
      </c>
    </row>
    <row r="6534" spans="2:4" x14ac:dyDescent="0.2">
      <c r="B6534" s="1341">
        <v>7954</v>
      </c>
      <c r="C6534" s="1341" t="s">
        <v>7130</v>
      </c>
      <c r="D6534" s="1310">
        <v>1555.7466879999999</v>
      </c>
    </row>
    <row r="6535" spans="2:4" x14ac:dyDescent="0.2">
      <c r="B6535" s="1341">
        <v>7955</v>
      </c>
      <c r="C6535" s="1341" t="s">
        <v>7131</v>
      </c>
      <c r="D6535" s="1310">
        <v>1591.1889040000001</v>
      </c>
    </row>
    <row r="6536" spans="2:4" x14ac:dyDescent="0.2">
      <c r="B6536" s="1341">
        <v>7956</v>
      </c>
      <c r="C6536" s="1341" t="s">
        <v>7132</v>
      </c>
      <c r="D6536" s="1310">
        <v>1626.371416</v>
      </c>
    </row>
    <row r="6537" spans="2:4" x14ac:dyDescent="0.2">
      <c r="B6537" s="1341">
        <v>7957</v>
      </c>
      <c r="C6537" s="1341" t="s">
        <v>7133</v>
      </c>
      <c r="D6537" s="1310">
        <v>1706.2111</v>
      </c>
    </row>
    <row r="6538" spans="2:4" x14ac:dyDescent="0.2">
      <c r="B6538" s="1341">
        <v>7958</v>
      </c>
      <c r="C6538" s="1341" t="s">
        <v>7134</v>
      </c>
      <c r="D6538" s="1310">
        <v>1741.8249969999999</v>
      </c>
    </row>
    <row r="6539" spans="2:4" x14ac:dyDescent="0.2">
      <c r="B6539" s="1341">
        <v>7959</v>
      </c>
      <c r="C6539" s="1341" t="s">
        <v>7135</v>
      </c>
      <c r="D6539" s="1310">
        <v>1805.4714269999999</v>
      </c>
    </row>
    <row r="6540" spans="2:4" x14ac:dyDescent="0.2">
      <c r="B6540" s="1341">
        <v>7960</v>
      </c>
      <c r="C6540" s="1341" t="s">
        <v>7136</v>
      </c>
      <c r="D6540" s="1310">
        <v>1650.880005</v>
      </c>
    </row>
    <row r="6541" spans="2:4" x14ac:dyDescent="0.2">
      <c r="B6541" s="1341">
        <v>7961</v>
      </c>
      <c r="C6541" s="1341" t="s">
        <v>7137</v>
      </c>
      <c r="D6541" s="1310">
        <v>1657.6000160000001</v>
      </c>
    </row>
    <row r="6542" spans="2:4" x14ac:dyDescent="0.2">
      <c r="B6542" s="1341">
        <v>7962</v>
      </c>
      <c r="C6542" s="1341" t="s">
        <v>7138</v>
      </c>
      <c r="D6542" s="1310">
        <v>1709.735991</v>
      </c>
    </row>
    <row r="6543" spans="2:4" x14ac:dyDescent="0.2">
      <c r="B6543" s="1341">
        <v>7963</v>
      </c>
      <c r="C6543" s="1341" t="s">
        <v>7139</v>
      </c>
      <c r="D6543" s="1310">
        <v>1816.7153880000001</v>
      </c>
    </row>
    <row r="6544" spans="2:4" x14ac:dyDescent="0.2">
      <c r="B6544" s="1341">
        <v>7964</v>
      </c>
      <c r="C6544" s="1341" t="s">
        <v>7140</v>
      </c>
      <c r="D6544" s="1310">
        <v>1892.299996</v>
      </c>
    </row>
    <row r="6545" spans="2:4" x14ac:dyDescent="0.2">
      <c r="B6545" s="1341">
        <v>7965</v>
      </c>
      <c r="C6545" s="1341" t="s">
        <v>7141</v>
      </c>
      <c r="D6545" s="1310">
        <v>2164.3016029999999</v>
      </c>
    </row>
    <row r="6546" spans="2:4" x14ac:dyDescent="0.2">
      <c r="B6546" s="1341">
        <v>7966</v>
      </c>
      <c r="C6546" s="1341" t="s">
        <v>7142</v>
      </c>
      <c r="D6546" s="1310">
        <v>1924.6190529999999</v>
      </c>
    </row>
    <row r="6547" spans="2:4" x14ac:dyDescent="0.2">
      <c r="B6547" s="1341">
        <v>7967</v>
      </c>
      <c r="C6547" s="1341" t="s">
        <v>7143</v>
      </c>
      <c r="D6547" s="1310">
        <v>1896.9576930000001</v>
      </c>
    </row>
    <row r="6548" spans="2:4" x14ac:dyDescent="0.2">
      <c r="B6548" s="1341">
        <v>7968</v>
      </c>
      <c r="C6548" s="1341" t="s">
        <v>7144</v>
      </c>
      <c r="D6548" s="1310">
        <v>1829.9222139999999</v>
      </c>
    </row>
    <row r="6549" spans="2:4" x14ac:dyDescent="0.2">
      <c r="B6549" s="1341">
        <v>7969</v>
      </c>
      <c r="C6549" s="1341" t="s">
        <v>7145</v>
      </c>
      <c r="D6549" s="1310">
        <v>1722.763639</v>
      </c>
    </row>
    <row r="6550" spans="2:4" x14ac:dyDescent="0.2">
      <c r="B6550" s="1341">
        <v>7970</v>
      </c>
      <c r="C6550" s="1341" t="s">
        <v>7146</v>
      </c>
      <c r="D6550" s="1310">
        <v>1591.4666749999999</v>
      </c>
    </row>
    <row r="6551" spans="2:4" x14ac:dyDescent="0.2">
      <c r="B6551" s="1341">
        <v>7971</v>
      </c>
      <c r="C6551" s="1341" t="s">
        <v>7147</v>
      </c>
      <c r="D6551" s="1310">
        <v>1474.619995</v>
      </c>
    </row>
    <row r="6552" spans="2:4" x14ac:dyDescent="0.2">
      <c r="B6552" s="1341">
        <v>7972</v>
      </c>
      <c r="C6552" s="1341" t="s">
        <v>7148</v>
      </c>
      <c r="D6552" s="1310">
        <v>1566.458333</v>
      </c>
    </row>
    <row r="6553" spans="2:4" x14ac:dyDescent="0.2">
      <c r="B6553" s="1341">
        <v>7973</v>
      </c>
      <c r="C6553" s="1341" t="s">
        <v>7149</v>
      </c>
      <c r="D6553" s="1310">
        <v>1823.420832</v>
      </c>
    </row>
    <row r="6554" spans="2:4" x14ac:dyDescent="0.2">
      <c r="B6554" s="1341">
        <v>7974</v>
      </c>
      <c r="C6554" s="1341" t="s">
        <v>7150</v>
      </c>
      <c r="D6554" s="1310">
        <v>2061.2090790000002</v>
      </c>
    </row>
    <row r="6555" spans="2:4" x14ac:dyDescent="0.2">
      <c r="B6555" s="1341">
        <v>7975</v>
      </c>
      <c r="C6555" s="1341" t="s">
        <v>7151</v>
      </c>
      <c r="D6555" s="1310">
        <v>1515.0714370000001</v>
      </c>
    </row>
    <row r="6556" spans="2:4" x14ac:dyDescent="0.2">
      <c r="B6556" s="1341">
        <v>7976</v>
      </c>
      <c r="C6556" s="1341" t="s">
        <v>7152</v>
      </c>
      <c r="D6556" s="1310">
        <v>1527.8000019999999</v>
      </c>
    </row>
    <row r="6557" spans="2:4" x14ac:dyDescent="0.2">
      <c r="B6557" s="1341">
        <v>7977</v>
      </c>
      <c r="C6557" s="1341" t="s">
        <v>7153</v>
      </c>
      <c r="D6557" s="1310">
        <v>1699.176471</v>
      </c>
    </row>
    <row r="6558" spans="2:4" x14ac:dyDescent="0.2">
      <c r="B6558" s="1341">
        <v>7978</v>
      </c>
      <c r="C6558" s="1341" t="s">
        <v>7154</v>
      </c>
      <c r="D6558" s="1310">
        <v>1718.199989</v>
      </c>
    </row>
    <row r="6559" spans="2:4" x14ac:dyDescent="0.2">
      <c r="B6559" s="1341">
        <v>7979</v>
      </c>
      <c r="C6559" s="1341" t="s">
        <v>7155</v>
      </c>
      <c r="D6559" s="1310">
        <v>1867.5571460000001</v>
      </c>
    </row>
    <row r="6560" spans="2:4" x14ac:dyDescent="0.2">
      <c r="B6560" s="1341">
        <v>7980</v>
      </c>
      <c r="C6560" s="1341" t="s">
        <v>7156</v>
      </c>
      <c r="D6560" s="1310">
        <v>2070.2795489999999</v>
      </c>
    </row>
    <row r="6561" spans="2:4" x14ac:dyDescent="0.2">
      <c r="B6561" s="1341">
        <v>7981</v>
      </c>
      <c r="C6561" s="1341" t="s">
        <v>7157</v>
      </c>
      <c r="D6561" s="1310">
        <v>1685.7709689999999</v>
      </c>
    </row>
    <row r="6562" spans="2:4" x14ac:dyDescent="0.2">
      <c r="B6562" s="1341">
        <v>7982</v>
      </c>
      <c r="C6562" s="1341" t="s">
        <v>7158</v>
      </c>
      <c r="D6562" s="1310">
        <v>1678.4615200000001</v>
      </c>
    </row>
    <row r="6563" spans="2:4" x14ac:dyDescent="0.2">
      <c r="B6563" s="1341">
        <v>7983</v>
      </c>
      <c r="C6563" s="1341" t="s">
        <v>7159</v>
      </c>
      <c r="D6563" s="1310">
        <v>1708.7199949999999</v>
      </c>
    </row>
    <row r="6564" spans="2:4" x14ac:dyDescent="0.2">
      <c r="B6564" s="1341">
        <v>7984</v>
      </c>
      <c r="C6564" s="1341" t="s">
        <v>7160</v>
      </c>
      <c r="D6564" s="1310">
        <v>1927.1380959999999</v>
      </c>
    </row>
    <row r="6565" spans="2:4" x14ac:dyDescent="0.2">
      <c r="B6565" s="1341">
        <v>7985</v>
      </c>
      <c r="C6565" s="1341" t="s">
        <v>7161</v>
      </c>
      <c r="D6565" s="1310">
        <v>2290.4523749999998</v>
      </c>
    </row>
    <row r="6566" spans="2:4" x14ac:dyDescent="0.2">
      <c r="B6566" s="1341">
        <v>7986</v>
      </c>
      <c r="C6566" s="1341" t="s">
        <v>7162</v>
      </c>
      <c r="D6566" s="1310">
        <v>2104.745809</v>
      </c>
    </row>
    <row r="6567" spans="2:4" x14ac:dyDescent="0.2">
      <c r="B6567" s="1341">
        <v>7987</v>
      </c>
      <c r="C6567" s="1341" t="s">
        <v>7163</v>
      </c>
      <c r="D6567" s="1310">
        <v>1512.4900270000001</v>
      </c>
    </row>
    <row r="6568" spans="2:4" x14ac:dyDescent="0.2">
      <c r="B6568" s="1341">
        <v>7988</v>
      </c>
      <c r="C6568" s="1341" t="s">
        <v>7164</v>
      </c>
      <c r="D6568" s="1310">
        <v>1940.357143</v>
      </c>
    </row>
    <row r="6569" spans="2:4" x14ac:dyDescent="0.2">
      <c r="B6569" s="1341">
        <v>7989</v>
      </c>
      <c r="C6569" s="1341" t="s">
        <v>7165</v>
      </c>
      <c r="D6569" s="1310">
        <v>2280.0069749999998</v>
      </c>
    </row>
    <row r="6570" spans="2:4" x14ac:dyDescent="0.2">
      <c r="B6570" s="1341">
        <v>7990</v>
      </c>
      <c r="C6570" s="1341" t="s">
        <v>7166</v>
      </c>
      <c r="D6570" s="1310">
        <v>2161.8018269999998</v>
      </c>
    </row>
    <row r="6571" spans="2:4" x14ac:dyDescent="0.2">
      <c r="B6571" s="1341">
        <v>7991</v>
      </c>
      <c r="C6571" s="1341" t="s">
        <v>7167</v>
      </c>
      <c r="D6571" s="1310">
        <v>2118.953485</v>
      </c>
    </row>
    <row r="6572" spans="2:4" x14ac:dyDescent="0.2">
      <c r="B6572" s="1341">
        <v>7992</v>
      </c>
      <c r="C6572" s="1341" t="s">
        <v>7168</v>
      </c>
      <c r="D6572" s="1310">
        <v>1735.2166749999999</v>
      </c>
    </row>
    <row r="6573" spans="2:4" x14ac:dyDescent="0.2">
      <c r="B6573" s="1341">
        <v>7993</v>
      </c>
      <c r="C6573" s="1341" t="s">
        <v>7169</v>
      </c>
      <c r="D6573" s="1310">
        <v>1648.233358</v>
      </c>
    </row>
    <row r="6574" spans="2:4" x14ac:dyDescent="0.2">
      <c r="B6574" s="1341">
        <v>8001</v>
      </c>
      <c r="C6574" s="1341" t="s">
        <v>7170</v>
      </c>
      <c r="D6574" s="1310">
        <v>684.19999700000005</v>
      </c>
    </row>
    <row r="6575" spans="2:4" x14ac:dyDescent="0.2">
      <c r="B6575" s="1341">
        <v>8002</v>
      </c>
      <c r="C6575" s="1341" t="s">
        <v>4960</v>
      </c>
      <c r="D6575" s="1310">
        <v>640.49166400000001</v>
      </c>
    </row>
    <row r="6576" spans="2:4" x14ac:dyDescent="0.2">
      <c r="B6576" s="1341">
        <v>8003</v>
      </c>
      <c r="C6576" s="1341" t="s">
        <v>4145</v>
      </c>
      <c r="D6576" s="1310">
        <v>652.16666699999996</v>
      </c>
    </row>
    <row r="6577" spans="2:4" x14ac:dyDescent="0.2">
      <c r="B6577" s="1341">
        <v>8004</v>
      </c>
      <c r="C6577" s="1341" t="s">
        <v>7171</v>
      </c>
      <c r="D6577" s="1310">
        <v>634.81999499999995</v>
      </c>
    </row>
    <row r="6578" spans="2:4" x14ac:dyDescent="0.2">
      <c r="B6578" s="1341">
        <v>8005</v>
      </c>
      <c r="C6578" s="1341" t="s">
        <v>7172</v>
      </c>
      <c r="D6578" s="1310">
        <v>652.30000299999995</v>
      </c>
    </row>
    <row r="6579" spans="2:4" x14ac:dyDescent="0.2">
      <c r="B6579" s="1341">
        <v>8006</v>
      </c>
      <c r="C6579" s="1341" t="s">
        <v>7173</v>
      </c>
      <c r="D6579" s="1310">
        <v>643.38332600000001</v>
      </c>
    </row>
    <row r="6580" spans="2:4" x14ac:dyDescent="0.2">
      <c r="B6580" s="1341">
        <v>8007</v>
      </c>
      <c r="C6580" s="1341" t="s">
        <v>7174</v>
      </c>
      <c r="D6580" s="1310">
        <v>673.42857100000003</v>
      </c>
    </row>
    <row r="6581" spans="2:4" x14ac:dyDescent="0.2">
      <c r="B6581" s="1341">
        <v>8008</v>
      </c>
      <c r="C6581" s="1341" t="s">
        <v>7175</v>
      </c>
      <c r="D6581" s="1310">
        <v>690.28000499999996</v>
      </c>
    </row>
    <row r="6582" spans="2:4" x14ac:dyDescent="0.2">
      <c r="B6582" s="1341">
        <v>8009</v>
      </c>
      <c r="C6582" s="1341" t="s">
        <v>3163</v>
      </c>
      <c r="D6582" s="1310">
        <v>655.58334400000001</v>
      </c>
    </row>
    <row r="6583" spans="2:4" x14ac:dyDescent="0.2">
      <c r="B6583" s="1341">
        <v>8010</v>
      </c>
      <c r="C6583" s="1341" t="s">
        <v>7176</v>
      </c>
      <c r="D6583" s="1310">
        <v>631.43332899999996</v>
      </c>
    </row>
    <row r="6584" spans="2:4" x14ac:dyDescent="0.2">
      <c r="B6584" s="1341">
        <v>8011</v>
      </c>
      <c r="C6584" s="1341" t="s">
        <v>7177</v>
      </c>
      <c r="D6584" s="1310">
        <v>653.75</v>
      </c>
    </row>
    <row r="6585" spans="2:4" x14ac:dyDescent="0.2">
      <c r="B6585" s="1341">
        <v>8012</v>
      </c>
      <c r="C6585" s="1341" t="s">
        <v>5759</v>
      </c>
      <c r="D6585" s="1310">
        <v>658.65999799999997</v>
      </c>
    </row>
    <row r="6586" spans="2:4" x14ac:dyDescent="0.2">
      <c r="B6586" s="1341">
        <v>8013</v>
      </c>
      <c r="C6586" s="1341" t="s">
        <v>7178</v>
      </c>
      <c r="D6586" s="1310">
        <v>667.97999900000002</v>
      </c>
    </row>
    <row r="6587" spans="2:4" x14ac:dyDescent="0.2">
      <c r="B6587" s="1341">
        <v>8014</v>
      </c>
      <c r="C6587" s="1341" t="s">
        <v>7179</v>
      </c>
      <c r="D6587" s="1310">
        <v>654.54999799999996</v>
      </c>
    </row>
    <row r="6588" spans="2:4" x14ac:dyDescent="0.2">
      <c r="B6588" s="1341">
        <v>8015</v>
      </c>
      <c r="C6588" s="1341" t="s">
        <v>7180</v>
      </c>
      <c r="D6588" s="1310">
        <v>658.98749499999997</v>
      </c>
    </row>
    <row r="6589" spans="2:4" x14ac:dyDescent="0.2">
      <c r="B6589" s="1341">
        <v>8016</v>
      </c>
      <c r="C6589" s="1341" t="s">
        <v>7181</v>
      </c>
      <c r="D6589" s="1310">
        <v>690.24999000000003</v>
      </c>
    </row>
    <row r="6590" spans="2:4" x14ac:dyDescent="0.2">
      <c r="B6590" s="1341">
        <v>8017</v>
      </c>
      <c r="C6590" s="1341" t="s">
        <v>7182</v>
      </c>
      <c r="D6590" s="1310">
        <v>654.65000899999995</v>
      </c>
    </row>
    <row r="6591" spans="2:4" x14ac:dyDescent="0.2">
      <c r="B6591" s="1341">
        <v>8018</v>
      </c>
      <c r="C6591" s="1341" t="s">
        <v>7183</v>
      </c>
      <c r="D6591" s="1310">
        <v>681.90000399999997</v>
      </c>
    </row>
    <row r="6592" spans="2:4" x14ac:dyDescent="0.2">
      <c r="B6592" s="1341">
        <v>8020</v>
      </c>
      <c r="C6592" s="1341" t="s">
        <v>7184</v>
      </c>
      <c r="D6592" s="1310">
        <v>639.43572600000005</v>
      </c>
    </row>
    <row r="6593" spans="2:4" x14ac:dyDescent="0.2">
      <c r="B6593" s="1341">
        <v>8021</v>
      </c>
      <c r="C6593" s="1341" t="s">
        <v>7185</v>
      </c>
      <c r="D6593" s="1310">
        <v>650.13529300000005</v>
      </c>
    </row>
    <row r="6594" spans="2:4" x14ac:dyDescent="0.2">
      <c r="B6594" s="1341">
        <v>8022</v>
      </c>
      <c r="C6594" s="1341" t="s">
        <v>7186</v>
      </c>
      <c r="D6594" s="1310">
        <v>650.5625</v>
      </c>
    </row>
    <row r="6595" spans="2:4" x14ac:dyDescent="0.2">
      <c r="B6595" s="1341">
        <v>8023</v>
      </c>
      <c r="C6595" s="1341" t="s">
        <v>7187</v>
      </c>
      <c r="D6595" s="1310">
        <v>652.70001200000002</v>
      </c>
    </row>
    <row r="6596" spans="2:4" x14ac:dyDescent="0.2">
      <c r="B6596" s="1341">
        <v>8024</v>
      </c>
      <c r="C6596" s="1341" t="s">
        <v>7188</v>
      </c>
      <c r="D6596" s="1310">
        <v>621.52501400000006</v>
      </c>
    </row>
    <row r="6597" spans="2:4" x14ac:dyDescent="0.2">
      <c r="B6597" s="1341">
        <v>8025</v>
      </c>
      <c r="C6597" s="1341" t="s">
        <v>7189</v>
      </c>
      <c r="D6597" s="1310">
        <v>643.97499100000005</v>
      </c>
    </row>
    <row r="6598" spans="2:4" x14ac:dyDescent="0.2">
      <c r="B6598" s="1341">
        <v>8026</v>
      </c>
      <c r="C6598" s="1341" t="s">
        <v>7190</v>
      </c>
      <c r="D6598" s="1310">
        <v>614.04286400000001</v>
      </c>
    </row>
    <row r="6599" spans="2:4" x14ac:dyDescent="0.2">
      <c r="B6599" s="1341">
        <v>8027</v>
      </c>
      <c r="C6599" s="1341" t="s">
        <v>4844</v>
      </c>
      <c r="D6599" s="1310">
        <v>636.48334799999998</v>
      </c>
    </row>
    <row r="6600" spans="2:4" x14ac:dyDescent="0.2">
      <c r="B6600" s="1341">
        <v>8028</v>
      </c>
      <c r="C6600" s="1341" t="s">
        <v>7191</v>
      </c>
      <c r="D6600" s="1310">
        <v>605.10416699999996</v>
      </c>
    </row>
    <row r="6601" spans="2:4" x14ac:dyDescent="0.2">
      <c r="B6601" s="1341">
        <v>8029</v>
      </c>
      <c r="C6601" s="1341" t="s">
        <v>7192</v>
      </c>
      <c r="D6601" s="1310">
        <v>683.82500500000003</v>
      </c>
    </row>
    <row r="6602" spans="2:4" x14ac:dyDescent="0.2">
      <c r="B6602" s="1341">
        <v>8030</v>
      </c>
      <c r="C6602" s="1341" t="s">
        <v>7193</v>
      </c>
      <c r="D6602" s="1310">
        <v>657.723074</v>
      </c>
    </row>
    <row r="6603" spans="2:4" x14ac:dyDescent="0.2">
      <c r="B6603" s="1341">
        <v>8031</v>
      </c>
      <c r="C6603" s="1341" t="s">
        <v>7194</v>
      </c>
      <c r="D6603" s="1310">
        <v>636.80571799999996</v>
      </c>
    </row>
    <row r="6604" spans="2:4" x14ac:dyDescent="0.2">
      <c r="B6604" s="1341">
        <v>8032</v>
      </c>
      <c r="C6604" s="1341" t="s">
        <v>7195</v>
      </c>
      <c r="D6604" s="1310">
        <v>679.52500899999995</v>
      </c>
    </row>
    <row r="6605" spans="2:4" x14ac:dyDescent="0.2">
      <c r="B6605" s="1341">
        <v>8033</v>
      </c>
      <c r="C6605" s="1341" t="s">
        <v>7196</v>
      </c>
      <c r="D6605" s="1310">
        <v>683</v>
      </c>
    </row>
    <row r="6606" spans="2:4" x14ac:dyDescent="0.2">
      <c r="B6606" s="1341">
        <v>8034</v>
      </c>
      <c r="C6606" s="1341" t="s">
        <v>7197</v>
      </c>
      <c r="D6606" s="1310">
        <v>690.65000399999997</v>
      </c>
    </row>
    <row r="6607" spans="2:4" x14ac:dyDescent="0.2">
      <c r="B6607" s="1341">
        <v>8035</v>
      </c>
      <c r="C6607" s="1341" t="s">
        <v>7198</v>
      </c>
      <c r="D6607" s="1310">
        <v>680.5</v>
      </c>
    </row>
    <row r="6608" spans="2:4" x14ac:dyDescent="0.2">
      <c r="B6608" s="1341">
        <v>8036</v>
      </c>
      <c r="C6608" s="1341" t="s">
        <v>7199</v>
      </c>
      <c r="D6608" s="1310">
        <v>681.66666699999996</v>
      </c>
    </row>
    <row r="6609" spans="2:4" x14ac:dyDescent="0.2">
      <c r="B6609" s="1341">
        <v>8037</v>
      </c>
      <c r="C6609" s="1341" t="s">
        <v>7200</v>
      </c>
      <c r="D6609" s="1310">
        <v>678.82499700000005</v>
      </c>
    </row>
    <row r="6610" spans="2:4" x14ac:dyDescent="0.2">
      <c r="B6610" s="1341">
        <v>8038</v>
      </c>
      <c r="C6610" s="1341" t="s">
        <v>7201</v>
      </c>
      <c r="D6610" s="1310">
        <v>657.33332299999995</v>
      </c>
    </row>
    <row r="6611" spans="2:4" x14ac:dyDescent="0.2">
      <c r="B6611" s="1341">
        <v>8039</v>
      </c>
      <c r="C6611" s="1341" t="s">
        <v>7202</v>
      </c>
      <c r="D6611" s="1310">
        <v>665.75556099999994</v>
      </c>
    </row>
    <row r="6612" spans="2:4" x14ac:dyDescent="0.2">
      <c r="B6612" s="1341">
        <v>8040</v>
      </c>
      <c r="C6612" s="1341" t="s">
        <v>7203</v>
      </c>
      <c r="D6612" s="1310">
        <v>676.15555800000004</v>
      </c>
    </row>
    <row r="6613" spans="2:4" x14ac:dyDescent="0.2">
      <c r="B6613" s="1341">
        <v>8041</v>
      </c>
      <c r="C6613" s="1341" t="s">
        <v>415</v>
      </c>
      <c r="D6613" s="1310">
        <v>670.21666500000003</v>
      </c>
    </row>
    <row r="6614" spans="2:4" x14ac:dyDescent="0.2">
      <c r="B6614" s="1341">
        <v>8042</v>
      </c>
      <c r="C6614" s="1341" t="s">
        <v>5847</v>
      </c>
      <c r="D6614" s="1310">
        <v>664.97999300000004</v>
      </c>
    </row>
    <row r="6615" spans="2:4" x14ac:dyDescent="0.2">
      <c r="B6615" s="1341">
        <v>8043</v>
      </c>
      <c r="C6615" s="1341" t="s">
        <v>7204</v>
      </c>
      <c r="D6615" s="1310">
        <v>645.46153800000002</v>
      </c>
    </row>
    <row r="6616" spans="2:4" x14ac:dyDescent="0.2">
      <c r="B6616" s="1341">
        <v>8044</v>
      </c>
      <c r="C6616" s="1341" t="s">
        <v>7205</v>
      </c>
      <c r="D6616" s="1310">
        <v>648.24284999999998</v>
      </c>
    </row>
    <row r="6617" spans="2:4" x14ac:dyDescent="0.2">
      <c r="B6617" s="1341">
        <v>8045</v>
      </c>
      <c r="C6617" s="1341" t="s">
        <v>7206</v>
      </c>
      <c r="D6617" s="1310">
        <v>641.53332499999999</v>
      </c>
    </row>
    <row r="6618" spans="2:4" x14ac:dyDescent="0.2">
      <c r="B6618" s="1341">
        <v>8046</v>
      </c>
      <c r="C6618" s="1341" t="s">
        <v>7207</v>
      </c>
      <c r="D6618" s="1310">
        <v>660.28333499999997</v>
      </c>
    </row>
    <row r="6619" spans="2:4" x14ac:dyDescent="0.2">
      <c r="B6619" s="1341">
        <v>8047</v>
      </c>
      <c r="C6619" s="1341" t="s">
        <v>5230</v>
      </c>
      <c r="D6619" s="1310">
        <v>635.45999800000004</v>
      </c>
    </row>
    <row r="6620" spans="2:4" x14ac:dyDescent="0.2">
      <c r="B6620" s="1341">
        <v>8048</v>
      </c>
      <c r="C6620" s="1341" t="s">
        <v>7208</v>
      </c>
      <c r="D6620" s="1310">
        <v>625.19629799999996</v>
      </c>
    </row>
    <row r="6621" spans="2:4" x14ac:dyDescent="0.2">
      <c r="B6621" s="1341">
        <v>8049</v>
      </c>
      <c r="C6621" s="1341" t="s">
        <v>6425</v>
      </c>
      <c r="D6621" s="1310">
        <v>601.80000800000005</v>
      </c>
    </row>
    <row r="6622" spans="2:4" x14ac:dyDescent="0.2">
      <c r="B6622" s="1341">
        <v>8050</v>
      </c>
      <c r="C6622" s="1341" t="s">
        <v>7209</v>
      </c>
      <c r="D6622" s="1310">
        <v>614.08000500000003</v>
      </c>
    </row>
    <row r="6623" spans="2:4" x14ac:dyDescent="0.2">
      <c r="B6623" s="1341">
        <v>8051</v>
      </c>
      <c r="C6623" s="1341" t="s">
        <v>4861</v>
      </c>
      <c r="D6623" s="1310">
        <v>614.14999399999999</v>
      </c>
    </row>
    <row r="6624" spans="2:4" x14ac:dyDescent="0.2">
      <c r="B6624" s="1341">
        <v>8052</v>
      </c>
      <c r="C6624" s="1341" t="s">
        <v>7210</v>
      </c>
      <c r="D6624" s="1310">
        <v>629.15000199999997</v>
      </c>
    </row>
    <row r="6625" spans="2:4" x14ac:dyDescent="0.2">
      <c r="B6625" s="1341">
        <v>8053</v>
      </c>
      <c r="C6625" s="1341" t="s">
        <v>1846</v>
      </c>
      <c r="D6625" s="1310">
        <v>617.5</v>
      </c>
    </row>
    <row r="6626" spans="2:4" x14ac:dyDescent="0.2">
      <c r="B6626" s="1341">
        <v>8054</v>
      </c>
      <c r="C6626" s="1341" t="s">
        <v>7211</v>
      </c>
      <c r="D6626" s="1310">
        <v>608.14999399999999</v>
      </c>
    </row>
    <row r="6627" spans="2:4" x14ac:dyDescent="0.2">
      <c r="B6627" s="1341">
        <v>8055</v>
      </c>
      <c r="C6627" s="1341" t="s">
        <v>7212</v>
      </c>
      <c r="D6627" s="1310">
        <v>621.06000200000005</v>
      </c>
    </row>
    <row r="6628" spans="2:4" x14ac:dyDescent="0.2">
      <c r="B6628" s="1341">
        <v>8056</v>
      </c>
      <c r="C6628" s="1341" t="s">
        <v>365</v>
      </c>
      <c r="D6628" s="1310">
        <v>630.74750400000005</v>
      </c>
    </row>
    <row r="6629" spans="2:4" x14ac:dyDescent="0.2">
      <c r="B6629" s="1341">
        <v>8057</v>
      </c>
      <c r="C6629" s="1341" t="s">
        <v>7213</v>
      </c>
      <c r="D6629" s="1310">
        <v>626.88570700000002</v>
      </c>
    </row>
    <row r="6630" spans="2:4" x14ac:dyDescent="0.2">
      <c r="B6630" s="1341">
        <v>8058</v>
      </c>
      <c r="C6630" s="1341" t="s">
        <v>7214</v>
      </c>
      <c r="D6630" s="1310">
        <v>635.125</v>
      </c>
    </row>
    <row r="6631" spans="2:4" x14ac:dyDescent="0.2">
      <c r="B6631" s="1341">
        <v>8059</v>
      </c>
      <c r="C6631" s="1341" t="s">
        <v>6366</v>
      </c>
      <c r="D6631" s="1310">
        <v>639.19999700000005</v>
      </c>
    </row>
    <row r="6632" spans="2:4" x14ac:dyDescent="0.2">
      <c r="B6632" s="1341">
        <v>8060</v>
      </c>
      <c r="C6632" s="1341" t="s">
        <v>7215</v>
      </c>
      <c r="D6632" s="1310">
        <v>635.56664999999998</v>
      </c>
    </row>
    <row r="6633" spans="2:4" x14ac:dyDescent="0.2">
      <c r="B6633" s="1341">
        <v>8061</v>
      </c>
      <c r="C6633" s="1341" t="s">
        <v>7216</v>
      </c>
      <c r="D6633" s="1310">
        <v>639.62500799999998</v>
      </c>
    </row>
    <row r="6634" spans="2:4" x14ac:dyDescent="0.2">
      <c r="B6634" s="1341">
        <v>8062</v>
      </c>
      <c r="C6634" s="1341" t="s">
        <v>7170</v>
      </c>
      <c r="D6634" s="1310">
        <v>643.45000200000004</v>
      </c>
    </row>
    <row r="6635" spans="2:4" x14ac:dyDescent="0.2">
      <c r="B6635" s="1341">
        <v>8063</v>
      </c>
      <c r="C6635" s="1341" t="s">
        <v>7217</v>
      </c>
      <c r="D6635" s="1310">
        <v>635.46250199999997</v>
      </c>
    </row>
    <row r="6636" spans="2:4" x14ac:dyDescent="0.2">
      <c r="B6636" s="1341">
        <v>8064</v>
      </c>
      <c r="C6636" s="1341" t="s">
        <v>7218</v>
      </c>
      <c r="D6636" s="1310">
        <v>638.19999700000005</v>
      </c>
    </row>
    <row r="6637" spans="2:4" x14ac:dyDescent="0.2">
      <c r="B6637" s="1341">
        <v>8065</v>
      </c>
      <c r="C6637" s="1341" t="s">
        <v>7219</v>
      </c>
      <c r="D6637" s="1310">
        <v>635.75</v>
      </c>
    </row>
    <row r="6638" spans="2:4" x14ac:dyDescent="0.2">
      <c r="B6638" s="1341">
        <v>8066</v>
      </c>
      <c r="C6638" s="1341" t="s">
        <v>6754</v>
      </c>
      <c r="D6638" s="1310">
        <v>640.09999600000003</v>
      </c>
    </row>
    <row r="6639" spans="2:4" x14ac:dyDescent="0.2">
      <c r="B6639" s="1341">
        <v>8067</v>
      </c>
      <c r="C6639" s="1341" t="s">
        <v>7220</v>
      </c>
      <c r="D6639" s="1310">
        <v>642.11177299999997</v>
      </c>
    </row>
    <row r="6640" spans="2:4" x14ac:dyDescent="0.2">
      <c r="B6640" s="1341">
        <v>8068</v>
      </c>
      <c r="C6640" s="1341" t="s">
        <v>1541</v>
      </c>
      <c r="D6640" s="1310">
        <v>642.64444300000002</v>
      </c>
    </row>
    <row r="6641" spans="2:4" x14ac:dyDescent="0.2">
      <c r="B6641" s="1341">
        <v>8069</v>
      </c>
      <c r="C6641" s="1341" t="s">
        <v>7221</v>
      </c>
      <c r="D6641" s="1310">
        <v>649.89998800000001</v>
      </c>
    </row>
    <row r="6642" spans="2:4" x14ac:dyDescent="0.2">
      <c r="B6642" s="1341">
        <v>8070</v>
      </c>
      <c r="C6642" s="1341" t="s">
        <v>7222</v>
      </c>
      <c r="D6642" s="1310">
        <v>722.14285700000005</v>
      </c>
    </row>
    <row r="6643" spans="2:4" x14ac:dyDescent="0.2">
      <c r="B6643" s="1341">
        <v>8071</v>
      </c>
      <c r="C6643" s="1341" t="s">
        <v>4222</v>
      </c>
      <c r="D6643" s="1310">
        <v>657.32306800000003</v>
      </c>
    </row>
    <row r="6644" spans="2:4" x14ac:dyDescent="0.2">
      <c r="B6644" s="1341">
        <v>8072</v>
      </c>
      <c r="C6644" s="1341" t="s">
        <v>6375</v>
      </c>
      <c r="D6644" s="1310">
        <v>690.69998799999996</v>
      </c>
    </row>
    <row r="6645" spans="2:4" x14ac:dyDescent="0.2">
      <c r="B6645" s="1341">
        <v>8073</v>
      </c>
      <c r="C6645" s="1341" t="s">
        <v>7223</v>
      </c>
      <c r="D6645" s="1310">
        <v>707.47500600000001</v>
      </c>
    </row>
    <row r="6646" spans="2:4" x14ac:dyDescent="0.2">
      <c r="B6646" s="1341">
        <v>8074</v>
      </c>
      <c r="C6646" s="1341" t="s">
        <v>7224</v>
      </c>
      <c r="D6646" s="1310">
        <v>653.48333700000001</v>
      </c>
    </row>
    <row r="6647" spans="2:4" x14ac:dyDescent="0.2">
      <c r="B6647" s="1341">
        <v>8075</v>
      </c>
      <c r="C6647" s="1341" t="s">
        <v>7225</v>
      </c>
      <c r="D6647" s="1310">
        <v>650.10526000000004</v>
      </c>
    </row>
    <row r="6648" spans="2:4" x14ac:dyDescent="0.2">
      <c r="B6648" s="1341">
        <v>8076</v>
      </c>
      <c r="C6648" s="1341" t="s">
        <v>7226</v>
      </c>
      <c r="D6648" s="1310">
        <v>636.90002400000003</v>
      </c>
    </row>
    <row r="6649" spans="2:4" x14ac:dyDescent="0.2">
      <c r="B6649" s="1341">
        <v>8077</v>
      </c>
      <c r="C6649" s="1341" t="s">
        <v>5528</v>
      </c>
      <c r="D6649" s="1310">
        <v>663.22499100000005</v>
      </c>
    </row>
    <row r="6650" spans="2:4" x14ac:dyDescent="0.2">
      <c r="B6650" s="1341">
        <v>8078</v>
      </c>
      <c r="C6650" s="1341" t="s">
        <v>1998</v>
      </c>
      <c r="D6650" s="1310">
        <v>641.47777599999995</v>
      </c>
    </row>
    <row r="6651" spans="2:4" x14ac:dyDescent="0.2">
      <c r="B6651" s="1341">
        <v>8079</v>
      </c>
      <c r="C6651" s="1341" t="s">
        <v>2801</v>
      </c>
      <c r="D6651" s="1310">
        <v>636.73999600000002</v>
      </c>
    </row>
    <row r="6652" spans="2:4" x14ac:dyDescent="0.2">
      <c r="B6652" s="1341">
        <v>8080</v>
      </c>
      <c r="C6652" s="1341" t="s">
        <v>7227</v>
      </c>
      <c r="D6652" s="1310">
        <v>672.08749399999999</v>
      </c>
    </row>
    <row r="6653" spans="2:4" x14ac:dyDescent="0.2">
      <c r="B6653" s="1341">
        <v>8081</v>
      </c>
      <c r="C6653" s="1341" t="s">
        <v>6318</v>
      </c>
      <c r="D6653" s="1310">
        <v>640.616669</v>
      </c>
    </row>
    <row r="6654" spans="2:4" x14ac:dyDescent="0.2">
      <c r="B6654" s="1341">
        <v>8082</v>
      </c>
      <c r="C6654" s="1341" t="s">
        <v>7228</v>
      </c>
      <c r="D6654" s="1310">
        <v>640.40666899999997</v>
      </c>
    </row>
    <row r="6655" spans="2:4" x14ac:dyDescent="0.2">
      <c r="B6655" s="1341">
        <v>8083</v>
      </c>
      <c r="C6655" s="1341" t="s">
        <v>3814</v>
      </c>
      <c r="D6655" s="1310">
        <v>650.68888300000003</v>
      </c>
    </row>
    <row r="6656" spans="2:4" x14ac:dyDescent="0.2">
      <c r="B6656" s="1341">
        <v>8084</v>
      </c>
      <c r="C6656" s="1341" t="s">
        <v>7229</v>
      </c>
      <c r="D6656" s="1310">
        <v>670.25714100000005</v>
      </c>
    </row>
    <row r="6657" spans="2:4" x14ac:dyDescent="0.2">
      <c r="B6657" s="1341">
        <v>8085</v>
      </c>
      <c r="C6657" s="1341" t="s">
        <v>5888</v>
      </c>
      <c r="D6657" s="1310">
        <v>693.04614700000002</v>
      </c>
    </row>
    <row r="6658" spans="2:4" x14ac:dyDescent="0.2">
      <c r="B6658" s="1341">
        <v>8086</v>
      </c>
      <c r="C6658" s="1341" t="s">
        <v>7230</v>
      </c>
      <c r="D6658" s="1310">
        <v>680.60000300000002</v>
      </c>
    </row>
    <row r="6659" spans="2:4" x14ac:dyDescent="0.2">
      <c r="B6659" s="1341">
        <v>8087</v>
      </c>
      <c r="C6659" s="1341" t="s">
        <v>7231</v>
      </c>
      <c r="D6659" s="1310">
        <v>651.05001800000002</v>
      </c>
    </row>
    <row r="6660" spans="2:4" x14ac:dyDescent="0.2">
      <c r="B6660" s="1341">
        <v>8088</v>
      </c>
      <c r="C6660" s="1341" t="s">
        <v>7232</v>
      </c>
      <c r="D6660" s="1310">
        <v>644.54998799999998</v>
      </c>
    </row>
    <row r="6661" spans="2:4" x14ac:dyDescent="0.2">
      <c r="B6661" s="1341">
        <v>8089</v>
      </c>
      <c r="C6661" s="1341" t="s">
        <v>7233</v>
      </c>
      <c r="D6661" s="1310">
        <v>651.07000700000003</v>
      </c>
    </row>
    <row r="6662" spans="2:4" x14ac:dyDescent="0.2">
      <c r="B6662" s="1341">
        <v>8090</v>
      </c>
      <c r="C6662" s="1341" t="s">
        <v>7234</v>
      </c>
      <c r="D6662" s="1310">
        <v>701</v>
      </c>
    </row>
    <row r="6663" spans="2:4" x14ac:dyDescent="0.2">
      <c r="B6663" s="1341">
        <v>8091</v>
      </c>
      <c r="C6663" s="1341" t="s">
        <v>7235</v>
      </c>
      <c r="D6663" s="1310">
        <v>638.88750500000003</v>
      </c>
    </row>
    <row r="6664" spans="2:4" x14ac:dyDescent="0.2">
      <c r="B6664" s="1341">
        <v>8092</v>
      </c>
      <c r="C6664" s="1341" t="s">
        <v>7236</v>
      </c>
      <c r="D6664" s="1310">
        <v>628.45333700000003</v>
      </c>
    </row>
    <row r="6665" spans="2:4" x14ac:dyDescent="0.2">
      <c r="B6665" s="1341">
        <v>8093</v>
      </c>
      <c r="C6665" s="1341" t="s">
        <v>7237</v>
      </c>
      <c r="D6665" s="1310">
        <v>649.18333900000005</v>
      </c>
    </row>
    <row r="6666" spans="2:4" x14ac:dyDescent="0.2">
      <c r="B6666" s="1341">
        <v>8094</v>
      </c>
      <c r="C6666" s="1341" t="s">
        <v>7238</v>
      </c>
      <c r="D6666" s="1310">
        <v>656.93200000000002</v>
      </c>
    </row>
    <row r="6667" spans="2:4" x14ac:dyDescent="0.2">
      <c r="B6667" s="1341">
        <v>8095</v>
      </c>
      <c r="C6667" s="1341" t="s">
        <v>7239</v>
      </c>
      <c r="D6667" s="1310">
        <v>643.16999499999997</v>
      </c>
    </row>
    <row r="6668" spans="2:4" x14ac:dyDescent="0.2">
      <c r="B6668" s="1341">
        <v>8096</v>
      </c>
      <c r="C6668" s="1341" t="s">
        <v>7240</v>
      </c>
      <c r="D6668" s="1310">
        <v>673.97142699999995</v>
      </c>
    </row>
    <row r="6669" spans="2:4" x14ac:dyDescent="0.2">
      <c r="B6669" s="1341">
        <v>8097</v>
      </c>
      <c r="C6669" s="1341" t="s">
        <v>7241</v>
      </c>
      <c r="D6669" s="1310">
        <v>683.87272499999995</v>
      </c>
    </row>
    <row r="6670" spans="2:4" x14ac:dyDescent="0.2">
      <c r="B6670" s="1341">
        <v>8098</v>
      </c>
      <c r="C6670" s="1341" t="s">
        <v>7242</v>
      </c>
      <c r="D6670" s="1310">
        <v>677.76153999999997</v>
      </c>
    </row>
    <row r="6671" spans="2:4" x14ac:dyDescent="0.2">
      <c r="B6671" s="1341">
        <v>8099</v>
      </c>
      <c r="C6671" s="1341" t="s">
        <v>7243</v>
      </c>
      <c r="D6671" s="1310">
        <v>693.61052800000004</v>
      </c>
    </row>
    <row r="6672" spans="2:4" x14ac:dyDescent="0.2">
      <c r="B6672" s="1341">
        <v>8100</v>
      </c>
      <c r="C6672" s="1341" t="s">
        <v>7244</v>
      </c>
      <c r="D6672" s="1310">
        <v>696.12999300000001</v>
      </c>
    </row>
    <row r="6673" spans="2:4" x14ac:dyDescent="0.2">
      <c r="B6673" s="1341">
        <v>8101</v>
      </c>
      <c r="C6673" s="1341" t="s">
        <v>7245</v>
      </c>
      <c r="D6673" s="1310">
        <v>698.90002400000003</v>
      </c>
    </row>
    <row r="6674" spans="2:4" x14ac:dyDescent="0.2">
      <c r="B6674" s="1341">
        <v>8102</v>
      </c>
      <c r="C6674" s="1341" t="s">
        <v>7246</v>
      </c>
      <c r="D6674" s="1310">
        <v>680.49167399999999</v>
      </c>
    </row>
    <row r="6675" spans="2:4" x14ac:dyDescent="0.2">
      <c r="B6675" s="1341">
        <v>8103</v>
      </c>
      <c r="C6675" s="1341" t="s">
        <v>7247</v>
      </c>
      <c r="D6675" s="1310">
        <v>689.03076599999997</v>
      </c>
    </row>
    <row r="6676" spans="2:4" x14ac:dyDescent="0.2">
      <c r="B6676" s="1341">
        <v>8104</v>
      </c>
      <c r="C6676" s="1341" t="s">
        <v>7248</v>
      </c>
      <c r="D6676" s="1310">
        <v>705.55999799999995</v>
      </c>
    </row>
    <row r="6677" spans="2:4" x14ac:dyDescent="0.2">
      <c r="B6677" s="1341">
        <v>8105</v>
      </c>
      <c r="C6677" s="1341" t="s">
        <v>7249</v>
      </c>
      <c r="D6677" s="1310">
        <v>647.68077200000005</v>
      </c>
    </row>
    <row r="6678" spans="2:4" x14ac:dyDescent="0.2">
      <c r="B6678" s="1341">
        <v>8106</v>
      </c>
      <c r="C6678" s="1341" t="s">
        <v>6735</v>
      </c>
      <c r="D6678" s="1310">
        <v>685.50476100000003</v>
      </c>
    </row>
    <row r="6679" spans="2:4" x14ac:dyDescent="0.2">
      <c r="B6679" s="1341">
        <v>8107</v>
      </c>
      <c r="C6679" s="1341" t="s">
        <v>7250</v>
      </c>
      <c r="D6679" s="1310">
        <v>695.57499700000005</v>
      </c>
    </row>
    <row r="6680" spans="2:4" x14ac:dyDescent="0.2">
      <c r="B6680" s="1341">
        <v>8108</v>
      </c>
      <c r="C6680" s="1341" t="s">
        <v>7251</v>
      </c>
      <c r="D6680" s="1310">
        <v>661.03332499999999</v>
      </c>
    </row>
    <row r="6681" spans="2:4" x14ac:dyDescent="0.2">
      <c r="B6681" s="1341">
        <v>8109</v>
      </c>
      <c r="C6681" s="1341" t="s">
        <v>7252</v>
      </c>
      <c r="D6681" s="1310">
        <v>658.86666400000001</v>
      </c>
    </row>
    <row r="6682" spans="2:4" x14ac:dyDescent="0.2">
      <c r="B6682" s="1341">
        <v>8110</v>
      </c>
      <c r="C6682" s="1341" t="s">
        <v>7253</v>
      </c>
      <c r="D6682" s="1310">
        <v>685.74000699999999</v>
      </c>
    </row>
    <row r="6683" spans="2:4" x14ac:dyDescent="0.2">
      <c r="B6683" s="1341">
        <v>8111</v>
      </c>
      <c r="C6683" s="1341" t="s">
        <v>7254</v>
      </c>
      <c r="D6683" s="1310">
        <v>674.34000200000003</v>
      </c>
    </row>
    <row r="6684" spans="2:4" x14ac:dyDescent="0.2">
      <c r="B6684" s="1341">
        <v>8112</v>
      </c>
      <c r="C6684" s="1341" t="s">
        <v>7255</v>
      </c>
      <c r="D6684" s="1310">
        <v>709.51110800000004</v>
      </c>
    </row>
    <row r="6685" spans="2:4" x14ac:dyDescent="0.2">
      <c r="B6685" s="1341">
        <v>8113</v>
      </c>
      <c r="C6685" s="1341" t="s">
        <v>5188</v>
      </c>
      <c r="D6685" s="1310">
        <v>722.81664999999998</v>
      </c>
    </row>
    <row r="6686" spans="2:4" x14ac:dyDescent="0.2">
      <c r="B6686" s="1341">
        <v>8114</v>
      </c>
      <c r="C6686" s="1341" t="s">
        <v>7256</v>
      </c>
      <c r="D6686" s="1310">
        <v>719.292868</v>
      </c>
    </row>
    <row r="6687" spans="2:4" x14ac:dyDescent="0.2">
      <c r="B6687" s="1341">
        <v>8115</v>
      </c>
      <c r="C6687" s="1341" t="s">
        <v>6105</v>
      </c>
      <c r="D6687" s="1310">
        <v>757.42500299999995</v>
      </c>
    </row>
    <row r="6688" spans="2:4" x14ac:dyDescent="0.2">
      <c r="B6688" s="1341">
        <v>8116</v>
      </c>
      <c r="C6688" s="1341" t="s">
        <v>7257</v>
      </c>
      <c r="D6688" s="1310">
        <v>738.80001200000004</v>
      </c>
    </row>
    <row r="6689" spans="2:4" x14ac:dyDescent="0.2">
      <c r="B6689" s="1341">
        <v>8117</v>
      </c>
      <c r="C6689" s="1341" t="s">
        <v>7258</v>
      </c>
      <c r="D6689" s="1310">
        <v>715.736356</v>
      </c>
    </row>
    <row r="6690" spans="2:4" x14ac:dyDescent="0.2">
      <c r="B6690" s="1341">
        <v>8118</v>
      </c>
      <c r="C6690" s="1341" t="s">
        <v>7259</v>
      </c>
      <c r="D6690" s="1310">
        <v>749.322225</v>
      </c>
    </row>
    <row r="6691" spans="2:4" x14ac:dyDescent="0.2">
      <c r="B6691" s="1341">
        <v>8119</v>
      </c>
      <c r="C6691" s="1341" t="s">
        <v>7260</v>
      </c>
      <c r="D6691" s="1310">
        <v>721.60000600000001</v>
      </c>
    </row>
    <row r="6692" spans="2:4" x14ac:dyDescent="0.2">
      <c r="B6692" s="1341">
        <v>8120</v>
      </c>
      <c r="C6692" s="1341" t="s">
        <v>7261</v>
      </c>
      <c r="D6692" s="1310">
        <v>759.21999500000004</v>
      </c>
    </row>
    <row r="6693" spans="2:4" x14ac:dyDescent="0.2">
      <c r="B6693" s="1341">
        <v>8151</v>
      </c>
      <c r="C6693" s="1341" t="s">
        <v>7262</v>
      </c>
      <c r="D6693" s="1310">
        <v>671.75</v>
      </c>
    </row>
    <row r="6694" spans="2:4" x14ac:dyDescent="0.2">
      <c r="B6694" s="1341">
        <v>8152</v>
      </c>
      <c r="C6694" s="1341" t="s">
        <v>7263</v>
      </c>
      <c r="D6694" s="1310">
        <v>646.10000200000002</v>
      </c>
    </row>
    <row r="6695" spans="2:4" x14ac:dyDescent="0.2">
      <c r="B6695" s="1341">
        <v>8153</v>
      </c>
      <c r="C6695" s="1341" t="s">
        <v>7264</v>
      </c>
      <c r="D6695" s="1310">
        <v>627.12856599999998</v>
      </c>
    </row>
    <row r="6696" spans="2:4" x14ac:dyDescent="0.2">
      <c r="B6696" s="1341">
        <v>8154</v>
      </c>
      <c r="C6696" s="1341" t="s">
        <v>7265</v>
      </c>
      <c r="D6696" s="1310">
        <v>650.34999600000003</v>
      </c>
    </row>
    <row r="6697" spans="2:4" x14ac:dyDescent="0.2">
      <c r="B6697" s="1341">
        <v>8155</v>
      </c>
      <c r="C6697" s="1341" t="s">
        <v>7266</v>
      </c>
      <c r="D6697" s="1310">
        <v>628.66666699999996</v>
      </c>
    </row>
    <row r="6698" spans="2:4" x14ac:dyDescent="0.2">
      <c r="B6698" s="1341">
        <v>8156</v>
      </c>
      <c r="C6698" s="1341" t="s">
        <v>7267</v>
      </c>
      <c r="D6698" s="1310">
        <v>643.78333499999997</v>
      </c>
    </row>
    <row r="6699" spans="2:4" x14ac:dyDescent="0.2">
      <c r="B6699" s="1341">
        <v>8157</v>
      </c>
      <c r="C6699" s="1341" t="s">
        <v>7268</v>
      </c>
      <c r="D6699" s="1310">
        <v>651.20833300000004</v>
      </c>
    </row>
    <row r="6700" spans="2:4" x14ac:dyDescent="0.2">
      <c r="B6700" s="1341">
        <v>8158</v>
      </c>
      <c r="C6700" s="1341" t="s">
        <v>7269</v>
      </c>
      <c r="D6700" s="1310">
        <v>646.07777199999998</v>
      </c>
    </row>
    <row r="6701" spans="2:4" x14ac:dyDescent="0.2">
      <c r="B6701" s="1341">
        <v>8159</v>
      </c>
      <c r="C6701" s="1341" t="s">
        <v>7270</v>
      </c>
      <c r="D6701" s="1310">
        <v>642.67999299999997</v>
      </c>
    </row>
    <row r="6702" spans="2:4" x14ac:dyDescent="0.2">
      <c r="B6702" s="1341">
        <v>8160</v>
      </c>
      <c r="C6702" s="1341" t="s">
        <v>7271</v>
      </c>
      <c r="D6702" s="1310">
        <v>664.75333699999999</v>
      </c>
    </row>
    <row r="6703" spans="2:4" x14ac:dyDescent="0.2">
      <c r="B6703" s="1341">
        <v>8161</v>
      </c>
      <c r="C6703" s="1341" t="s">
        <v>7272</v>
      </c>
      <c r="D6703" s="1310">
        <v>657.77499399999999</v>
      </c>
    </row>
    <row r="6704" spans="2:4" x14ac:dyDescent="0.2">
      <c r="B6704" s="1341">
        <v>8162</v>
      </c>
      <c r="C6704" s="1341" t="s">
        <v>7273</v>
      </c>
      <c r="D6704" s="1310">
        <v>680.73333700000001</v>
      </c>
    </row>
    <row r="6705" spans="2:4" x14ac:dyDescent="0.2">
      <c r="B6705" s="1341">
        <v>8163</v>
      </c>
      <c r="C6705" s="1341" t="s">
        <v>7274</v>
      </c>
      <c r="D6705" s="1310">
        <v>665.55909299999996</v>
      </c>
    </row>
    <row r="6706" spans="2:4" x14ac:dyDescent="0.2">
      <c r="B6706" s="1341">
        <v>8164</v>
      </c>
      <c r="C6706" s="1341" t="s">
        <v>7275</v>
      </c>
      <c r="D6706" s="1310">
        <v>674.5</v>
      </c>
    </row>
    <row r="6707" spans="2:4" x14ac:dyDescent="0.2">
      <c r="B6707" s="1341">
        <v>8165</v>
      </c>
      <c r="C6707" s="1341" t="s">
        <v>7276</v>
      </c>
      <c r="D6707" s="1310">
        <v>676.128557</v>
      </c>
    </row>
    <row r="6708" spans="2:4" x14ac:dyDescent="0.2">
      <c r="B6708" s="1341">
        <v>8166</v>
      </c>
      <c r="C6708" s="1341" t="s">
        <v>7277</v>
      </c>
      <c r="D6708" s="1310">
        <v>684.88572499999998</v>
      </c>
    </row>
    <row r="6709" spans="2:4" x14ac:dyDescent="0.2">
      <c r="B6709" s="1341">
        <v>8167</v>
      </c>
      <c r="C6709" s="1341" t="s">
        <v>7278</v>
      </c>
      <c r="D6709" s="1310">
        <v>699.95999800000004</v>
      </c>
    </row>
    <row r="6710" spans="2:4" x14ac:dyDescent="0.2">
      <c r="B6710" s="1341">
        <v>8168</v>
      </c>
      <c r="C6710" s="1341" t="s">
        <v>7279</v>
      </c>
      <c r="D6710" s="1310">
        <v>700.25</v>
      </c>
    </row>
    <row r="6711" spans="2:4" x14ac:dyDescent="0.2">
      <c r="B6711" s="1341">
        <v>8169</v>
      </c>
      <c r="C6711" s="1341" t="s">
        <v>1998</v>
      </c>
      <c r="D6711" s="1310">
        <v>676.84997599999997</v>
      </c>
    </row>
    <row r="6712" spans="2:4" x14ac:dyDescent="0.2">
      <c r="B6712" s="1341">
        <v>8170</v>
      </c>
      <c r="C6712" s="1341" t="s">
        <v>7280</v>
      </c>
      <c r="D6712" s="1310">
        <v>735.05000800000005</v>
      </c>
    </row>
    <row r="6713" spans="2:4" x14ac:dyDescent="0.2">
      <c r="B6713" s="1341">
        <v>8171</v>
      </c>
      <c r="C6713" s="1341" t="s">
        <v>7281</v>
      </c>
      <c r="D6713" s="1310">
        <v>738.41250600000001</v>
      </c>
    </row>
    <row r="6714" spans="2:4" x14ac:dyDescent="0.2">
      <c r="B6714" s="1341">
        <v>8172</v>
      </c>
      <c r="C6714" s="1341" t="s">
        <v>7282</v>
      </c>
      <c r="D6714" s="1310">
        <v>767.28749800000003</v>
      </c>
    </row>
    <row r="6715" spans="2:4" x14ac:dyDescent="0.2">
      <c r="B6715" s="1341">
        <v>8173</v>
      </c>
      <c r="C6715" s="1341" t="s">
        <v>4870</v>
      </c>
      <c r="D6715" s="1310">
        <v>664.39999</v>
      </c>
    </row>
    <row r="6716" spans="2:4" x14ac:dyDescent="0.2">
      <c r="B6716" s="1341">
        <v>8174</v>
      </c>
      <c r="C6716" s="1341" t="s">
        <v>7283</v>
      </c>
      <c r="D6716" s="1310">
        <v>669.29000199999996</v>
      </c>
    </row>
    <row r="6717" spans="2:4" x14ac:dyDescent="0.2">
      <c r="B6717" s="1341">
        <v>8175</v>
      </c>
      <c r="C6717" s="1341" t="s">
        <v>7284</v>
      </c>
      <c r="D6717" s="1310">
        <v>685.01429099999996</v>
      </c>
    </row>
    <row r="6718" spans="2:4" x14ac:dyDescent="0.2">
      <c r="B6718" s="1341">
        <v>8176</v>
      </c>
      <c r="C6718" s="1341" t="s">
        <v>7285</v>
      </c>
      <c r="D6718" s="1310">
        <v>678.14999399999999</v>
      </c>
    </row>
    <row r="6719" spans="2:4" x14ac:dyDescent="0.2">
      <c r="B6719" s="1341">
        <v>8177</v>
      </c>
      <c r="C6719" s="1341" t="s">
        <v>4709</v>
      </c>
      <c r="D6719" s="1310">
        <v>717.25</v>
      </c>
    </row>
    <row r="6720" spans="2:4" x14ac:dyDescent="0.2">
      <c r="B6720" s="1341">
        <v>8178</v>
      </c>
      <c r="C6720" s="1341" t="s">
        <v>7286</v>
      </c>
      <c r="D6720" s="1310">
        <v>715.39999699999998</v>
      </c>
    </row>
    <row r="6721" spans="2:4" x14ac:dyDescent="0.2">
      <c r="B6721" s="1341">
        <v>8179</v>
      </c>
      <c r="C6721" s="1341" t="s">
        <v>7287</v>
      </c>
      <c r="D6721" s="1310">
        <v>738.95555300000001</v>
      </c>
    </row>
    <row r="6722" spans="2:4" x14ac:dyDescent="0.2">
      <c r="B6722" s="1341">
        <v>8180</v>
      </c>
      <c r="C6722" s="1341" t="s">
        <v>7288</v>
      </c>
      <c r="D6722" s="1310">
        <v>775.60001599999998</v>
      </c>
    </row>
    <row r="6723" spans="2:4" x14ac:dyDescent="0.2">
      <c r="B6723" s="1341">
        <v>8181</v>
      </c>
      <c r="C6723" s="1341" t="s">
        <v>7289</v>
      </c>
      <c r="D6723" s="1310">
        <v>695.85000600000001</v>
      </c>
    </row>
    <row r="6724" spans="2:4" x14ac:dyDescent="0.2">
      <c r="B6724" s="1341">
        <v>8182</v>
      </c>
      <c r="C6724" s="1341" t="s">
        <v>7290</v>
      </c>
      <c r="D6724" s="1310">
        <v>693.62857499999996</v>
      </c>
    </row>
    <row r="6725" spans="2:4" x14ac:dyDescent="0.2">
      <c r="B6725" s="1341">
        <v>8183</v>
      </c>
      <c r="C6725" s="1341" t="s">
        <v>7291</v>
      </c>
      <c r="D6725" s="1310">
        <v>665.55999799999995</v>
      </c>
    </row>
    <row r="6726" spans="2:4" x14ac:dyDescent="0.2">
      <c r="B6726" s="1341">
        <v>8184</v>
      </c>
      <c r="C6726" s="1341" t="s">
        <v>7292</v>
      </c>
      <c r="D6726" s="1310">
        <v>697.33335399999999</v>
      </c>
    </row>
    <row r="6727" spans="2:4" x14ac:dyDescent="0.2">
      <c r="B6727" s="1341">
        <v>8185</v>
      </c>
      <c r="C6727" s="1341" t="s">
        <v>7293</v>
      </c>
      <c r="D6727" s="1310">
        <v>661.09997599999997</v>
      </c>
    </row>
    <row r="6728" spans="2:4" x14ac:dyDescent="0.2">
      <c r="B6728" s="1341">
        <v>8186</v>
      </c>
      <c r="C6728" s="1341" t="s">
        <v>7294</v>
      </c>
      <c r="D6728" s="1310">
        <v>713.39090199999998</v>
      </c>
    </row>
    <row r="6729" spans="2:4" x14ac:dyDescent="0.2">
      <c r="B6729" s="1341">
        <v>8187</v>
      </c>
      <c r="C6729" s="1341" t="s">
        <v>7295</v>
      </c>
      <c r="D6729" s="1310">
        <v>705.31667100000004</v>
      </c>
    </row>
    <row r="6730" spans="2:4" x14ac:dyDescent="0.2">
      <c r="B6730" s="1341">
        <v>8188</v>
      </c>
      <c r="C6730" s="1341" t="s">
        <v>7296</v>
      </c>
      <c r="D6730" s="1310">
        <v>739.50910499999998</v>
      </c>
    </row>
    <row r="6731" spans="2:4" x14ac:dyDescent="0.2">
      <c r="B6731" s="1341">
        <v>8189</v>
      </c>
      <c r="C6731" s="1341" t="s">
        <v>1778</v>
      </c>
      <c r="D6731" s="1310">
        <v>745.74998500000004</v>
      </c>
    </row>
    <row r="6732" spans="2:4" x14ac:dyDescent="0.2">
      <c r="B6732" s="1341">
        <v>8190</v>
      </c>
      <c r="C6732" s="1341" t="s">
        <v>4348</v>
      </c>
      <c r="D6732" s="1310">
        <v>771.09999800000003</v>
      </c>
    </row>
    <row r="6733" spans="2:4" x14ac:dyDescent="0.2">
      <c r="B6733" s="1341">
        <v>8191</v>
      </c>
      <c r="C6733" s="1341" t="s">
        <v>7297</v>
      </c>
      <c r="D6733" s="1310">
        <v>700.91428900000005</v>
      </c>
    </row>
    <row r="6734" spans="2:4" x14ac:dyDescent="0.2">
      <c r="B6734" s="1341">
        <v>8192</v>
      </c>
      <c r="C6734" s="1341" t="s">
        <v>1776</v>
      </c>
      <c r="D6734" s="1310">
        <v>708.71428600000002</v>
      </c>
    </row>
    <row r="6735" spans="2:4" x14ac:dyDescent="0.2">
      <c r="B6735" s="1341">
        <v>8193</v>
      </c>
      <c r="C6735" s="1341" t="s">
        <v>7032</v>
      </c>
      <c r="D6735" s="1310">
        <v>729.33333300000004</v>
      </c>
    </row>
    <row r="6736" spans="2:4" x14ac:dyDescent="0.2">
      <c r="B6736" s="1341">
        <v>8194</v>
      </c>
      <c r="C6736" s="1341" t="s">
        <v>2631</v>
      </c>
      <c r="D6736" s="1310">
        <v>722.67999299999997</v>
      </c>
    </row>
    <row r="6737" spans="2:4" x14ac:dyDescent="0.2">
      <c r="B6737" s="1341">
        <v>8195</v>
      </c>
      <c r="C6737" s="1341" t="s">
        <v>7298</v>
      </c>
      <c r="D6737" s="1310">
        <v>764.74285499999996</v>
      </c>
    </row>
    <row r="6738" spans="2:4" x14ac:dyDescent="0.2">
      <c r="B6738" s="1341">
        <v>8196</v>
      </c>
      <c r="C6738" s="1341" t="s">
        <v>1964</v>
      </c>
      <c r="D6738" s="1310">
        <v>808.27692100000002</v>
      </c>
    </row>
    <row r="6739" spans="2:4" x14ac:dyDescent="0.2">
      <c r="B6739" s="1341">
        <v>8197</v>
      </c>
      <c r="C6739" s="1341" t="s">
        <v>7299</v>
      </c>
      <c r="D6739" s="1310">
        <v>806.625</v>
      </c>
    </row>
    <row r="6740" spans="2:4" x14ac:dyDescent="0.2">
      <c r="B6740" s="1341">
        <v>8198</v>
      </c>
      <c r="C6740" s="1341" t="s">
        <v>7300</v>
      </c>
      <c r="D6740" s="1310">
        <v>815.366669</v>
      </c>
    </row>
    <row r="6741" spans="2:4" x14ac:dyDescent="0.2">
      <c r="B6741" s="1341">
        <v>8199</v>
      </c>
      <c r="C6741" s="1341" t="s">
        <v>7301</v>
      </c>
      <c r="D6741" s="1310">
        <v>762.45714499999997</v>
      </c>
    </row>
    <row r="6742" spans="2:4" x14ac:dyDescent="0.2">
      <c r="B6742" s="1341">
        <v>8200</v>
      </c>
      <c r="C6742" s="1341" t="s">
        <v>7302</v>
      </c>
      <c r="D6742" s="1310">
        <v>823.03749800000003</v>
      </c>
    </row>
    <row r="6743" spans="2:4" x14ac:dyDescent="0.2">
      <c r="B6743" s="1341">
        <v>8201</v>
      </c>
      <c r="C6743" s="1341" t="s">
        <v>388</v>
      </c>
      <c r="D6743" s="1310">
        <v>845.89999399999999</v>
      </c>
    </row>
    <row r="6744" spans="2:4" x14ac:dyDescent="0.2">
      <c r="B6744" s="1341">
        <v>8202</v>
      </c>
      <c r="C6744" s="1341" t="s">
        <v>7303</v>
      </c>
      <c r="D6744" s="1310">
        <v>839.42500299999995</v>
      </c>
    </row>
    <row r="6745" spans="2:4" x14ac:dyDescent="0.2">
      <c r="B6745" s="1341">
        <v>8203</v>
      </c>
      <c r="C6745" s="1341" t="s">
        <v>7304</v>
      </c>
      <c r="D6745" s="1310">
        <v>793.76000999999997</v>
      </c>
    </row>
    <row r="6746" spans="2:4" x14ac:dyDescent="0.2">
      <c r="B6746" s="1341">
        <v>8204</v>
      </c>
      <c r="C6746" s="1341" t="s">
        <v>7305</v>
      </c>
      <c r="D6746" s="1310">
        <v>803.97499100000005</v>
      </c>
    </row>
    <row r="6747" spans="2:4" x14ac:dyDescent="0.2">
      <c r="B6747" s="1341">
        <v>8205</v>
      </c>
      <c r="C6747" s="1341" t="s">
        <v>3728</v>
      </c>
      <c r="D6747" s="1310">
        <v>834.17999299999997</v>
      </c>
    </row>
    <row r="6748" spans="2:4" x14ac:dyDescent="0.2">
      <c r="B6748" s="1341">
        <v>8206</v>
      </c>
      <c r="C6748" s="1341" t="s">
        <v>7306</v>
      </c>
      <c r="D6748" s="1310">
        <v>844.04286400000001</v>
      </c>
    </row>
    <row r="6749" spans="2:4" x14ac:dyDescent="0.2">
      <c r="B6749" s="1341">
        <v>8207</v>
      </c>
      <c r="C6749" s="1341" t="s">
        <v>7307</v>
      </c>
      <c r="D6749" s="1310">
        <v>857.379999</v>
      </c>
    </row>
    <row r="6750" spans="2:4" x14ac:dyDescent="0.2">
      <c r="B6750" s="1341">
        <v>8208</v>
      </c>
      <c r="C6750" s="1341" t="s">
        <v>7308</v>
      </c>
      <c r="D6750" s="1310">
        <v>767.78749800000003</v>
      </c>
    </row>
    <row r="6751" spans="2:4" x14ac:dyDescent="0.2">
      <c r="B6751" s="1341">
        <v>8209</v>
      </c>
      <c r="C6751" s="1341" t="s">
        <v>7309</v>
      </c>
      <c r="D6751" s="1310">
        <v>779.09999100000005</v>
      </c>
    </row>
    <row r="6752" spans="2:4" x14ac:dyDescent="0.2">
      <c r="B6752" s="1341">
        <v>8210</v>
      </c>
      <c r="C6752" s="1341" t="s">
        <v>7310</v>
      </c>
      <c r="D6752" s="1310">
        <v>797.58000500000003</v>
      </c>
    </row>
    <row r="6753" spans="2:4" x14ac:dyDescent="0.2">
      <c r="B6753" s="1341">
        <v>8211</v>
      </c>
      <c r="C6753" s="1341" t="s">
        <v>7311</v>
      </c>
      <c r="D6753" s="1310">
        <v>826.53334600000005</v>
      </c>
    </row>
    <row r="6754" spans="2:4" x14ac:dyDescent="0.2">
      <c r="B6754" s="1341">
        <v>8212</v>
      </c>
      <c r="C6754" s="1341" t="s">
        <v>7312</v>
      </c>
      <c r="D6754" s="1310">
        <v>819.77999899999998</v>
      </c>
    </row>
    <row r="6755" spans="2:4" x14ac:dyDescent="0.2">
      <c r="B6755" s="1341">
        <v>8213</v>
      </c>
      <c r="C6755" s="1341" t="s">
        <v>7313</v>
      </c>
      <c r="D6755" s="1310">
        <v>841.80000800000005</v>
      </c>
    </row>
    <row r="6756" spans="2:4" x14ac:dyDescent="0.2">
      <c r="B6756" s="1341">
        <v>8214</v>
      </c>
      <c r="C6756" s="1341" t="s">
        <v>7314</v>
      </c>
      <c r="D6756" s="1310">
        <v>783.09167000000002</v>
      </c>
    </row>
    <row r="6757" spans="2:4" x14ac:dyDescent="0.2">
      <c r="B6757" s="1341">
        <v>8215</v>
      </c>
      <c r="C6757" s="1341" t="s">
        <v>7315</v>
      </c>
      <c r="D6757" s="1310">
        <v>825.02173900000003</v>
      </c>
    </row>
    <row r="6758" spans="2:4" x14ac:dyDescent="0.2">
      <c r="B6758" s="1341">
        <v>8216</v>
      </c>
      <c r="C6758" s="1341" t="s">
        <v>7316</v>
      </c>
      <c r="D6758" s="1310">
        <v>799.13334099999997</v>
      </c>
    </row>
    <row r="6759" spans="2:4" x14ac:dyDescent="0.2">
      <c r="B6759" s="1341">
        <v>8217</v>
      </c>
      <c r="C6759" s="1341" t="s">
        <v>7317</v>
      </c>
      <c r="D6759" s="1310">
        <v>798.73333700000001</v>
      </c>
    </row>
    <row r="6760" spans="2:4" x14ac:dyDescent="0.2">
      <c r="B6760" s="1341">
        <v>8218</v>
      </c>
      <c r="C6760" s="1341" t="s">
        <v>7318</v>
      </c>
      <c r="D6760" s="1310">
        <v>830.82000700000003</v>
      </c>
    </row>
    <row r="6761" spans="2:4" x14ac:dyDescent="0.2">
      <c r="B6761" s="1341">
        <v>8219</v>
      </c>
      <c r="C6761" s="1341" t="s">
        <v>7319</v>
      </c>
      <c r="D6761" s="1310">
        <v>702.61333400000001</v>
      </c>
    </row>
    <row r="6762" spans="2:4" x14ac:dyDescent="0.2">
      <c r="B6762" s="1341">
        <v>8220</v>
      </c>
      <c r="C6762" s="1341" t="s">
        <v>3083</v>
      </c>
      <c r="D6762" s="1310">
        <v>660.54998799999998</v>
      </c>
    </row>
    <row r="6763" spans="2:4" x14ac:dyDescent="0.2">
      <c r="B6763" s="1341">
        <v>8221</v>
      </c>
      <c r="C6763" s="1341" t="s">
        <v>7320</v>
      </c>
      <c r="D6763" s="1310">
        <v>713.93333900000005</v>
      </c>
    </row>
    <row r="6764" spans="2:4" x14ac:dyDescent="0.2">
      <c r="B6764" s="1341">
        <v>8222</v>
      </c>
      <c r="C6764" s="1341" t="s">
        <v>7321</v>
      </c>
      <c r="D6764" s="1310">
        <v>767.22499800000003</v>
      </c>
    </row>
    <row r="6765" spans="2:4" x14ac:dyDescent="0.2">
      <c r="B6765" s="1341">
        <v>8223</v>
      </c>
      <c r="C6765" s="1341" t="s">
        <v>7322</v>
      </c>
      <c r="D6765" s="1310">
        <v>746.94443799999999</v>
      </c>
    </row>
    <row r="6766" spans="2:4" x14ac:dyDescent="0.2">
      <c r="B6766" s="1341">
        <v>8224</v>
      </c>
      <c r="C6766" s="1341" t="s">
        <v>7323</v>
      </c>
      <c r="D6766" s="1310">
        <v>757.14286600000003</v>
      </c>
    </row>
    <row r="6767" spans="2:4" x14ac:dyDescent="0.2">
      <c r="B6767" s="1341">
        <v>8225</v>
      </c>
      <c r="C6767" s="1341" t="s">
        <v>6105</v>
      </c>
      <c r="D6767" s="1310">
        <v>779.72000700000001</v>
      </c>
    </row>
    <row r="6768" spans="2:4" x14ac:dyDescent="0.2">
      <c r="B6768" s="1341">
        <v>8226</v>
      </c>
      <c r="C6768" s="1341" t="s">
        <v>7324</v>
      </c>
      <c r="D6768" s="1310">
        <v>834.51764600000001</v>
      </c>
    </row>
    <row r="6769" spans="2:4" x14ac:dyDescent="0.2">
      <c r="B6769" s="1341">
        <v>8227</v>
      </c>
      <c r="C6769" s="1341" t="s">
        <v>7325</v>
      </c>
      <c r="D6769" s="1310">
        <v>795.56666600000005</v>
      </c>
    </row>
    <row r="6770" spans="2:4" x14ac:dyDescent="0.2">
      <c r="B6770" s="1341">
        <v>8228</v>
      </c>
      <c r="C6770" s="1341" t="s">
        <v>7326</v>
      </c>
      <c r="D6770" s="1310">
        <v>846.75</v>
      </c>
    </row>
    <row r="6771" spans="2:4" x14ac:dyDescent="0.2">
      <c r="B6771" s="1341">
        <v>8229</v>
      </c>
      <c r="C6771" s="1341" t="s">
        <v>6188</v>
      </c>
      <c r="D6771" s="1310">
        <v>804.75</v>
      </c>
    </row>
    <row r="6772" spans="2:4" x14ac:dyDescent="0.2">
      <c r="B6772" s="1341">
        <v>8230</v>
      </c>
      <c r="C6772" s="1341" t="s">
        <v>7327</v>
      </c>
      <c r="D6772" s="1310">
        <v>845.69090100000005</v>
      </c>
    </row>
    <row r="6773" spans="2:4" x14ac:dyDescent="0.2">
      <c r="B6773" s="1341">
        <v>8231</v>
      </c>
      <c r="C6773" s="1341" t="s">
        <v>7328</v>
      </c>
      <c r="D6773" s="1310">
        <v>788.31666099999995</v>
      </c>
    </row>
    <row r="6774" spans="2:4" x14ac:dyDescent="0.2">
      <c r="B6774" s="1341">
        <v>8232</v>
      </c>
      <c r="C6774" s="1341" t="s">
        <v>7329</v>
      </c>
      <c r="D6774" s="1310">
        <v>775.76000999999997</v>
      </c>
    </row>
    <row r="6775" spans="2:4" x14ac:dyDescent="0.2">
      <c r="B6775" s="1341">
        <v>8233</v>
      </c>
      <c r="C6775" s="1341" t="s">
        <v>7330</v>
      </c>
      <c r="D6775" s="1310">
        <v>817.883331</v>
      </c>
    </row>
    <row r="6776" spans="2:4" x14ac:dyDescent="0.2">
      <c r="B6776" s="1341">
        <v>8234</v>
      </c>
      <c r="C6776" s="1341" t="s">
        <v>7331</v>
      </c>
      <c r="D6776" s="1310">
        <v>874.82857000000001</v>
      </c>
    </row>
    <row r="6777" spans="2:4" x14ac:dyDescent="0.2">
      <c r="B6777" s="1341">
        <v>8235</v>
      </c>
      <c r="C6777" s="1341" t="s">
        <v>7332</v>
      </c>
      <c r="D6777" s="1310">
        <v>884.95714499999997</v>
      </c>
    </row>
    <row r="6778" spans="2:4" x14ac:dyDescent="0.2">
      <c r="B6778" s="1341">
        <v>8236</v>
      </c>
      <c r="C6778" s="1341" t="s">
        <v>7333</v>
      </c>
      <c r="D6778" s="1310">
        <v>854.77999899999998</v>
      </c>
    </row>
    <row r="6779" spans="2:4" x14ac:dyDescent="0.2">
      <c r="B6779" s="1341">
        <v>8237</v>
      </c>
      <c r="C6779" s="1341" t="s">
        <v>7334</v>
      </c>
      <c r="D6779" s="1310">
        <v>833.73333700000001</v>
      </c>
    </row>
    <row r="6780" spans="2:4" x14ac:dyDescent="0.2">
      <c r="B6780" s="1341">
        <v>8238</v>
      </c>
      <c r="C6780" s="1341" t="s">
        <v>7335</v>
      </c>
      <c r="D6780" s="1310">
        <v>855.73332700000003</v>
      </c>
    </row>
    <row r="6781" spans="2:4" x14ac:dyDescent="0.2">
      <c r="B6781" s="1341">
        <v>8239</v>
      </c>
      <c r="C6781" s="1341" t="s">
        <v>7336</v>
      </c>
      <c r="D6781" s="1310">
        <v>840.39999799999998</v>
      </c>
    </row>
    <row r="6782" spans="2:4" x14ac:dyDescent="0.2">
      <c r="B6782" s="1341">
        <v>8240</v>
      </c>
      <c r="C6782" s="1341" t="s">
        <v>7337</v>
      </c>
      <c r="D6782" s="1310">
        <v>845.96667500000001</v>
      </c>
    </row>
    <row r="6783" spans="2:4" x14ac:dyDescent="0.2">
      <c r="B6783" s="1341">
        <v>8241</v>
      </c>
      <c r="C6783" s="1341" t="s">
        <v>5891</v>
      </c>
      <c r="D6783" s="1310">
        <v>821.70001200000002</v>
      </c>
    </row>
    <row r="6784" spans="2:4" x14ac:dyDescent="0.2">
      <c r="B6784" s="1341">
        <v>8242</v>
      </c>
      <c r="C6784" s="1341" t="s">
        <v>5705</v>
      </c>
      <c r="D6784" s="1310">
        <v>819.10000600000001</v>
      </c>
    </row>
    <row r="6785" spans="2:4" x14ac:dyDescent="0.2">
      <c r="B6785" s="1341">
        <v>8243</v>
      </c>
      <c r="C6785" s="1341" t="s">
        <v>7338</v>
      </c>
      <c r="D6785" s="1310">
        <v>834.02497900000003</v>
      </c>
    </row>
    <row r="6786" spans="2:4" x14ac:dyDescent="0.2">
      <c r="B6786" s="1341">
        <v>8244</v>
      </c>
      <c r="C6786" s="1341" t="s">
        <v>3859</v>
      </c>
      <c r="D6786" s="1310">
        <v>824.95001200000002</v>
      </c>
    </row>
    <row r="6787" spans="2:4" x14ac:dyDescent="0.2">
      <c r="B6787" s="1341">
        <v>8245</v>
      </c>
      <c r="C6787" s="1341" t="s">
        <v>7339</v>
      </c>
      <c r="D6787" s="1310">
        <v>831.53000499999996</v>
      </c>
    </row>
    <row r="6788" spans="2:4" x14ac:dyDescent="0.2">
      <c r="B6788" s="1341">
        <v>8251</v>
      </c>
      <c r="C6788" s="1341" t="s">
        <v>2793</v>
      </c>
      <c r="D6788" s="1310">
        <v>828.68332899999996</v>
      </c>
    </row>
    <row r="6789" spans="2:4" x14ac:dyDescent="0.2">
      <c r="B6789" s="1341">
        <v>8252</v>
      </c>
      <c r="C6789" s="1341" t="s">
        <v>7340</v>
      </c>
      <c r="D6789" s="1310">
        <v>788.05833399999995</v>
      </c>
    </row>
    <row r="6790" spans="2:4" x14ac:dyDescent="0.2">
      <c r="B6790" s="1341">
        <v>8253</v>
      </c>
      <c r="C6790" s="1341" t="s">
        <v>7341</v>
      </c>
      <c r="D6790" s="1310">
        <v>788.79998799999998</v>
      </c>
    </row>
    <row r="6791" spans="2:4" x14ac:dyDescent="0.2">
      <c r="B6791" s="1341">
        <v>8254</v>
      </c>
      <c r="C6791" s="1341" t="s">
        <v>7298</v>
      </c>
      <c r="D6791" s="1310">
        <v>786.91109900000004</v>
      </c>
    </row>
    <row r="6792" spans="2:4" x14ac:dyDescent="0.2">
      <c r="B6792" s="1341">
        <v>8255</v>
      </c>
      <c r="C6792" s="1341" t="s">
        <v>7342</v>
      </c>
      <c r="D6792" s="1310">
        <v>784.14999399999999</v>
      </c>
    </row>
    <row r="6793" spans="2:4" x14ac:dyDescent="0.2">
      <c r="B6793" s="1341">
        <v>8256</v>
      </c>
      <c r="C6793" s="1341" t="s">
        <v>7343</v>
      </c>
      <c r="D6793" s="1310">
        <v>832.55999799999995</v>
      </c>
    </row>
    <row r="6794" spans="2:4" x14ac:dyDescent="0.2">
      <c r="B6794" s="1341">
        <v>8257</v>
      </c>
      <c r="C6794" s="1341" t="s">
        <v>7344</v>
      </c>
      <c r="D6794" s="1310">
        <v>870.63332100000002</v>
      </c>
    </row>
    <row r="6795" spans="2:4" x14ac:dyDescent="0.2">
      <c r="B6795" s="1341">
        <v>8258</v>
      </c>
      <c r="C6795" s="1341" t="s">
        <v>7345</v>
      </c>
      <c r="D6795" s="1310">
        <v>844.67498799999998</v>
      </c>
    </row>
    <row r="6796" spans="2:4" x14ac:dyDescent="0.2">
      <c r="B6796" s="1341">
        <v>8259</v>
      </c>
      <c r="C6796" s="1341" t="s">
        <v>7346</v>
      </c>
      <c r="D6796" s="1310">
        <v>802.83334400000001</v>
      </c>
    </row>
    <row r="6797" spans="2:4" x14ac:dyDescent="0.2">
      <c r="B6797" s="1341">
        <v>8260</v>
      </c>
      <c r="C6797" s="1341" t="s">
        <v>7347</v>
      </c>
      <c r="D6797" s="1310">
        <v>802.13333499999999</v>
      </c>
    </row>
    <row r="6798" spans="2:4" x14ac:dyDescent="0.2">
      <c r="B6798" s="1341">
        <v>8261</v>
      </c>
      <c r="C6798" s="1341" t="s">
        <v>3649</v>
      </c>
      <c r="D6798" s="1310">
        <v>798.32499700000005</v>
      </c>
    </row>
    <row r="6799" spans="2:4" x14ac:dyDescent="0.2">
      <c r="B6799" s="1341">
        <v>8262</v>
      </c>
      <c r="C6799" s="1341" t="s">
        <v>7348</v>
      </c>
      <c r="D6799" s="1310">
        <v>779.860004</v>
      </c>
    </row>
    <row r="6800" spans="2:4" x14ac:dyDescent="0.2">
      <c r="B6800" s="1341">
        <v>8263</v>
      </c>
      <c r="C6800" s="1341" t="s">
        <v>7349</v>
      </c>
      <c r="D6800" s="1310">
        <v>814.89999399999999</v>
      </c>
    </row>
    <row r="6801" spans="2:4" x14ac:dyDescent="0.2">
      <c r="B6801" s="1341">
        <v>8264</v>
      </c>
      <c r="C6801" s="1341" t="s">
        <v>7337</v>
      </c>
      <c r="D6801" s="1310">
        <v>808.70000500000003</v>
      </c>
    </row>
    <row r="6802" spans="2:4" x14ac:dyDescent="0.2">
      <c r="B6802" s="1341">
        <v>8265</v>
      </c>
      <c r="C6802" s="1341" t="s">
        <v>7350</v>
      </c>
      <c r="D6802" s="1310">
        <v>795.00000599999998</v>
      </c>
    </row>
    <row r="6803" spans="2:4" x14ac:dyDescent="0.2">
      <c r="B6803" s="1341">
        <v>8266</v>
      </c>
      <c r="C6803" s="1341" t="s">
        <v>7351</v>
      </c>
      <c r="D6803" s="1310">
        <v>778.125</v>
      </c>
    </row>
    <row r="6804" spans="2:4" x14ac:dyDescent="0.2">
      <c r="B6804" s="1341">
        <v>8267</v>
      </c>
      <c r="C6804" s="1341" t="s">
        <v>7352</v>
      </c>
      <c r="D6804" s="1310">
        <v>781.44999700000005</v>
      </c>
    </row>
    <row r="6805" spans="2:4" x14ac:dyDescent="0.2">
      <c r="B6805" s="1341">
        <v>8268</v>
      </c>
      <c r="C6805" s="1341" t="s">
        <v>5997</v>
      </c>
      <c r="D6805" s="1310">
        <v>760.09999900000003</v>
      </c>
    </row>
    <row r="6806" spans="2:4" x14ac:dyDescent="0.2">
      <c r="B6806" s="1341">
        <v>8269</v>
      </c>
      <c r="C6806" s="1341" t="s">
        <v>7353</v>
      </c>
      <c r="D6806" s="1310">
        <v>781.24999000000003</v>
      </c>
    </row>
    <row r="6807" spans="2:4" x14ac:dyDescent="0.2">
      <c r="B6807" s="1341">
        <v>8270</v>
      </c>
      <c r="C6807" s="1341" t="s">
        <v>7354</v>
      </c>
      <c r="D6807" s="1310">
        <v>760.47692400000005</v>
      </c>
    </row>
    <row r="6808" spans="2:4" x14ac:dyDescent="0.2">
      <c r="B6808" s="1341">
        <v>8271</v>
      </c>
      <c r="C6808" s="1341" t="s">
        <v>7355</v>
      </c>
      <c r="D6808" s="1310">
        <v>760.35556399999996</v>
      </c>
    </row>
    <row r="6809" spans="2:4" x14ac:dyDescent="0.2">
      <c r="B6809" s="1341">
        <v>8272</v>
      </c>
      <c r="C6809" s="1341" t="s">
        <v>7356</v>
      </c>
      <c r="D6809" s="1310">
        <v>778.50000699999998</v>
      </c>
    </row>
    <row r="6810" spans="2:4" x14ac:dyDescent="0.2">
      <c r="B6810" s="1341">
        <v>8273</v>
      </c>
      <c r="C6810" s="1341" t="s">
        <v>5862</v>
      </c>
      <c r="D6810" s="1310">
        <v>768.46363399999996</v>
      </c>
    </row>
    <row r="6811" spans="2:4" x14ac:dyDescent="0.2">
      <c r="B6811" s="1341">
        <v>8274</v>
      </c>
      <c r="C6811" s="1341" t="s">
        <v>5795</v>
      </c>
      <c r="D6811" s="1310">
        <v>740.114284</v>
      </c>
    </row>
    <row r="6812" spans="2:4" x14ac:dyDescent="0.2">
      <c r="B6812" s="1341">
        <v>8275</v>
      </c>
      <c r="C6812" s="1341" t="s">
        <v>7357</v>
      </c>
      <c r="D6812" s="1310">
        <v>740.81001000000003</v>
      </c>
    </row>
    <row r="6813" spans="2:4" x14ac:dyDescent="0.2">
      <c r="B6813" s="1341">
        <v>8276</v>
      </c>
      <c r="C6813" s="1341" t="s">
        <v>7358</v>
      </c>
      <c r="D6813" s="1310">
        <v>765.79998799999998</v>
      </c>
    </row>
    <row r="6814" spans="2:4" x14ac:dyDescent="0.2">
      <c r="B6814" s="1341">
        <v>8277</v>
      </c>
      <c r="C6814" s="1341" t="s">
        <v>7359</v>
      </c>
      <c r="D6814" s="1310">
        <v>752.15000399999997</v>
      </c>
    </row>
    <row r="6815" spans="2:4" x14ac:dyDescent="0.2">
      <c r="B6815" s="1341">
        <v>8278</v>
      </c>
      <c r="C6815" s="1341" t="s">
        <v>7360</v>
      </c>
      <c r="D6815" s="1310">
        <v>723.30832399999997</v>
      </c>
    </row>
    <row r="6816" spans="2:4" x14ac:dyDescent="0.2">
      <c r="B6816" s="1341">
        <v>8279</v>
      </c>
      <c r="C6816" s="1341" t="s">
        <v>7361</v>
      </c>
      <c r="D6816" s="1310">
        <v>664.79999799999996</v>
      </c>
    </row>
    <row r="6817" spans="2:4" x14ac:dyDescent="0.2">
      <c r="B6817" s="1341">
        <v>8280</v>
      </c>
      <c r="C6817" s="1341" t="s">
        <v>7362</v>
      </c>
      <c r="D6817" s="1310">
        <v>790.29333099999997</v>
      </c>
    </row>
    <row r="6818" spans="2:4" x14ac:dyDescent="0.2">
      <c r="B6818" s="1341">
        <v>8281</v>
      </c>
      <c r="C6818" s="1341" t="s">
        <v>2600</v>
      </c>
      <c r="D6818" s="1310">
        <v>789.14000199999998</v>
      </c>
    </row>
    <row r="6819" spans="2:4" x14ac:dyDescent="0.2">
      <c r="B6819" s="1341">
        <v>8282</v>
      </c>
      <c r="C6819" s="1341" t="s">
        <v>7363</v>
      </c>
      <c r="D6819" s="1310">
        <v>797.13332800000001</v>
      </c>
    </row>
    <row r="6820" spans="2:4" x14ac:dyDescent="0.2">
      <c r="B6820" s="1341">
        <v>8283</v>
      </c>
      <c r="C6820" s="1341" t="s">
        <v>7364</v>
      </c>
      <c r="D6820" s="1310">
        <v>798.80000099999995</v>
      </c>
    </row>
    <row r="6821" spans="2:4" x14ac:dyDescent="0.2">
      <c r="B6821" s="1341">
        <v>8284</v>
      </c>
      <c r="C6821" s="1341" t="s">
        <v>6153</v>
      </c>
      <c r="D6821" s="1310">
        <v>823.95001200000002</v>
      </c>
    </row>
    <row r="6822" spans="2:4" x14ac:dyDescent="0.2">
      <c r="B6822" s="1341">
        <v>8285</v>
      </c>
      <c r="C6822" s="1341" t="s">
        <v>7365</v>
      </c>
      <c r="D6822" s="1310">
        <v>799.25</v>
      </c>
    </row>
    <row r="6823" spans="2:4" x14ac:dyDescent="0.2">
      <c r="B6823" s="1341">
        <v>8286</v>
      </c>
      <c r="C6823" s="1341" t="s">
        <v>7366</v>
      </c>
      <c r="D6823" s="1310">
        <v>795.41110600000002</v>
      </c>
    </row>
    <row r="6824" spans="2:4" x14ac:dyDescent="0.2">
      <c r="B6824" s="1341">
        <v>8287</v>
      </c>
      <c r="C6824" s="1341" t="s">
        <v>7367</v>
      </c>
      <c r="D6824" s="1310">
        <v>745.55000299999995</v>
      </c>
    </row>
    <row r="6825" spans="2:4" x14ac:dyDescent="0.2">
      <c r="B6825" s="1341">
        <v>8288</v>
      </c>
      <c r="C6825" s="1341" t="s">
        <v>7368</v>
      </c>
      <c r="D6825" s="1310">
        <v>751.8</v>
      </c>
    </row>
    <row r="6826" spans="2:4" x14ac:dyDescent="0.2">
      <c r="B6826" s="1341">
        <v>8289</v>
      </c>
      <c r="C6826" s="1341" t="s">
        <v>7369</v>
      </c>
      <c r="D6826" s="1310">
        <v>764.42857100000003</v>
      </c>
    </row>
    <row r="6827" spans="2:4" x14ac:dyDescent="0.2">
      <c r="B6827" s="1341">
        <v>8290</v>
      </c>
      <c r="C6827" s="1341" t="s">
        <v>5752</v>
      </c>
      <c r="D6827" s="1310">
        <v>782.36250299999995</v>
      </c>
    </row>
    <row r="6828" spans="2:4" x14ac:dyDescent="0.2">
      <c r="B6828" s="1341">
        <v>8291</v>
      </c>
      <c r="C6828" s="1341" t="s">
        <v>7370</v>
      </c>
      <c r="D6828" s="1310">
        <v>772.01249700000005</v>
      </c>
    </row>
    <row r="6829" spans="2:4" x14ac:dyDescent="0.2">
      <c r="B6829" s="1341">
        <v>8292</v>
      </c>
      <c r="C6829" s="1341" t="s">
        <v>7371</v>
      </c>
      <c r="D6829" s="1310">
        <v>740.08572800000002</v>
      </c>
    </row>
    <row r="6830" spans="2:4" x14ac:dyDescent="0.2">
      <c r="B6830" s="1341">
        <v>8293</v>
      </c>
      <c r="C6830" s="1341" t="s">
        <v>5275</v>
      </c>
      <c r="D6830" s="1310">
        <v>753.10001199999999</v>
      </c>
    </row>
    <row r="6831" spans="2:4" x14ac:dyDescent="0.2">
      <c r="B6831" s="1341">
        <v>8294</v>
      </c>
      <c r="C6831" s="1341" t="s">
        <v>7372</v>
      </c>
      <c r="D6831" s="1310">
        <v>721.63333499999999</v>
      </c>
    </row>
    <row r="6832" spans="2:4" x14ac:dyDescent="0.2">
      <c r="B6832" s="1341">
        <v>8295</v>
      </c>
      <c r="C6832" s="1341" t="s">
        <v>7373</v>
      </c>
      <c r="D6832" s="1310">
        <v>729.61111800000003</v>
      </c>
    </row>
    <row r="6833" spans="2:4" x14ac:dyDescent="0.2">
      <c r="B6833" s="1341">
        <v>8296</v>
      </c>
      <c r="C6833" s="1341" t="s">
        <v>7374</v>
      </c>
      <c r="D6833" s="1310">
        <v>701.94285400000001</v>
      </c>
    </row>
    <row r="6834" spans="2:4" x14ac:dyDescent="0.2">
      <c r="B6834" s="1341">
        <v>8297</v>
      </c>
      <c r="C6834" s="1341" t="s">
        <v>7375</v>
      </c>
      <c r="D6834" s="1310">
        <v>706.616669</v>
      </c>
    </row>
    <row r="6835" spans="2:4" x14ac:dyDescent="0.2">
      <c r="B6835" s="1341">
        <v>8298</v>
      </c>
      <c r="C6835" s="1341" t="s">
        <v>7376</v>
      </c>
      <c r="D6835" s="1310">
        <v>893.26666299999999</v>
      </c>
    </row>
    <row r="6836" spans="2:4" x14ac:dyDescent="0.2">
      <c r="B6836" s="1341">
        <v>8299</v>
      </c>
      <c r="C6836" s="1341" t="s">
        <v>7377</v>
      </c>
      <c r="D6836" s="1310">
        <v>867.86249499999997</v>
      </c>
    </row>
    <row r="6837" spans="2:4" x14ac:dyDescent="0.2">
      <c r="B6837" s="1341">
        <v>8300</v>
      </c>
      <c r="C6837" s="1341" t="s">
        <v>7378</v>
      </c>
      <c r="D6837" s="1310">
        <v>835.01665800000001</v>
      </c>
    </row>
    <row r="6838" spans="2:4" x14ac:dyDescent="0.2">
      <c r="B6838" s="1341">
        <v>8301</v>
      </c>
      <c r="C6838" s="1341" t="s">
        <v>7379</v>
      </c>
      <c r="D6838" s="1310">
        <v>831.06666099999995</v>
      </c>
    </row>
    <row r="6839" spans="2:4" x14ac:dyDescent="0.2">
      <c r="B6839" s="1341">
        <v>8302</v>
      </c>
      <c r="C6839" s="1341" t="s">
        <v>7380</v>
      </c>
      <c r="D6839" s="1310">
        <v>801.97778700000003</v>
      </c>
    </row>
    <row r="6840" spans="2:4" x14ac:dyDescent="0.2">
      <c r="B6840" s="1341">
        <v>8303</v>
      </c>
      <c r="C6840" s="1341" t="s">
        <v>7381</v>
      </c>
      <c r="D6840" s="1310">
        <v>804.42500299999995</v>
      </c>
    </row>
    <row r="6841" spans="2:4" x14ac:dyDescent="0.2">
      <c r="B6841" s="1341">
        <v>8304</v>
      </c>
      <c r="C6841" s="1341" t="s">
        <v>7382</v>
      </c>
      <c r="D6841" s="1310">
        <v>787.71666500000003</v>
      </c>
    </row>
    <row r="6842" spans="2:4" x14ac:dyDescent="0.2">
      <c r="B6842" s="1341">
        <v>8305</v>
      </c>
      <c r="C6842" s="1341" t="s">
        <v>7383</v>
      </c>
      <c r="D6842" s="1310">
        <v>786.02381800000001</v>
      </c>
    </row>
    <row r="6843" spans="2:4" x14ac:dyDescent="0.2">
      <c r="B6843" s="1341">
        <v>8306</v>
      </c>
      <c r="C6843" s="1341" t="s">
        <v>7384</v>
      </c>
      <c r="D6843" s="1310">
        <v>775.827271</v>
      </c>
    </row>
    <row r="6844" spans="2:4" x14ac:dyDescent="0.2">
      <c r="B6844" s="1341">
        <v>8307</v>
      </c>
      <c r="C6844" s="1341" t="s">
        <v>7385</v>
      </c>
      <c r="D6844" s="1310">
        <v>826.29998799999998</v>
      </c>
    </row>
    <row r="6845" spans="2:4" x14ac:dyDescent="0.2">
      <c r="B6845" s="1341">
        <v>8308</v>
      </c>
      <c r="C6845" s="1341" t="s">
        <v>7386</v>
      </c>
      <c r="D6845" s="1310">
        <v>808.776475</v>
      </c>
    </row>
    <row r="6846" spans="2:4" x14ac:dyDescent="0.2">
      <c r="B6846" s="1341">
        <v>8309</v>
      </c>
      <c r="C6846" s="1341" t="s">
        <v>7387</v>
      </c>
      <c r="D6846" s="1310">
        <v>793.19999700000005</v>
      </c>
    </row>
    <row r="6847" spans="2:4" x14ac:dyDescent="0.2">
      <c r="B6847" s="1341">
        <v>8310</v>
      </c>
      <c r="C6847" s="1341" t="s">
        <v>7388</v>
      </c>
      <c r="D6847" s="1310">
        <v>797.71111399999995</v>
      </c>
    </row>
    <row r="6848" spans="2:4" x14ac:dyDescent="0.2">
      <c r="B6848" s="1341">
        <v>8311</v>
      </c>
      <c r="C6848" s="1341" t="s">
        <v>2782</v>
      </c>
      <c r="D6848" s="1310">
        <v>759.58332800000005</v>
      </c>
    </row>
    <row r="6849" spans="2:4" x14ac:dyDescent="0.2">
      <c r="B6849" s="1341">
        <v>8312</v>
      </c>
      <c r="C6849" s="1341" t="s">
        <v>7389</v>
      </c>
      <c r="D6849" s="1310">
        <v>745.95714499999997</v>
      </c>
    </row>
    <row r="6850" spans="2:4" x14ac:dyDescent="0.2">
      <c r="B6850" s="1341">
        <v>8313</v>
      </c>
      <c r="C6850" s="1341" t="s">
        <v>7390</v>
      </c>
      <c r="D6850" s="1310">
        <v>764.65999799999997</v>
      </c>
    </row>
    <row r="6851" spans="2:4" x14ac:dyDescent="0.2">
      <c r="B6851" s="1341">
        <v>8314</v>
      </c>
      <c r="C6851" s="1341" t="s">
        <v>7391</v>
      </c>
      <c r="D6851" s="1310">
        <v>757.60000200000002</v>
      </c>
    </row>
    <row r="6852" spans="2:4" x14ac:dyDescent="0.2">
      <c r="B6852" s="1341">
        <v>8315</v>
      </c>
      <c r="C6852" s="1341" t="s">
        <v>7392</v>
      </c>
      <c r="D6852" s="1310">
        <v>787.72499100000005</v>
      </c>
    </row>
    <row r="6853" spans="2:4" x14ac:dyDescent="0.2">
      <c r="B6853" s="1341">
        <v>8316</v>
      </c>
      <c r="C6853" s="1341" t="s">
        <v>7393</v>
      </c>
      <c r="D6853" s="1310">
        <v>774.47142699999995</v>
      </c>
    </row>
    <row r="6854" spans="2:4" x14ac:dyDescent="0.2">
      <c r="B6854" s="1341">
        <v>8317</v>
      </c>
      <c r="C6854" s="1341" t="s">
        <v>7394</v>
      </c>
      <c r="D6854" s="1310">
        <v>769.32223199999999</v>
      </c>
    </row>
    <row r="6855" spans="2:4" x14ac:dyDescent="0.2">
      <c r="B6855" s="1341">
        <v>8318</v>
      </c>
      <c r="C6855" s="1341" t="s">
        <v>7329</v>
      </c>
      <c r="D6855" s="1310">
        <v>774.97500600000001</v>
      </c>
    </row>
    <row r="6856" spans="2:4" x14ac:dyDescent="0.2">
      <c r="B6856" s="1341">
        <v>8319</v>
      </c>
      <c r="C6856" s="1341" t="s">
        <v>7395</v>
      </c>
      <c r="D6856" s="1310">
        <v>765.15000199999997</v>
      </c>
    </row>
    <row r="6857" spans="2:4" x14ac:dyDescent="0.2">
      <c r="B6857" s="1341">
        <v>8320</v>
      </c>
      <c r="C6857" s="1341" t="s">
        <v>7396</v>
      </c>
      <c r="D6857" s="1310">
        <v>762.740002</v>
      </c>
    </row>
    <row r="6858" spans="2:4" x14ac:dyDescent="0.2">
      <c r="B6858" s="1341">
        <v>8321</v>
      </c>
      <c r="C6858" s="1341" t="s">
        <v>379</v>
      </c>
      <c r="D6858" s="1310">
        <v>761.10952599999996</v>
      </c>
    </row>
    <row r="6859" spans="2:4" x14ac:dyDescent="0.2">
      <c r="B6859" s="1341">
        <v>8322</v>
      </c>
      <c r="C6859" s="1341" t="s">
        <v>7397</v>
      </c>
      <c r="D6859" s="1310">
        <v>763.42500299999995</v>
      </c>
    </row>
    <row r="6860" spans="2:4" x14ac:dyDescent="0.2">
      <c r="B6860" s="1341">
        <v>8323</v>
      </c>
      <c r="C6860" s="1341" t="s">
        <v>7398</v>
      </c>
      <c r="D6860" s="1310">
        <v>761.82666400000005</v>
      </c>
    </row>
    <row r="6861" spans="2:4" x14ac:dyDescent="0.2">
      <c r="B6861" s="1341">
        <v>8324</v>
      </c>
      <c r="C6861" s="1341" t="s">
        <v>7399</v>
      </c>
      <c r="D6861" s="1310">
        <v>765.90000199999997</v>
      </c>
    </row>
    <row r="6862" spans="2:4" x14ac:dyDescent="0.2">
      <c r="B6862" s="1341">
        <v>8325</v>
      </c>
      <c r="C6862" s="1341" t="s">
        <v>7400</v>
      </c>
      <c r="D6862" s="1310">
        <v>815.23333700000001</v>
      </c>
    </row>
    <row r="6863" spans="2:4" x14ac:dyDescent="0.2">
      <c r="B6863" s="1341">
        <v>8326</v>
      </c>
      <c r="C6863" s="1341" t="s">
        <v>2913</v>
      </c>
      <c r="D6863" s="1310">
        <v>824.01250500000003</v>
      </c>
    </row>
    <row r="6864" spans="2:4" x14ac:dyDescent="0.2">
      <c r="B6864" s="1341">
        <v>8327</v>
      </c>
      <c r="C6864" s="1341" t="s">
        <v>7401</v>
      </c>
      <c r="D6864" s="1310">
        <v>780.65713100000005</v>
      </c>
    </row>
    <row r="6865" spans="2:4" x14ac:dyDescent="0.2">
      <c r="B6865" s="1341">
        <v>8328</v>
      </c>
      <c r="C6865" s="1341" t="s">
        <v>7402</v>
      </c>
      <c r="D6865" s="1310">
        <v>790.79999799999996</v>
      </c>
    </row>
    <row r="6866" spans="2:4" x14ac:dyDescent="0.2">
      <c r="B6866" s="1341">
        <v>8329</v>
      </c>
      <c r="C6866" s="1341" t="s">
        <v>7403</v>
      </c>
      <c r="D6866" s="1310">
        <v>790.55384700000002</v>
      </c>
    </row>
    <row r="6867" spans="2:4" x14ac:dyDescent="0.2">
      <c r="B6867" s="1341">
        <v>8330</v>
      </c>
      <c r="C6867" s="1341" t="s">
        <v>7404</v>
      </c>
      <c r="D6867" s="1310">
        <v>792.57500700000003</v>
      </c>
    </row>
    <row r="6868" spans="2:4" x14ac:dyDescent="0.2">
      <c r="B6868" s="1341">
        <v>8331</v>
      </c>
      <c r="C6868" s="1341" t="s">
        <v>7405</v>
      </c>
      <c r="D6868" s="1310">
        <v>778.11110399999995</v>
      </c>
    </row>
    <row r="6869" spans="2:4" x14ac:dyDescent="0.2">
      <c r="B6869" s="1341">
        <v>8332</v>
      </c>
      <c r="C6869" s="1341" t="s">
        <v>7406</v>
      </c>
      <c r="D6869" s="1310">
        <v>783.96667000000002</v>
      </c>
    </row>
    <row r="6870" spans="2:4" x14ac:dyDescent="0.2">
      <c r="B6870" s="1341">
        <v>8333</v>
      </c>
      <c r="C6870" s="1341" t="s">
        <v>7346</v>
      </c>
      <c r="D6870" s="1310">
        <v>808.63333599999999</v>
      </c>
    </row>
    <row r="6871" spans="2:4" x14ac:dyDescent="0.2">
      <c r="B6871" s="1341">
        <v>8334</v>
      </c>
      <c r="C6871" s="1341" t="s">
        <v>6170</v>
      </c>
      <c r="D6871" s="1310">
        <v>805.11034700000005</v>
      </c>
    </row>
    <row r="6872" spans="2:4" x14ac:dyDescent="0.2">
      <c r="B6872" s="1341">
        <v>8335</v>
      </c>
      <c r="C6872" s="1341" t="s">
        <v>7407</v>
      </c>
      <c r="D6872" s="1310">
        <v>791.00370299999997</v>
      </c>
    </row>
    <row r="6873" spans="2:4" x14ac:dyDescent="0.2">
      <c r="B6873" s="1341">
        <v>8336</v>
      </c>
      <c r="C6873" s="1341" t="s">
        <v>7408</v>
      </c>
      <c r="D6873" s="1310">
        <v>789.24285899999995</v>
      </c>
    </row>
    <row r="6874" spans="2:4" x14ac:dyDescent="0.2">
      <c r="B6874" s="1341">
        <v>8351</v>
      </c>
      <c r="C6874" s="1341" t="s">
        <v>7409</v>
      </c>
      <c r="D6874" s="1310">
        <v>746.70740899999998</v>
      </c>
    </row>
    <row r="6875" spans="2:4" x14ac:dyDescent="0.2">
      <c r="B6875" s="1341">
        <v>8352</v>
      </c>
      <c r="C6875" s="1341" t="s">
        <v>2421</v>
      </c>
      <c r="D6875" s="1310">
        <v>827.14616000000001</v>
      </c>
    </row>
    <row r="6876" spans="2:4" x14ac:dyDescent="0.2">
      <c r="B6876" s="1341">
        <v>8353</v>
      </c>
      <c r="C6876" s="1341" t="s">
        <v>7410</v>
      </c>
      <c r="D6876" s="1310">
        <v>820.14117799999997</v>
      </c>
    </row>
    <row r="6877" spans="2:4" x14ac:dyDescent="0.2">
      <c r="B6877" s="1341">
        <v>8354</v>
      </c>
      <c r="C6877" s="1341" t="s">
        <v>7411</v>
      </c>
      <c r="D6877" s="1310">
        <v>756.14762099999996</v>
      </c>
    </row>
    <row r="6878" spans="2:4" x14ac:dyDescent="0.2">
      <c r="B6878" s="1341">
        <v>8355</v>
      </c>
      <c r="C6878" s="1341" t="s">
        <v>7412</v>
      </c>
      <c r="D6878" s="1310">
        <v>770.29999699999996</v>
      </c>
    </row>
    <row r="6879" spans="2:4" x14ac:dyDescent="0.2">
      <c r="B6879" s="1341">
        <v>8356</v>
      </c>
      <c r="C6879" s="1341" t="s">
        <v>3750</v>
      </c>
      <c r="D6879" s="1310">
        <v>773.42727400000001</v>
      </c>
    </row>
    <row r="6880" spans="2:4" x14ac:dyDescent="0.2">
      <c r="B6880" s="1341">
        <v>8357</v>
      </c>
      <c r="C6880" s="1341" t="s">
        <v>7413</v>
      </c>
      <c r="D6880" s="1310">
        <v>789.30000299999995</v>
      </c>
    </row>
    <row r="6881" spans="2:4" x14ac:dyDescent="0.2">
      <c r="B6881" s="1341">
        <v>8358</v>
      </c>
      <c r="C6881" s="1341" t="s">
        <v>7414</v>
      </c>
      <c r="D6881" s="1310">
        <v>835.66110900000001</v>
      </c>
    </row>
    <row r="6882" spans="2:4" x14ac:dyDescent="0.2">
      <c r="B6882" s="1341">
        <v>8359</v>
      </c>
      <c r="C6882" s="1341" t="s">
        <v>5705</v>
      </c>
      <c r="D6882" s="1310">
        <v>822.01765</v>
      </c>
    </row>
    <row r="6883" spans="2:4" x14ac:dyDescent="0.2">
      <c r="B6883" s="1341">
        <v>8360</v>
      </c>
      <c r="C6883" s="1341" t="s">
        <v>7415</v>
      </c>
      <c r="D6883" s="1310">
        <v>819.14999399999999</v>
      </c>
    </row>
    <row r="6884" spans="2:4" x14ac:dyDescent="0.2">
      <c r="B6884" s="1341">
        <v>8361</v>
      </c>
      <c r="C6884" s="1341" t="s">
        <v>7416</v>
      </c>
      <c r="D6884" s="1310">
        <v>824.76999499999999</v>
      </c>
    </row>
    <row r="6885" spans="2:4" x14ac:dyDescent="0.2">
      <c r="B6885" s="1341">
        <v>8362</v>
      </c>
      <c r="C6885" s="1341" t="s">
        <v>7417</v>
      </c>
      <c r="D6885" s="1310">
        <v>823.10000300000002</v>
      </c>
    </row>
    <row r="6886" spans="2:4" x14ac:dyDescent="0.2">
      <c r="B6886" s="1341">
        <v>8363</v>
      </c>
      <c r="C6886" s="1341" t="s">
        <v>7418</v>
      </c>
      <c r="D6886" s="1310">
        <v>750.55000099999995</v>
      </c>
    </row>
    <row r="6887" spans="2:4" x14ac:dyDescent="0.2">
      <c r="B6887" s="1341">
        <v>8364</v>
      </c>
      <c r="C6887" s="1341" t="s">
        <v>7419</v>
      </c>
      <c r="D6887" s="1310">
        <v>794.21764800000005</v>
      </c>
    </row>
    <row r="6888" spans="2:4" x14ac:dyDescent="0.2">
      <c r="B6888" s="1341">
        <v>8365</v>
      </c>
      <c r="C6888" s="1341" t="s">
        <v>7420</v>
      </c>
      <c r="D6888" s="1310">
        <v>835.28181600000005</v>
      </c>
    </row>
    <row r="6889" spans="2:4" x14ac:dyDescent="0.2">
      <c r="B6889" s="1341">
        <v>8366</v>
      </c>
      <c r="C6889" s="1341" t="s">
        <v>7421</v>
      </c>
      <c r="D6889" s="1310">
        <v>815.684214</v>
      </c>
    </row>
    <row r="6890" spans="2:4" x14ac:dyDescent="0.2">
      <c r="B6890" s="1341">
        <v>8367</v>
      </c>
      <c r="C6890" s="1341" t="s">
        <v>7422</v>
      </c>
      <c r="D6890" s="1310">
        <v>827.59997599999997</v>
      </c>
    </row>
    <row r="6891" spans="2:4" x14ac:dyDescent="0.2">
      <c r="B6891" s="1341">
        <v>8368</v>
      </c>
      <c r="C6891" s="1341" t="s">
        <v>7423</v>
      </c>
      <c r="D6891" s="1310">
        <v>822.32667200000003</v>
      </c>
    </row>
    <row r="6892" spans="2:4" x14ac:dyDescent="0.2">
      <c r="B6892" s="1341">
        <v>8369</v>
      </c>
      <c r="C6892" s="1341" t="s">
        <v>7424</v>
      </c>
      <c r="D6892" s="1310">
        <v>799.64285700000005</v>
      </c>
    </row>
    <row r="6893" spans="2:4" x14ac:dyDescent="0.2">
      <c r="B6893" s="1341">
        <v>8370</v>
      </c>
      <c r="C6893" s="1341" t="s">
        <v>7425</v>
      </c>
      <c r="D6893" s="1310">
        <v>752.04509700000006</v>
      </c>
    </row>
    <row r="6894" spans="2:4" x14ac:dyDescent="0.2">
      <c r="B6894" s="1341">
        <v>8371</v>
      </c>
      <c r="C6894" s="1341" t="s">
        <v>378</v>
      </c>
      <c r="D6894" s="1310">
        <v>766.47499800000003</v>
      </c>
    </row>
    <row r="6895" spans="2:4" x14ac:dyDescent="0.2">
      <c r="B6895" s="1341">
        <v>8372</v>
      </c>
      <c r="C6895" s="1341" t="s">
        <v>7426</v>
      </c>
      <c r="D6895" s="1310">
        <v>776.65789800000005</v>
      </c>
    </row>
    <row r="6896" spans="2:4" x14ac:dyDescent="0.2">
      <c r="B6896" s="1341">
        <v>8373</v>
      </c>
      <c r="C6896" s="1341" t="s">
        <v>7427</v>
      </c>
      <c r="D6896" s="1310">
        <v>837.29375100000004</v>
      </c>
    </row>
    <row r="6897" spans="2:4" x14ac:dyDescent="0.2">
      <c r="B6897" s="1341">
        <v>8374</v>
      </c>
      <c r="C6897" s="1341" t="s">
        <v>7428</v>
      </c>
      <c r="D6897" s="1310">
        <v>852.79998799999998</v>
      </c>
    </row>
    <row r="6898" spans="2:4" x14ac:dyDescent="0.2">
      <c r="B6898" s="1341">
        <v>8375</v>
      </c>
      <c r="C6898" s="1341" t="s">
        <v>5542</v>
      </c>
      <c r="D6898" s="1310">
        <v>862.51818800000001</v>
      </c>
    </row>
    <row r="6899" spans="2:4" x14ac:dyDescent="0.2">
      <c r="B6899" s="1341">
        <v>8376</v>
      </c>
      <c r="C6899" s="1341" t="s">
        <v>5551</v>
      </c>
      <c r="D6899" s="1310">
        <v>842.58235400000001</v>
      </c>
    </row>
    <row r="6900" spans="2:4" x14ac:dyDescent="0.2">
      <c r="B6900" s="1341">
        <v>8377</v>
      </c>
      <c r="C6900" s="1341" t="s">
        <v>3980</v>
      </c>
      <c r="D6900" s="1310">
        <v>825.60999500000003</v>
      </c>
    </row>
    <row r="6901" spans="2:4" x14ac:dyDescent="0.2">
      <c r="B6901" s="1341">
        <v>8378</v>
      </c>
      <c r="C6901" s="1341" t="s">
        <v>7429</v>
      </c>
      <c r="D6901" s="1310">
        <v>807.20000100000004</v>
      </c>
    </row>
    <row r="6902" spans="2:4" x14ac:dyDescent="0.2">
      <c r="B6902" s="1341">
        <v>8379</v>
      </c>
      <c r="C6902" s="1341" t="s">
        <v>7430</v>
      </c>
      <c r="D6902" s="1310">
        <v>753.57857799999999</v>
      </c>
    </row>
    <row r="6903" spans="2:4" x14ac:dyDescent="0.2">
      <c r="B6903" s="1341">
        <v>8380</v>
      </c>
      <c r="C6903" s="1341" t="s">
        <v>7431</v>
      </c>
      <c r="D6903" s="1310">
        <v>792.67143499999997</v>
      </c>
    </row>
    <row r="6904" spans="2:4" x14ac:dyDescent="0.2">
      <c r="B6904" s="1341">
        <v>8381</v>
      </c>
      <c r="C6904" s="1341" t="s">
        <v>7432</v>
      </c>
      <c r="D6904" s="1310">
        <v>817.30000199999995</v>
      </c>
    </row>
    <row r="6905" spans="2:4" x14ac:dyDescent="0.2">
      <c r="B6905" s="1341">
        <v>8382</v>
      </c>
      <c r="C6905" s="1341" t="s">
        <v>7433</v>
      </c>
      <c r="D6905" s="1310">
        <v>854.58999900000003</v>
      </c>
    </row>
    <row r="6906" spans="2:4" x14ac:dyDescent="0.2">
      <c r="B6906" s="1341">
        <v>8383</v>
      </c>
      <c r="C6906" s="1341" t="s">
        <v>7434</v>
      </c>
      <c r="D6906" s="1310">
        <v>851.88666599999999</v>
      </c>
    </row>
    <row r="6907" spans="2:4" x14ac:dyDescent="0.2">
      <c r="B6907" s="1341">
        <v>8384</v>
      </c>
      <c r="C6907" s="1341" t="s">
        <v>7435</v>
      </c>
      <c r="D6907" s="1310">
        <v>820.5</v>
      </c>
    </row>
    <row r="6908" spans="2:4" x14ac:dyDescent="0.2">
      <c r="B6908" s="1341">
        <v>8385</v>
      </c>
      <c r="C6908" s="1341" t="s">
        <v>7436</v>
      </c>
      <c r="D6908" s="1310">
        <v>829.12000699999999</v>
      </c>
    </row>
    <row r="6909" spans="2:4" x14ac:dyDescent="0.2">
      <c r="B6909" s="1341">
        <v>8386</v>
      </c>
      <c r="C6909" s="1341" t="s">
        <v>7437</v>
      </c>
      <c r="D6909" s="1310">
        <v>795.11251100000004</v>
      </c>
    </row>
    <row r="6910" spans="2:4" x14ac:dyDescent="0.2">
      <c r="B6910" s="1341">
        <v>8387</v>
      </c>
      <c r="C6910" s="1341" t="s">
        <v>7438</v>
      </c>
      <c r="D6910" s="1310">
        <v>786.44593899999995</v>
      </c>
    </row>
    <row r="6911" spans="2:4" x14ac:dyDescent="0.2">
      <c r="B6911" s="1341">
        <v>8388</v>
      </c>
      <c r="C6911" s="1341" t="s">
        <v>7439</v>
      </c>
      <c r="D6911" s="1310">
        <v>802.01250500000003</v>
      </c>
    </row>
    <row r="6912" spans="2:4" x14ac:dyDescent="0.2">
      <c r="B6912" s="1341">
        <v>8389</v>
      </c>
      <c r="C6912" s="1341" t="s">
        <v>7440</v>
      </c>
      <c r="D6912" s="1310">
        <v>826.45833300000004</v>
      </c>
    </row>
    <row r="6913" spans="2:4" x14ac:dyDescent="0.2">
      <c r="B6913" s="1341">
        <v>8390</v>
      </c>
      <c r="C6913" s="1341" t="s">
        <v>7441</v>
      </c>
      <c r="D6913" s="1310">
        <v>831.42173700000001</v>
      </c>
    </row>
    <row r="6914" spans="2:4" x14ac:dyDescent="0.2">
      <c r="B6914" s="1341">
        <v>8391</v>
      </c>
      <c r="C6914" s="1341" t="s">
        <v>7442</v>
      </c>
      <c r="D6914" s="1310">
        <v>824.27221999999995</v>
      </c>
    </row>
    <row r="6915" spans="2:4" x14ac:dyDescent="0.2">
      <c r="B6915" s="1341">
        <v>8392</v>
      </c>
      <c r="C6915" s="1341" t="s">
        <v>7443</v>
      </c>
      <c r="D6915" s="1310">
        <v>890.41666699999996</v>
      </c>
    </row>
    <row r="6916" spans="2:4" x14ac:dyDescent="0.2">
      <c r="B6916" s="1341">
        <v>8393</v>
      </c>
      <c r="C6916" s="1341" t="s">
        <v>7444</v>
      </c>
      <c r="D6916" s="1310">
        <v>881</v>
      </c>
    </row>
    <row r="6917" spans="2:4" x14ac:dyDescent="0.2">
      <c r="B6917" s="1341">
        <v>8394</v>
      </c>
      <c r="C6917" s="1341" t="s">
        <v>7445</v>
      </c>
      <c r="D6917" s="1310">
        <v>824.7</v>
      </c>
    </row>
    <row r="6918" spans="2:4" x14ac:dyDescent="0.2">
      <c r="B6918" s="1341">
        <v>8395</v>
      </c>
      <c r="C6918" s="1341" t="s">
        <v>7446</v>
      </c>
      <c r="D6918" s="1310">
        <v>843.97142699999995</v>
      </c>
    </row>
    <row r="6919" spans="2:4" x14ac:dyDescent="0.2">
      <c r="B6919" s="1341">
        <v>8396</v>
      </c>
      <c r="C6919" s="1341" t="s">
        <v>7447</v>
      </c>
      <c r="D6919" s="1310">
        <v>895.86665900000003</v>
      </c>
    </row>
    <row r="6920" spans="2:4" x14ac:dyDescent="0.2">
      <c r="B6920" s="1341">
        <v>8397</v>
      </c>
      <c r="C6920" s="1341" t="s">
        <v>7448</v>
      </c>
      <c r="D6920" s="1310">
        <v>823.35714299999995</v>
      </c>
    </row>
    <row r="6921" spans="2:4" x14ac:dyDescent="0.2">
      <c r="B6921" s="1341">
        <v>8398</v>
      </c>
      <c r="C6921" s="1341" t="s">
        <v>3695</v>
      </c>
      <c r="D6921" s="1310">
        <v>851.27777800000001</v>
      </c>
    </row>
    <row r="6922" spans="2:4" x14ac:dyDescent="0.2">
      <c r="B6922" s="1341">
        <v>8399</v>
      </c>
      <c r="C6922" s="1341" t="s">
        <v>7449</v>
      </c>
      <c r="D6922" s="1310">
        <v>871.59523200000001</v>
      </c>
    </row>
    <row r="6923" spans="2:4" x14ac:dyDescent="0.2">
      <c r="B6923" s="1341">
        <v>8400</v>
      </c>
      <c r="C6923" s="1341" t="s">
        <v>7450</v>
      </c>
      <c r="D6923" s="1310">
        <v>915.69545700000003</v>
      </c>
    </row>
    <row r="6924" spans="2:4" x14ac:dyDescent="0.2">
      <c r="B6924" s="1341">
        <v>8401</v>
      </c>
      <c r="C6924" s="1341" t="s">
        <v>7451</v>
      </c>
      <c r="D6924" s="1310">
        <v>952.29998799999998</v>
      </c>
    </row>
    <row r="6925" spans="2:4" x14ac:dyDescent="0.2">
      <c r="B6925" s="1341">
        <v>8402</v>
      </c>
      <c r="C6925" s="1341" t="s">
        <v>7452</v>
      </c>
      <c r="D6925" s="1310">
        <v>955.42500700000005</v>
      </c>
    </row>
    <row r="6926" spans="2:4" x14ac:dyDescent="0.2">
      <c r="B6926" s="1341">
        <v>8403</v>
      </c>
      <c r="C6926" s="1341" t="s">
        <v>7453</v>
      </c>
      <c r="D6926" s="1310">
        <v>964.59999600000003</v>
      </c>
    </row>
    <row r="6927" spans="2:4" x14ac:dyDescent="0.2">
      <c r="B6927" s="1341">
        <v>8404</v>
      </c>
      <c r="C6927" s="1341" t="s">
        <v>6064</v>
      </c>
      <c r="D6927" s="1310">
        <v>1007.674988</v>
      </c>
    </row>
    <row r="6928" spans="2:4" x14ac:dyDescent="0.2">
      <c r="B6928" s="1341">
        <v>8405</v>
      </c>
      <c r="C6928" s="1341" t="s">
        <v>7454</v>
      </c>
      <c r="D6928" s="1310">
        <v>939.24545599999999</v>
      </c>
    </row>
    <row r="6929" spans="2:4" x14ac:dyDescent="0.2">
      <c r="B6929" s="1341">
        <v>8406</v>
      </c>
      <c r="C6929" s="1341" t="s">
        <v>7455</v>
      </c>
      <c r="D6929" s="1310">
        <v>894.91428900000005</v>
      </c>
    </row>
    <row r="6930" spans="2:4" x14ac:dyDescent="0.2">
      <c r="B6930" s="1341">
        <v>8407</v>
      </c>
      <c r="C6930" s="1341" t="s">
        <v>7456</v>
      </c>
      <c r="D6930" s="1310">
        <v>952.72499800000003</v>
      </c>
    </row>
    <row r="6931" spans="2:4" x14ac:dyDescent="0.2">
      <c r="B6931" s="1341">
        <v>8408</v>
      </c>
      <c r="C6931" s="1341" t="s">
        <v>7457</v>
      </c>
      <c r="D6931" s="1310">
        <v>960.98000500000001</v>
      </c>
    </row>
    <row r="6932" spans="2:4" x14ac:dyDescent="0.2">
      <c r="B6932" s="1341">
        <v>8409</v>
      </c>
      <c r="C6932" s="1341" t="s">
        <v>2098</v>
      </c>
      <c r="D6932" s="1310">
        <v>932.32499700000005</v>
      </c>
    </row>
    <row r="6933" spans="2:4" x14ac:dyDescent="0.2">
      <c r="B6933" s="1341">
        <v>8410</v>
      </c>
      <c r="C6933" s="1341" t="s">
        <v>7458</v>
      </c>
      <c r="D6933" s="1310">
        <v>929.48124299999995</v>
      </c>
    </row>
    <row r="6934" spans="2:4" x14ac:dyDescent="0.2">
      <c r="B6934" s="1341">
        <v>8411</v>
      </c>
      <c r="C6934" s="1341" t="s">
        <v>7459</v>
      </c>
      <c r="D6934" s="1310">
        <v>1002.827271</v>
      </c>
    </row>
    <row r="6935" spans="2:4" x14ac:dyDescent="0.2">
      <c r="B6935" s="1341">
        <v>8412</v>
      </c>
      <c r="C6935" s="1341" t="s">
        <v>7460</v>
      </c>
      <c r="D6935" s="1310">
        <v>1024.0999879999999</v>
      </c>
    </row>
    <row r="6936" spans="2:4" x14ac:dyDescent="0.2">
      <c r="B6936" s="1341">
        <v>8413</v>
      </c>
      <c r="C6936" s="1341" t="s">
        <v>7461</v>
      </c>
      <c r="D6936" s="1310">
        <v>1015.724998</v>
      </c>
    </row>
    <row r="6937" spans="2:4" x14ac:dyDescent="0.2">
      <c r="B6937" s="1341">
        <v>8414</v>
      </c>
      <c r="C6937" s="1341" t="s">
        <v>7462</v>
      </c>
      <c r="D6937" s="1310">
        <v>980.46001000000001</v>
      </c>
    </row>
    <row r="6938" spans="2:4" x14ac:dyDescent="0.2">
      <c r="B6938" s="1341">
        <v>8451</v>
      </c>
      <c r="C6938" s="1341" t="s">
        <v>6580</v>
      </c>
      <c r="D6938" s="1310">
        <v>808.32856100000004</v>
      </c>
    </row>
    <row r="6939" spans="2:4" x14ac:dyDescent="0.2">
      <c r="B6939" s="1341">
        <v>8452</v>
      </c>
      <c r="C6939" s="1341" t="s">
        <v>4184</v>
      </c>
      <c r="D6939" s="1310">
        <v>805.98749499999997</v>
      </c>
    </row>
    <row r="6940" spans="2:4" x14ac:dyDescent="0.2">
      <c r="B6940" s="1341">
        <v>8453</v>
      </c>
      <c r="C6940" s="1341" t="s">
        <v>7463</v>
      </c>
      <c r="D6940" s="1310">
        <v>801.21428600000002</v>
      </c>
    </row>
    <row r="6941" spans="2:4" x14ac:dyDescent="0.2">
      <c r="B6941" s="1341">
        <v>8454</v>
      </c>
      <c r="C6941" s="1341" t="s">
        <v>7464</v>
      </c>
      <c r="D6941" s="1310">
        <v>826.03333899999996</v>
      </c>
    </row>
    <row r="6942" spans="2:4" x14ac:dyDescent="0.2">
      <c r="B6942" s="1341">
        <v>8455</v>
      </c>
      <c r="C6942" s="1341" t="s">
        <v>7465</v>
      </c>
      <c r="D6942" s="1310">
        <v>790.27999299999999</v>
      </c>
    </row>
    <row r="6943" spans="2:4" x14ac:dyDescent="0.2">
      <c r="B6943" s="1341">
        <v>8456</v>
      </c>
      <c r="C6943" s="1341" t="s">
        <v>7466</v>
      </c>
      <c r="D6943" s="1310">
        <v>814.01999499999999</v>
      </c>
    </row>
    <row r="6944" spans="2:4" x14ac:dyDescent="0.2">
      <c r="B6944" s="1341">
        <v>8457</v>
      </c>
      <c r="C6944" s="1341" t="s">
        <v>7467</v>
      </c>
      <c r="D6944" s="1310">
        <v>793.85000600000001</v>
      </c>
    </row>
    <row r="6945" spans="2:4" x14ac:dyDescent="0.2">
      <c r="B6945" s="1341">
        <v>8458</v>
      </c>
      <c r="C6945" s="1341" t="s">
        <v>6087</v>
      </c>
      <c r="D6945" s="1310">
        <v>812.54999399999997</v>
      </c>
    </row>
    <row r="6946" spans="2:4" x14ac:dyDescent="0.2">
      <c r="B6946" s="1341">
        <v>8459</v>
      </c>
      <c r="C6946" s="1341" t="s">
        <v>7468</v>
      </c>
      <c r="D6946" s="1310">
        <v>772.08181500000001</v>
      </c>
    </row>
    <row r="6947" spans="2:4" x14ac:dyDescent="0.2">
      <c r="B6947" s="1341">
        <v>8460</v>
      </c>
      <c r="C6947" s="1341" t="s">
        <v>7469</v>
      </c>
      <c r="D6947" s="1310">
        <v>788.02857300000005</v>
      </c>
    </row>
    <row r="6948" spans="2:4" x14ac:dyDescent="0.2">
      <c r="B6948" s="1341">
        <v>8461</v>
      </c>
      <c r="C6948" s="1341" t="s">
        <v>7470</v>
      </c>
      <c r="D6948" s="1310">
        <v>859.91818000000001</v>
      </c>
    </row>
    <row r="6949" spans="2:4" x14ac:dyDescent="0.2">
      <c r="B6949" s="1341">
        <v>8462</v>
      </c>
      <c r="C6949" s="1341" t="s">
        <v>7471</v>
      </c>
      <c r="D6949" s="1310">
        <v>845.48000500000001</v>
      </c>
    </row>
    <row r="6950" spans="2:4" x14ac:dyDescent="0.2">
      <c r="B6950" s="1341">
        <v>8463</v>
      </c>
      <c r="C6950" s="1341" t="s">
        <v>7472</v>
      </c>
      <c r="D6950" s="1310">
        <v>844.66665899999998</v>
      </c>
    </row>
    <row r="6951" spans="2:4" x14ac:dyDescent="0.2">
      <c r="B6951" s="1341">
        <v>8464</v>
      </c>
      <c r="C6951" s="1341" t="s">
        <v>7473</v>
      </c>
      <c r="D6951" s="1310">
        <v>870.31999499999995</v>
      </c>
    </row>
    <row r="6952" spans="2:4" x14ac:dyDescent="0.2">
      <c r="B6952" s="1341">
        <v>8465</v>
      </c>
      <c r="C6952" s="1341" t="s">
        <v>6421</v>
      </c>
      <c r="D6952" s="1310">
        <v>855.25453900000002</v>
      </c>
    </row>
    <row r="6953" spans="2:4" x14ac:dyDescent="0.2">
      <c r="B6953" s="1341">
        <v>8466</v>
      </c>
      <c r="C6953" s="1341" t="s">
        <v>7474</v>
      </c>
      <c r="D6953" s="1310">
        <v>867.60000600000001</v>
      </c>
    </row>
    <row r="6954" spans="2:4" x14ac:dyDescent="0.2">
      <c r="B6954" s="1341">
        <v>8467</v>
      </c>
      <c r="C6954" s="1341" t="s">
        <v>7298</v>
      </c>
      <c r="D6954" s="1310">
        <v>844.55000299999995</v>
      </c>
    </row>
    <row r="6955" spans="2:4" x14ac:dyDescent="0.2">
      <c r="B6955" s="1341">
        <v>8468</v>
      </c>
      <c r="C6955" s="1341" t="s">
        <v>7475</v>
      </c>
      <c r="D6955" s="1310">
        <v>845.39999399999999</v>
      </c>
    </row>
    <row r="6956" spans="2:4" x14ac:dyDescent="0.2">
      <c r="B6956" s="1341">
        <v>8469</v>
      </c>
      <c r="C6956" s="1341" t="s">
        <v>7476</v>
      </c>
      <c r="D6956" s="1310">
        <v>863.61999500000002</v>
      </c>
    </row>
    <row r="6957" spans="2:4" x14ac:dyDescent="0.2">
      <c r="B6957" s="1341">
        <v>8470</v>
      </c>
      <c r="C6957" s="1341" t="s">
        <v>7477</v>
      </c>
      <c r="D6957" s="1310">
        <v>863.25556099999994</v>
      </c>
    </row>
    <row r="6958" spans="2:4" x14ac:dyDescent="0.2">
      <c r="B6958" s="1341">
        <v>8471</v>
      </c>
      <c r="C6958" s="1341" t="s">
        <v>7478</v>
      </c>
      <c r="D6958" s="1310">
        <v>876.70000500000003</v>
      </c>
    </row>
    <row r="6959" spans="2:4" x14ac:dyDescent="0.2">
      <c r="B6959" s="1341">
        <v>8472</v>
      </c>
      <c r="C6959" s="1341" t="s">
        <v>7479</v>
      </c>
      <c r="D6959" s="1310">
        <v>871.44999700000005</v>
      </c>
    </row>
    <row r="6960" spans="2:4" x14ac:dyDescent="0.2">
      <c r="B6960" s="1341">
        <v>8473</v>
      </c>
      <c r="C6960" s="1341" t="s">
        <v>7480</v>
      </c>
      <c r="D6960" s="1310">
        <v>840.133331</v>
      </c>
    </row>
    <row r="6961" spans="2:4" x14ac:dyDescent="0.2">
      <c r="B6961" s="1341">
        <v>8474</v>
      </c>
      <c r="C6961" s="1341" t="s">
        <v>7481</v>
      </c>
      <c r="D6961" s="1310">
        <v>842.23333700000001</v>
      </c>
    </row>
    <row r="6962" spans="2:4" x14ac:dyDescent="0.2">
      <c r="B6962" s="1341">
        <v>8475</v>
      </c>
      <c r="C6962" s="1341" t="s">
        <v>3594</v>
      </c>
      <c r="D6962" s="1310">
        <v>889.32500500000003</v>
      </c>
    </row>
    <row r="6963" spans="2:4" x14ac:dyDescent="0.2">
      <c r="B6963" s="1341">
        <v>8476</v>
      </c>
      <c r="C6963" s="1341" t="s">
        <v>7482</v>
      </c>
      <c r="D6963" s="1310">
        <v>880.23999000000003</v>
      </c>
    </row>
    <row r="6964" spans="2:4" x14ac:dyDescent="0.2">
      <c r="B6964" s="1341">
        <v>8477</v>
      </c>
      <c r="C6964" s="1341" t="s">
        <v>7483</v>
      </c>
      <c r="D6964" s="1310">
        <v>914.80714599999999</v>
      </c>
    </row>
    <row r="6965" spans="2:4" x14ac:dyDescent="0.2">
      <c r="B6965" s="1341">
        <v>8478</v>
      </c>
      <c r="C6965" s="1341" t="s">
        <v>3696</v>
      </c>
      <c r="D6965" s="1310">
        <v>882.69999199999995</v>
      </c>
    </row>
    <row r="6966" spans="2:4" x14ac:dyDescent="0.2">
      <c r="B6966" s="1341">
        <v>8479</v>
      </c>
      <c r="C6966" s="1341" t="s">
        <v>7484</v>
      </c>
      <c r="D6966" s="1310">
        <v>893.7</v>
      </c>
    </row>
    <row r="6967" spans="2:4" x14ac:dyDescent="0.2">
      <c r="B6967" s="1341">
        <v>8480</v>
      </c>
      <c r="C6967" s="1341" t="s">
        <v>381</v>
      </c>
      <c r="D6967" s="1310">
        <v>865.85000300000002</v>
      </c>
    </row>
    <row r="6968" spans="2:4" x14ac:dyDescent="0.2">
      <c r="B6968" s="1341">
        <v>8481</v>
      </c>
      <c r="C6968" s="1341" t="s">
        <v>3745</v>
      </c>
      <c r="D6968" s="1310">
        <v>855.73333700000001</v>
      </c>
    </row>
    <row r="6969" spans="2:4" x14ac:dyDescent="0.2">
      <c r="B6969" s="1341">
        <v>8482</v>
      </c>
      <c r="C6969" s="1341" t="s">
        <v>7286</v>
      </c>
      <c r="D6969" s="1310">
        <v>839.70000300000004</v>
      </c>
    </row>
    <row r="6970" spans="2:4" x14ac:dyDescent="0.2">
      <c r="B6970" s="1341">
        <v>8483</v>
      </c>
      <c r="C6970" s="1341" t="s">
        <v>7485</v>
      </c>
      <c r="D6970" s="1310">
        <v>885.60909200000003</v>
      </c>
    </row>
    <row r="6971" spans="2:4" x14ac:dyDescent="0.2">
      <c r="B6971" s="1341">
        <v>8484</v>
      </c>
      <c r="C6971" s="1341" t="s">
        <v>7486</v>
      </c>
      <c r="D6971" s="1310">
        <v>906.83683699999995</v>
      </c>
    </row>
    <row r="6972" spans="2:4" x14ac:dyDescent="0.2">
      <c r="B6972" s="1341">
        <v>8485</v>
      </c>
      <c r="C6972" s="1341" t="s">
        <v>7487</v>
      </c>
      <c r="D6972" s="1310">
        <v>887.97500600000001</v>
      </c>
    </row>
    <row r="6973" spans="2:4" x14ac:dyDescent="0.2">
      <c r="B6973" s="1341">
        <v>8486</v>
      </c>
      <c r="C6973" s="1341" t="s">
        <v>7488</v>
      </c>
      <c r="D6973" s="1310">
        <v>896.19999199999995</v>
      </c>
    </row>
    <row r="6974" spans="2:4" x14ac:dyDescent="0.2">
      <c r="B6974" s="1341">
        <v>8487</v>
      </c>
      <c r="C6974" s="1341" t="s">
        <v>7489</v>
      </c>
      <c r="D6974" s="1310">
        <v>873.39999399999999</v>
      </c>
    </row>
    <row r="6975" spans="2:4" x14ac:dyDescent="0.2">
      <c r="B6975" s="1341">
        <v>8488</v>
      </c>
      <c r="C6975" s="1341" t="s">
        <v>7490</v>
      </c>
      <c r="D6975" s="1310">
        <v>870.14999399999999</v>
      </c>
    </row>
    <row r="6976" spans="2:4" x14ac:dyDescent="0.2">
      <c r="B6976" s="1341">
        <v>8489</v>
      </c>
      <c r="C6976" s="1341" t="s">
        <v>1599</v>
      </c>
      <c r="D6976" s="1310">
        <v>891.65000399999997</v>
      </c>
    </row>
    <row r="6977" spans="2:4" x14ac:dyDescent="0.2">
      <c r="B6977" s="1341">
        <v>8490</v>
      </c>
      <c r="C6977" s="1341" t="s">
        <v>6113</v>
      </c>
      <c r="D6977" s="1310">
        <v>909.09166500000003</v>
      </c>
    </row>
    <row r="6978" spans="2:4" x14ac:dyDescent="0.2">
      <c r="B6978" s="1341">
        <v>8491</v>
      </c>
      <c r="C6978" s="1341" t="s">
        <v>7491</v>
      </c>
      <c r="D6978" s="1310">
        <v>896.25</v>
      </c>
    </row>
    <row r="6979" spans="2:4" x14ac:dyDescent="0.2">
      <c r="B6979" s="1341">
        <v>8492</v>
      </c>
      <c r="C6979" s="1341" t="s">
        <v>7492</v>
      </c>
      <c r="D6979" s="1310">
        <v>938.57499700000005</v>
      </c>
    </row>
    <row r="6980" spans="2:4" x14ac:dyDescent="0.2">
      <c r="B6980" s="1341">
        <v>8493</v>
      </c>
      <c r="C6980" s="1341" t="s">
        <v>7493</v>
      </c>
      <c r="D6980" s="1310">
        <v>992.52002000000005</v>
      </c>
    </row>
    <row r="6981" spans="2:4" x14ac:dyDescent="0.2">
      <c r="B6981" s="1341">
        <v>8494</v>
      </c>
      <c r="C6981" s="1341" t="s">
        <v>7494</v>
      </c>
      <c r="D6981" s="1310">
        <v>960.57777899999996</v>
      </c>
    </row>
    <row r="6982" spans="2:4" x14ac:dyDescent="0.2">
      <c r="B6982" s="1341">
        <v>8495</v>
      </c>
      <c r="C6982" s="1341" t="s">
        <v>7495</v>
      </c>
      <c r="D6982" s="1310">
        <v>939.94167100000004</v>
      </c>
    </row>
    <row r="6983" spans="2:4" x14ac:dyDescent="0.2">
      <c r="B6983" s="1341">
        <v>8497</v>
      </c>
      <c r="C6983" s="1341" t="s">
        <v>7496</v>
      </c>
      <c r="D6983" s="1310">
        <v>927.77000399999997</v>
      </c>
    </row>
    <row r="6984" spans="2:4" x14ac:dyDescent="0.2">
      <c r="B6984" s="1341">
        <v>8498</v>
      </c>
      <c r="C6984" s="1341" t="s">
        <v>4230</v>
      </c>
      <c r="D6984" s="1310">
        <v>952.00000999999997</v>
      </c>
    </row>
    <row r="6985" spans="2:4" x14ac:dyDescent="0.2">
      <c r="B6985" s="1341">
        <v>8499</v>
      </c>
      <c r="C6985" s="1341" t="s">
        <v>1983</v>
      </c>
      <c r="D6985" s="1310">
        <v>963.375</v>
      </c>
    </row>
    <row r="6986" spans="2:4" x14ac:dyDescent="0.2">
      <c r="B6986" s="1341">
        <v>8500</v>
      </c>
      <c r="C6986" s="1341" t="s">
        <v>7497</v>
      </c>
      <c r="D6986" s="1310">
        <v>901.65832999999998</v>
      </c>
    </row>
    <row r="6987" spans="2:4" x14ac:dyDescent="0.2">
      <c r="B6987" s="1341">
        <v>8501</v>
      </c>
      <c r="C6987" s="1341" t="s">
        <v>7498</v>
      </c>
      <c r="D6987" s="1310">
        <v>925.02726600000005</v>
      </c>
    </row>
    <row r="6988" spans="2:4" x14ac:dyDescent="0.2">
      <c r="B6988" s="1341">
        <v>8502</v>
      </c>
      <c r="C6988" s="1341" t="s">
        <v>7499</v>
      </c>
      <c r="D6988" s="1310">
        <v>945.80000399999994</v>
      </c>
    </row>
    <row r="6989" spans="2:4" x14ac:dyDescent="0.2">
      <c r="B6989" s="1341">
        <v>8551</v>
      </c>
      <c r="C6989" s="1341" t="s">
        <v>7500</v>
      </c>
      <c r="D6989" s="1310">
        <v>804.40909099999999</v>
      </c>
    </row>
    <row r="6990" spans="2:4" x14ac:dyDescent="0.2">
      <c r="B6990" s="1341">
        <v>8552</v>
      </c>
      <c r="C6990" s="1341" t="s">
        <v>5346</v>
      </c>
      <c r="D6990" s="1310">
        <v>795.07778599999995</v>
      </c>
    </row>
    <row r="6991" spans="2:4" x14ac:dyDescent="0.2">
      <c r="B6991" s="1341">
        <v>8553</v>
      </c>
      <c r="C6991" s="1341" t="s">
        <v>7501</v>
      </c>
      <c r="D6991" s="1310">
        <v>808.07777899999996</v>
      </c>
    </row>
    <row r="6992" spans="2:4" x14ac:dyDescent="0.2">
      <c r="B6992" s="1341">
        <v>8554</v>
      </c>
      <c r="C6992" s="1341" t="s">
        <v>7502</v>
      </c>
      <c r="D6992" s="1310">
        <v>802.55999799999995</v>
      </c>
    </row>
    <row r="6993" spans="2:4" x14ac:dyDescent="0.2">
      <c r="B6993" s="1341">
        <v>8555</v>
      </c>
      <c r="C6993" s="1341" t="s">
        <v>7503</v>
      </c>
      <c r="D6993" s="1310">
        <v>793.23999000000003</v>
      </c>
    </row>
    <row r="6994" spans="2:4" x14ac:dyDescent="0.2">
      <c r="B6994" s="1341">
        <v>8556</v>
      </c>
      <c r="C6994" s="1341" t="s">
        <v>7504</v>
      </c>
      <c r="D6994" s="1310">
        <v>810.42999899999995</v>
      </c>
    </row>
    <row r="6995" spans="2:4" x14ac:dyDescent="0.2">
      <c r="B6995" s="1341">
        <v>8557</v>
      </c>
      <c r="C6995" s="1341" t="s">
        <v>7505</v>
      </c>
      <c r="D6995" s="1310">
        <v>809.17856700000004</v>
      </c>
    </row>
    <row r="6996" spans="2:4" x14ac:dyDescent="0.2">
      <c r="B6996" s="1341">
        <v>8558</v>
      </c>
      <c r="C6996" s="1341" t="s">
        <v>7506</v>
      </c>
      <c r="D6996" s="1310">
        <v>832.72000100000002</v>
      </c>
    </row>
    <row r="6997" spans="2:4" x14ac:dyDescent="0.2">
      <c r="B6997" s="1341">
        <v>8559</v>
      </c>
      <c r="C6997" s="1341" t="s">
        <v>7507</v>
      </c>
      <c r="D6997" s="1310">
        <v>824.15000399999997</v>
      </c>
    </row>
    <row r="6998" spans="2:4" x14ac:dyDescent="0.2">
      <c r="B6998" s="1341">
        <v>8560</v>
      </c>
      <c r="C6998" s="1341" t="s">
        <v>7508</v>
      </c>
      <c r="D6998" s="1310">
        <v>804.04283799999996</v>
      </c>
    </row>
    <row r="6999" spans="2:4" x14ac:dyDescent="0.2">
      <c r="B6999" s="1341">
        <v>8561</v>
      </c>
      <c r="C6999" s="1341" t="s">
        <v>7474</v>
      </c>
      <c r="D6999" s="1310">
        <v>828.375</v>
      </c>
    </row>
    <row r="7000" spans="2:4" x14ac:dyDescent="0.2">
      <c r="B7000" s="1341">
        <v>8562</v>
      </c>
      <c r="C7000" s="1341" t="s">
        <v>7509</v>
      </c>
      <c r="D7000" s="1310">
        <v>799.35000200000002</v>
      </c>
    </row>
    <row r="7001" spans="2:4" x14ac:dyDescent="0.2">
      <c r="B7001" s="1341">
        <v>8563</v>
      </c>
      <c r="C7001" s="1341" t="s">
        <v>7510</v>
      </c>
      <c r="D7001" s="1310">
        <v>811.62857499999996</v>
      </c>
    </row>
    <row r="7002" spans="2:4" x14ac:dyDescent="0.2">
      <c r="B7002" s="1341">
        <v>8564</v>
      </c>
      <c r="C7002" s="1341" t="s">
        <v>7511</v>
      </c>
      <c r="D7002" s="1310">
        <v>805.7</v>
      </c>
    </row>
    <row r="7003" spans="2:4" x14ac:dyDescent="0.2">
      <c r="B7003" s="1341">
        <v>8565</v>
      </c>
      <c r="C7003" s="1341" t="s">
        <v>7512</v>
      </c>
      <c r="D7003" s="1310">
        <v>820.50999100000001</v>
      </c>
    </row>
    <row r="7004" spans="2:4" x14ac:dyDescent="0.2">
      <c r="B7004" s="1341">
        <v>8566</v>
      </c>
      <c r="C7004" s="1341" t="s">
        <v>7385</v>
      </c>
      <c r="D7004" s="1310">
        <v>794.3125</v>
      </c>
    </row>
    <row r="7005" spans="2:4" x14ac:dyDescent="0.2">
      <c r="B7005" s="1341">
        <v>8567</v>
      </c>
      <c r="C7005" s="1341" t="s">
        <v>7513</v>
      </c>
      <c r="D7005" s="1310">
        <v>802.13333499999999</v>
      </c>
    </row>
    <row r="7006" spans="2:4" x14ac:dyDescent="0.2">
      <c r="B7006" s="1341">
        <v>8568</v>
      </c>
      <c r="C7006" s="1341" t="s">
        <v>7514</v>
      </c>
      <c r="D7006" s="1310">
        <v>826.37778000000003</v>
      </c>
    </row>
    <row r="7007" spans="2:4" x14ac:dyDescent="0.2">
      <c r="B7007" s="1341">
        <v>8569</v>
      </c>
      <c r="C7007" s="1341" t="s">
        <v>7515</v>
      </c>
      <c r="D7007" s="1310">
        <v>832.45000200000004</v>
      </c>
    </row>
    <row r="7008" spans="2:4" x14ac:dyDescent="0.2">
      <c r="B7008" s="1341">
        <v>8570</v>
      </c>
      <c r="C7008" s="1341" t="s">
        <v>7516</v>
      </c>
      <c r="D7008" s="1310">
        <v>806.91000399999996</v>
      </c>
    </row>
    <row r="7009" spans="2:4" x14ac:dyDescent="0.2">
      <c r="B7009" s="1341">
        <v>8571</v>
      </c>
      <c r="C7009" s="1341" t="s">
        <v>7517</v>
      </c>
      <c r="D7009" s="1310">
        <v>844.17498799999998</v>
      </c>
    </row>
    <row r="7010" spans="2:4" x14ac:dyDescent="0.2">
      <c r="B7010" s="1341">
        <v>8572</v>
      </c>
      <c r="C7010" s="1341" t="s">
        <v>7518</v>
      </c>
      <c r="D7010" s="1310">
        <v>846.80000800000005</v>
      </c>
    </row>
    <row r="7011" spans="2:4" x14ac:dyDescent="0.2">
      <c r="B7011" s="1341">
        <v>8580</v>
      </c>
      <c r="C7011" s="1341" t="s">
        <v>374</v>
      </c>
      <c r="D7011" s="1310">
        <v>826.83636999999999</v>
      </c>
    </row>
    <row r="7012" spans="2:4" x14ac:dyDescent="0.2">
      <c r="B7012" s="1341">
        <v>8581</v>
      </c>
      <c r="C7012" s="1341" t="s">
        <v>7519</v>
      </c>
      <c r="D7012" s="1310">
        <v>823.38332100000002</v>
      </c>
    </row>
    <row r="7013" spans="2:4" x14ac:dyDescent="0.2">
      <c r="B7013" s="1341">
        <v>8601</v>
      </c>
      <c r="C7013" s="1341" t="s">
        <v>7520</v>
      </c>
      <c r="D7013" s="1310">
        <v>814.89230599999996</v>
      </c>
    </row>
    <row r="7014" spans="2:4" x14ac:dyDescent="0.2">
      <c r="B7014" s="1341">
        <v>8602</v>
      </c>
      <c r="C7014" s="1341" t="s">
        <v>7521</v>
      </c>
      <c r="D7014" s="1310">
        <v>814.47500100000002</v>
      </c>
    </row>
    <row r="7015" spans="2:4" x14ac:dyDescent="0.2">
      <c r="B7015" s="1341">
        <v>8603</v>
      </c>
      <c r="C7015" s="1341" t="s">
        <v>7522</v>
      </c>
      <c r="D7015" s="1310">
        <v>795.48666600000001</v>
      </c>
    </row>
    <row r="7016" spans="2:4" x14ac:dyDescent="0.2">
      <c r="B7016" s="1341">
        <v>8604</v>
      </c>
      <c r="C7016" s="1341" t="s">
        <v>7523</v>
      </c>
      <c r="D7016" s="1310">
        <v>783.28571399999998</v>
      </c>
    </row>
    <row r="7017" spans="2:4" x14ac:dyDescent="0.2">
      <c r="B7017" s="1341">
        <v>8605</v>
      </c>
      <c r="C7017" s="1341" t="s">
        <v>5099</v>
      </c>
      <c r="D7017" s="1310">
        <v>804.59999600000003</v>
      </c>
    </row>
    <row r="7018" spans="2:4" x14ac:dyDescent="0.2">
      <c r="B7018" s="1341">
        <v>8606</v>
      </c>
      <c r="C7018" s="1341" t="s">
        <v>7524</v>
      </c>
      <c r="D7018" s="1310">
        <v>821.05555600000002</v>
      </c>
    </row>
    <row r="7019" spans="2:4" x14ac:dyDescent="0.2">
      <c r="B7019" s="1341">
        <v>8607</v>
      </c>
      <c r="C7019" s="1341" t="s">
        <v>4374</v>
      </c>
      <c r="D7019" s="1310">
        <v>807.24285899999995</v>
      </c>
    </row>
    <row r="7020" spans="2:4" x14ac:dyDescent="0.2">
      <c r="B7020" s="1341">
        <v>8609</v>
      </c>
      <c r="C7020" s="1341" t="s">
        <v>5236</v>
      </c>
      <c r="D7020" s="1310">
        <v>794.63999000000001</v>
      </c>
    </row>
    <row r="7021" spans="2:4" x14ac:dyDescent="0.2">
      <c r="B7021" s="1341">
        <v>8610</v>
      </c>
      <c r="C7021" s="1341" t="s">
        <v>7525</v>
      </c>
      <c r="D7021" s="1310">
        <v>806.57000700000003</v>
      </c>
    </row>
    <row r="7022" spans="2:4" x14ac:dyDescent="0.2">
      <c r="B7022" s="1341">
        <v>8611</v>
      </c>
      <c r="C7022" s="1341" t="s">
        <v>7526</v>
      </c>
      <c r="D7022" s="1310">
        <v>799.883331</v>
      </c>
    </row>
    <row r="7023" spans="2:4" x14ac:dyDescent="0.2">
      <c r="B7023" s="1341">
        <v>8612</v>
      </c>
      <c r="C7023" s="1341" t="s">
        <v>7527</v>
      </c>
      <c r="D7023" s="1310">
        <v>829.616669</v>
      </c>
    </row>
    <row r="7024" spans="2:4" x14ac:dyDescent="0.2">
      <c r="B7024" s="1341">
        <v>8613</v>
      </c>
      <c r="C7024" s="1341" t="s">
        <v>1973</v>
      </c>
      <c r="D7024" s="1310">
        <v>790.87498500000004</v>
      </c>
    </row>
    <row r="7025" spans="2:4" x14ac:dyDescent="0.2">
      <c r="B7025" s="1341">
        <v>8614</v>
      </c>
      <c r="C7025" s="1341" t="s">
        <v>7528</v>
      </c>
      <c r="D7025" s="1310">
        <v>829.46667500000001</v>
      </c>
    </row>
    <row r="7026" spans="2:4" x14ac:dyDescent="0.2">
      <c r="B7026" s="1341">
        <v>8615</v>
      </c>
      <c r="C7026" s="1341" t="s">
        <v>7529</v>
      </c>
      <c r="D7026" s="1310">
        <v>776.31666099999995</v>
      </c>
    </row>
    <row r="7027" spans="2:4" x14ac:dyDescent="0.2">
      <c r="B7027" s="1341">
        <v>8616</v>
      </c>
      <c r="C7027" s="1341" t="s">
        <v>7530</v>
      </c>
      <c r="D7027" s="1310">
        <v>809.53334600000005</v>
      </c>
    </row>
    <row r="7028" spans="2:4" x14ac:dyDescent="0.2">
      <c r="B7028" s="1341">
        <v>8617</v>
      </c>
      <c r="C7028" s="1341" t="s">
        <v>7531</v>
      </c>
      <c r="D7028" s="1310">
        <v>778.62498500000004</v>
      </c>
    </row>
    <row r="7029" spans="2:4" x14ac:dyDescent="0.2">
      <c r="B7029" s="1341">
        <v>8618</v>
      </c>
      <c r="C7029" s="1341" t="s">
        <v>7532</v>
      </c>
      <c r="D7029" s="1310">
        <v>802.34444199999996</v>
      </c>
    </row>
    <row r="7030" spans="2:4" x14ac:dyDescent="0.2">
      <c r="B7030" s="1341">
        <v>8619</v>
      </c>
      <c r="C7030" s="1341" t="s">
        <v>7533</v>
      </c>
      <c r="D7030" s="1310">
        <v>761.99998000000005</v>
      </c>
    </row>
    <row r="7031" spans="2:4" x14ac:dyDescent="0.2">
      <c r="B7031" s="1341">
        <v>8620</v>
      </c>
      <c r="C7031" s="1341" t="s">
        <v>7534</v>
      </c>
      <c r="D7031" s="1310">
        <v>835.81052799999998</v>
      </c>
    </row>
    <row r="7032" spans="2:4" x14ac:dyDescent="0.2">
      <c r="B7032" s="1341">
        <v>8621</v>
      </c>
      <c r="C7032" s="1341" t="s">
        <v>7535</v>
      </c>
      <c r="D7032" s="1310">
        <v>809.38667399999997</v>
      </c>
    </row>
    <row r="7033" spans="2:4" x14ac:dyDescent="0.2">
      <c r="B7033" s="1341">
        <v>8622</v>
      </c>
      <c r="C7033" s="1341" t="s">
        <v>7536</v>
      </c>
      <c r="D7033" s="1310">
        <v>815.48000500000001</v>
      </c>
    </row>
    <row r="7034" spans="2:4" x14ac:dyDescent="0.2">
      <c r="B7034" s="1341">
        <v>8623</v>
      </c>
      <c r="C7034" s="1341" t="s">
        <v>7537</v>
      </c>
      <c r="D7034" s="1310">
        <v>799.77999299999999</v>
      </c>
    </row>
    <row r="7035" spans="2:4" x14ac:dyDescent="0.2">
      <c r="B7035" s="1341">
        <v>8624</v>
      </c>
      <c r="C7035" s="1341" t="s">
        <v>7538</v>
      </c>
      <c r="D7035" s="1310">
        <v>848.870588</v>
      </c>
    </row>
    <row r="7036" spans="2:4" x14ac:dyDescent="0.2">
      <c r="B7036" s="1341">
        <v>8625</v>
      </c>
      <c r="C7036" s="1341" t="s">
        <v>6018</v>
      </c>
      <c r="D7036" s="1310">
        <v>831.77499899999998</v>
      </c>
    </row>
    <row r="7037" spans="2:4" x14ac:dyDescent="0.2">
      <c r="B7037" s="1341">
        <v>8626</v>
      </c>
      <c r="C7037" s="1341" t="s">
        <v>7539</v>
      </c>
      <c r="D7037" s="1310">
        <v>832.87143400000002</v>
      </c>
    </row>
    <row r="7038" spans="2:4" x14ac:dyDescent="0.2">
      <c r="B7038" s="1341">
        <v>8627</v>
      </c>
      <c r="C7038" s="1341" t="s">
        <v>7540</v>
      </c>
      <c r="D7038" s="1310">
        <v>797.29091000000005</v>
      </c>
    </row>
    <row r="7039" spans="2:4" x14ac:dyDescent="0.2">
      <c r="B7039" s="1341">
        <v>8628</v>
      </c>
      <c r="C7039" s="1341" t="s">
        <v>2913</v>
      </c>
      <c r="D7039" s="1310">
        <v>826.42500299999995</v>
      </c>
    </row>
    <row r="7040" spans="2:4" x14ac:dyDescent="0.2">
      <c r="B7040" s="1341">
        <v>8629</v>
      </c>
      <c r="C7040" s="1341" t="s">
        <v>7541</v>
      </c>
      <c r="D7040" s="1310">
        <v>763.59999800000003</v>
      </c>
    </row>
    <row r="7041" spans="2:4" x14ac:dyDescent="0.2">
      <c r="B7041" s="1341">
        <v>8630</v>
      </c>
      <c r="C7041" s="1341" t="s">
        <v>7542</v>
      </c>
      <c r="D7041" s="1310">
        <v>770.46665399999995</v>
      </c>
    </row>
    <row r="7042" spans="2:4" x14ac:dyDescent="0.2">
      <c r="B7042" s="1341">
        <v>8631</v>
      </c>
      <c r="C7042" s="1341" t="s">
        <v>6764</v>
      </c>
      <c r="D7042" s="1310">
        <v>836.11817499999995</v>
      </c>
    </row>
    <row r="7043" spans="2:4" x14ac:dyDescent="0.2">
      <c r="B7043" s="1341">
        <v>8632</v>
      </c>
      <c r="C7043" s="1341" t="s">
        <v>7543</v>
      </c>
      <c r="D7043" s="1310">
        <v>832.02856399999996</v>
      </c>
    </row>
    <row r="7044" spans="2:4" x14ac:dyDescent="0.2">
      <c r="B7044" s="1341">
        <v>8633</v>
      </c>
      <c r="C7044" s="1341" t="s">
        <v>6813</v>
      </c>
      <c r="D7044" s="1310">
        <v>815.34000200000003</v>
      </c>
    </row>
    <row r="7045" spans="2:4" x14ac:dyDescent="0.2">
      <c r="B7045" s="1341">
        <v>8634</v>
      </c>
      <c r="C7045" s="1341" t="s">
        <v>7544</v>
      </c>
      <c r="D7045" s="1310">
        <v>800.55999799999995</v>
      </c>
    </row>
    <row r="7046" spans="2:4" x14ac:dyDescent="0.2">
      <c r="B7046" s="1341">
        <v>8635</v>
      </c>
      <c r="C7046" s="1341" t="s">
        <v>7545</v>
      </c>
      <c r="D7046" s="1310">
        <v>785.35000600000001</v>
      </c>
    </row>
    <row r="7047" spans="2:4" x14ac:dyDescent="0.2">
      <c r="B7047" s="1341">
        <v>8636</v>
      </c>
      <c r="C7047" s="1341" t="s">
        <v>7546</v>
      </c>
      <c r="D7047" s="1310">
        <v>803.38889600000005</v>
      </c>
    </row>
    <row r="7048" spans="2:4" x14ac:dyDescent="0.2">
      <c r="B7048" s="1341">
        <v>8637</v>
      </c>
      <c r="C7048" s="1341" t="s">
        <v>7547</v>
      </c>
      <c r="D7048" s="1310">
        <v>811.85833700000001</v>
      </c>
    </row>
    <row r="7049" spans="2:4" x14ac:dyDescent="0.2">
      <c r="B7049" s="1341">
        <v>8638</v>
      </c>
      <c r="C7049" s="1341" t="s">
        <v>7548</v>
      </c>
      <c r="D7049" s="1310">
        <v>807.60909200000003</v>
      </c>
    </row>
    <row r="7050" spans="2:4" x14ac:dyDescent="0.2">
      <c r="B7050" s="1341">
        <v>8639</v>
      </c>
      <c r="C7050" s="1341" t="s">
        <v>7549</v>
      </c>
      <c r="D7050" s="1310">
        <v>809.76666299999999</v>
      </c>
    </row>
    <row r="7051" spans="2:4" x14ac:dyDescent="0.2">
      <c r="B7051" s="1341">
        <v>8640</v>
      </c>
      <c r="C7051" s="1341" t="s">
        <v>7550</v>
      </c>
      <c r="D7051" s="1310">
        <v>815.77500899999995</v>
      </c>
    </row>
    <row r="7052" spans="2:4" x14ac:dyDescent="0.2">
      <c r="B7052" s="1341">
        <v>8641</v>
      </c>
      <c r="C7052" s="1341" t="s">
        <v>6375</v>
      </c>
      <c r="D7052" s="1310">
        <v>768.67498799999998</v>
      </c>
    </row>
    <row r="7053" spans="2:4" x14ac:dyDescent="0.2">
      <c r="B7053" s="1341">
        <v>8642</v>
      </c>
      <c r="C7053" s="1341" t="s">
        <v>7551</v>
      </c>
      <c r="D7053" s="1310">
        <v>796.34999600000003</v>
      </c>
    </row>
    <row r="7054" spans="2:4" x14ac:dyDescent="0.2">
      <c r="B7054" s="1341">
        <v>8643</v>
      </c>
      <c r="C7054" s="1341" t="s">
        <v>7552</v>
      </c>
      <c r="D7054" s="1310">
        <v>777.90000899999995</v>
      </c>
    </row>
    <row r="7055" spans="2:4" x14ac:dyDescent="0.2">
      <c r="B7055" s="1341">
        <v>8644</v>
      </c>
      <c r="C7055" s="1341" t="s">
        <v>2098</v>
      </c>
      <c r="D7055" s="1310">
        <v>803.74286800000004</v>
      </c>
    </row>
    <row r="7056" spans="2:4" x14ac:dyDescent="0.2">
      <c r="B7056" s="1341">
        <v>8645</v>
      </c>
      <c r="C7056" s="1341" t="s">
        <v>7553</v>
      </c>
      <c r="D7056" s="1310">
        <v>805.06667100000004</v>
      </c>
    </row>
    <row r="7057" spans="2:4" x14ac:dyDescent="0.2">
      <c r="B7057" s="1341">
        <v>8646</v>
      </c>
      <c r="C7057" s="1341" t="s">
        <v>7554</v>
      </c>
      <c r="D7057" s="1310">
        <v>780.02499399999999</v>
      </c>
    </row>
    <row r="7058" spans="2:4" x14ac:dyDescent="0.2">
      <c r="B7058" s="1341">
        <v>8647</v>
      </c>
      <c r="C7058" s="1341" t="s">
        <v>7555</v>
      </c>
      <c r="D7058" s="1310">
        <v>800.71428600000002</v>
      </c>
    </row>
    <row r="7059" spans="2:4" x14ac:dyDescent="0.2">
      <c r="B7059" s="1341">
        <v>8648</v>
      </c>
      <c r="C7059" s="1341" t="s">
        <v>7556</v>
      </c>
      <c r="D7059" s="1310">
        <v>791.66668700000002</v>
      </c>
    </row>
    <row r="7060" spans="2:4" x14ac:dyDescent="0.2">
      <c r="B7060" s="1341">
        <v>8649</v>
      </c>
      <c r="C7060" s="1341" t="s">
        <v>7557</v>
      </c>
      <c r="D7060" s="1310">
        <v>807.1</v>
      </c>
    </row>
    <row r="7061" spans="2:4" x14ac:dyDescent="0.2">
      <c r="B7061" s="1341">
        <v>8650</v>
      </c>
      <c r="C7061" s="1341" t="s">
        <v>7558</v>
      </c>
      <c r="D7061" s="1310">
        <v>801.10000600000001</v>
      </c>
    </row>
    <row r="7062" spans="2:4" x14ac:dyDescent="0.2">
      <c r="B7062" s="1341">
        <v>8651</v>
      </c>
      <c r="C7062" s="1341" t="s">
        <v>7559</v>
      </c>
      <c r="D7062" s="1310">
        <v>921</v>
      </c>
    </row>
    <row r="7063" spans="2:4" x14ac:dyDescent="0.2">
      <c r="B7063" s="1341">
        <v>8652</v>
      </c>
      <c r="C7063" s="1341" t="s">
        <v>7560</v>
      </c>
      <c r="D7063" s="1310">
        <v>901.55001800000002</v>
      </c>
    </row>
    <row r="7064" spans="2:4" x14ac:dyDescent="0.2">
      <c r="B7064" s="1341">
        <v>8653</v>
      </c>
      <c r="C7064" s="1341" t="s">
        <v>7561</v>
      </c>
      <c r="D7064" s="1310">
        <v>929.40002400000003</v>
      </c>
    </row>
    <row r="7065" spans="2:4" x14ac:dyDescent="0.2">
      <c r="B7065" s="1341">
        <v>8654</v>
      </c>
      <c r="C7065" s="1341" t="s">
        <v>7562</v>
      </c>
      <c r="D7065" s="1310">
        <v>932.16664600000001</v>
      </c>
    </row>
    <row r="7066" spans="2:4" x14ac:dyDescent="0.2">
      <c r="B7066" s="1341">
        <v>8655</v>
      </c>
      <c r="C7066" s="1341" t="s">
        <v>7563</v>
      </c>
      <c r="D7066" s="1310">
        <v>944.89333499999998</v>
      </c>
    </row>
    <row r="7067" spans="2:4" x14ac:dyDescent="0.2">
      <c r="B7067" s="1341">
        <v>8656</v>
      </c>
      <c r="C7067" s="1341" t="s">
        <v>7564</v>
      </c>
      <c r="D7067" s="1310">
        <v>926.5</v>
      </c>
    </row>
    <row r="7068" spans="2:4" x14ac:dyDescent="0.2">
      <c r="B7068" s="1341">
        <v>8657</v>
      </c>
      <c r="C7068" s="1341" t="s">
        <v>7565</v>
      </c>
      <c r="D7068" s="1310">
        <v>950.610004</v>
      </c>
    </row>
    <row r="7069" spans="2:4" x14ac:dyDescent="0.2">
      <c r="B7069" s="1341">
        <v>8658</v>
      </c>
      <c r="C7069" s="1341" t="s">
        <v>7566</v>
      </c>
      <c r="D7069" s="1310">
        <v>950.51667299999997</v>
      </c>
    </row>
    <row r="7070" spans="2:4" x14ac:dyDescent="0.2">
      <c r="B7070" s="1341">
        <v>8659</v>
      </c>
      <c r="C7070" s="1341" t="s">
        <v>7567</v>
      </c>
      <c r="D7070" s="1310">
        <v>942.37501499999996</v>
      </c>
    </row>
    <row r="7071" spans="2:4" x14ac:dyDescent="0.2">
      <c r="B7071" s="1341">
        <v>8660</v>
      </c>
      <c r="C7071" s="1341" t="s">
        <v>7568</v>
      </c>
      <c r="D7071" s="1310">
        <v>878.75999100000001</v>
      </c>
    </row>
    <row r="7072" spans="2:4" x14ac:dyDescent="0.2">
      <c r="B7072" s="1341">
        <v>8661</v>
      </c>
      <c r="C7072" s="1341" t="s">
        <v>7569</v>
      </c>
      <c r="D7072" s="1310">
        <v>892.75651700000003</v>
      </c>
    </row>
    <row r="7073" spans="2:4" x14ac:dyDescent="0.2">
      <c r="B7073" s="1341">
        <v>8662</v>
      </c>
      <c r="C7073" s="1341" t="s">
        <v>7570</v>
      </c>
      <c r="D7073" s="1310">
        <v>903.77368799999999</v>
      </c>
    </row>
    <row r="7074" spans="2:4" x14ac:dyDescent="0.2">
      <c r="B7074" s="1341">
        <v>8663</v>
      </c>
      <c r="C7074" s="1341" t="s">
        <v>7571</v>
      </c>
      <c r="D7074" s="1310">
        <v>944.25715000000002</v>
      </c>
    </row>
    <row r="7075" spans="2:4" x14ac:dyDescent="0.2">
      <c r="B7075" s="1341">
        <v>8664</v>
      </c>
      <c r="C7075" s="1341" t="s">
        <v>7572</v>
      </c>
      <c r="D7075" s="1310">
        <v>925.45999800000004</v>
      </c>
    </row>
    <row r="7076" spans="2:4" x14ac:dyDescent="0.2">
      <c r="B7076" s="1341">
        <v>8665</v>
      </c>
      <c r="C7076" s="1341" t="s">
        <v>7573</v>
      </c>
      <c r="D7076" s="1310">
        <v>1039.573676</v>
      </c>
    </row>
    <row r="7077" spans="2:4" x14ac:dyDescent="0.2">
      <c r="B7077" s="1341">
        <v>8666</v>
      </c>
      <c r="C7077" s="1341" t="s">
        <v>7574</v>
      </c>
      <c r="D7077" s="1310">
        <v>919.72141799999997</v>
      </c>
    </row>
    <row r="7078" spans="2:4" x14ac:dyDescent="0.2">
      <c r="B7078" s="1341">
        <v>8667</v>
      </c>
      <c r="C7078" s="1341" t="s">
        <v>5845</v>
      </c>
      <c r="D7078" s="1310">
        <v>930.95998499999996</v>
      </c>
    </row>
    <row r="7079" spans="2:4" x14ac:dyDescent="0.2">
      <c r="B7079" s="1341">
        <v>8668</v>
      </c>
      <c r="C7079" s="1341" t="s">
        <v>5528</v>
      </c>
      <c r="D7079" s="1310">
        <v>931.33334400000001</v>
      </c>
    </row>
    <row r="7080" spans="2:4" x14ac:dyDescent="0.2">
      <c r="B7080" s="1341">
        <v>8669</v>
      </c>
      <c r="C7080" s="1341" t="s">
        <v>7575</v>
      </c>
      <c r="D7080" s="1310">
        <v>874.429034</v>
      </c>
    </row>
    <row r="7081" spans="2:4" x14ac:dyDescent="0.2">
      <c r="B7081" s="1341">
        <v>8670</v>
      </c>
      <c r="C7081" s="1341" t="s">
        <v>7576</v>
      </c>
      <c r="D7081" s="1310">
        <v>874.58750899999995</v>
      </c>
    </row>
    <row r="7082" spans="2:4" x14ac:dyDescent="0.2">
      <c r="B7082" s="1341">
        <v>8671</v>
      </c>
      <c r="C7082" s="1341" t="s">
        <v>7577</v>
      </c>
      <c r="D7082" s="1310">
        <v>983.06667100000004</v>
      </c>
    </row>
    <row r="7083" spans="2:4" x14ac:dyDescent="0.2">
      <c r="B7083" s="1341">
        <v>8672</v>
      </c>
      <c r="C7083" s="1341" t="s">
        <v>7578</v>
      </c>
      <c r="D7083" s="1310">
        <v>844.23214499999995</v>
      </c>
    </row>
    <row r="7084" spans="2:4" x14ac:dyDescent="0.2">
      <c r="B7084" s="1341">
        <v>8673</v>
      </c>
      <c r="C7084" s="1341" t="s">
        <v>7579</v>
      </c>
      <c r="D7084" s="1310">
        <v>947.16999499999997</v>
      </c>
    </row>
    <row r="7085" spans="2:4" x14ac:dyDescent="0.2">
      <c r="B7085" s="1341">
        <v>8674</v>
      </c>
      <c r="C7085" s="1341" t="s">
        <v>7580</v>
      </c>
      <c r="D7085" s="1310">
        <v>994.03478199999995</v>
      </c>
    </row>
    <row r="7086" spans="2:4" x14ac:dyDescent="0.2">
      <c r="B7086" s="1341">
        <v>8675</v>
      </c>
      <c r="C7086" s="1341" t="s">
        <v>7581</v>
      </c>
      <c r="D7086" s="1310">
        <v>947.97500600000001</v>
      </c>
    </row>
    <row r="7087" spans="2:4" x14ac:dyDescent="0.2">
      <c r="B7087" s="1341">
        <v>8676</v>
      </c>
      <c r="C7087" s="1341" t="s">
        <v>7582</v>
      </c>
      <c r="D7087" s="1310">
        <v>1027.4833269999999</v>
      </c>
    </row>
    <row r="7088" spans="2:4" x14ac:dyDescent="0.2">
      <c r="B7088" s="1341">
        <v>8677</v>
      </c>
      <c r="C7088" s="1341" t="s">
        <v>4833</v>
      </c>
      <c r="D7088" s="1310">
        <v>941.27691700000003</v>
      </c>
    </row>
    <row r="7089" spans="2:4" x14ac:dyDescent="0.2">
      <c r="B7089" s="1341">
        <v>8678</v>
      </c>
      <c r="C7089" s="1341" t="s">
        <v>7583</v>
      </c>
      <c r="D7089" s="1310">
        <v>924.16001000000006</v>
      </c>
    </row>
    <row r="7090" spans="2:4" x14ac:dyDescent="0.2">
      <c r="B7090" s="1341">
        <v>8679</v>
      </c>
      <c r="C7090" s="1341" t="s">
        <v>7584</v>
      </c>
      <c r="D7090" s="1310">
        <v>1025.075012</v>
      </c>
    </row>
    <row r="7091" spans="2:4" x14ac:dyDescent="0.2">
      <c r="B7091" s="1341">
        <v>8680</v>
      </c>
      <c r="C7091" s="1341" t="s">
        <v>7585</v>
      </c>
      <c r="D7091" s="1310">
        <v>1082.999994</v>
      </c>
    </row>
    <row r="7092" spans="2:4" x14ac:dyDescent="0.2">
      <c r="B7092" s="1341">
        <v>8681</v>
      </c>
      <c r="C7092" s="1341" t="s">
        <v>7586</v>
      </c>
      <c r="D7092" s="1310">
        <v>998.64736800000003</v>
      </c>
    </row>
    <row r="7093" spans="2:4" x14ac:dyDescent="0.2">
      <c r="B7093" s="1341">
        <v>8682</v>
      </c>
      <c r="C7093" s="1341" t="s">
        <v>7587</v>
      </c>
      <c r="D7093" s="1310">
        <v>841.86190699999997</v>
      </c>
    </row>
    <row r="7094" spans="2:4" x14ac:dyDescent="0.2">
      <c r="B7094" s="1341">
        <v>8683</v>
      </c>
      <c r="C7094" s="1341" t="s">
        <v>7588</v>
      </c>
      <c r="D7094" s="1310">
        <v>872.54999799999996</v>
      </c>
    </row>
    <row r="7095" spans="2:4" x14ac:dyDescent="0.2">
      <c r="B7095" s="1341">
        <v>8684</v>
      </c>
      <c r="C7095" s="1341" t="s">
        <v>7589</v>
      </c>
      <c r="D7095" s="1310">
        <v>925.35000600000001</v>
      </c>
    </row>
    <row r="7096" spans="2:4" x14ac:dyDescent="0.2">
      <c r="B7096" s="1341">
        <v>8685</v>
      </c>
      <c r="C7096" s="1341" t="s">
        <v>7590</v>
      </c>
      <c r="D7096" s="1310">
        <v>878.23846000000003</v>
      </c>
    </row>
    <row r="7097" spans="2:4" x14ac:dyDescent="0.2">
      <c r="B7097" s="1341">
        <v>8686</v>
      </c>
      <c r="C7097" s="1341" t="s">
        <v>7591</v>
      </c>
      <c r="D7097" s="1310">
        <v>879.46665399999995</v>
      </c>
    </row>
    <row r="7098" spans="2:4" x14ac:dyDescent="0.2">
      <c r="B7098" s="1341">
        <v>8687</v>
      </c>
      <c r="C7098" s="1341" t="s">
        <v>7592</v>
      </c>
      <c r="D7098" s="1310">
        <v>914.52222400000005</v>
      </c>
    </row>
    <row r="7099" spans="2:4" x14ac:dyDescent="0.2">
      <c r="B7099" s="1341">
        <v>8688</v>
      </c>
      <c r="C7099" s="1341" t="s">
        <v>7593</v>
      </c>
      <c r="D7099" s="1310">
        <v>905.96000400000003</v>
      </c>
    </row>
    <row r="7100" spans="2:4" x14ac:dyDescent="0.2">
      <c r="B7100" s="1341">
        <v>8689</v>
      </c>
      <c r="C7100" s="1341" t="s">
        <v>2892</v>
      </c>
      <c r="D7100" s="1310">
        <v>922.81666099999995</v>
      </c>
    </row>
    <row r="7101" spans="2:4" x14ac:dyDescent="0.2">
      <c r="B7101" s="1341">
        <v>8690</v>
      </c>
      <c r="C7101" s="1341" t="s">
        <v>7594</v>
      </c>
      <c r="D7101" s="1310">
        <v>992.00001399999996</v>
      </c>
    </row>
    <row r="7102" spans="2:4" x14ac:dyDescent="0.2">
      <c r="B7102" s="1341">
        <v>8691</v>
      </c>
      <c r="C7102" s="1341" t="s">
        <v>7595</v>
      </c>
      <c r="D7102" s="1310">
        <v>913.75</v>
      </c>
    </row>
    <row r="7103" spans="2:4" x14ac:dyDescent="0.2">
      <c r="B7103" s="1341">
        <v>8692</v>
      </c>
      <c r="C7103" s="1341" t="s">
        <v>7596</v>
      </c>
      <c r="D7103" s="1310">
        <v>914.12501499999996</v>
      </c>
    </row>
    <row r="7104" spans="2:4" x14ac:dyDescent="0.2">
      <c r="B7104" s="1341">
        <v>8693</v>
      </c>
      <c r="C7104" s="1341" t="s">
        <v>7597</v>
      </c>
      <c r="D7104" s="1310">
        <v>1050.952393</v>
      </c>
    </row>
    <row r="7105" spans="2:4" x14ac:dyDescent="0.2">
      <c r="B7105" s="1341">
        <v>8694</v>
      </c>
      <c r="C7105" s="1341" t="s">
        <v>7598</v>
      </c>
      <c r="D7105" s="1310">
        <v>901.72500600000001</v>
      </c>
    </row>
    <row r="7106" spans="2:4" x14ac:dyDescent="0.2">
      <c r="B7106" s="1341">
        <v>8695</v>
      </c>
      <c r="C7106" s="1341" t="s">
        <v>7599</v>
      </c>
      <c r="D7106" s="1310">
        <v>848.71250299999997</v>
      </c>
    </row>
    <row r="7107" spans="2:4" x14ac:dyDescent="0.2">
      <c r="B7107" s="1341">
        <v>8696</v>
      </c>
      <c r="C7107" s="1341" t="s">
        <v>7600</v>
      </c>
      <c r="D7107" s="1310">
        <v>917.54165599999999</v>
      </c>
    </row>
    <row r="7108" spans="2:4" x14ac:dyDescent="0.2">
      <c r="B7108" s="1341">
        <v>8697</v>
      </c>
      <c r="C7108" s="1341" t="s">
        <v>7601</v>
      </c>
      <c r="D7108" s="1310">
        <v>1053.7958349999999</v>
      </c>
    </row>
    <row r="7109" spans="2:4" x14ac:dyDescent="0.2">
      <c r="B7109" s="1341">
        <v>8698</v>
      </c>
      <c r="C7109" s="1341" t="s">
        <v>7602</v>
      </c>
      <c r="D7109" s="1310">
        <v>961.88888899999995</v>
      </c>
    </row>
    <row r="7110" spans="2:4" x14ac:dyDescent="0.2">
      <c r="B7110" s="1341">
        <v>8699</v>
      </c>
      <c r="C7110" s="1341" t="s">
        <v>7603</v>
      </c>
      <c r="D7110" s="1310">
        <v>972.24445300000002</v>
      </c>
    </row>
    <row r="7111" spans="2:4" x14ac:dyDescent="0.2">
      <c r="B7111" s="1341">
        <v>8700</v>
      </c>
      <c r="C7111" s="1341" t="s">
        <v>7604</v>
      </c>
      <c r="D7111" s="1310">
        <v>1035.857143</v>
      </c>
    </row>
    <row r="7112" spans="2:4" x14ac:dyDescent="0.2">
      <c r="B7112" s="1341">
        <v>8701</v>
      </c>
      <c r="C7112" s="1341" t="s">
        <v>7605</v>
      </c>
      <c r="D7112" s="1310">
        <v>971.52857300000005</v>
      </c>
    </row>
    <row r="7113" spans="2:4" x14ac:dyDescent="0.2">
      <c r="B7113" s="1341">
        <v>8702</v>
      </c>
      <c r="C7113" s="1341" t="s">
        <v>7606</v>
      </c>
      <c r="D7113" s="1310">
        <v>908.38667399999997</v>
      </c>
    </row>
    <row r="7114" spans="2:4" x14ac:dyDescent="0.2">
      <c r="B7114" s="1341">
        <v>8703</v>
      </c>
      <c r="C7114" s="1341" t="s">
        <v>7607</v>
      </c>
      <c r="D7114" s="1310">
        <v>1013.749997</v>
      </c>
    </row>
    <row r="7115" spans="2:4" x14ac:dyDescent="0.2">
      <c r="B7115" s="1341">
        <v>8704</v>
      </c>
      <c r="C7115" s="1341" t="s">
        <v>7608</v>
      </c>
      <c r="D7115" s="1310">
        <v>1006.499988</v>
      </c>
    </row>
    <row r="7116" spans="2:4" x14ac:dyDescent="0.2">
      <c r="B7116" s="1341">
        <v>8705</v>
      </c>
      <c r="C7116" s="1341" t="s">
        <v>6044</v>
      </c>
      <c r="D7116" s="1310">
        <v>1019.7280029999999</v>
      </c>
    </row>
    <row r="7117" spans="2:4" x14ac:dyDescent="0.2">
      <c r="B7117" s="1341">
        <v>8706</v>
      </c>
      <c r="C7117" s="1341" t="s">
        <v>7609</v>
      </c>
      <c r="D7117" s="1310">
        <v>974.67142999999999</v>
      </c>
    </row>
    <row r="7118" spans="2:4" x14ac:dyDescent="0.2">
      <c r="B7118" s="1341">
        <v>8707</v>
      </c>
      <c r="C7118" s="1341" t="s">
        <v>7610</v>
      </c>
      <c r="D7118" s="1310">
        <v>937.40999799999997</v>
      </c>
    </row>
    <row r="7119" spans="2:4" x14ac:dyDescent="0.2">
      <c r="B7119" s="1341">
        <v>8708</v>
      </c>
      <c r="C7119" s="1341" t="s">
        <v>7611</v>
      </c>
      <c r="D7119" s="1310">
        <v>971.45712700000001</v>
      </c>
    </row>
    <row r="7120" spans="2:4" x14ac:dyDescent="0.2">
      <c r="B7120" s="1341">
        <v>8709</v>
      </c>
      <c r="C7120" s="1341" t="s">
        <v>7612</v>
      </c>
      <c r="D7120" s="1310">
        <v>884.43846699999995</v>
      </c>
    </row>
    <row r="7121" spans="2:4" x14ac:dyDescent="0.2">
      <c r="B7121" s="1341">
        <v>8710</v>
      </c>
      <c r="C7121" s="1341" t="s">
        <v>7613</v>
      </c>
      <c r="D7121" s="1310">
        <v>987.23571300000003</v>
      </c>
    </row>
    <row r="7122" spans="2:4" x14ac:dyDescent="0.2">
      <c r="B7122" s="1341">
        <v>8711</v>
      </c>
      <c r="C7122" s="1341" t="s">
        <v>7614</v>
      </c>
      <c r="D7122" s="1310">
        <v>893.2</v>
      </c>
    </row>
    <row r="7123" spans="2:4" x14ac:dyDescent="0.2">
      <c r="B7123" s="1341">
        <v>8712</v>
      </c>
      <c r="C7123" s="1341" t="s">
        <v>7615</v>
      </c>
      <c r="D7123" s="1310">
        <v>821.53529300000002</v>
      </c>
    </row>
    <row r="7124" spans="2:4" x14ac:dyDescent="0.2">
      <c r="B7124" s="1341">
        <v>8713</v>
      </c>
      <c r="C7124" s="1341" t="s">
        <v>7616</v>
      </c>
      <c r="D7124" s="1310">
        <v>1108.3264770000001</v>
      </c>
    </row>
    <row r="7125" spans="2:4" x14ac:dyDescent="0.2">
      <c r="B7125" s="1341">
        <v>8714</v>
      </c>
      <c r="C7125" s="1341" t="s">
        <v>7617</v>
      </c>
      <c r="D7125" s="1310">
        <v>1115.546161</v>
      </c>
    </row>
    <row r="7126" spans="2:4" x14ac:dyDescent="0.2">
      <c r="B7126" s="1341">
        <v>8715</v>
      </c>
      <c r="C7126" s="1341" t="s">
        <v>7618</v>
      </c>
      <c r="D7126" s="1310">
        <v>1050.0823580000001</v>
      </c>
    </row>
    <row r="7127" spans="2:4" x14ac:dyDescent="0.2">
      <c r="B7127" s="1341">
        <v>8717</v>
      </c>
      <c r="C7127" s="1341" t="s">
        <v>7619</v>
      </c>
      <c r="D7127" s="1310">
        <v>1048.8228590000001</v>
      </c>
    </row>
    <row r="7128" spans="2:4" x14ac:dyDescent="0.2">
      <c r="B7128" s="1341">
        <v>8720</v>
      </c>
      <c r="C7128" s="1341" t="s">
        <v>7620</v>
      </c>
      <c r="D7128" s="1310">
        <v>993.24285499999996</v>
      </c>
    </row>
    <row r="7129" spans="2:4" x14ac:dyDescent="0.2">
      <c r="B7129" s="1341">
        <v>8751</v>
      </c>
      <c r="C7129" s="1341" t="s">
        <v>7621</v>
      </c>
      <c r="D7129" s="1310">
        <v>902.14375299999995</v>
      </c>
    </row>
    <row r="7130" spans="2:4" x14ac:dyDescent="0.2">
      <c r="B7130" s="1341">
        <v>8752</v>
      </c>
      <c r="C7130" s="1341" t="s">
        <v>7622</v>
      </c>
      <c r="D7130" s="1310">
        <v>997.07646599999998</v>
      </c>
    </row>
    <row r="7131" spans="2:4" x14ac:dyDescent="0.2">
      <c r="B7131" s="1341">
        <v>8753</v>
      </c>
      <c r="C7131" s="1341" t="s">
        <v>7623</v>
      </c>
      <c r="D7131" s="1310">
        <v>989.67999599999996</v>
      </c>
    </row>
    <row r="7132" spans="2:4" x14ac:dyDescent="0.2">
      <c r="B7132" s="1341">
        <v>8754</v>
      </c>
      <c r="C7132" s="1341" t="s">
        <v>2801</v>
      </c>
      <c r="D7132" s="1310">
        <v>997.94090700000004</v>
      </c>
    </row>
    <row r="7133" spans="2:4" x14ac:dyDescent="0.2">
      <c r="B7133" s="1341">
        <v>8755</v>
      </c>
      <c r="C7133" s="1341" t="s">
        <v>375</v>
      </c>
      <c r="D7133" s="1310">
        <v>976.15556200000003</v>
      </c>
    </row>
    <row r="7134" spans="2:4" x14ac:dyDescent="0.2">
      <c r="B7134" s="1341">
        <v>8756</v>
      </c>
      <c r="C7134" s="1341" t="s">
        <v>7624</v>
      </c>
      <c r="D7134" s="1310">
        <v>1044.194438</v>
      </c>
    </row>
    <row r="7135" spans="2:4" x14ac:dyDescent="0.2">
      <c r="B7135" s="1341">
        <v>8757</v>
      </c>
      <c r="C7135" s="1341" t="s">
        <v>7625</v>
      </c>
      <c r="D7135" s="1310">
        <v>985.08000500000003</v>
      </c>
    </row>
    <row r="7136" spans="2:4" x14ac:dyDescent="0.2">
      <c r="B7136" s="1341">
        <v>8758</v>
      </c>
      <c r="C7136" s="1341" t="s">
        <v>7626</v>
      </c>
      <c r="D7136" s="1310">
        <v>872.00001299999997</v>
      </c>
    </row>
    <row r="7137" spans="2:4" x14ac:dyDescent="0.2">
      <c r="B7137" s="1341">
        <v>8759</v>
      </c>
      <c r="C7137" s="1341" t="s">
        <v>7627</v>
      </c>
      <c r="D7137" s="1310">
        <v>1007.209522</v>
      </c>
    </row>
    <row r="7138" spans="2:4" x14ac:dyDescent="0.2">
      <c r="B7138" s="1341">
        <v>8760</v>
      </c>
      <c r="C7138" s="1341" t="s">
        <v>7628</v>
      </c>
      <c r="D7138" s="1310">
        <v>848.322225</v>
      </c>
    </row>
    <row r="7139" spans="2:4" x14ac:dyDescent="0.2">
      <c r="B7139" s="1341">
        <v>8761</v>
      </c>
      <c r="C7139" s="1341" t="s">
        <v>7531</v>
      </c>
      <c r="D7139" s="1310">
        <v>995.68125299999997</v>
      </c>
    </row>
    <row r="7140" spans="2:4" x14ac:dyDescent="0.2">
      <c r="B7140" s="1341">
        <v>8762</v>
      </c>
      <c r="C7140" s="1341" t="s">
        <v>7629</v>
      </c>
      <c r="D7140" s="1310">
        <v>956.5</v>
      </c>
    </row>
    <row r="7141" spans="2:4" x14ac:dyDescent="0.2">
      <c r="B7141" s="1341">
        <v>8763</v>
      </c>
      <c r="C7141" s="1341" t="s">
        <v>7630</v>
      </c>
      <c r="D7141" s="1310">
        <v>972.36111500000004</v>
      </c>
    </row>
    <row r="7142" spans="2:4" x14ac:dyDescent="0.2">
      <c r="B7142" s="1341">
        <v>8764</v>
      </c>
      <c r="C7142" s="1341" t="s">
        <v>7631</v>
      </c>
      <c r="D7142" s="1310">
        <v>1027.561113</v>
      </c>
    </row>
    <row r="7143" spans="2:4" x14ac:dyDescent="0.2">
      <c r="B7143" s="1341">
        <v>8765</v>
      </c>
      <c r="C7143" s="1341" t="s">
        <v>7632</v>
      </c>
      <c r="D7143" s="1310">
        <v>1002.700012</v>
      </c>
    </row>
    <row r="7144" spans="2:4" x14ac:dyDescent="0.2">
      <c r="B7144" s="1341">
        <v>8766</v>
      </c>
      <c r="C7144" s="1341" t="s">
        <v>7633</v>
      </c>
      <c r="D7144" s="1310">
        <v>1009.03333</v>
      </c>
    </row>
    <row r="7145" spans="2:4" x14ac:dyDescent="0.2">
      <c r="B7145" s="1341">
        <v>8767</v>
      </c>
      <c r="C7145" s="1341" t="s">
        <v>7593</v>
      </c>
      <c r="D7145" s="1310">
        <v>1028.96111</v>
      </c>
    </row>
    <row r="7146" spans="2:4" x14ac:dyDescent="0.2">
      <c r="B7146" s="1341">
        <v>8768</v>
      </c>
      <c r="C7146" s="1341" t="s">
        <v>7634</v>
      </c>
      <c r="D7146" s="1310">
        <v>967.83998999999994</v>
      </c>
    </row>
    <row r="7147" spans="2:4" x14ac:dyDescent="0.2">
      <c r="B7147" s="1341">
        <v>8769</v>
      </c>
      <c r="C7147" s="1341" t="s">
        <v>1794</v>
      </c>
      <c r="D7147" s="1310">
        <v>1005.427277</v>
      </c>
    </row>
    <row r="7148" spans="2:4" x14ac:dyDescent="0.2">
      <c r="B7148" s="1341">
        <v>8770</v>
      </c>
      <c r="C7148" s="1341" t="s">
        <v>7635</v>
      </c>
      <c r="D7148" s="1310">
        <v>1056.2999990000001</v>
      </c>
    </row>
    <row r="7149" spans="2:4" x14ac:dyDescent="0.2">
      <c r="B7149" s="1341">
        <v>8771</v>
      </c>
      <c r="C7149" s="1341" t="s">
        <v>7636</v>
      </c>
      <c r="D7149" s="1310">
        <v>973.05000299999995</v>
      </c>
    </row>
    <row r="7150" spans="2:4" x14ac:dyDescent="0.2">
      <c r="B7150" s="1341">
        <v>8772</v>
      </c>
      <c r="C7150" s="1341" t="s">
        <v>7637</v>
      </c>
      <c r="D7150" s="1310">
        <v>953.82058700000005</v>
      </c>
    </row>
    <row r="7151" spans="2:4" x14ac:dyDescent="0.2">
      <c r="B7151" s="1341">
        <v>8773</v>
      </c>
      <c r="C7151" s="1341" t="s">
        <v>7638</v>
      </c>
      <c r="D7151" s="1310">
        <v>859.64666699999998</v>
      </c>
    </row>
    <row r="7152" spans="2:4" x14ac:dyDescent="0.2">
      <c r="B7152" s="1341">
        <v>8774</v>
      </c>
      <c r="C7152" s="1341" t="s">
        <v>7639</v>
      </c>
      <c r="D7152" s="1310">
        <v>904.11817499999995</v>
      </c>
    </row>
    <row r="7153" spans="2:4" x14ac:dyDescent="0.2">
      <c r="B7153" s="1341">
        <v>8775</v>
      </c>
      <c r="C7153" s="1341" t="s">
        <v>7640</v>
      </c>
      <c r="D7153" s="1310">
        <v>1027.871416</v>
      </c>
    </row>
    <row r="7154" spans="2:4" x14ac:dyDescent="0.2">
      <c r="B7154" s="1341">
        <v>8776</v>
      </c>
      <c r="C7154" s="1341" t="s">
        <v>6042</v>
      </c>
      <c r="D7154" s="1310">
        <v>1001</v>
      </c>
    </row>
    <row r="7155" spans="2:4" x14ac:dyDescent="0.2">
      <c r="B7155" s="1341">
        <v>8777</v>
      </c>
      <c r="C7155" s="1341" t="s">
        <v>7641</v>
      </c>
      <c r="D7155" s="1310">
        <v>873.47272799999996</v>
      </c>
    </row>
    <row r="7156" spans="2:4" x14ac:dyDescent="0.2">
      <c r="B7156" s="1341">
        <v>8778</v>
      </c>
      <c r="C7156" s="1341" t="s">
        <v>7642</v>
      </c>
      <c r="D7156" s="1310">
        <v>994.01612699999998</v>
      </c>
    </row>
    <row r="7157" spans="2:4" x14ac:dyDescent="0.2">
      <c r="B7157" s="1341">
        <v>8779</v>
      </c>
      <c r="C7157" s="1341" t="s">
        <v>7643</v>
      </c>
      <c r="D7157" s="1310">
        <v>1006.327276</v>
      </c>
    </row>
    <row r="7158" spans="2:4" x14ac:dyDescent="0.2">
      <c r="B7158" s="1341">
        <v>8780</v>
      </c>
      <c r="C7158" s="1341" t="s">
        <v>7644</v>
      </c>
      <c r="D7158" s="1310">
        <v>1043.8882450000001</v>
      </c>
    </row>
    <row r="7159" spans="2:4" x14ac:dyDescent="0.2">
      <c r="B7159" s="1341">
        <v>8781</v>
      </c>
      <c r="C7159" s="1341" t="s">
        <v>7645</v>
      </c>
      <c r="D7159" s="1310">
        <v>997.66665599999999</v>
      </c>
    </row>
    <row r="7160" spans="2:4" x14ac:dyDescent="0.2">
      <c r="B7160" s="1341">
        <v>8782</v>
      </c>
      <c r="C7160" s="1341" t="s">
        <v>7646</v>
      </c>
      <c r="D7160" s="1310">
        <v>922.49354600000004</v>
      </c>
    </row>
    <row r="7161" spans="2:4" x14ac:dyDescent="0.2">
      <c r="B7161" s="1341">
        <v>8783</v>
      </c>
      <c r="C7161" s="1341" t="s">
        <v>7647</v>
      </c>
      <c r="D7161" s="1310">
        <v>964.383331</v>
      </c>
    </row>
    <row r="7162" spans="2:4" x14ac:dyDescent="0.2">
      <c r="B7162" s="1341">
        <v>8784</v>
      </c>
      <c r="C7162" s="1341" t="s">
        <v>7648</v>
      </c>
      <c r="D7162" s="1310">
        <v>985.40713900000003</v>
      </c>
    </row>
    <row r="7163" spans="2:4" x14ac:dyDescent="0.2">
      <c r="B7163" s="1341">
        <v>8801</v>
      </c>
      <c r="C7163" s="1341" t="s">
        <v>7649</v>
      </c>
      <c r="D7163" s="1310">
        <v>799.62221299999999</v>
      </c>
    </row>
    <row r="7164" spans="2:4" x14ac:dyDescent="0.2">
      <c r="B7164" s="1341">
        <v>8802</v>
      </c>
      <c r="C7164" s="1341" t="s">
        <v>7650</v>
      </c>
      <c r="D7164" s="1310">
        <v>801.83333300000004</v>
      </c>
    </row>
    <row r="7165" spans="2:4" x14ac:dyDescent="0.2">
      <c r="B7165" s="1341">
        <v>8803</v>
      </c>
      <c r="C7165" s="1341" t="s">
        <v>7651</v>
      </c>
      <c r="D7165" s="1310">
        <v>785.94998199999998</v>
      </c>
    </row>
    <row r="7166" spans="2:4" x14ac:dyDescent="0.2">
      <c r="B7166" s="1341">
        <v>8804</v>
      </c>
      <c r="C7166" s="1341" t="s">
        <v>7652</v>
      </c>
      <c r="D7166" s="1310">
        <v>780.22855900000002</v>
      </c>
    </row>
    <row r="7167" spans="2:4" x14ac:dyDescent="0.2">
      <c r="B7167" s="1341">
        <v>8805</v>
      </c>
      <c r="C7167" s="1341" t="s">
        <v>7653</v>
      </c>
      <c r="D7167" s="1310">
        <v>790.33333300000004</v>
      </c>
    </row>
    <row r="7168" spans="2:4" x14ac:dyDescent="0.2">
      <c r="B7168" s="1341">
        <v>8806</v>
      </c>
      <c r="C7168" s="1341" t="s">
        <v>7298</v>
      </c>
      <c r="D7168" s="1310">
        <v>797.13636899999995</v>
      </c>
    </row>
    <row r="7169" spans="2:4" x14ac:dyDescent="0.2">
      <c r="B7169" s="1341">
        <v>8807</v>
      </c>
      <c r="C7169" s="1341" t="s">
        <v>7654</v>
      </c>
      <c r="D7169" s="1310">
        <v>778.14999399999999</v>
      </c>
    </row>
    <row r="7170" spans="2:4" x14ac:dyDescent="0.2">
      <c r="B7170" s="1341">
        <v>8808</v>
      </c>
      <c r="C7170" s="1341" t="s">
        <v>7655</v>
      </c>
      <c r="D7170" s="1310">
        <v>770.10713799999996</v>
      </c>
    </row>
    <row r="7171" spans="2:4" x14ac:dyDescent="0.2">
      <c r="B7171" s="1341">
        <v>8809</v>
      </c>
      <c r="C7171" s="1341" t="s">
        <v>3470</v>
      </c>
      <c r="D7171" s="1310">
        <v>769.81000400000005</v>
      </c>
    </row>
    <row r="7172" spans="2:4" x14ac:dyDescent="0.2">
      <c r="B7172" s="1341">
        <v>8810</v>
      </c>
      <c r="C7172" s="1341" t="s">
        <v>7656</v>
      </c>
      <c r="D7172" s="1310">
        <v>733.45001200000002</v>
      </c>
    </row>
    <row r="7173" spans="2:4" x14ac:dyDescent="0.2">
      <c r="B7173" s="1341">
        <v>8811</v>
      </c>
      <c r="C7173" s="1341" t="s">
        <v>7657</v>
      </c>
      <c r="D7173" s="1310">
        <v>761.36667899999998</v>
      </c>
    </row>
    <row r="7174" spans="2:4" x14ac:dyDescent="0.2">
      <c r="B7174" s="1341">
        <v>8812</v>
      </c>
      <c r="C7174" s="1341" t="s">
        <v>7658</v>
      </c>
      <c r="D7174" s="1310">
        <v>782.48000500000001</v>
      </c>
    </row>
    <row r="7175" spans="2:4" x14ac:dyDescent="0.2">
      <c r="B7175" s="1341">
        <v>8813</v>
      </c>
      <c r="C7175" s="1341" t="s">
        <v>4110</v>
      </c>
      <c r="D7175" s="1310">
        <v>776.21428600000002</v>
      </c>
    </row>
    <row r="7176" spans="2:4" x14ac:dyDescent="0.2">
      <c r="B7176" s="1341">
        <v>8814</v>
      </c>
      <c r="C7176" s="1341" t="s">
        <v>5360</v>
      </c>
      <c r="D7176" s="1310">
        <v>782.83846300000005</v>
      </c>
    </row>
    <row r="7177" spans="2:4" x14ac:dyDescent="0.2">
      <c r="B7177" s="1341">
        <v>8815</v>
      </c>
      <c r="C7177" s="1341" t="s">
        <v>7659</v>
      </c>
      <c r="D7177" s="1310">
        <v>777.30832399999997</v>
      </c>
    </row>
    <row r="7178" spans="2:4" x14ac:dyDescent="0.2">
      <c r="B7178" s="1341">
        <v>8816</v>
      </c>
      <c r="C7178" s="1341" t="s">
        <v>7660</v>
      </c>
      <c r="D7178" s="1310">
        <v>783.81176400000004</v>
      </c>
    </row>
    <row r="7179" spans="2:4" x14ac:dyDescent="0.2">
      <c r="B7179" s="1341">
        <v>8817</v>
      </c>
      <c r="C7179" s="1341" t="s">
        <v>7661</v>
      </c>
      <c r="D7179" s="1310">
        <v>745.37999300000001</v>
      </c>
    </row>
    <row r="7180" spans="2:4" x14ac:dyDescent="0.2">
      <c r="B7180" s="1341">
        <v>8818</v>
      </c>
      <c r="C7180" s="1341" t="s">
        <v>7662</v>
      </c>
      <c r="D7180" s="1310">
        <v>770.84999600000003</v>
      </c>
    </row>
    <row r="7181" spans="2:4" x14ac:dyDescent="0.2">
      <c r="B7181" s="1341">
        <v>8819</v>
      </c>
      <c r="C7181" s="1341" t="s">
        <v>7663</v>
      </c>
      <c r="D7181" s="1310">
        <v>774.25</v>
      </c>
    </row>
    <row r="7182" spans="2:4" x14ac:dyDescent="0.2">
      <c r="B7182" s="1341">
        <v>8820</v>
      </c>
      <c r="C7182" s="1341" t="s">
        <v>7664</v>
      </c>
      <c r="D7182" s="1310">
        <v>779.99285499999996</v>
      </c>
    </row>
    <row r="7183" spans="2:4" x14ac:dyDescent="0.2">
      <c r="B7183" s="1341">
        <v>8821</v>
      </c>
      <c r="C7183" s="1341" t="s">
        <v>1466</v>
      </c>
      <c r="D7183" s="1310">
        <v>792.80833900000005</v>
      </c>
    </row>
    <row r="7184" spans="2:4" x14ac:dyDescent="0.2">
      <c r="B7184" s="1341">
        <v>8822</v>
      </c>
      <c r="C7184" s="1341" t="s">
        <v>7665</v>
      </c>
      <c r="D7184" s="1310">
        <v>786.56667100000004</v>
      </c>
    </row>
    <row r="7185" spans="2:4" x14ac:dyDescent="0.2">
      <c r="B7185" s="1341">
        <v>8823</v>
      </c>
      <c r="C7185" s="1341" t="s">
        <v>7666</v>
      </c>
      <c r="D7185" s="1310">
        <v>765.57691799999998</v>
      </c>
    </row>
    <row r="7186" spans="2:4" x14ac:dyDescent="0.2">
      <c r="B7186" s="1341">
        <v>8824</v>
      </c>
      <c r="C7186" s="1341" t="s">
        <v>2570</v>
      </c>
      <c r="D7186" s="1310">
        <v>785.10000600000001</v>
      </c>
    </row>
    <row r="7187" spans="2:4" x14ac:dyDescent="0.2">
      <c r="B7187" s="1341">
        <v>8825</v>
      </c>
      <c r="C7187" s="1341" t="s">
        <v>7667</v>
      </c>
      <c r="D7187" s="1310">
        <v>781.58333300000004</v>
      </c>
    </row>
    <row r="7188" spans="2:4" x14ac:dyDescent="0.2">
      <c r="B7188" s="1341">
        <v>8826</v>
      </c>
      <c r="C7188" s="1341" t="s">
        <v>7668</v>
      </c>
      <c r="D7188" s="1310">
        <v>783.75883199999998</v>
      </c>
    </row>
    <row r="7189" spans="2:4" x14ac:dyDescent="0.2">
      <c r="B7189" s="1341">
        <v>8827</v>
      </c>
      <c r="C7189" s="1341" t="s">
        <v>7669</v>
      </c>
      <c r="D7189" s="1310">
        <v>787.48333200000002</v>
      </c>
    </row>
    <row r="7190" spans="2:4" x14ac:dyDescent="0.2">
      <c r="B7190" s="1341">
        <v>8828</v>
      </c>
      <c r="C7190" s="1341" t="s">
        <v>7670</v>
      </c>
      <c r="D7190" s="1310">
        <v>801.81000400000005</v>
      </c>
    </row>
    <row r="7191" spans="2:4" x14ac:dyDescent="0.2">
      <c r="B7191" s="1341">
        <v>8829</v>
      </c>
      <c r="C7191" s="1341" t="s">
        <v>7671</v>
      </c>
      <c r="D7191" s="1310">
        <v>896.13333599999999</v>
      </c>
    </row>
    <row r="7192" spans="2:4" x14ac:dyDescent="0.2">
      <c r="B7192" s="1341">
        <v>8830</v>
      </c>
      <c r="C7192" s="1341" t="s">
        <v>7672</v>
      </c>
      <c r="D7192" s="1310">
        <v>827.27222700000004</v>
      </c>
    </row>
    <row r="7193" spans="2:4" x14ac:dyDescent="0.2">
      <c r="B7193" s="1341">
        <v>8831</v>
      </c>
      <c r="C7193" s="1341" t="s">
        <v>7673</v>
      </c>
      <c r="D7193" s="1310">
        <v>775.47272799999996</v>
      </c>
    </row>
    <row r="7194" spans="2:4" x14ac:dyDescent="0.2">
      <c r="B7194" s="1341">
        <v>8832</v>
      </c>
      <c r="C7194" s="1341" t="s">
        <v>7674</v>
      </c>
      <c r="D7194" s="1310">
        <v>764.08570199999997</v>
      </c>
    </row>
    <row r="7195" spans="2:4" x14ac:dyDescent="0.2">
      <c r="B7195" s="1341">
        <v>8833</v>
      </c>
      <c r="C7195" s="1341" t="s">
        <v>7675</v>
      </c>
      <c r="D7195" s="1310">
        <v>774.97777599999995</v>
      </c>
    </row>
    <row r="7196" spans="2:4" x14ac:dyDescent="0.2">
      <c r="B7196" s="1341">
        <v>8834</v>
      </c>
      <c r="C7196" s="1341" t="s">
        <v>7676</v>
      </c>
      <c r="D7196" s="1310">
        <v>763.77856899999995</v>
      </c>
    </row>
    <row r="7197" spans="2:4" x14ac:dyDescent="0.2">
      <c r="B7197" s="1341">
        <v>8835</v>
      </c>
      <c r="C7197" s="1341" t="s">
        <v>7677</v>
      </c>
      <c r="D7197" s="1310">
        <v>762.83331299999998</v>
      </c>
    </row>
    <row r="7198" spans="2:4" x14ac:dyDescent="0.2">
      <c r="B7198" s="1341">
        <v>8836</v>
      </c>
      <c r="C7198" s="1341" t="s">
        <v>7678</v>
      </c>
      <c r="D7198" s="1310">
        <v>812.17727400000001</v>
      </c>
    </row>
    <row r="7199" spans="2:4" x14ac:dyDescent="0.2">
      <c r="B7199" s="1341">
        <v>8837</v>
      </c>
      <c r="C7199" s="1341" t="s">
        <v>3862</v>
      </c>
      <c r="D7199" s="1310">
        <v>742.92000700000006</v>
      </c>
    </row>
    <row r="7200" spans="2:4" x14ac:dyDescent="0.2">
      <c r="B7200" s="1341">
        <v>8838</v>
      </c>
      <c r="C7200" s="1341" t="s">
        <v>2913</v>
      </c>
      <c r="D7200" s="1310">
        <v>844.65002400000003</v>
      </c>
    </row>
    <row r="7201" spans="2:4" x14ac:dyDescent="0.2">
      <c r="B7201" s="1341">
        <v>8839</v>
      </c>
      <c r="C7201" s="1341" t="s">
        <v>7679</v>
      </c>
      <c r="D7201" s="1310">
        <v>768.26153099999999</v>
      </c>
    </row>
    <row r="7202" spans="2:4" x14ac:dyDescent="0.2">
      <c r="B7202" s="1341">
        <v>8840</v>
      </c>
      <c r="C7202" s="1341" t="s">
        <v>7680</v>
      </c>
      <c r="D7202" s="1310">
        <v>757.72666800000002</v>
      </c>
    </row>
    <row r="7203" spans="2:4" x14ac:dyDescent="0.2">
      <c r="B7203" s="1341">
        <v>8841</v>
      </c>
      <c r="C7203" s="1341" t="s">
        <v>7681</v>
      </c>
      <c r="D7203" s="1310">
        <v>768.51000399999998</v>
      </c>
    </row>
    <row r="7204" spans="2:4" x14ac:dyDescent="0.2">
      <c r="B7204" s="1341">
        <v>8842</v>
      </c>
      <c r="C7204" s="1341" t="s">
        <v>7682</v>
      </c>
      <c r="D7204" s="1310">
        <v>763.25556800000004</v>
      </c>
    </row>
    <row r="7205" spans="2:4" x14ac:dyDescent="0.2">
      <c r="B7205" s="1341">
        <v>8843</v>
      </c>
      <c r="C7205" s="1341" t="s">
        <v>7683</v>
      </c>
      <c r="D7205" s="1310">
        <v>758.02499399999999</v>
      </c>
    </row>
    <row r="7206" spans="2:4" x14ac:dyDescent="0.2">
      <c r="B7206" s="1341">
        <v>8844</v>
      </c>
      <c r="C7206" s="1341" t="s">
        <v>386</v>
      </c>
      <c r="D7206" s="1310">
        <v>750.78571399999998</v>
      </c>
    </row>
    <row r="7207" spans="2:4" x14ac:dyDescent="0.2">
      <c r="B7207" s="1341">
        <v>8845</v>
      </c>
      <c r="C7207" s="1341" t="s">
        <v>7684</v>
      </c>
      <c r="D7207" s="1310">
        <v>789.04000199999996</v>
      </c>
    </row>
    <row r="7208" spans="2:4" x14ac:dyDescent="0.2">
      <c r="B7208" s="1341">
        <v>8846</v>
      </c>
      <c r="C7208" s="1341" t="s">
        <v>7685</v>
      </c>
      <c r="D7208" s="1310">
        <v>856.46110699999997</v>
      </c>
    </row>
    <row r="7209" spans="2:4" x14ac:dyDescent="0.2">
      <c r="B7209" s="1341">
        <v>8847</v>
      </c>
      <c r="C7209" s="1341" t="s">
        <v>7686</v>
      </c>
      <c r="D7209" s="1310">
        <v>815.240002</v>
      </c>
    </row>
    <row r="7210" spans="2:4" x14ac:dyDescent="0.2">
      <c r="B7210" s="1341">
        <v>8848</v>
      </c>
      <c r="C7210" s="1341" t="s">
        <v>7687</v>
      </c>
      <c r="D7210" s="1310">
        <v>805.66665999999998</v>
      </c>
    </row>
    <row r="7211" spans="2:4" x14ac:dyDescent="0.2">
      <c r="B7211" s="1341">
        <v>8849</v>
      </c>
      <c r="C7211" s="1341" t="s">
        <v>7688</v>
      </c>
      <c r="D7211" s="1310">
        <v>779.28571399999998</v>
      </c>
    </row>
    <row r="7212" spans="2:4" x14ac:dyDescent="0.2">
      <c r="B7212" s="1341">
        <v>8850</v>
      </c>
      <c r="C7212" s="1341" t="s">
        <v>7689</v>
      </c>
      <c r="D7212" s="1310">
        <v>780.527781</v>
      </c>
    </row>
    <row r="7213" spans="2:4" x14ac:dyDescent="0.2">
      <c r="B7213" s="1341">
        <v>8851</v>
      </c>
      <c r="C7213" s="1341" t="s">
        <v>7428</v>
      </c>
      <c r="D7213" s="1310">
        <v>817.91249800000003</v>
      </c>
    </row>
    <row r="7214" spans="2:4" x14ac:dyDescent="0.2">
      <c r="B7214" s="1341">
        <v>8852</v>
      </c>
      <c r="C7214" s="1341" t="s">
        <v>7690</v>
      </c>
      <c r="D7214" s="1310">
        <v>780.55000500000006</v>
      </c>
    </row>
    <row r="7215" spans="2:4" x14ac:dyDescent="0.2">
      <c r="B7215" s="1341">
        <v>8853</v>
      </c>
      <c r="C7215" s="1341" t="s">
        <v>7691</v>
      </c>
      <c r="D7215" s="1310">
        <v>863.82632000000001</v>
      </c>
    </row>
    <row r="7216" spans="2:4" x14ac:dyDescent="0.2">
      <c r="B7216" s="1341">
        <v>8854</v>
      </c>
      <c r="C7216" s="1341" t="s">
        <v>7692</v>
      </c>
      <c r="D7216" s="1310">
        <v>844.56666099999995</v>
      </c>
    </row>
    <row r="7217" spans="2:4" x14ac:dyDescent="0.2">
      <c r="B7217" s="1341">
        <v>8855</v>
      </c>
      <c r="C7217" s="1341" t="s">
        <v>7693</v>
      </c>
      <c r="D7217" s="1310">
        <v>842.82999900000004</v>
      </c>
    </row>
    <row r="7218" spans="2:4" x14ac:dyDescent="0.2">
      <c r="B7218" s="1341">
        <v>8856</v>
      </c>
      <c r="C7218" s="1341" t="s">
        <v>7694</v>
      </c>
      <c r="D7218" s="1310">
        <v>878.47777599999995</v>
      </c>
    </row>
    <row r="7219" spans="2:4" x14ac:dyDescent="0.2">
      <c r="B7219" s="1341">
        <v>8857</v>
      </c>
      <c r="C7219" s="1341" t="s">
        <v>7695</v>
      </c>
      <c r="D7219" s="1310">
        <v>829.40002400000003</v>
      </c>
    </row>
    <row r="7220" spans="2:4" x14ac:dyDescent="0.2">
      <c r="B7220" s="1341">
        <v>8858</v>
      </c>
      <c r="C7220" s="1341" t="s">
        <v>3489</v>
      </c>
      <c r="D7220" s="1310">
        <v>831.25555799999995</v>
      </c>
    </row>
    <row r="7221" spans="2:4" x14ac:dyDescent="0.2">
      <c r="B7221" s="1341">
        <v>8859</v>
      </c>
      <c r="C7221" s="1341" t="s">
        <v>6044</v>
      </c>
      <c r="D7221" s="1310">
        <v>898.58333800000003</v>
      </c>
    </row>
    <row r="7222" spans="2:4" x14ac:dyDescent="0.2">
      <c r="B7222" s="1341">
        <v>8860</v>
      </c>
      <c r="C7222" s="1341" t="s">
        <v>7696</v>
      </c>
      <c r="D7222" s="1310">
        <v>912.67500299999995</v>
      </c>
    </row>
    <row r="7223" spans="2:4" x14ac:dyDescent="0.2">
      <c r="B7223" s="1341">
        <v>8901</v>
      </c>
      <c r="C7223" s="1341" t="s">
        <v>370</v>
      </c>
      <c r="D7223" s="1310">
        <v>788.10001</v>
      </c>
    </row>
    <row r="7224" spans="2:4" x14ac:dyDescent="0.2">
      <c r="B7224" s="1341">
        <v>8902</v>
      </c>
      <c r="C7224" s="1341" t="s">
        <v>7697</v>
      </c>
      <c r="D7224" s="1310">
        <v>800.58572000000004</v>
      </c>
    </row>
    <row r="7225" spans="2:4" x14ac:dyDescent="0.2">
      <c r="B7225" s="1341">
        <v>8903</v>
      </c>
      <c r="C7225" s="1341" t="s">
        <v>7698</v>
      </c>
      <c r="D7225" s="1310">
        <v>844.11428799999999</v>
      </c>
    </row>
    <row r="7226" spans="2:4" x14ac:dyDescent="0.2">
      <c r="B7226" s="1341">
        <v>8904</v>
      </c>
      <c r="C7226" s="1341" t="s">
        <v>1471</v>
      </c>
      <c r="D7226" s="1310">
        <v>851.13635299999999</v>
      </c>
    </row>
    <row r="7227" spans="2:4" x14ac:dyDescent="0.2">
      <c r="B7227" s="1341">
        <v>8905</v>
      </c>
      <c r="C7227" s="1341" t="s">
        <v>7699</v>
      </c>
      <c r="D7227" s="1310">
        <v>833.23334199999999</v>
      </c>
    </row>
    <row r="7228" spans="2:4" x14ac:dyDescent="0.2">
      <c r="B7228" s="1341">
        <v>8906</v>
      </c>
      <c r="C7228" s="1341" t="s">
        <v>7435</v>
      </c>
      <c r="D7228" s="1310">
        <v>840.05454899999995</v>
      </c>
    </row>
    <row r="7229" spans="2:4" x14ac:dyDescent="0.2">
      <c r="B7229" s="1341">
        <v>8907</v>
      </c>
      <c r="C7229" s="1341" t="s">
        <v>7700</v>
      </c>
      <c r="D7229" s="1310">
        <v>822.40713900000003</v>
      </c>
    </row>
    <row r="7230" spans="2:4" x14ac:dyDescent="0.2">
      <c r="B7230" s="1341">
        <v>8908</v>
      </c>
      <c r="C7230" s="1341" t="s">
        <v>7701</v>
      </c>
      <c r="D7230" s="1310">
        <v>803.10001</v>
      </c>
    </row>
    <row r="7231" spans="2:4" x14ac:dyDescent="0.2">
      <c r="B7231" s="1341">
        <v>8909</v>
      </c>
      <c r="C7231" s="1341" t="s">
        <v>7702</v>
      </c>
      <c r="D7231" s="1310">
        <v>870.06363699999997</v>
      </c>
    </row>
    <row r="7232" spans="2:4" x14ac:dyDescent="0.2">
      <c r="B7232" s="1341">
        <v>8910</v>
      </c>
      <c r="C7232" s="1341" t="s">
        <v>3775</v>
      </c>
      <c r="D7232" s="1310">
        <v>882.29999899999996</v>
      </c>
    </row>
    <row r="7233" spans="2:4" x14ac:dyDescent="0.2">
      <c r="B7233" s="1341">
        <v>8911</v>
      </c>
      <c r="C7233" s="1341" t="s">
        <v>7703</v>
      </c>
      <c r="D7233" s="1310">
        <v>948.06111299999998</v>
      </c>
    </row>
    <row r="7234" spans="2:4" x14ac:dyDescent="0.2">
      <c r="B7234" s="1341">
        <v>8912</v>
      </c>
      <c r="C7234" s="1341" t="s">
        <v>7704</v>
      </c>
      <c r="D7234" s="1310">
        <v>819.14167299999997</v>
      </c>
    </row>
    <row r="7235" spans="2:4" x14ac:dyDescent="0.2">
      <c r="B7235" s="1341">
        <v>8913</v>
      </c>
      <c r="C7235" s="1341" t="s">
        <v>7705</v>
      </c>
      <c r="D7235" s="1310">
        <v>867.41249800000003</v>
      </c>
    </row>
    <row r="7236" spans="2:4" x14ac:dyDescent="0.2">
      <c r="B7236" s="1341">
        <v>8914</v>
      </c>
      <c r="C7236" s="1341" t="s">
        <v>7706</v>
      </c>
      <c r="D7236" s="1310">
        <v>821.98570900000004</v>
      </c>
    </row>
    <row r="7237" spans="2:4" x14ac:dyDescent="0.2">
      <c r="B7237" s="1341">
        <v>8915</v>
      </c>
      <c r="C7237" s="1341" t="s">
        <v>7707</v>
      </c>
      <c r="D7237" s="1310">
        <v>810.04001500000004</v>
      </c>
    </row>
    <row r="7238" spans="2:4" x14ac:dyDescent="0.2">
      <c r="B7238" s="1341">
        <v>8916</v>
      </c>
      <c r="C7238" s="1341" t="s">
        <v>1773</v>
      </c>
      <c r="D7238" s="1310">
        <v>876.15714800000001</v>
      </c>
    </row>
    <row r="7239" spans="2:4" x14ac:dyDescent="0.2">
      <c r="B7239" s="1341">
        <v>8918</v>
      </c>
      <c r="C7239" s="1341" t="s">
        <v>7708</v>
      </c>
      <c r="D7239" s="1310">
        <v>933.52940799999999</v>
      </c>
    </row>
    <row r="7240" spans="2:4" x14ac:dyDescent="0.2">
      <c r="B7240" s="1341">
        <v>8919</v>
      </c>
      <c r="C7240" s="1341" t="s">
        <v>7709</v>
      </c>
      <c r="D7240" s="1310">
        <v>836.5</v>
      </c>
    </row>
    <row r="7241" spans="2:4" x14ac:dyDescent="0.2">
      <c r="B7241" s="1341">
        <v>8920</v>
      </c>
      <c r="C7241" s="1341" t="s">
        <v>7710</v>
      </c>
      <c r="D7241" s="1310">
        <v>907.68999599999995</v>
      </c>
    </row>
    <row r="7242" spans="2:4" x14ac:dyDescent="0.2">
      <c r="B7242" s="1341">
        <v>8921</v>
      </c>
      <c r="C7242" s="1341" t="s">
        <v>7711</v>
      </c>
      <c r="D7242" s="1310">
        <v>850.323533</v>
      </c>
    </row>
    <row r="7243" spans="2:4" x14ac:dyDescent="0.2">
      <c r="B7243" s="1341">
        <v>8922</v>
      </c>
      <c r="C7243" s="1341" t="s">
        <v>7712</v>
      </c>
      <c r="D7243" s="1310">
        <v>891.10000600000001</v>
      </c>
    </row>
    <row r="7244" spans="2:4" x14ac:dyDescent="0.2">
      <c r="B7244" s="1341">
        <v>8923</v>
      </c>
      <c r="C7244" s="1341" t="s">
        <v>7713</v>
      </c>
      <c r="D7244" s="1310">
        <v>777.27999299999999</v>
      </c>
    </row>
    <row r="7245" spans="2:4" x14ac:dyDescent="0.2">
      <c r="B7245" s="1341">
        <v>8924</v>
      </c>
      <c r="C7245" s="1341" t="s">
        <v>7714</v>
      </c>
      <c r="D7245" s="1310">
        <v>797.58001100000001</v>
      </c>
    </row>
    <row r="7246" spans="2:4" x14ac:dyDescent="0.2">
      <c r="B7246" s="1341">
        <v>8925</v>
      </c>
      <c r="C7246" s="1341" t="s">
        <v>7715</v>
      </c>
      <c r="D7246" s="1310">
        <v>850.184617</v>
      </c>
    </row>
    <row r="7247" spans="2:4" x14ac:dyDescent="0.2">
      <c r="B7247" s="1341">
        <v>8926</v>
      </c>
      <c r="C7247" s="1341" t="s">
        <v>7716</v>
      </c>
      <c r="D7247" s="1310">
        <v>817.51110800000004</v>
      </c>
    </row>
    <row r="7248" spans="2:4" x14ac:dyDescent="0.2">
      <c r="B7248" s="1341">
        <v>8927</v>
      </c>
      <c r="C7248" s="1341" t="s">
        <v>7717</v>
      </c>
      <c r="D7248" s="1310">
        <v>792.65832499999999</v>
      </c>
    </row>
    <row r="7249" spans="2:4" x14ac:dyDescent="0.2">
      <c r="B7249" s="1341">
        <v>8928</v>
      </c>
      <c r="C7249" s="1341" t="s">
        <v>7718</v>
      </c>
      <c r="D7249" s="1310">
        <v>910.65555099999995</v>
      </c>
    </row>
    <row r="7250" spans="2:4" x14ac:dyDescent="0.2">
      <c r="B7250" s="1341">
        <v>8929</v>
      </c>
      <c r="C7250" s="1341" t="s">
        <v>7719</v>
      </c>
      <c r="D7250" s="1310">
        <v>834.90000299999997</v>
      </c>
    </row>
    <row r="7251" spans="2:4" x14ac:dyDescent="0.2">
      <c r="B7251" s="1341">
        <v>8930</v>
      </c>
      <c r="C7251" s="1341" t="s">
        <v>7720</v>
      </c>
      <c r="D7251" s="1310">
        <v>820.17142999999999</v>
      </c>
    </row>
    <row r="7252" spans="2:4" x14ac:dyDescent="0.2">
      <c r="B7252" s="1341">
        <v>8931</v>
      </c>
      <c r="C7252" s="1341" t="s">
        <v>7721</v>
      </c>
      <c r="D7252" s="1310">
        <v>765.95555999999999</v>
      </c>
    </row>
    <row r="7253" spans="2:4" x14ac:dyDescent="0.2">
      <c r="B7253" s="1341">
        <v>8932</v>
      </c>
      <c r="C7253" s="1341" t="s">
        <v>7722</v>
      </c>
      <c r="D7253" s="1310">
        <v>831.67000700000006</v>
      </c>
    </row>
    <row r="7254" spans="2:4" x14ac:dyDescent="0.2">
      <c r="B7254" s="1341">
        <v>8933</v>
      </c>
      <c r="C7254" s="1341" t="s">
        <v>7723</v>
      </c>
      <c r="D7254" s="1310">
        <v>858</v>
      </c>
    </row>
    <row r="7255" spans="2:4" x14ac:dyDescent="0.2">
      <c r="B7255" s="1341">
        <v>8934</v>
      </c>
      <c r="C7255" s="1341" t="s">
        <v>7724</v>
      </c>
      <c r="D7255" s="1310">
        <v>818.5</v>
      </c>
    </row>
    <row r="7256" spans="2:4" x14ac:dyDescent="0.2">
      <c r="B7256" s="1341">
        <v>8935</v>
      </c>
      <c r="C7256" s="1341" t="s">
        <v>7186</v>
      </c>
      <c r="D7256" s="1310">
        <v>839.54286400000001</v>
      </c>
    </row>
    <row r="7257" spans="2:4" x14ac:dyDescent="0.2">
      <c r="B7257" s="1341">
        <v>8936</v>
      </c>
      <c r="C7257" s="1341" t="s">
        <v>7725</v>
      </c>
      <c r="D7257" s="1310">
        <v>777.44000200000005</v>
      </c>
    </row>
    <row r="7258" spans="2:4" x14ac:dyDescent="0.2">
      <c r="B7258" s="1341">
        <v>8937</v>
      </c>
      <c r="C7258" s="1341" t="s">
        <v>7726</v>
      </c>
      <c r="D7258" s="1310">
        <v>752.17142200000001</v>
      </c>
    </row>
    <row r="7259" spans="2:4" x14ac:dyDescent="0.2">
      <c r="B7259" s="1341">
        <v>8938</v>
      </c>
      <c r="C7259" s="1341" t="s">
        <v>7727</v>
      </c>
      <c r="D7259" s="1310">
        <v>796.50001499999996</v>
      </c>
    </row>
    <row r="7260" spans="2:4" x14ac:dyDescent="0.2">
      <c r="B7260" s="1341">
        <v>8939</v>
      </c>
      <c r="C7260" s="1341" t="s">
        <v>7728</v>
      </c>
      <c r="D7260" s="1310">
        <v>815.17499799999996</v>
      </c>
    </row>
    <row r="7261" spans="2:4" x14ac:dyDescent="0.2">
      <c r="B7261" s="1341">
        <v>8940</v>
      </c>
      <c r="C7261" s="1341" t="s">
        <v>7729</v>
      </c>
      <c r="D7261" s="1310">
        <v>835.70000700000003</v>
      </c>
    </row>
    <row r="7262" spans="2:4" x14ac:dyDescent="0.2">
      <c r="B7262" s="1341">
        <v>8941</v>
      </c>
      <c r="C7262" s="1341" t="s">
        <v>7730</v>
      </c>
      <c r="D7262" s="1310">
        <v>861.48000500000001</v>
      </c>
    </row>
    <row r="7263" spans="2:4" x14ac:dyDescent="0.2">
      <c r="B7263" s="1341">
        <v>8942</v>
      </c>
      <c r="C7263" s="1341" t="s">
        <v>7731</v>
      </c>
      <c r="D7263" s="1310">
        <v>787.7</v>
      </c>
    </row>
    <row r="7264" spans="2:4" x14ac:dyDescent="0.2">
      <c r="B7264" s="1341">
        <v>8943</v>
      </c>
      <c r="C7264" s="1341" t="s">
        <v>7732</v>
      </c>
      <c r="D7264" s="1310">
        <v>892.80000399999994</v>
      </c>
    </row>
    <row r="7265" spans="2:4" x14ac:dyDescent="0.2">
      <c r="B7265" s="1341">
        <v>8944</v>
      </c>
      <c r="C7265" s="1341" t="s">
        <v>7733</v>
      </c>
      <c r="D7265" s="1310">
        <v>809.74615900000003</v>
      </c>
    </row>
    <row r="7266" spans="2:4" x14ac:dyDescent="0.2">
      <c r="B7266" s="1341">
        <v>8945</v>
      </c>
      <c r="C7266" s="1341" t="s">
        <v>7734</v>
      </c>
      <c r="D7266" s="1310">
        <v>778.22222199999999</v>
      </c>
    </row>
    <row r="7267" spans="2:4" x14ac:dyDescent="0.2">
      <c r="B7267" s="1341">
        <v>8946</v>
      </c>
      <c r="C7267" s="1341" t="s">
        <v>7735</v>
      </c>
      <c r="D7267" s="1310">
        <v>814.823083</v>
      </c>
    </row>
    <row r="7268" spans="2:4" x14ac:dyDescent="0.2">
      <c r="B7268" s="1341">
        <v>8947</v>
      </c>
      <c r="C7268" s="1341" t="s">
        <v>7736</v>
      </c>
      <c r="D7268" s="1310">
        <v>822.34285599999998</v>
      </c>
    </row>
    <row r="7269" spans="2:4" x14ac:dyDescent="0.2">
      <c r="B7269" s="1341">
        <v>8948</v>
      </c>
      <c r="C7269" s="1341" t="s">
        <v>7737</v>
      </c>
      <c r="D7269" s="1310">
        <v>838.16666699999996</v>
      </c>
    </row>
    <row r="7270" spans="2:4" x14ac:dyDescent="0.2">
      <c r="B7270" s="1341">
        <v>8949</v>
      </c>
      <c r="C7270" s="1341" t="s">
        <v>7738</v>
      </c>
      <c r="D7270" s="1310">
        <v>831.37778000000003</v>
      </c>
    </row>
    <row r="7271" spans="2:4" x14ac:dyDescent="0.2">
      <c r="B7271" s="1341">
        <v>8950</v>
      </c>
      <c r="C7271" s="1341" t="s">
        <v>7739</v>
      </c>
      <c r="D7271" s="1310">
        <v>827.69999199999995</v>
      </c>
    </row>
    <row r="7272" spans="2:4" x14ac:dyDescent="0.2">
      <c r="B7272" s="1341">
        <v>8951</v>
      </c>
      <c r="C7272" s="1341" t="s">
        <v>7740</v>
      </c>
      <c r="D7272" s="1310">
        <v>968.77272200000004</v>
      </c>
    </row>
    <row r="7273" spans="2:4" x14ac:dyDescent="0.2">
      <c r="B7273" s="1341">
        <v>9001</v>
      </c>
      <c r="C7273" s="1341" t="s">
        <v>7741</v>
      </c>
      <c r="D7273" s="1310">
        <v>1058.853854</v>
      </c>
    </row>
    <row r="7274" spans="2:4" x14ac:dyDescent="0.2">
      <c r="B7274" s="1341">
        <v>9002</v>
      </c>
      <c r="C7274" s="1341" t="s">
        <v>7742</v>
      </c>
      <c r="D7274" s="1310">
        <v>995.37780099999998</v>
      </c>
    </row>
    <row r="7275" spans="2:4" x14ac:dyDescent="0.2">
      <c r="B7275" s="1341">
        <v>9003</v>
      </c>
      <c r="C7275" s="1341" t="s">
        <v>7743</v>
      </c>
      <c r="D7275" s="1310">
        <v>856.96666500000003</v>
      </c>
    </row>
    <row r="7276" spans="2:4" x14ac:dyDescent="0.2">
      <c r="B7276" s="1341">
        <v>9004</v>
      </c>
      <c r="C7276" s="1341" t="s">
        <v>7744</v>
      </c>
      <c r="D7276" s="1310">
        <v>887.30000800000005</v>
      </c>
    </row>
    <row r="7277" spans="2:4" x14ac:dyDescent="0.2">
      <c r="B7277" s="1341">
        <v>9005</v>
      </c>
      <c r="C7277" s="1341" t="s">
        <v>7745</v>
      </c>
      <c r="D7277" s="1310">
        <v>1044.768423</v>
      </c>
    </row>
    <row r="7278" spans="2:4" x14ac:dyDescent="0.2">
      <c r="B7278" s="1341">
        <v>9006</v>
      </c>
      <c r="C7278" s="1341" t="s">
        <v>7746</v>
      </c>
      <c r="D7278" s="1310">
        <v>906.56666700000005</v>
      </c>
    </row>
    <row r="7279" spans="2:4" x14ac:dyDescent="0.2">
      <c r="B7279" s="1341">
        <v>9007</v>
      </c>
      <c r="C7279" s="1341" t="s">
        <v>7747</v>
      </c>
      <c r="D7279" s="1310">
        <v>950.42307700000003</v>
      </c>
    </row>
    <row r="7280" spans="2:4" x14ac:dyDescent="0.2">
      <c r="B7280" s="1341">
        <v>9008</v>
      </c>
      <c r="C7280" s="1341" t="s">
        <v>7748</v>
      </c>
      <c r="D7280" s="1310">
        <v>1088.5719919999999</v>
      </c>
    </row>
    <row r="7281" spans="2:4" x14ac:dyDescent="0.2">
      <c r="B7281" s="1341">
        <v>9009</v>
      </c>
      <c r="C7281" s="1341" t="s">
        <v>7749</v>
      </c>
      <c r="D7281" s="1310">
        <v>857.98103700000001</v>
      </c>
    </row>
    <row r="7282" spans="2:4" x14ac:dyDescent="0.2">
      <c r="B7282" s="1341">
        <v>9010</v>
      </c>
      <c r="C7282" s="1341" t="s">
        <v>7750</v>
      </c>
      <c r="D7282" s="1310">
        <v>944.59997599999997</v>
      </c>
    </row>
    <row r="7283" spans="2:4" x14ac:dyDescent="0.2">
      <c r="B7283" s="1341">
        <v>9011</v>
      </c>
      <c r="C7283" s="1341" t="s">
        <v>7751</v>
      </c>
      <c r="D7283" s="1310">
        <v>884.60000600000001</v>
      </c>
    </row>
    <row r="7284" spans="2:4" x14ac:dyDescent="0.2">
      <c r="B7284" s="1341">
        <v>9012</v>
      </c>
      <c r="C7284" s="1341" t="s">
        <v>7752</v>
      </c>
      <c r="D7284" s="1310">
        <v>863.20833300000004</v>
      </c>
    </row>
    <row r="7285" spans="2:4" x14ac:dyDescent="0.2">
      <c r="B7285" s="1341">
        <v>9013</v>
      </c>
      <c r="C7285" s="1341" t="s">
        <v>7753</v>
      </c>
      <c r="D7285" s="1310">
        <v>956.74999000000003</v>
      </c>
    </row>
    <row r="7286" spans="2:4" x14ac:dyDescent="0.2">
      <c r="B7286" s="1341">
        <v>9014</v>
      </c>
      <c r="C7286" s="1341" t="s">
        <v>7754</v>
      </c>
      <c r="D7286" s="1310">
        <v>936.02000699999996</v>
      </c>
    </row>
    <row r="7287" spans="2:4" x14ac:dyDescent="0.2">
      <c r="B7287" s="1341">
        <v>9015</v>
      </c>
      <c r="C7287" s="1341" t="s">
        <v>7755</v>
      </c>
      <c r="D7287" s="1310">
        <v>1035.676927</v>
      </c>
    </row>
    <row r="7288" spans="2:4" x14ac:dyDescent="0.2">
      <c r="B7288" s="1341">
        <v>9016</v>
      </c>
      <c r="C7288" s="1341" t="s">
        <v>7756</v>
      </c>
      <c r="D7288" s="1310">
        <v>895.9</v>
      </c>
    </row>
    <row r="7289" spans="2:4" x14ac:dyDescent="0.2">
      <c r="B7289" s="1341">
        <v>9017</v>
      </c>
      <c r="C7289" s="1341" t="s">
        <v>7757</v>
      </c>
      <c r="D7289" s="1310">
        <v>883.02728300000001</v>
      </c>
    </row>
    <row r="7290" spans="2:4" x14ac:dyDescent="0.2">
      <c r="B7290" s="1341">
        <v>9018</v>
      </c>
      <c r="C7290" s="1341" t="s">
        <v>7758</v>
      </c>
      <c r="D7290" s="1310">
        <v>944.42500299999995</v>
      </c>
    </row>
    <row r="7291" spans="2:4" x14ac:dyDescent="0.2">
      <c r="B7291" s="1341">
        <v>9019</v>
      </c>
      <c r="C7291" s="1341" t="s">
        <v>7759</v>
      </c>
      <c r="D7291" s="1310">
        <v>897.69231200000002</v>
      </c>
    </row>
    <row r="7292" spans="2:4" x14ac:dyDescent="0.2">
      <c r="B7292" s="1341">
        <v>9020</v>
      </c>
      <c r="C7292" s="1341" t="s">
        <v>7760</v>
      </c>
      <c r="D7292" s="1310">
        <v>890.52857300000005</v>
      </c>
    </row>
    <row r="7293" spans="2:4" x14ac:dyDescent="0.2">
      <c r="B7293" s="1341">
        <v>9021</v>
      </c>
      <c r="C7293" s="1341" t="s">
        <v>7761</v>
      </c>
      <c r="D7293" s="1310">
        <v>879.17142999999999</v>
      </c>
    </row>
    <row r="7294" spans="2:4" x14ac:dyDescent="0.2">
      <c r="B7294" s="1341">
        <v>9022</v>
      </c>
      <c r="C7294" s="1341" t="s">
        <v>7762</v>
      </c>
      <c r="D7294" s="1310">
        <v>977.02856399999996</v>
      </c>
    </row>
    <row r="7295" spans="2:4" x14ac:dyDescent="0.2">
      <c r="B7295" s="1341">
        <v>9023</v>
      </c>
      <c r="C7295" s="1341" t="s">
        <v>7763</v>
      </c>
      <c r="D7295" s="1310">
        <v>891.47143600000004</v>
      </c>
    </row>
    <row r="7296" spans="2:4" x14ac:dyDescent="0.2">
      <c r="B7296" s="1341">
        <v>9024</v>
      </c>
      <c r="C7296" s="1341" t="s">
        <v>7764</v>
      </c>
      <c r="D7296" s="1310">
        <v>927.133331</v>
      </c>
    </row>
    <row r="7297" spans="2:4" x14ac:dyDescent="0.2">
      <c r="B7297" s="1341">
        <v>9025</v>
      </c>
      <c r="C7297" s="1341" t="s">
        <v>7765</v>
      </c>
      <c r="D7297" s="1310">
        <v>863.29999799999996</v>
      </c>
    </row>
    <row r="7298" spans="2:4" x14ac:dyDescent="0.2">
      <c r="B7298" s="1341">
        <v>9026</v>
      </c>
      <c r="C7298" s="1341" t="s">
        <v>1653</v>
      </c>
      <c r="D7298" s="1310">
        <v>982.72726699999998</v>
      </c>
    </row>
    <row r="7299" spans="2:4" x14ac:dyDescent="0.2">
      <c r="B7299" s="1341">
        <v>9027</v>
      </c>
      <c r="C7299" s="1341" t="s">
        <v>7766</v>
      </c>
      <c r="D7299" s="1310">
        <v>906.46250899999995</v>
      </c>
    </row>
    <row r="7300" spans="2:4" x14ac:dyDescent="0.2">
      <c r="B7300" s="1341">
        <v>9028</v>
      </c>
      <c r="C7300" s="1341" t="s">
        <v>7767</v>
      </c>
      <c r="D7300" s="1310">
        <v>886.55624399999999</v>
      </c>
    </row>
    <row r="7301" spans="2:4" x14ac:dyDescent="0.2">
      <c r="B7301" s="1341">
        <v>9029</v>
      </c>
      <c r="C7301" s="1341" t="s">
        <v>7768</v>
      </c>
      <c r="D7301" s="1310">
        <v>984.74284999999998</v>
      </c>
    </row>
    <row r="7302" spans="2:4" x14ac:dyDescent="0.2">
      <c r="B7302" s="1341">
        <v>9030</v>
      </c>
      <c r="C7302" s="1341" t="s">
        <v>7769</v>
      </c>
      <c r="D7302" s="1310">
        <v>888.35999800000002</v>
      </c>
    </row>
    <row r="7303" spans="2:4" x14ac:dyDescent="0.2">
      <c r="B7303" s="1341">
        <v>9031</v>
      </c>
      <c r="C7303" s="1341" t="s">
        <v>7770</v>
      </c>
      <c r="D7303" s="1310">
        <v>896.85882200000003</v>
      </c>
    </row>
    <row r="7304" spans="2:4" x14ac:dyDescent="0.2">
      <c r="B7304" s="1341">
        <v>9032</v>
      </c>
      <c r="C7304" s="1341" t="s">
        <v>7771</v>
      </c>
      <c r="D7304" s="1310">
        <v>1045.739984</v>
      </c>
    </row>
    <row r="7305" spans="2:4" x14ac:dyDescent="0.2">
      <c r="B7305" s="1341">
        <v>9033</v>
      </c>
      <c r="C7305" s="1341" t="s">
        <v>383</v>
      </c>
      <c r="D7305" s="1310">
        <v>934.17940899999996</v>
      </c>
    </row>
    <row r="7306" spans="2:4" x14ac:dyDescent="0.2">
      <c r="B7306" s="1341">
        <v>9034</v>
      </c>
      <c r="C7306" s="1341" t="s">
        <v>7772</v>
      </c>
      <c r="D7306" s="1310">
        <v>1026.9772780000001</v>
      </c>
    </row>
    <row r="7307" spans="2:4" x14ac:dyDescent="0.2">
      <c r="B7307" s="1341">
        <v>9035</v>
      </c>
      <c r="C7307" s="1341" t="s">
        <v>4843</v>
      </c>
      <c r="D7307" s="1310">
        <v>970.259998</v>
      </c>
    </row>
    <row r="7308" spans="2:4" x14ac:dyDescent="0.2">
      <c r="B7308" s="1341">
        <v>9036</v>
      </c>
      <c r="C7308" s="1341" t="s">
        <v>7773</v>
      </c>
      <c r="D7308" s="1310">
        <v>1014.5857109999999</v>
      </c>
    </row>
    <row r="7309" spans="2:4" x14ac:dyDescent="0.2">
      <c r="B7309" s="1341">
        <v>9037</v>
      </c>
      <c r="C7309" s="1341" t="s">
        <v>7774</v>
      </c>
      <c r="D7309" s="1310">
        <v>992.19999199999995</v>
      </c>
    </row>
    <row r="7310" spans="2:4" x14ac:dyDescent="0.2">
      <c r="B7310" s="1341">
        <v>9038</v>
      </c>
      <c r="C7310" s="1341" t="s">
        <v>7775</v>
      </c>
      <c r="D7310" s="1310">
        <v>897.86667899999998</v>
      </c>
    </row>
    <row r="7311" spans="2:4" x14ac:dyDescent="0.2">
      <c r="B7311" s="1341">
        <v>9039</v>
      </c>
      <c r="C7311" s="1341" t="s">
        <v>7776</v>
      </c>
      <c r="D7311" s="1310">
        <v>967.77999299999999</v>
      </c>
    </row>
    <row r="7312" spans="2:4" x14ac:dyDescent="0.2">
      <c r="B7312" s="1341">
        <v>9040</v>
      </c>
      <c r="C7312" s="1341" t="s">
        <v>7777</v>
      </c>
      <c r="D7312" s="1310">
        <v>949.86250299999995</v>
      </c>
    </row>
    <row r="7313" spans="2:4" x14ac:dyDescent="0.2">
      <c r="B7313" s="1341">
        <v>9041</v>
      </c>
      <c r="C7313" s="1341" t="s">
        <v>7778</v>
      </c>
      <c r="D7313" s="1310">
        <v>909.48889199999996</v>
      </c>
    </row>
    <row r="7314" spans="2:4" x14ac:dyDescent="0.2">
      <c r="B7314" s="1341">
        <v>9042</v>
      </c>
      <c r="C7314" s="1341" t="s">
        <v>7779</v>
      </c>
      <c r="D7314" s="1310">
        <v>866.18332899999996</v>
      </c>
    </row>
    <row r="7315" spans="2:4" x14ac:dyDescent="0.2">
      <c r="B7315" s="1341">
        <v>9043</v>
      </c>
      <c r="C7315" s="1341" t="s">
        <v>7780</v>
      </c>
      <c r="D7315" s="1310">
        <v>930.61249499999997</v>
      </c>
    </row>
    <row r="7316" spans="2:4" x14ac:dyDescent="0.2">
      <c r="B7316" s="1341">
        <v>9044</v>
      </c>
      <c r="C7316" s="1341" t="s">
        <v>7781</v>
      </c>
      <c r="D7316" s="1310">
        <v>902.07501200000002</v>
      </c>
    </row>
    <row r="7317" spans="2:4" x14ac:dyDescent="0.2">
      <c r="B7317" s="1341">
        <v>9045</v>
      </c>
      <c r="C7317" s="1341" t="s">
        <v>7782</v>
      </c>
      <c r="D7317" s="1310">
        <v>921.60000600000001</v>
      </c>
    </row>
    <row r="7318" spans="2:4" x14ac:dyDescent="0.2">
      <c r="B7318" s="1341">
        <v>9046</v>
      </c>
      <c r="C7318" s="1341" t="s">
        <v>7783</v>
      </c>
      <c r="D7318" s="1310">
        <v>925.794444</v>
      </c>
    </row>
    <row r="7319" spans="2:4" x14ac:dyDescent="0.2">
      <c r="B7319" s="1341">
        <v>9047</v>
      </c>
      <c r="C7319" s="1341" t="s">
        <v>7784</v>
      </c>
      <c r="D7319" s="1310">
        <v>860.214294</v>
      </c>
    </row>
    <row r="7320" spans="2:4" x14ac:dyDescent="0.2">
      <c r="B7320" s="1341">
        <v>9048</v>
      </c>
      <c r="C7320" s="1341" t="s">
        <v>7785</v>
      </c>
      <c r="D7320" s="1310">
        <v>869.85000600000001</v>
      </c>
    </row>
    <row r="7321" spans="2:4" x14ac:dyDescent="0.2">
      <c r="B7321" s="1341">
        <v>9049</v>
      </c>
      <c r="C7321" s="1341" t="s">
        <v>7786</v>
      </c>
      <c r="D7321" s="1310">
        <v>968.65998500000001</v>
      </c>
    </row>
    <row r="7322" spans="2:4" x14ac:dyDescent="0.2">
      <c r="B7322" s="1341">
        <v>9050</v>
      </c>
      <c r="C7322" s="1341" t="s">
        <v>5107</v>
      </c>
      <c r="D7322" s="1310">
        <v>937.29998799999998</v>
      </c>
    </row>
    <row r="7323" spans="2:4" x14ac:dyDescent="0.2">
      <c r="B7323" s="1341">
        <v>9051</v>
      </c>
      <c r="C7323" s="1341" t="s">
        <v>7787</v>
      </c>
      <c r="D7323" s="1310">
        <v>826.46190799999999</v>
      </c>
    </row>
    <row r="7324" spans="2:4" x14ac:dyDescent="0.2">
      <c r="B7324" s="1341">
        <v>9052</v>
      </c>
      <c r="C7324" s="1341" t="s">
        <v>7788</v>
      </c>
      <c r="D7324" s="1310">
        <v>972.98332700000003</v>
      </c>
    </row>
    <row r="7325" spans="2:4" x14ac:dyDescent="0.2">
      <c r="B7325" s="1341">
        <v>9053</v>
      </c>
      <c r="C7325" s="1341" t="s">
        <v>7789</v>
      </c>
      <c r="D7325" s="1310">
        <v>907.27499399999999</v>
      </c>
    </row>
    <row r="7326" spans="2:4" x14ac:dyDescent="0.2">
      <c r="B7326" s="1341">
        <v>9054</v>
      </c>
      <c r="C7326" s="1341" t="s">
        <v>7790</v>
      </c>
      <c r="D7326" s="1310">
        <v>1044.866659</v>
      </c>
    </row>
    <row r="7327" spans="2:4" x14ac:dyDescent="0.2">
      <c r="B7327" s="1341">
        <v>9055</v>
      </c>
      <c r="C7327" s="1341" t="s">
        <v>7791</v>
      </c>
      <c r="D7327" s="1310">
        <v>962.35000600000001</v>
      </c>
    </row>
    <row r="7328" spans="2:4" x14ac:dyDescent="0.2">
      <c r="B7328" s="1341">
        <v>9056</v>
      </c>
      <c r="C7328" s="1341" t="s">
        <v>7792</v>
      </c>
      <c r="D7328" s="1310">
        <v>858.79998799999998</v>
      </c>
    </row>
    <row r="7329" spans="2:4" x14ac:dyDescent="0.2">
      <c r="B7329" s="1341">
        <v>9057</v>
      </c>
      <c r="C7329" s="1341" t="s">
        <v>7793</v>
      </c>
      <c r="D7329" s="1310">
        <v>1042.627774</v>
      </c>
    </row>
    <row r="7330" spans="2:4" x14ac:dyDescent="0.2">
      <c r="B7330" s="1341">
        <v>9058</v>
      </c>
      <c r="C7330" s="1341" t="s">
        <v>7794</v>
      </c>
      <c r="D7330" s="1310">
        <v>951.93334500000003</v>
      </c>
    </row>
    <row r="7331" spans="2:4" x14ac:dyDescent="0.2">
      <c r="B7331" s="1341">
        <v>9059</v>
      </c>
      <c r="C7331" s="1341" t="s">
        <v>7795</v>
      </c>
      <c r="D7331" s="1310">
        <v>828.15789800000005</v>
      </c>
    </row>
    <row r="7332" spans="2:4" x14ac:dyDescent="0.2">
      <c r="B7332" s="1341">
        <v>9060</v>
      </c>
      <c r="C7332" s="1341" t="s">
        <v>7796</v>
      </c>
      <c r="D7332" s="1310">
        <v>937.73636699999997</v>
      </c>
    </row>
    <row r="7333" spans="2:4" x14ac:dyDescent="0.2">
      <c r="B7333" s="1341">
        <v>9061</v>
      </c>
      <c r="C7333" s="1341" t="s">
        <v>7797</v>
      </c>
      <c r="D7333" s="1310">
        <v>887.64443600000004</v>
      </c>
    </row>
    <row r="7334" spans="2:4" x14ac:dyDescent="0.2">
      <c r="B7334" s="1341">
        <v>9062</v>
      </c>
      <c r="C7334" s="1341" t="s">
        <v>7798</v>
      </c>
      <c r="D7334" s="1310">
        <v>950.4</v>
      </c>
    </row>
    <row r="7335" spans="2:4" x14ac:dyDescent="0.2">
      <c r="B7335" s="1341">
        <v>9063</v>
      </c>
      <c r="C7335" s="1341" t="s">
        <v>7799</v>
      </c>
      <c r="D7335" s="1310">
        <v>945.87998000000005</v>
      </c>
    </row>
    <row r="7336" spans="2:4" x14ac:dyDescent="0.2">
      <c r="B7336" s="1341">
        <v>9064</v>
      </c>
      <c r="C7336" s="1341" t="s">
        <v>5673</v>
      </c>
      <c r="D7336" s="1310">
        <v>991.45454500000005</v>
      </c>
    </row>
    <row r="7337" spans="2:4" x14ac:dyDescent="0.2">
      <c r="B7337" s="1341">
        <v>9065</v>
      </c>
      <c r="C7337" s="1341" t="s">
        <v>7800</v>
      </c>
      <c r="D7337" s="1310">
        <v>974.01111500000002</v>
      </c>
    </row>
    <row r="7338" spans="2:4" x14ac:dyDescent="0.2">
      <c r="B7338" s="1341">
        <v>9066</v>
      </c>
      <c r="C7338" s="1341" t="s">
        <v>7801</v>
      </c>
      <c r="D7338" s="1310">
        <v>965.76250500000003</v>
      </c>
    </row>
    <row r="7339" spans="2:4" x14ac:dyDescent="0.2">
      <c r="B7339" s="1341">
        <v>9067</v>
      </c>
      <c r="C7339" s="1341" t="s">
        <v>7802</v>
      </c>
      <c r="D7339" s="1310">
        <v>993.89998400000002</v>
      </c>
    </row>
    <row r="7340" spans="2:4" x14ac:dyDescent="0.2">
      <c r="B7340" s="1341">
        <v>9068</v>
      </c>
      <c r="C7340" s="1341" t="s">
        <v>7803</v>
      </c>
      <c r="D7340" s="1310">
        <v>963.75714100000005</v>
      </c>
    </row>
    <row r="7341" spans="2:4" x14ac:dyDescent="0.2">
      <c r="B7341" s="1341">
        <v>9069</v>
      </c>
      <c r="C7341" s="1341" t="s">
        <v>7804</v>
      </c>
      <c r="D7341" s="1310">
        <v>952.37999300000001</v>
      </c>
    </row>
    <row r="7342" spans="2:4" x14ac:dyDescent="0.2">
      <c r="B7342" s="1341">
        <v>9070</v>
      </c>
      <c r="C7342" s="1341" t="s">
        <v>7805</v>
      </c>
      <c r="D7342" s="1310">
        <v>893.00000799999998</v>
      </c>
    </row>
    <row r="7343" spans="2:4" x14ac:dyDescent="0.2">
      <c r="B7343" s="1341">
        <v>9071</v>
      </c>
      <c r="C7343" s="1341" t="s">
        <v>7806</v>
      </c>
      <c r="D7343" s="1310">
        <v>899.15000899999995</v>
      </c>
    </row>
    <row r="7344" spans="2:4" x14ac:dyDescent="0.2">
      <c r="B7344" s="1341">
        <v>9072</v>
      </c>
      <c r="C7344" s="1341" t="s">
        <v>7807</v>
      </c>
      <c r="D7344" s="1310">
        <v>906</v>
      </c>
    </row>
    <row r="7345" spans="2:4" x14ac:dyDescent="0.2">
      <c r="B7345" s="1341">
        <v>9073</v>
      </c>
      <c r="C7345" s="1341" t="s">
        <v>7808</v>
      </c>
      <c r="D7345" s="1310">
        <v>907.96666500000003</v>
      </c>
    </row>
    <row r="7346" spans="2:4" x14ac:dyDescent="0.2">
      <c r="B7346" s="1341">
        <v>9074</v>
      </c>
      <c r="C7346" s="1341" t="s">
        <v>7809</v>
      </c>
      <c r="D7346" s="1310">
        <v>918.38125200000002</v>
      </c>
    </row>
    <row r="7347" spans="2:4" x14ac:dyDescent="0.2">
      <c r="B7347" s="1341">
        <v>9075</v>
      </c>
      <c r="C7347" s="1341" t="s">
        <v>7810</v>
      </c>
      <c r="D7347" s="1310">
        <v>874.263644</v>
      </c>
    </row>
    <row r="7348" spans="2:4" x14ac:dyDescent="0.2">
      <c r="B7348" s="1341">
        <v>9076</v>
      </c>
      <c r="C7348" s="1341" t="s">
        <v>7811</v>
      </c>
      <c r="D7348" s="1310">
        <v>875.74545000000001</v>
      </c>
    </row>
    <row r="7349" spans="2:4" x14ac:dyDescent="0.2">
      <c r="B7349" s="1341">
        <v>9077</v>
      </c>
      <c r="C7349" s="1341" t="s">
        <v>4788</v>
      </c>
      <c r="D7349" s="1310">
        <v>838.85998500000005</v>
      </c>
    </row>
    <row r="7350" spans="2:4" x14ac:dyDescent="0.2">
      <c r="B7350" s="1341">
        <v>9078</v>
      </c>
      <c r="C7350" s="1341" t="s">
        <v>7812</v>
      </c>
      <c r="D7350" s="1310">
        <v>1001.353341</v>
      </c>
    </row>
    <row r="7351" spans="2:4" x14ac:dyDescent="0.2">
      <c r="B7351" s="1341">
        <v>9079</v>
      </c>
      <c r="C7351" s="1341" t="s">
        <v>7813</v>
      </c>
      <c r="D7351" s="1310">
        <v>1067.424988</v>
      </c>
    </row>
    <row r="7352" spans="2:4" x14ac:dyDescent="0.2">
      <c r="B7352" s="1341">
        <v>9081</v>
      </c>
      <c r="C7352" s="1341" t="s">
        <v>6816</v>
      </c>
      <c r="D7352" s="1310">
        <v>1087.269221</v>
      </c>
    </row>
    <row r="7353" spans="2:4" x14ac:dyDescent="0.2">
      <c r="B7353" s="1341">
        <v>9082</v>
      </c>
      <c r="C7353" s="1341" t="s">
        <v>7814</v>
      </c>
      <c r="D7353" s="1310">
        <v>1142.869995</v>
      </c>
    </row>
    <row r="7354" spans="2:4" x14ac:dyDescent="0.2">
      <c r="B7354" s="1341">
        <v>9083</v>
      </c>
      <c r="C7354" s="1341" t="s">
        <v>7815</v>
      </c>
      <c r="D7354" s="1310">
        <v>1122.2888929999999</v>
      </c>
    </row>
    <row r="7355" spans="2:4" x14ac:dyDescent="0.2">
      <c r="B7355" s="1341">
        <v>9084</v>
      </c>
      <c r="C7355" s="1341" t="s">
        <v>7816</v>
      </c>
      <c r="D7355" s="1310">
        <v>1054.984633</v>
      </c>
    </row>
    <row r="7356" spans="2:4" x14ac:dyDescent="0.2">
      <c r="B7356" s="1341">
        <v>9085</v>
      </c>
      <c r="C7356" s="1341" t="s">
        <v>7817</v>
      </c>
      <c r="D7356" s="1310">
        <v>1158.4128169999999</v>
      </c>
    </row>
    <row r="7357" spans="2:4" x14ac:dyDescent="0.2">
      <c r="B7357" s="1341">
        <v>9086</v>
      </c>
      <c r="C7357" s="1341" t="s">
        <v>7818</v>
      </c>
      <c r="D7357" s="1310">
        <v>1115.738885</v>
      </c>
    </row>
    <row r="7358" spans="2:4" x14ac:dyDescent="0.2">
      <c r="B7358" s="1341">
        <v>9087</v>
      </c>
      <c r="C7358" s="1341" t="s">
        <v>7819</v>
      </c>
      <c r="D7358" s="1310">
        <v>1151.799998</v>
      </c>
    </row>
    <row r="7359" spans="2:4" x14ac:dyDescent="0.2">
      <c r="B7359" s="1341">
        <v>9088</v>
      </c>
      <c r="C7359" s="1341" t="s">
        <v>7820</v>
      </c>
      <c r="D7359" s="1310">
        <v>1337.829999</v>
      </c>
    </row>
    <row r="7360" spans="2:4" x14ac:dyDescent="0.2">
      <c r="B7360" s="1341">
        <v>9089</v>
      </c>
      <c r="C7360" s="1341" t="s">
        <v>7821</v>
      </c>
      <c r="D7360" s="1310">
        <v>1074.7307599999999</v>
      </c>
    </row>
    <row r="7361" spans="2:4" x14ac:dyDescent="0.2">
      <c r="B7361" s="1341">
        <v>9090</v>
      </c>
      <c r="C7361" s="1341" t="s">
        <v>7040</v>
      </c>
      <c r="D7361" s="1310">
        <v>1155.4874950000001</v>
      </c>
    </row>
    <row r="7362" spans="2:4" x14ac:dyDescent="0.2">
      <c r="B7362" s="1341">
        <v>9091</v>
      </c>
      <c r="C7362" s="1341" t="s">
        <v>2913</v>
      </c>
      <c r="D7362" s="1310">
        <v>1196.7591</v>
      </c>
    </row>
    <row r="7363" spans="2:4" x14ac:dyDescent="0.2">
      <c r="B7363" s="1341">
        <v>9092</v>
      </c>
      <c r="C7363" s="1341" t="s">
        <v>7822</v>
      </c>
      <c r="D7363" s="1310">
        <v>1094.3303069999999</v>
      </c>
    </row>
    <row r="7364" spans="2:4" x14ac:dyDescent="0.2">
      <c r="B7364" s="1341">
        <v>9093</v>
      </c>
      <c r="C7364" s="1341" t="s">
        <v>7823</v>
      </c>
      <c r="D7364" s="1310">
        <v>1233.518738</v>
      </c>
    </row>
    <row r="7365" spans="2:4" x14ac:dyDescent="0.2">
      <c r="B7365" s="1341">
        <v>9094</v>
      </c>
      <c r="C7365" s="1341" t="s">
        <v>7824</v>
      </c>
      <c r="D7365" s="1310">
        <v>1194.038098</v>
      </c>
    </row>
    <row r="7366" spans="2:4" x14ac:dyDescent="0.2">
      <c r="B7366" s="1341">
        <v>9095</v>
      </c>
      <c r="C7366" s="1341" t="s">
        <v>7825</v>
      </c>
      <c r="D7366" s="1310">
        <v>1148.185704</v>
      </c>
    </row>
    <row r="7367" spans="2:4" x14ac:dyDescent="0.2">
      <c r="B7367" s="1341">
        <v>9096</v>
      </c>
      <c r="C7367" s="1341" t="s">
        <v>7826</v>
      </c>
      <c r="D7367" s="1310">
        <v>1069.0450069999999</v>
      </c>
    </row>
    <row r="7368" spans="2:4" x14ac:dyDescent="0.2">
      <c r="B7368" s="1341">
        <v>9097</v>
      </c>
      <c r="C7368" s="1341" t="s">
        <v>4110</v>
      </c>
      <c r="D7368" s="1310">
        <v>1280.054543</v>
      </c>
    </row>
    <row r="7369" spans="2:4" x14ac:dyDescent="0.2">
      <c r="B7369" s="1341">
        <v>9098</v>
      </c>
      <c r="C7369" s="1341" t="s">
        <v>7827</v>
      </c>
      <c r="D7369" s="1310">
        <v>1085.227273</v>
      </c>
    </row>
    <row r="7370" spans="2:4" x14ac:dyDescent="0.2">
      <c r="B7370" s="1341">
        <v>9099</v>
      </c>
      <c r="C7370" s="1341" t="s">
        <v>7828</v>
      </c>
      <c r="D7370" s="1310">
        <v>1093.9499719999999</v>
      </c>
    </row>
    <row r="7371" spans="2:4" x14ac:dyDescent="0.2">
      <c r="B7371" s="1341">
        <v>9100</v>
      </c>
      <c r="C7371" s="1341" t="s">
        <v>7829</v>
      </c>
      <c r="D7371" s="1310">
        <v>1116.6800049999999</v>
      </c>
    </row>
    <row r="7372" spans="2:4" x14ac:dyDescent="0.2">
      <c r="B7372" s="1341">
        <v>9101</v>
      </c>
      <c r="C7372" s="1341" t="s">
        <v>7830</v>
      </c>
      <c r="D7372" s="1310">
        <v>1151.2833459999999</v>
      </c>
    </row>
    <row r="7373" spans="2:4" x14ac:dyDescent="0.2">
      <c r="B7373" s="1341">
        <v>9102</v>
      </c>
      <c r="C7373" s="1341" t="s">
        <v>7831</v>
      </c>
      <c r="D7373" s="1310">
        <v>1186.9499940000001</v>
      </c>
    </row>
    <row r="7374" spans="2:4" x14ac:dyDescent="0.2">
      <c r="B7374" s="1341">
        <v>9103</v>
      </c>
      <c r="C7374" s="1341" t="s">
        <v>7832</v>
      </c>
      <c r="D7374" s="1310">
        <v>1503.3816320000001</v>
      </c>
    </row>
    <row r="7375" spans="2:4" x14ac:dyDescent="0.2">
      <c r="B7375" s="1341">
        <v>9104</v>
      </c>
      <c r="C7375" s="1341" t="s">
        <v>7833</v>
      </c>
      <c r="D7375" s="1310">
        <v>1551.5600340000001</v>
      </c>
    </row>
    <row r="7376" spans="2:4" x14ac:dyDescent="0.2">
      <c r="B7376" s="1341">
        <v>9151</v>
      </c>
      <c r="C7376" s="1341" t="s">
        <v>7834</v>
      </c>
      <c r="D7376" s="1310">
        <v>946.84782600000005</v>
      </c>
    </row>
    <row r="7377" spans="2:4" x14ac:dyDescent="0.2">
      <c r="B7377" s="1341">
        <v>9152</v>
      </c>
      <c r="C7377" s="1341" t="s">
        <v>7835</v>
      </c>
      <c r="D7377" s="1310">
        <v>956.9375</v>
      </c>
    </row>
    <row r="7378" spans="2:4" x14ac:dyDescent="0.2">
      <c r="B7378" s="1341">
        <v>9153</v>
      </c>
      <c r="C7378" s="1341" t="s">
        <v>7836</v>
      </c>
      <c r="D7378" s="1310">
        <v>965.22499600000003</v>
      </c>
    </row>
    <row r="7379" spans="2:4" x14ac:dyDescent="0.2">
      <c r="B7379" s="1341">
        <v>9154</v>
      </c>
      <c r="C7379" s="1341" t="s">
        <v>7837</v>
      </c>
      <c r="D7379" s="1310">
        <v>934.04000199999996</v>
      </c>
    </row>
    <row r="7380" spans="2:4" x14ac:dyDescent="0.2">
      <c r="B7380" s="1341">
        <v>9155</v>
      </c>
      <c r="C7380" s="1341" t="s">
        <v>7838</v>
      </c>
      <c r="D7380" s="1310">
        <v>950.45385299999998</v>
      </c>
    </row>
    <row r="7381" spans="2:4" x14ac:dyDescent="0.2">
      <c r="B7381" s="1341">
        <v>9156</v>
      </c>
      <c r="C7381" s="1341" t="s">
        <v>7839</v>
      </c>
      <c r="D7381" s="1310">
        <v>950.18182400000001</v>
      </c>
    </row>
    <row r="7382" spans="2:4" x14ac:dyDescent="0.2">
      <c r="B7382" s="1341">
        <v>9157</v>
      </c>
      <c r="C7382" s="1341" t="s">
        <v>7840</v>
      </c>
      <c r="D7382" s="1310">
        <v>951.69999900000005</v>
      </c>
    </row>
    <row r="7383" spans="2:4" x14ac:dyDescent="0.2">
      <c r="B7383" s="1341">
        <v>9158</v>
      </c>
      <c r="C7383" s="1341" t="s">
        <v>7841</v>
      </c>
      <c r="D7383" s="1310">
        <v>975.76000999999997</v>
      </c>
    </row>
    <row r="7384" spans="2:4" x14ac:dyDescent="0.2">
      <c r="B7384" s="1341">
        <v>9159</v>
      </c>
      <c r="C7384" s="1341" t="s">
        <v>7842</v>
      </c>
      <c r="D7384" s="1310">
        <v>901.84444900000005</v>
      </c>
    </row>
    <row r="7385" spans="2:4" x14ac:dyDescent="0.2">
      <c r="B7385" s="1341">
        <v>9160</v>
      </c>
      <c r="C7385" s="1341" t="s">
        <v>7843</v>
      </c>
      <c r="D7385" s="1310">
        <v>911.18333900000005</v>
      </c>
    </row>
    <row r="7386" spans="2:4" x14ac:dyDescent="0.2">
      <c r="B7386" s="1341">
        <v>9161</v>
      </c>
      <c r="C7386" s="1341" t="s">
        <v>7844</v>
      </c>
      <c r="D7386" s="1310">
        <v>906.31666099999995</v>
      </c>
    </row>
    <row r="7387" spans="2:4" x14ac:dyDescent="0.2">
      <c r="B7387" s="1341">
        <v>9162</v>
      </c>
      <c r="C7387" s="1341" t="s">
        <v>7845</v>
      </c>
      <c r="D7387" s="1310">
        <v>963.02500899999995</v>
      </c>
    </row>
    <row r="7388" spans="2:4" x14ac:dyDescent="0.2">
      <c r="B7388" s="1341">
        <v>9163</v>
      </c>
      <c r="C7388" s="1341" t="s">
        <v>2527</v>
      </c>
      <c r="D7388" s="1310">
        <v>1010.362499</v>
      </c>
    </row>
    <row r="7389" spans="2:4" x14ac:dyDescent="0.2">
      <c r="B7389" s="1341">
        <v>9164</v>
      </c>
      <c r="C7389" s="1341" t="s">
        <v>7846</v>
      </c>
      <c r="D7389" s="1310">
        <v>990.24737200000004</v>
      </c>
    </row>
    <row r="7390" spans="2:4" x14ac:dyDescent="0.2">
      <c r="B7390" s="1341">
        <v>9165</v>
      </c>
      <c r="C7390" s="1341" t="s">
        <v>5182</v>
      </c>
      <c r="D7390" s="1310">
        <v>1042.5999979999999</v>
      </c>
    </row>
    <row r="7391" spans="2:4" x14ac:dyDescent="0.2">
      <c r="B7391" s="1341">
        <v>9166</v>
      </c>
      <c r="C7391" s="1341" t="s">
        <v>7847</v>
      </c>
      <c r="D7391" s="1310">
        <v>870.64999399999999</v>
      </c>
    </row>
    <row r="7392" spans="2:4" x14ac:dyDescent="0.2">
      <c r="B7392" s="1341">
        <v>9167</v>
      </c>
      <c r="C7392" s="1341" t="s">
        <v>2469</v>
      </c>
      <c r="D7392" s="1310">
        <v>993.47691899999995</v>
      </c>
    </row>
    <row r="7393" spans="2:4" x14ac:dyDescent="0.2">
      <c r="B7393" s="1341">
        <v>9168</v>
      </c>
      <c r="C7393" s="1341" t="s">
        <v>7848</v>
      </c>
      <c r="D7393" s="1310">
        <v>900.8</v>
      </c>
    </row>
    <row r="7394" spans="2:4" x14ac:dyDescent="0.2">
      <c r="B7394" s="1341">
        <v>9169</v>
      </c>
      <c r="C7394" s="1341" t="s">
        <v>7849</v>
      </c>
      <c r="D7394" s="1310">
        <v>899.133331</v>
      </c>
    </row>
    <row r="7395" spans="2:4" x14ac:dyDescent="0.2">
      <c r="B7395" s="1341">
        <v>9170</v>
      </c>
      <c r="C7395" s="1341" t="s">
        <v>7850</v>
      </c>
      <c r="D7395" s="1310">
        <v>952.52500899999995</v>
      </c>
    </row>
    <row r="7396" spans="2:4" x14ac:dyDescent="0.2">
      <c r="B7396" s="1341">
        <v>9171</v>
      </c>
      <c r="C7396" s="1341" t="s">
        <v>7851</v>
      </c>
      <c r="D7396" s="1310">
        <v>933.76000999999997</v>
      </c>
    </row>
    <row r="7397" spans="2:4" x14ac:dyDescent="0.2">
      <c r="B7397" s="1341">
        <v>9172</v>
      </c>
      <c r="C7397" s="1341" t="s">
        <v>7852</v>
      </c>
      <c r="D7397" s="1310">
        <v>1026.949989</v>
      </c>
    </row>
    <row r="7398" spans="2:4" x14ac:dyDescent="0.2">
      <c r="B7398" s="1341">
        <v>9173</v>
      </c>
      <c r="C7398" s="1341" t="s">
        <v>7853</v>
      </c>
      <c r="D7398" s="1310">
        <v>1053.1571220000001</v>
      </c>
    </row>
    <row r="7399" spans="2:4" x14ac:dyDescent="0.2">
      <c r="B7399" s="1341">
        <v>9174</v>
      </c>
      <c r="C7399" s="1341" t="s">
        <v>7854</v>
      </c>
      <c r="D7399" s="1310">
        <v>1068.450012</v>
      </c>
    </row>
    <row r="7400" spans="2:4" x14ac:dyDescent="0.2">
      <c r="B7400" s="1341">
        <v>9175</v>
      </c>
      <c r="C7400" s="1341" t="s">
        <v>7253</v>
      </c>
      <c r="D7400" s="1310">
        <v>1104.5249940000001</v>
      </c>
    </row>
    <row r="7401" spans="2:4" x14ac:dyDescent="0.2">
      <c r="B7401" s="1341">
        <v>9176</v>
      </c>
      <c r="C7401" s="1341" t="s">
        <v>7855</v>
      </c>
      <c r="D7401" s="1310">
        <v>880.25714500000004</v>
      </c>
    </row>
    <row r="7402" spans="2:4" x14ac:dyDescent="0.2">
      <c r="B7402" s="1341">
        <v>9177</v>
      </c>
      <c r="C7402" s="1341" t="s">
        <v>7856</v>
      </c>
      <c r="D7402" s="1310">
        <v>951.35000600000001</v>
      </c>
    </row>
    <row r="7403" spans="2:4" x14ac:dyDescent="0.2">
      <c r="B7403" s="1341">
        <v>9178</v>
      </c>
      <c r="C7403" s="1341" t="s">
        <v>7857</v>
      </c>
      <c r="D7403" s="1310">
        <v>996.23846000000003</v>
      </c>
    </row>
    <row r="7404" spans="2:4" x14ac:dyDescent="0.2">
      <c r="B7404" s="1341">
        <v>9179</v>
      </c>
      <c r="C7404" s="1341" t="s">
        <v>7858</v>
      </c>
      <c r="D7404" s="1310">
        <v>1052.4800049999999</v>
      </c>
    </row>
    <row r="7405" spans="2:4" x14ac:dyDescent="0.2">
      <c r="B7405" s="1341">
        <v>9180</v>
      </c>
      <c r="C7405" s="1341" t="s">
        <v>7859</v>
      </c>
      <c r="D7405" s="1310">
        <v>1101.599993</v>
      </c>
    </row>
    <row r="7406" spans="2:4" x14ac:dyDescent="0.2">
      <c r="B7406" s="1341">
        <v>9181</v>
      </c>
      <c r="C7406" s="1341" t="s">
        <v>389</v>
      </c>
      <c r="D7406" s="1310">
        <v>1077.12222</v>
      </c>
    </row>
    <row r="7407" spans="2:4" x14ac:dyDescent="0.2">
      <c r="B7407" s="1341">
        <v>9182</v>
      </c>
      <c r="C7407" s="1341" t="s">
        <v>7860</v>
      </c>
      <c r="D7407" s="1310">
        <v>1080.5</v>
      </c>
    </row>
    <row r="7408" spans="2:4" x14ac:dyDescent="0.2">
      <c r="B7408" s="1341">
        <v>9183</v>
      </c>
      <c r="C7408" s="1341" t="s">
        <v>7861</v>
      </c>
      <c r="D7408" s="1310">
        <v>993.37331900000004</v>
      </c>
    </row>
    <row r="7409" spans="2:4" x14ac:dyDescent="0.2">
      <c r="B7409" s="1341">
        <v>9184</v>
      </c>
      <c r="C7409" s="1341" t="s">
        <v>7862</v>
      </c>
      <c r="D7409" s="1310">
        <v>1058.549988</v>
      </c>
    </row>
    <row r="7410" spans="2:4" x14ac:dyDescent="0.2">
      <c r="B7410" s="1341">
        <v>9185</v>
      </c>
      <c r="C7410" s="1341" t="s">
        <v>7863</v>
      </c>
      <c r="D7410" s="1310">
        <v>1054.6999820000001</v>
      </c>
    </row>
    <row r="7411" spans="2:4" x14ac:dyDescent="0.2">
      <c r="B7411" s="1341">
        <v>9186</v>
      </c>
      <c r="C7411" s="1341" t="s">
        <v>7864</v>
      </c>
      <c r="D7411" s="1310">
        <v>1088.366659</v>
      </c>
    </row>
    <row r="7412" spans="2:4" x14ac:dyDescent="0.2">
      <c r="B7412" s="1341">
        <v>9187</v>
      </c>
      <c r="C7412" s="1341" t="s">
        <v>7865</v>
      </c>
      <c r="D7412" s="1310">
        <v>1158.9750059999999</v>
      </c>
    </row>
    <row r="7413" spans="2:4" x14ac:dyDescent="0.2">
      <c r="B7413" s="1341">
        <v>9188</v>
      </c>
      <c r="C7413" s="1341" t="s">
        <v>7866</v>
      </c>
      <c r="D7413" s="1310">
        <v>1039.4428539999999</v>
      </c>
    </row>
    <row r="7414" spans="2:4" x14ac:dyDescent="0.2">
      <c r="B7414" s="1341">
        <v>9189</v>
      </c>
      <c r="C7414" s="1341" t="s">
        <v>7867</v>
      </c>
      <c r="D7414" s="1310">
        <v>1073.6599980000001</v>
      </c>
    </row>
    <row r="7415" spans="2:4" x14ac:dyDescent="0.2">
      <c r="B7415" s="1341">
        <v>9190</v>
      </c>
      <c r="C7415" s="1341" t="s">
        <v>2793</v>
      </c>
      <c r="D7415" s="1310">
        <v>1095.4999800000001</v>
      </c>
    </row>
    <row r="7416" spans="2:4" x14ac:dyDescent="0.2">
      <c r="B7416" s="1341">
        <v>9191</v>
      </c>
      <c r="C7416" s="1341" t="s">
        <v>4812</v>
      </c>
      <c r="D7416" s="1310">
        <v>1143.0250140000001</v>
      </c>
    </row>
    <row r="7417" spans="2:4" x14ac:dyDescent="0.2">
      <c r="B7417" s="1341">
        <v>9192</v>
      </c>
      <c r="C7417" s="1341" t="s">
        <v>7868</v>
      </c>
      <c r="D7417" s="1310">
        <v>1071.12499</v>
      </c>
    </row>
    <row r="7418" spans="2:4" x14ac:dyDescent="0.2">
      <c r="B7418" s="1341">
        <v>9193</v>
      </c>
      <c r="C7418" s="1341" t="s">
        <v>7869</v>
      </c>
      <c r="D7418" s="1310">
        <v>1078.6818290000001</v>
      </c>
    </row>
    <row r="7419" spans="2:4" x14ac:dyDescent="0.2">
      <c r="B7419" s="1341">
        <v>9194</v>
      </c>
      <c r="C7419" s="1341" t="s">
        <v>7870</v>
      </c>
      <c r="D7419" s="1310">
        <v>1059.8444420000001</v>
      </c>
    </row>
    <row r="7420" spans="2:4" x14ac:dyDescent="0.2">
      <c r="B7420" s="1341">
        <v>9195</v>
      </c>
      <c r="C7420" s="1341" t="s">
        <v>7871</v>
      </c>
      <c r="D7420" s="1310">
        <v>1141.318182</v>
      </c>
    </row>
    <row r="7421" spans="2:4" x14ac:dyDescent="0.2">
      <c r="B7421" s="1341">
        <v>9196</v>
      </c>
      <c r="C7421" s="1341" t="s">
        <v>7872</v>
      </c>
      <c r="D7421" s="1310">
        <v>1075.7999950000001</v>
      </c>
    </row>
    <row r="7422" spans="2:4" x14ac:dyDescent="0.2">
      <c r="B7422" s="1341">
        <v>9197</v>
      </c>
      <c r="C7422" s="1341" t="s">
        <v>7873</v>
      </c>
      <c r="D7422" s="1310">
        <v>1067.455931</v>
      </c>
    </row>
    <row r="7423" spans="2:4" x14ac:dyDescent="0.2">
      <c r="B7423" s="1341">
        <v>9201</v>
      </c>
      <c r="C7423" s="1341" t="s">
        <v>7874</v>
      </c>
      <c r="D7423" s="1310">
        <v>903.59000200000003</v>
      </c>
    </row>
    <row r="7424" spans="2:4" x14ac:dyDescent="0.2">
      <c r="B7424" s="1341">
        <v>9202</v>
      </c>
      <c r="C7424" s="1341" t="s">
        <v>7875</v>
      </c>
      <c r="D7424" s="1310">
        <v>1010.478258</v>
      </c>
    </row>
    <row r="7425" spans="2:4" x14ac:dyDescent="0.2">
      <c r="B7425" s="1341">
        <v>9203</v>
      </c>
      <c r="C7425" s="1341" t="s">
        <v>7876</v>
      </c>
      <c r="D7425" s="1310">
        <v>952.60476200000005</v>
      </c>
    </row>
    <row r="7426" spans="2:4" x14ac:dyDescent="0.2">
      <c r="B7426" s="1341">
        <v>9204</v>
      </c>
      <c r="C7426" s="1341" t="s">
        <v>7877</v>
      </c>
      <c r="D7426" s="1310">
        <v>1018.854996</v>
      </c>
    </row>
    <row r="7427" spans="2:4" x14ac:dyDescent="0.2">
      <c r="B7427" s="1341">
        <v>9205</v>
      </c>
      <c r="C7427" s="1341" t="s">
        <v>7878</v>
      </c>
      <c r="D7427" s="1310">
        <v>1071.930777</v>
      </c>
    </row>
    <row r="7428" spans="2:4" x14ac:dyDescent="0.2">
      <c r="B7428" s="1341">
        <v>9206</v>
      </c>
      <c r="C7428" s="1341" t="s">
        <v>2982</v>
      </c>
      <c r="D7428" s="1310">
        <v>1057.9000020000001</v>
      </c>
    </row>
    <row r="7429" spans="2:4" x14ac:dyDescent="0.2">
      <c r="B7429" s="1341">
        <v>9207</v>
      </c>
      <c r="C7429" s="1341" t="s">
        <v>7879</v>
      </c>
      <c r="D7429" s="1310">
        <v>1039.475001</v>
      </c>
    </row>
    <row r="7430" spans="2:4" x14ac:dyDescent="0.2">
      <c r="B7430" s="1341">
        <v>9208</v>
      </c>
      <c r="C7430" s="1341" t="s">
        <v>2046</v>
      </c>
      <c r="D7430" s="1310">
        <v>1054.4551710000001</v>
      </c>
    </row>
    <row r="7431" spans="2:4" x14ac:dyDescent="0.2">
      <c r="B7431" s="1341">
        <v>9209</v>
      </c>
      <c r="C7431" s="1341" t="s">
        <v>7880</v>
      </c>
      <c r="D7431" s="1310">
        <v>1028.7857140000001</v>
      </c>
    </row>
    <row r="7432" spans="2:4" x14ac:dyDescent="0.2">
      <c r="B7432" s="1341">
        <v>9210</v>
      </c>
      <c r="C7432" s="1341" t="s">
        <v>7229</v>
      </c>
      <c r="D7432" s="1310">
        <v>1019.449982</v>
      </c>
    </row>
    <row r="7433" spans="2:4" x14ac:dyDescent="0.2">
      <c r="B7433" s="1341">
        <v>9211</v>
      </c>
      <c r="C7433" s="1341" t="s">
        <v>7881</v>
      </c>
      <c r="D7433" s="1310">
        <v>1124.623075</v>
      </c>
    </row>
    <row r="7434" spans="2:4" x14ac:dyDescent="0.2">
      <c r="B7434" s="1341">
        <v>9212</v>
      </c>
      <c r="C7434" s="1341" t="s">
        <v>7882</v>
      </c>
      <c r="D7434" s="1310">
        <v>1079.3076920000001</v>
      </c>
    </row>
    <row r="7435" spans="2:4" x14ac:dyDescent="0.2">
      <c r="B7435" s="1341">
        <v>9213</v>
      </c>
      <c r="C7435" s="1341" t="s">
        <v>7883</v>
      </c>
      <c r="D7435" s="1310">
        <v>1148.711114</v>
      </c>
    </row>
    <row r="7436" spans="2:4" x14ac:dyDescent="0.2">
      <c r="B7436" s="1341">
        <v>9214</v>
      </c>
      <c r="C7436" s="1341" t="s">
        <v>7884</v>
      </c>
      <c r="D7436" s="1310">
        <v>1213.0181769999999</v>
      </c>
    </row>
    <row r="7437" spans="2:4" x14ac:dyDescent="0.2">
      <c r="B7437" s="1341">
        <v>9215</v>
      </c>
      <c r="C7437" s="1341" t="s">
        <v>7885</v>
      </c>
      <c r="D7437" s="1310">
        <v>1230.7678530000001</v>
      </c>
    </row>
    <row r="7438" spans="2:4" x14ac:dyDescent="0.2">
      <c r="B7438" s="1341">
        <v>9216</v>
      </c>
      <c r="C7438" s="1341" t="s">
        <v>7886</v>
      </c>
      <c r="D7438" s="1310">
        <v>1047.3714219999999</v>
      </c>
    </row>
    <row r="7439" spans="2:4" x14ac:dyDescent="0.2">
      <c r="B7439" s="1341">
        <v>9217</v>
      </c>
      <c r="C7439" s="1341" t="s">
        <v>7887</v>
      </c>
      <c r="D7439" s="1310">
        <v>993.30000299999995</v>
      </c>
    </row>
    <row r="7440" spans="2:4" x14ac:dyDescent="0.2">
      <c r="B7440" s="1341">
        <v>9218</v>
      </c>
      <c r="C7440" s="1341" t="s">
        <v>7888</v>
      </c>
      <c r="D7440" s="1310">
        <v>1074.133325</v>
      </c>
    </row>
    <row r="7441" spans="2:4" x14ac:dyDescent="0.2">
      <c r="B7441" s="1341">
        <v>9219</v>
      </c>
      <c r="C7441" s="1341" t="s">
        <v>7889</v>
      </c>
      <c r="D7441" s="1310">
        <v>1016.163635</v>
      </c>
    </row>
    <row r="7442" spans="2:4" x14ac:dyDescent="0.2">
      <c r="B7442" s="1341">
        <v>9220</v>
      </c>
      <c r="C7442" s="1341" t="s">
        <v>7690</v>
      </c>
      <c r="D7442" s="1310">
        <v>1061.8461540000001</v>
      </c>
    </row>
    <row r="7443" spans="2:4" x14ac:dyDescent="0.2">
      <c r="B7443" s="1341">
        <v>9221</v>
      </c>
      <c r="C7443" s="1341" t="s">
        <v>6425</v>
      </c>
      <c r="D7443" s="1310">
        <v>1119.7499800000001</v>
      </c>
    </row>
    <row r="7444" spans="2:4" x14ac:dyDescent="0.2">
      <c r="B7444" s="1341">
        <v>9222</v>
      </c>
      <c r="C7444" s="1341" t="s">
        <v>7890</v>
      </c>
      <c r="D7444" s="1310">
        <v>1229.9750059999999</v>
      </c>
    </row>
    <row r="7445" spans="2:4" x14ac:dyDescent="0.2">
      <c r="B7445" s="1341">
        <v>9223</v>
      </c>
      <c r="C7445" s="1341" t="s">
        <v>7891</v>
      </c>
      <c r="D7445" s="1310">
        <v>1176.613642</v>
      </c>
    </row>
    <row r="7446" spans="2:4" x14ac:dyDescent="0.2">
      <c r="B7446" s="1341">
        <v>9224</v>
      </c>
      <c r="C7446" s="1341" t="s">
        <v>5888</v>
      </c>
      <c r="D7446" s="1310">
        <v>1094.4437479999999</v>
      </c>
    </row>
    <row r="7447" spans="2:4" x14ac:dyDescent="0.2">
      <c r="B7447" s="1341">
        <v>9225</v>
      </c>
      <c r="C7447" s="1341" t="s">
        <v>7892</v>
      </c>
      <c r="D7447" s="1310">
        <v>1153.608348</v>
      </c>
    </row>
    <row r="7448" spans="2:4" x14ac:dyDescent="0.2">
      <c r="B7448" s="1341">
        <v>9226</v>
      </c>
      <c r="C7448" s="1341" t="s">
        <v>7893</v>
      </c>
      <c r="D7448" s="1310">
        <v>1202.6687469999999</v>
      </c>
    </row>
    <row r="7449" spans="2:4" x14ac:dyDescent="0.2">
      <c r="B7449" s="1341">
        <v>9227</v>
      </c>
      <c r="C7449" s="1341" t="s">
        <v>7894</v>
      </c>
      <c r="D7449" s="1310">
        <v>1253.230769</v>
      </c>
    </row>
    <row r="7450" spans="2:4" x14ac:dyDescent="0.2">
      <c r="B7450" s="1341">
        <v>9228</v>
      </c>
      <c r="C7450" s="1341" t="s">
        <v>7895</v>
      </c>
      <c r="D7450" s="1310">
        <v>1267.6272859999999</v>
      </c>
    </row>
    <row r="7451" spans="2:4" x14ac:dyDescent="0.2">
      <c r="B7451" s="1341">
        <v>9229</v>
      </c>
      <c r="C7451" s="1341" t="s">
        <v>7896</v>
      </c>
      <c r="D7451" s="1310">
        <v>1280.4208269999999</v>
      </c>
    </row>
    <row r="7452" spans="2:4" x14ac:dyDescent="0.2">
      <c r="B7452" s="1341">
        <v>9230</v>
      </c>
      <c r="C7452" s="1341" t="s">
        <v>7897</v>
      </c>
      <c r="D7452" s="1310">
        <v>1338.542864</v>
      </c>
    </row>
    <row r="7453" spans="2:4" x14ac:dyDescent="0.2">
      <c r="B7453" s="1341">
        <v>9231</v>
      </c>
      <c r="C7453" s="1341" t="s">
        <v>7898</v>
      </c>
      <c r="D7453" s="1310">
        <v>1346.294118</v>
      </c>
    </row>
    <row r="7454" spans="2:4" x14ac:dyDescent="0.2">
      <c r="B7454" s="1341">
        <v>9232</v>
      </c>
      <c r="C7454" s="1341" t="s">
        <v>7899</v>
      </c>
      <c r="D7454" s="1310">
        <v>1281.957684</v>
      </c>
    </row>
    <row r="7455" spans="2:4" x14ac:dyDescent="0.2">
      <c r="B7455" s="1341">
        <v>9233</v>
      </c>
      <c r="C7455" s="1341" t="s">
        <v>7900</v>
      </c>
      <c r="D7455" s="1310">
        <v>1212.8000079999999</v>
      </c>
    </row>
    <row r="7456" spans="2:4" x14ac:dyDescent="0.2">
      <c r="B7456" s="1341">
        <v>9234</v>
      </c>
      <c r="C7456" s="1341" t="s">
        <v>7901</v>
      </c>
      <c r="D7456" s="1310">
        <v>1214.3277989999999</v>
      </c>
    </row>
    <row r="7457" spans="2:4" x14ac:dyDescent="0.2">
      <c r="B7457" s="1341">
        <v>9235</v>
      </c>
      <c r="C7457" s="1341" t="s">
        <v>7902</v>
      </c>
      <c r="D7457" s="1310">
        <v>1298.8000179999999</v>
      </c>
    </row>
    <row r="7458" spans="2:4" x14ac:dyDescent="0.2">
      <c r="B7458" s="1341">
        <v>9236</v>
      </c>
      <c r="C7458" s="1341" t="s">
        <v>7903</v>
      </c>
      <c r="D7458" s="1310">
        <v>1399.0699950000001</v>
      </c>
    </row>
    <row r="7459" spans="2:4" x14ac:dyDescent="0.2">
      <c r="B7459" s="1341">
        <v>9237</v>
      </c>
      <c r="C7459" s="1341" t="s">
        <v>7904</v>
      </c>
      <c r="D7459" s="1310">
        <v>1342.3874969999999</v>
      </c>
    </row>
    <row r="7460" spans="2:4" x14ac:dyDescent="0.2">
      <c r="B7460" s="1341">
        <v>9238</v>
      </c>
      <c r="C7460" s="1341" t="s">
        <v>7905</v>
      </c>
      <c r="D7460" s="1310">
        <v>1279.0947389999999</v>
      </c>
    </row>
    <row r="7461" spans="2:4" x14ac:dyDescent="0.2">
      <c r="B7461" s="1341">
        <v>9239</v>
      </c>
      <c r="C7461" s="1341" t="s">
        <v>7906</v>
      </c>
      <c r="D7461" s="1310">
        <v>1325.829403</v>
      </c>
    </row>
    <row r="7462" spans="2:4" x14ac:dyDescent="0.2">
      <c r="B7462" s="1341">
        <v>9240</v>
      </c>
      <c r="C7462" s="1341" t="s">
        <v>7907</v>
      </c>
      <c r="D7462" s="1310">
        <v>1541.390474</v>
      </c>
    </row>
    <row r="7463" spans="2:4" x14ac:dyDescent="0.2">
      <c r="B7463" s="1341">
        <v>9241</v>
      </c>
      <c r="C7463" s="1341" t="s">
        <v>7908</v>
      </c>
      <c r="D7463" s="1310">
        <v>1447.1437639999999</v>
      </c>
    </row>
    <row r="7464" spans="2:4" x14ac:dyDescent="0.2">
      <c r="B7464" s="1341">
        <v>9242</v>
      </c>
      <c r="C7464" s="1341" t="s">
        <v>7909</v>
      </c>
      <c r="D7464" s="1310">
        <v>1283.0416620000001</v>
      </c>
    </row>
    <row r="7465" spans="2:4" x14ac:dyDescent="0.2">
      <c r="B7465" s="1341">
        <v>9243</v>
      </c>
      <c r="C7465" s="1341" t="s">
        <v>7910</v>
      </c>
      <c r="D7465" s="1310">
        <v>1316.2499800000001</v>
      </c>
    </row>
    <row r="7466" spans="2:4" x14ac:dyDescent="0.2">
      <c r="B7466" s="1341">
        <v>9244</v>
      </c>
      <c r="C7466" s="1341" t="s">
        <v>7911</v>
      </c>
      <c r="D7466" s="1310">
        <v>1279.2800050000001</v>
      </c>
    </row>
    <row r="7467" spans="2:4" x14ac:dyDescent="0.2">
      <c r="B7467" s="1341">
        <v>9245</v>
      </c>
      <c r="C7467" s="1341" t="s">
        <v>7912</v>
      </c>
      <c r="D7467" s="1310">
        <v>1438.9166560000001</v>
      </c>
    </row>
    <row r="7468" spans="2:4" x14ac:dyDescent="0.2">
      <c r="B7468" s="1341">
        <v>9246</v>
      </c>
      <c r="C7468" s="1341" t="s">
        <v>7913</v>
      </c>
      <c r="D7468" s="1310">
        <v>1387.7727379999999</v>
      </c>
    </row>
    <row r="7469" spans="2:4" x14ac:dyDescent="0.2">
      <c r="B7469" s="1341">
        <v>9247</v>
      </c>
      <c r="C7469" s="1341" t="s">
        <v>7914</v>
      </c>
      <c r="D7469" s="1310">
        <v>1580.8720069999999</v>
      </c>
    </row>
    <row r="7470" spans="2:4" x14ac:dyDescent="0.2">
      <c r="B7470" s="1341">
        <v>9248</v>
      </c>
      <c r="C7470" s="1341" t="s">
        <v>7915</v>
      </c>
      <c r="D7470" s="1310">
        <v>1552.5325499999999</v>
      </c>
    </row>
    <row r="7471" spans="2:4" x14ac:dyDescent="0.2">
      <c r="B7471" s="1341">
        <v>9249</v>
      </c>
      <c r="C7471" s="1341" t="s">
        <v>7916</v>
      </c>
      <c r="D7471" s="1310">
        <v>1681.9035730000001</v>
      </c>
    </row>
    <row r="7472" spans="2:4" x14ac:dyDescent="0.2">
      <c r="B7472" s="1341">
        <v>9250</v>
      </c>
      <c r="C7472" s="1341" t="s">
        <v>7917</v>
      </c>
      <c r="D7472" s="1310">
        <v>1771.579997</v>
      </c>
    </row>
    <row r="7473" spans="2:4" x14ac:dyDescent="0.2">
      <c r="B7473" s="1341">
        <v>9251</v>
      </c>
      <c r="C7473" s="1341" t="s">
        <v>7918</v>
      </c>
      <c r="D7473" s="1310">
        <v>1689.3310289999999</v>
      </c>
    </row>
    <row r="7474" spans="2:4" x14ac:dyDescent="0.2">
      <c r="B7474" s="1341">
        <v>9252</v>
      </c>
      <c r="C7474" s="1341" t="s">
        <v>7919</v>
      </c>
      <c r="D7474" s="1310">
        <v>1650.4967750000001</v>
      </c>
    </row>
    <row r="7475" spans="2:4" x14ac:dyDescent="0.2">
      <c r="B7475" s="1341">
        <v>9253</v>
      </c>
      <c r="C7475" s="1341" t="s">
        <v>7920</v>
      </c>
      <c r="D7475" s="1310">
        <v>1643.4999909999999</v>
      </c>
    </row>
    <row r="7476" spans="2:4" x14ac:dyDescent="0.2">
      <c r="B7476" s="1341">
        <v>9254</v>
      </c>
      <c r="C7476" s="1341" t="s">
        <v>7921</v>
      </c>
      <c r="D7476" s="1310">
        <v>1903.621249</v>
      </c>
    </row>
    <row r="7477" spans="2:4" x14ac:dyDescent="0.2">
      <c r="B7477" s="1341">
        <v>9255</v>
      </c>
      <c r="C7477" s="1341" t="s">
        <v>7922</v>
      </c>
      <c r="D7477" s="1310">
        <v>1692.973684</v>
      </c>
    </row>
    <row r="7478" spans="2:4" x14ac:dyDescent="0.2">
      <c r="B7478" s="1341">
        <v>9256</v>
      </c>
      <c r="C7478" s="1341" t="s">
        <v>7923</v>
      </c>
      <c r="D7478" s="1310">
        <v>1580.837509</v>
      </c>
    </row>
    <row r="7479" spans="2:4" x14ac:dyDescent="0.2">
      <c r="B7479" s="1341">
        <v>9257</v>
      </c>
      <c r="C7479" s="1341" t="s">
        <v>7924</v>
      </c>
      <c r="D7479" s="1310">
        <v>1781.212125</v>
      </c>
    </row>
    <row r="7480" spans="2:4" x14ac:dyDescent="0.2">
      <c r="B7480" s="1341">
        <v>9258</v>
      </c>
      <c r="C7480" s="1341" t="s">
        <v>7925</v>
      </c>
      <c r="D7480" s="1310">
        <v>1596.3583369999999</v>
      </c>
    </row>
    <row r="7481" spans="2:4" x14ac:dyDescent="0.2">
      <c r="B7481" s="1341">
        <v>9259</v>
      </c>
      <c r="C7481" s="1341" t="s">
        <v>7926</v>
      </c>
      <c r="D7481" s="1310">
        <v>1673.5489399999999</v>
      </c>
    </row>
    <row r="7482" spans="2:4" x14ac:dyDescent="0.2">
      <c r="B7482" s="1341">
        <v>9260</v>
      </c>
      <c r="C7482" s="1341" t="s">
        <v>7927</v>
      </c>
      <c r="D7482" s="1310">
        <v>1595.9740400000001</v>
      </c>
    </row>
    <row r="7483" spans="2:4" x14ac:dyDescent="0.2">
      <c r="B7483" s="1341">
        <v>9261</v>
      </c>
      <c r="C7483" s="1341" t="s">
        <v>7928</v>
      </c>
      <c r="D7483" s="1310">
        <v>1879.007087</v>
      </c>
    </row>
    <row r="7484" spans="2:4" x14ac:dyDescent="0.2">
      <c r="B7484" s="1341">
        <v>9262</v>
      </c>
      <c r="C7484" s="1341" t="s">
        <v>7929</v>
      </c>
      <c r="D7484" s="1310">
        <v>1566.8100019999999</v>
      </c>
    </row>
    <row r="7485" spans="2:4" x14ac:dyDescent="0.2">
      <c r="B7485" s="1341">
        <v>9301</v>
      </c>
      <c r="C7485" s="1341" t="s">
        <v>7930</v>
      </c>
      <c r="D7485" s="1310">
        <v>1070.4624940000001</v>
      </c>
    </row>
    <row r="7486" spans="2:4" x14ac:dyDescent="0.2">
      <c r="B7486" s="1341">
        <v>9302</v>
      </c>
      <c r="C7486" s="1341" t="s">
        <v>7931</v>
      </c>
      <c r="D7486" s="1310">
        <v>1134.023524</v>
      </c>
    </row>
    <row r="7487" spans="2:4" x14ac:dyDescent="0.2">
      <c r="B7487" s="1341">
        <v>9303</v>
      </c>
      <c r="C7487" s="1341" t="s">
        <v>7932</v>
      </c>
      <c r="D7487" s="1310">
        <v>1082.760006</v>
      </c>
    </row>
    <row r="7488" spans="2:4" x14ac:dyDescent="0.2">
      <c r="B7488" s="1341">
        <v>9304</v>
      </c>
      <c r="C7488" s="1341" t="s">
        <v>7933</v>
      </c>
      <c r="D7488" s="1310">
        <v>1145.388234</v>
      </c>
    </row>
    <row r="7489" spans="2:4" x14ac:dyDescent="0.2">
      <c r="B7489" s="1341">
        <v>9306</v>
      </c>
      <c r="C7489" s="1341" t="s">
        <v>7934</v>
      </c>
      <c r="D7489" s="1310">
        <v>1086.133335</v>
      </c>
    </row>
    <row r="7490" spans="2:4" x14ac:dyDescent="0.2">
      <c r="B7490" s="1341">
        <v>9307</v>
      </c>
      <c r="C7490" s="1341" t="s">
        <v>1372</v>
      </c>
      <c r="D7490" s="1310">
        <v>1146.836348</v>
      </c>
    </row>
    <row r="7491" spans="2:4" x14ac:dyDescent="0.2">
      <c r="B7491" s="1341">
        <v>9308</v>
      </c>
      <c r="C7491" s="1341" t="s">
        <v>7935</v>
      </c>
      <c r="D7491" s="1310">
        <v>1151.3629739999999</v>
      </c>
    </row>
    <row r="7492" spans="2:4" x14ac:dyDescent="0.2">
      <c r="B7492" s="1341">
        <v>9309</v>
      </c>
      <c r="C7492" s="1341" t="s">
        <v>7936</v>
      </c>
      <c r="D7492" s="1310">
        <v>1154.6000059999999</v>
      </c>
    </row>
    <row r="7493" spans="2:4" x14ac:dyDescent="0.2">
      <c r="B7493" s="1341">
        <v>9310</v>
      </c>
      <c r="C7493" s="1341" t="s">
        <v>7435</v>
      </c>
      <c r="D7493" s="1310">
        <v>1201.3799799999999</v>
      </c>
    </row>
    <row r="7494" spans="2:4" x14ac:dyDescent="0.2">
      <c r="B7494" s="1341">
        <v>9311</v>
      </c>
      <c r="C7494" s="1341" t="s">
        <v>4817</v>
      </c>
      <c r="D7494" s="1310">
        <v>1121.399991</v>
      </c>
    </row>
    <row r="7495" spans="2:4" x14ac:dyDescent="0.2">
      <c r="B7495" s="1341">
        <v>9312</v>
      </c>
      <c r="C7495" s="1341" t="s">
        <v>7937</v>
      </c>
      <c r="D7495" s="1310">
        <v>1145</v>
      </c>
    </row>
    <row r="7496" spans="2:4" x14ac:dyDescent="0.2">
      <c r="B7496" s="1341">
        <v>9313</v>
      </c>
      <c r="C7496" s="1341" t="s">
        <v>7938</v>
      </c>
      <c r="D7496" s="1310">
        <v>1200.085693</v>
      </c>
    </row>
    <row r="7497" spans="2:4" x14ac:dyDescent="0.2">
      <c r="B7497" s="1341">
        <v>9314</v>
      </c>
      <c r="C7497" s="1341" t="s">
        <v>7939</v>
      </c>
      <c r="D7497" s="1310">
        <v>1153.2428500000001</v>
      </c>
    </row>
    <row r="7498" spans="2:4" x14ac:dyDescent="0.2">
      <c r="B7498" s="1341">
        <v>9315</v>
      </c>
      <c r="C7498" s="1341" t="s">
        <v>7940</v>
      </c>
      <c r="D7498" s="1310">
        <v>1188.2923020000001</v>
      </c>
    </row>
    <row r="7499" spans="2:4" x14ac:dyDescent="0.2">
      <c r="B7499" s="1341">
        <v>9316</v>
      </c>
      <c r="C7499" s="1341" t="s">
        <v>7941</v>
      </c>
      <c r="D7499" s="1310">
        <v>1206.25</v>
      </c>
    </row>
    <row r="7500" spans="2:4" x14ac:dyDescent="0.2">
      <c r="B7500" s="1341">
        <v>9317</v>
      </c>
      <c r="C7500" s="1341" t="s">
        <v>5294</v>
      </c>
      <c r="D7500" s="1310">
        <v>1225.9181570000001</v>
      </c>
    </row>
    <row r="7501" spans="2:4" x14ac:dyDescent="0.2">
      <c r="B7501" s="1341">
        <v>9318</v>
      </c>
      <c r="C7501" s="1341" t="s">
        <v>7942</v>
      </c>
      <c r="D7501" s="1310">
        <v>1132.7210500000001</v>
      </c>
    </row>
    <row r="7502" spans="2:4" x14ac:dyDescent="0.2">
      <c r="B7502" s="1341">
        <v>9319</v>
      </c>
      <c r="C7502" s="1341" t="s">
        <v>7943</v>
      </c>
      <c r="D7502" s="1310">
        <v>1157.182601</v>
      </c>
    </row>
    <row r="7503" spans="2:4" x14ac:dyDescent="0.2">
      <c r="B7503" s="1341">
        <v>9320</v>
      </c>
      <c r="C7503" s="1341" t="s">
        <v>5374</v>
      </c>
      <c r="D7503" s="1310">
        <v>1133.830005</v>
      </c>
    </row>
    <row r="7504" spans="2:4" x14ac:dyDescent="0.2">
      <c r="B7504" s="1341">
        <v>9321</v>
      </c>
      <c r="C7504" s="1341" t="s">
        <v>7944</v>
      </c>
      <c r="D7504" s="1310">
        <v>1124.0249940000001</v>
      </c>
    </row>
    <row r="7505" spans="2:4" x14ac:dyDescent="0.2">
      <c r="B7505" s="1341">
        <v>9322</v>
      </c>
      <c r="C7505" s="1341" t="s">
        <v>2539</v>
      </c>
      <c r="D7505" s="1310">
        <v>1111.25</v>
      </c>
    </row>
    <row r="7506" spans="2:4" x14ac:dyDescent="0.2">
      <c r="B7506" s="1341">
        <v>9323</v>
      </c>
      <c r="C7506" s="1341" t="s">
        <v>7628</v>
      </c>
      <c r="D7506" s="1310">
        <v>1140.544447</v>
      </c>
    </row>
    <row r="7507" spans="2:4" x14ac:dyDescent="0.2">
      <c r="B7507" s="1341">
        <v>9324</v>
      </c>
      <c r="C7507" s="1341" t="s">
        <v>7945</v>
      </c>
      <c r="D7507" s="1310">
        <v>1186.6600100000001</v>
      </c>
    </row>
    <row r="7508" spans="2:4" x14ac:dyDescent="0.2">
      <c r="B7508" s="1341">
        <v>9325</v>
      </c>
      <c r="C7508" s="1341" t="s">
        <v>7946</v>
      </c>
      <c r="D7508" s="1310">
        <v>1161.349976</v>
      </c>
    </row>
    <row r="7509" spans="2:4" x14ac:dyDescent="0.2">
      <c r="B7509" s="1341">
        <v>9326</v>
      </c>
      <c r="C7509" s="1341" t="s">
        <v>7947</v>
      </c>
      <c r="D7509" s="1310">
        <v>1186.9833269999999</v>
      </c>
    </row>
    <row r="7510" spans="2:4" x14ac:dyDescent="0.2">
      <c r="B7510" s="1341">
        <v>9327</v>
      </c>
      <c r="C7510" s="1341" t="s">
        <v>7948</v>
      </c>
      <c r="D7510" s="1310">
        <v>1295.5200070000001</v>
      </c>
    </row>
    <row r="7511" spans="2:4" x14ac:dyDescent="0.2">
      <c r="B7511" s="1341">
        <v>9328</v>
      </c>
      <c r="C7511" s="1341" t="s">
        <v>3926</v>
      </c>
      <c r="D7511" s="1310">
        <v>1305.012489</v>
      </c>
    </row>
    <row r="7512" spans="2:4" x14ac:dyDescent="0.2">
      <c r="B7512" s="1341">
        <v>9329</v>
      </c>
      <c r="C7512" s="1341" t="s">
        <v>7949</v>
      </c>
      <c r="D7512" s="1310">
        <v>1265.443481</v>
      </c>
    </row>
    <row r="7513" spans="2:4" x14ac:dyDescent="0.2">
      <c r="B7513" s="1341">
        <v>9330</v>
      </c>
      <c r="C7513" s="1341" t="s">
        <v>7950</v>
      </c>
      <c r="D7513" s="1310">
        <v>1313.833347</v>
      </c>
    </row>
    <row r="7514" spans="2:4" x14ac:dyDescent="0.2">
      <c r="B7514" s="1341">
        <v>9331</v>
      </c>
      <c r="C7514" s="1341" t="s">
        <v>7951</v>
      </c>
      <c r="D7514" s="1310">
        <v>1349.930758</v>
      </c>
    </row>
    <row r="7515" spans="2:4" x14ac:dyDescent="0.2">
      <c r="B7515" s="1341">
        <v>9332</v>
      </c>
      <c r="C7515" s="1341" t="s">
        <v>7952</v>
      </c>
      <c r="D7515" s="1310">
        <v>1331.9944459999999</v>
      </c>
    </row>
    <row r="7516" spans="2:4" x14ac:dyDescent="0.2">
      <c r="B7516" s="1341">
        <v>9333</v>
      </c>
      <c r="C7516" s="1341" t="s">
        <v>6711</v>
      </c>
      <c r="D7516" s="1310">
        <v>1181.1999840000001</v>
      </c>
    </row>
    <row r="7517" spans="2:4" x14ac:dyDescent="0.2">
      <c r="B7517" s="1341">
        <v>9334</v>
      </c>
      <c r="C7517" s="1341" t="s">
        <v>7953</v>
      </c>
      <c r="D7517" s="1310">
        <v>1187.3999960000001</v>
      </c>
    </row>
    <row r="7518" spans="2:4" x14ac:dyDescent="0.2">
      <c r="B7518" s="1341">
        <v>9335</v>
      </c>
      <c r="C7518" s="1341" t="s">
        <v>7954</v>
      </c>
      <c r="D7518" s="1310">
        <v>1233.150007</v>
      </c>
    </row>
    <row r="7519" spans="2:4" x14ac:dyDescent="0.2">
      <c r="B7519" s="1341">
        <v>9336</v>
      </c>
      <c r="C7519" s="1341" t="s">
        <v>7955</v>
      </c>
      <c r="D7519" s="1310">
        <v>1247.1206810000001</v>
      </c>
    </row>
    <row r="7520" spans="2:4" x14ac:dyDescent="0.2">
      <c r="B7520" s="1341">
        <v>9337</v>
      </c>
      <c r="C7520" s="1341" t="s">
        <v>5736</v>
      </c>
      <c r="D7520" s="1310">
        <v>1288.6999920000001</v>
      </c>
    </row>
    <row r="7521" spans="2:4" x14ac:dyDescent="0.2">
      <c r="B7521" s="1341">
        <v>9338</v>
      </c>
      <c r="C7521" s="1341" t="s">
        <v>7956</v>
      </c>
      <c r="D7521" s="1310">
        <v>1272.136375</v>
      </c>
    </row>
    <row r="7522" spans="2:4" x14ac:dyDescent="0.2">
      <c r="B7522" s="1341">
        <v>9401</v>
      </c>
      <c r="C7522" s="1341" t="s">
        <v>7957</v>
      </c>
      <c r="D7522" s="1310">
        <v>1278.161527</v>
      </c>
    </row>
    <row r="7523" spans="2:4" x14ac:dyDescent="0.2">
      <c r="B7523" s="1341">
        <v>9402</v>
      </c>
      <c r="C7523" s="1341" t="s">
        <v>7958</v>
      </c>
      <c r="D7523" s="1310">
        <v>1520.488231</v>
      </c>
    </row>
    <row r="7524" spans="2:4" x14ac:dyDescent="0.2">
      <c r="B7524" s="1341">
        <v>9403</v>
      </c>
      <c r="C7524" s="1341" t="s">
        <v>7959</v>
      </c>
      <c r="D7524" s="1310">
        <v>1332.418191</v>
      </c>
    </row>
    <row r="7525" spans="2:4" x14ac:dyDescent="0.2">
      <c r="B7525" s="1341">
        <v>9404</v>
      </c>
      <c r="C7525" s="1341" t="s">
        <v>7960</v>
      </c>
      <c r="D7525" s="1310">
        <v>1354.691671</v>
      </c>
    </row>
    <row r="7526" spans="2:4" x14ac:dyDescent="0.2">
      <c r="B7526" s="1341">
        <v>9405</v>
      </c>
      <c r="C7526" s="1341" t="s">
        <v>7961</v>
      </c>
      <c r="D7526" s="1310">
        <v>1521.0666639999999</v>
      </c>
    </row>
    <row r="7527" spans="2:4" x14ac:dyDescent="0.2">
      <c r="B7527" s="1341">
        <v>9406</v>
      </c>
      <c r="C7527" s="1341" t="s">
        <v>7962</v>
      </c>
      <c r="D7527" s="1310">
        <v>1748.7685719999999</v>
      </c>
    </row>
    <row r="7528" spans="2:4" x14ac:dyDescent="0.2">
      <c r="B7528" s="1341">
        <v>9407</v>
      </c>
      <c r="C7528" s="1341" t="s">
        <v>7963</v>
      </c>
      <c r="D7528" s="1310">
        <v>1435.1100100000001</v>
      </c>
    </row>
    <row r="7529" spans="2:4" x14ac:dyDescent="0.2">
      <c r="B7529" s="1341">
        <v>9408</v>
      </c>
      <c r="C7529" s="1341" t="s">
        <v>7964</v>
      </c>
      <c r="D7529" s="1310">
        <v>1406.560876</v>
      </c>
    </row>
    <row r="7530" spans="2:4" x14ac:dyDescent="0.2">
      <c r="B7530" s="1341">
        <v>9409</v>
      </c>
      <c r="C7530" s="1341" t="s">
        <v>7965</v>
      </c>
      <c r="D7530" s="1310">
        <v>1403.4500029999999</v>
      </c>
    </row>
    <row r="7531" spans="2:4" x14ac:dyDescent="0.2">
      <c r="B7531" s="1341">
        <v>9410</v>
      </c>
      <c r="C7531" s="1341" t="s">
        <v>7966</v>
      </c>
      <c r="D7531" s="1310">
        <v>1470.4375</v>
      </c>
    </row>
    <row r="7532" spans="2:4" x14ac:dyDescent="0.2">
      <c r="B7532" s="1341">
        <v>9411</v>
      </c>
      <c r="C7532" s="1341" t="s">
        <v>7967</v>
      </c>
      <c r="D7532" s="1310">
        <v>1438.080013</v>
      </c>
    </row>
    <row r="7533" spans="2:4" x14ac:dyDescent="0.2">
      <c r="B7533" s="1341">
        <v>9412</v>
      </c>
      <c r="C7533" s="1341" t="s">
        <v>4705</v>
      </c>
      <c r="D7533" s="1310">
        <v>1773.0026889999999</v>
      </c>
    </row>
    <row r="7534" spans="2:4" x14ac:dyDescent="0.2">
      <c r="B7534" s="1341">
        <v>9413</v>
      </c>
      <c r="C7534" s="1341" t="s">
        <v>7968</v>
      </c>
      <c r="D7534" s="1310">
        <v>1532.2692400000001</v>
      </c>
    </row>
    <row r="7535" spans="2:4" x14ac:dyDescent="0.2">
      <c r="B7535" s="1341">
        <v>9414</v>
      </c>
      <c r="C7535" s="1341" t="s">
        <v>7969</v>
      </c>
      <c r="D7535" s="1310">
        <v>1705.2051280000001</v>
      </c>
    </row>
    <row r="7536" spans="2:4" x14ac:dyDescent="0.2">
      <c r="B7536" s="1341">
        <v>9415</v>
      </c>
      <c r="C7536" s="1341" t="s">
        <v>7970</v>
      </c>
      <c r="D7536" s="1310">
        <v>1580.5439940000001</v>
      </c>
    </row>
    <row r="7537" spans="2:4" x14ac:dyDescent="0.2">
      <c r="B7537" s="1341">
        <v>9416</v>
      </c>
      <c r="C7537" s="1341" t="s">
        <v>7971</v>
      </c>
      <c r="D7537" s="1310">
        <v>1761.652558</v>
      </c>
    </row>
    <row r="7538" spans="2:4" x14ac:dyDescent="0.2">
      <c r="B7538" s="1341">
        <v>9417</v>
      </c>
      <c r="C7538" s="1341" t="s">
        <v>7972</v>
      </c>
      <c r="D7538" s="1310">
        <v>1829.1092410000001</v>
      </c>
    </row>
    <row r="7539" spans="2:4" x14ac:dyDescent="0.2">
      <c r="B7539" s="1341">
        <v>9418</v>
      </c>
      <c r="C7539" s="1341" t="s">
        <v>7973</v>
      </c>
      <c r="D7539" s="1310">
        <v>1894.4093210000001</v>
      </c>
    </row>
    <row r="7540" spans="2:4" x14ac:dyDescent="0.2">
      <c r="B7540" s="1341">
        <v>9419</v>
      </c>
      <c r="C7540" s="1341" t="s">
        <v>7974</v>
      </c>
      <c r="D7540" s="1310">
        <v>1433.2555609999999</v>
      </c>
    </row>
    <row r="7541" spans="2:4" x14ac:dyDescent="0.2">
      <c r="B7541" s="1341">
        <v>9420</v>
      </c>
      <c r="C7541" s="1341" t="s">
        <v>7975</v>
      </c>
      <c r="D7541" s="1310">
        <v>1546.526926</v>
      </c>
    </row>
    <row r="7542" spans="2:4" x14ac:dyDescent="0.2">
      <c r="B7542" s="1341">
        <v>9421</v>
      </c>
      <c r="C7542" s="1341" t="s">
        <v>7976</v>
      </c>
      <c r="D7542" s="1310">
        <v>1495.4266520000001</v>
      </c>
    </row>
    <row r="7543" spans="2:4" x14ac:dyDescent="0.2">
      <c r="B7543" s="1341">
        <v>9422</v>
      </c>
      <c r="C7543" s="1341" t="s">
        <v>7977</v>
      </c>
      <c r="D7543" s="1310">
        <v>1555.355564</v>
      </c>
    </row>
    <row r="7544" spans="2:4" x14ac:dyDescent="0.2">
      <c r="B7544" s="1341">
        <v>9423</v>
      </c>
      <c r="C7544" s="1341" t="s">
        <v>7978</v>
      </c>
      <c r="D7544" s="1310">
        <v>1937.5242249999999</v>
      </c>
    </row>
    <row r="7545" spans="2:4" x14ac:dyDescent="0.2">
      <c r="B7545" s="1341">
        <v>9424</v>
      </c>
      <c r="C7545" s="1341" t="s">
        <v>7979</v>
      </c>
      <c r="D7545" s="1310">
        <v>1636.530438</v>
      </c>
    </row>
    <row r="7546" spans="2:4" x14ac:dyDescent="0.2">
      <c r="B7546" s="1341">
        <v>9425</v>
      </c>
      <c r="C7546" s="1341" t="s">
        <v>5281</v>
      </c>
      <c r="D7546" s="1310">
        <v>2072.5951239999999</v>
      </c>
    </row>
    <row r="7547" spans="2:4" x14ac:dyDescent="0.2">
      <c r="B7547" s="1341">
        <v>9426</v>
      </c>
      <c r="C7547" s="1341" t="s">
        <v>7980</v>
      </c>
      <c r="D7547" s="1310">
        <v>2057.9898330000001</v>
      </c>
    </row>
    <row r="7548" spans="2:4" x14ac:dyDescent="0.2">
      <c r="B7548" s="1341">
        <v>9501</v>
      </c>
      <c r="C7548" s="1341" t="s">
        <v>7981</v>
      </c>
      <c r="D7548" s="1310">
        <v>1192.1631500000001</v>
      </c>
    </row>
    <row r="7549" spans="2:4" x14ac:dyDescent="0.2">
      <c r="B7549" s="1341">
        <v>9502</v>
      </c>
      <c r="C7549" s="1341" t="s">
        <v>7982</v>
      </c>
      <c r="D7549" s="1310">
        <v>1331.645714</v>
      </c>
    </row>
    <row r="7550" spans="2:4" x14ac:dyDescent="0.2">
      <c r="B7550" s="1341">
        <v>9503</v>
      </c>
      <c r="C7550" s="1341" t="s">
        <v>1860</v>
      </c>
      <c r="D7550" s="1310">
        <v>1236.23999</v>
      </c>
    </row>
    <row r="7551" spans="2:4" x14ac:dyDescent="0.2">
      <c r="B7551" s="1341">
        <v>9504</v>
      </c>
      <c r="C7551" s="1341" t="s">
        <v>7983</v>
      </c>
      <c r="D7551" s="1310">
        <v>1165.756517</v>
      </c>
    </row>
    <row r="7552" spans="2:4" x14ac:dyDescent="0.2">
      <c r="B7552" s="1341">
        <v>9505</v>
      </c>
      <c r="C7552" s="1341" t="s">
        <v>7984</v>
      </c>
      <c r="D7552" s="1310">
        <v>1227.7785730000001</v>
      </c>
    </row>
    <row r="7553" spans="2:4" x14ac:dyDescent="0.2">
      <c r="B7553" s="1341">
        <v>9506</v>
      </c>
      <c r="C7553" s="1341" t="s">
        <v>7985</v>
      </c>
      <c r="D7553" s="1310">
        <v>1187.4521749999999</v>
      </c>
    </row>
    <row r="7554" spans="2:4" x14ac:dyDescent="0.2">
      <c r="B7554" s="1341">
        <v>9507</v>
      </c>
      <c r="C7554" s="1341" t="s">
        <v>7986</v>
      </c>
      <c r="D7554" s="1310">
        <v>1332.5500019999999</v>
      </c>
    </row>
    <row r="7555" spans="2:4" x14ac:dyDescent="0.2">
      <c r="B7555" s="1341">
        <v>9508</v>
      </c>
      <c r="C7555" s="1341" t="s">
        <v>7987</v>
      </c>
      <c r="D7555" s="1310">
        <v>1390.7588029999999</v>
      </c>
    </row>
    <row r="7556" spans="2:4" x14ac:dyDescent="0.2">
      <c r="B7556" s="1341">
        <v>9509</v>
      </c>
      <c r="C7556" s="1341" t="s">
        <v>7988</v>
      </c>
      <c r="D7556" s="1310">
        <v>1335.1153939999999</v>
      </c>
    </row>
    <row r="7557" spans="2:4" x14ac:dyDescent="0.2">
      <c r="B7557" s="1341">
        <v>9510</v>
      </c>
      <c r="C7557" s="1341" t="s">
        <v>7989</v>
      </c>
      <c r="D7557" s="1310">
        <v>1284.3625030000001</v>
      </c>
    </row>
    <row r="7558" spans="2:4" x14ac:dyDescent="0.2">
      <c r="B7558" s="1341">
        <v>9511</v>
      </c>
      <c r="C7558" s="1341" t="s">
        <v>5862</v>
      </c>
      <c r="D7558" s="1310">
        <v>1322.080005</v>
      </c>
    </row>
    <row r="7559" spans="2:4" x14ac:dyDescent="0.2">
      <c r="B7559" s="1341">
        <v>9512</v>
      </c>
      <c r="C7559" s="1341" t="s">
        <v>7990</v>
      </c>
      <c r="D7559" s="1310">
        <v>1178.1439989999999</v>
      </c>
    </row>
    <row r="7560" spans="2:4" x14ac:dyDescent="0.2">
      <c r="B7560" s="1341">
        <v>9513</v>
      </c>
      <c r="C7560" s="1341" t="s">
        <v>7991</v>
      </c>
      <c r="D7560" s="1310">
        <v>1369.2142940000001</v>
      </c>
    </row>
    <row r="7561" spans="2:4" x14ac:dyDescent="0.2">
      <c r="B7561" s="1341">
        <v>9514</v>
      </c>
      <c r="C7561" s="1341" t="s">
        <v>384</v>
      </c>
      <c r="D7561" s="1310">
        <v>1349.4499510000001</v>
      </c>
    </row>
    <row r="7562" spans="2:4" x14ac:dyDescent="0.2">
      <c r="B7562" s="1341">
        <v>9515</v>
      </c>
      <c r="C7562" s="1341" t="s">
        <v>5371</v>
      </c>
      <c r="D7562" s="1310">
        <v>1410.6647089999999</v>
      </c>
    </row>
    <row r="7563" spans="2:4" x14ac:dyDescent="0.2">
      <c r="B7563" s="1341">
        <v>9516</v>
      </c>
      <c r="C7563" s="1341" t="s">
        <v>7992</v>
      </c>
      <c r="D7563" s="1310">
        <v>1294.205005</v>
      </c>
    </row>
    <row r="7564" spans="2:4" x14ac:dyDescent="0.2">
      <c r="B7564" s="1341">
        <v>9517</v>
      </c>
      <c r="C7564" s="1341" t="s">
        <v>7993</v>
      </c>
      <c r="D7564" s="1310">
        <v>1581.0391259999999</v>
      </c>
    </row>
    <row r="7565" spans="2:4" x14ac:dyDescent="0.2">
      <c r="B7565" s="1341">
        <v>9518</v>
      </c>
      <c r="C7565" s="1341" t="s">
        <v>7994</v>
      </c>
      <c r="D7565" s="1310">
        <v>1446.3545369999999</v>
      </c>
    </row>
    <row r="7566" spans="2:4" x14ac:dyDescent="0.2">
      <c r="B7566" s="1341">
        <v>9519</v>
      </c>
      <c r="C7566" s="1341" t="s">
        <v>7995</v>
      </c>
      <c r="D7566" s="1310">
        <v>1399.6272690000001</v>
      </c>
    </row>
    <row r="7567" spans="2:4" x14ac:dyDescent="0.2">
      <c r="B7567" s="1341">
        <v>9520</v>
      </c>
      <c r="C7567" s="1341" t="s">
        <v>7996</v>
      </c>
      <c r="D7567" s="1310">
        <v>1552.690691</v>
      </c>
    </row>
    <row r="7568" spans="2:4" x14ac:dyDescent="0.2">
      <c r="B7568" s="1341">
        <v>9521</v>
      </c>
      <c r="C7568" s="1341" t="s">
        <v>7997</v>
      </c>
      <c r="D7568" s="1310">
        <v>1919.444438</v>
      </c>
    </row>
    <row r="7569" spans="2:4" x14ac:dyDescent="0.2">
      <c r="B7569" s="1341">
        <v>9522</v>
      </c>
      <c r="C7569" s="1341" t="s">
        <v>7998</v>
      </c>
      <c r="D7569" s="1310">
        <v>1666.4407980000001</v>
      </c>
    </row>
    <row r="7570" spans="2:4" x14ac:dyDescent="0.2">
      <c r="B7570" s="1341">
        <v>9601</v>
      </c>
      <c r="C7570" s="1341" t="s">
        <v>7999</v>
      </c>
      <c r="D7570" s="1310">
        <v>1104.857125</v>
      </c>
    </row>
    <row r="7571" spans="2:4" x14ac:dyDescent="0.2">
      <c r="B7571" s="1341">
        <v>9602</v>
      </c>
      <c r="C7571" s="1341" t="s">
        <v>8000</v>
      </c>
      <c r="D7571" s="1310">
        <v>1225.838454</v>
      </c>
    </row>
    <row r="7572" spans="2:4" x14ac:dyDescent="0.2">
      <c r="B7572" s="1341">
        <v>9603</v>
      </c>
      <c r="C7572" s="1341" t="s">
        <v>8001</v>
      </c>
      <c r="D7572" s="1310">
        <v>1060.1266720000001</v>
      </c>
    </row>
    <row r="7573" spans="2:4" x14ac:dyDescent="0.2">
      <c r="B7573" s="1341">
        <v>9604</v>
      </c>
      <c r="C7573" s="1341" t="s">
        <v>8002</v>
      </c>
      <c r="D7573" s="1310">
        <v>1034.733348</v>
      </c>
    </row>
    <row r="7574" spans="2:4" x14ac:dyDescent="0.2">
      <c r="B7574" s="1341">
        <v>9605</v>
      </c>
      <c r="C7574" s="1341" t="s">
        <v>8003</v>
      </c>
      <c r="D7574" s="1310">
        <v>1388.039996</v>
      </c>
    </row>
    <row r="7575" spans="2:4" x14ac:dyDescent="0.2">
      <c r="B7575" s="1341">
        <v>9606</v>
      </c>
      <c r="C7575" s="1341" t="s">
        <v>8004</v>
      </c>
      <c r="D7575" s="1310">
        <v>1001.549995</v>
      </c>
    </row>
    <row r="7576" spans="2:4" x14ac:dyDescent="0.2">
      <c r="B7576" s="1341">
        <v>9607</v>
      </c>
      <c r="C7576" s="1341" t="s">
        <v>8005</v>
      </c>
      <c r="D7576" s="1310">
        <v>1468.56665</v>
      </c>
    </row>
    <row r="7577" spans="2:4" x14ac:dyDescent="0.2">
      <c r="B7577" s="1341">
        <v>9608</v>
      </c>
      <c r="C7577" s="1341" t="s">
        <v>8006</v>
      </c>
      <c r="D7577" s="1310">
        <v>1220.369995</v>
      </c>
    </row>
    <row r="7578" spans="2:4" x14ac:dyDescent="0.2">
      <c r="B7578" s="1341">
        <v>9609</v>
      </c>
      <c r="C7578" s="1341" t="s">
        <v>8007</v>
      </c>
      <c r="D7578" s="1310">
        <v>1034.5280029999999</v>
      </c>
    </row>
    <row r="7579" spans="2:4" x14ac:dyDescent="0.2">
      <c r="B7579" s="1341">
        <v>9610</v>
      </c>
      <c r="C7579" s="1341" t="s">
        <v>8008</v>
      </c>
      <c r="D7579" s="1310">
        <v>1231.0333250000001</v>
      </c>
    </row>
    <row r="7580" spans="2:4" x14ac:dyDescent="0.2">
      <c r="B7580" s="1341">
        <v>9611</v>
      </c>
      <c r="C7580" s="1341" t="s">
        <v>8009</v>
      </c>
      <c r="D7580" s="1310">
        <v>1197.177762</v>
      </c>
    </row>
    <row r="7581" spans="2:4" x14ac:dyDescent="0.2">
      <c r="B7581" s="1341">
        <v>9612</v>
      </c>
      <c r="C7581" s="1341" t="s">
        <v>3888</v>
      </c>
      <c r="D7581" s="1310">
        <v>1104.2999950000001</v>
      </c>
    </row>
    <row r="7582" spans="2:4" x14ac:dyDescent="0.2">
      <c r="B7582" s="1341">
        <v>9613</v>
      </c>
      <c r="C7582" s="1341" t="s">
        <v>8010</v>
      </c>
      <c r="D7582" s="1310">
        <v>1158.039137</v>
      </c>
    </row>
    <row r="7583" spans="2:4" x14ac:dyDescent="0.2">
      <c r="B7583" s="1341">
        <v>9614</v>
      </c>
      <c r="C7583" s="1341" t="s">
        <v>8011</v>
      </c>
      <c r="D7583" s="1310">
        <v>1047.125</v>
      </c>
    </row>
    <row r="7584" spans="2:4" x14ac:dyDescent="0.2">
      <c r="B7584" s="1341">
        <v>9615</v>
      </c>
      <c r="C7584" s="1341" t="s">
        <v>8012</v>
      </c>
      <c r="D7584" s="1310">
        <v>1152.7642739999999</v>
      </c>
    </row>
    <row r="7585" spans="2:4" x14ac:dyDescent="0.2">
      <c r="B7585" s="1341">
        <v>9616</v>
      </c>
      <c r="C7585" s="1341" t="s">
        <v>8013</v>
      </c>
      <c r="D7585" s="1310">
        <v>1124.128575</v>
      </c>
    </row>
    <row r="7586" spans="2:4" x14ac:dyDescent="0.2">
      <c r="B7586" s="1341">
        <v>9617</v>
      </c>
      <c r="C7586" s="1341" t="s">
        <v>5528</v>
      </c>
      <c r="D7586" s="1310">
        <v>1086.3499879999999</v>
      </c>
    </row>
    <row r="7587" spans="2:4" x14ac:dyDescent="0.2">
      <c r="B7587" s="1341">
        <v>9618</v>
      </c>
      <c r="C7587" s="1341" t="s">
        <v>8014</v>
      </c>
      <c r="D7587" s="1310">
        <v>1372.94444</v>
      </c>
    </row>
    <row r="7588" spans="2:4" x14ac:dyDescent="0.2">
      <c r="B7588" s="1341">
        <v>9619</v>
      </c>
      <c r="C7588" s="1341" t="s">
        <v>8015</v>
      </c>
      <c r="D7588" s="1310">
        <v>1541.6320020000001</v>
      </c>
    </row>
    <row r="7589" spans="2:4" x14ac:dyDescent="0.2">
      <c r="B7589" s="1341">
        <v>9620</v>
      </c>
      <c r="C7589" s="1341" t="s">
        <v>8016</v>
      </c>
      <c r="D7589" s="1310">
        <v>1051.2166649999999</v>
      </c>
    </row>
    <row r="7590" spans="2:4" x14ac:dyDescent="0.2">
      <c r="B7590" s="1341">
        <v>9621</v>
      </c>
      <c r="C7590" s="1341" t="s">
        <v>8017</v>
      </c>
      <c r="D7590" s="1310">
        <v>1451.5166630000001</v>
      </c>
    </row>
    <row r="7591" spans="2:4" x14ac:dyDescent="0.2">
      <c r="B7591" s="1341">
        <v>9622</v>
      </c>
      <c r="C7591" s="1341" t="s">
        <v>8018</v>
      </c>
      <c r="D7591" s="1310">
        <v>1250.616679</v>
      </c>
    </row>
    <row r="7592" spans="2:4" x14ac:dyDescent="0.2">
      <c r="B7592" s="1341">
        <v>9623</v>
      </c>
      <c r="C7592" s="1341" t="s">
        <v>8019</v>
      </c>
      <c r="D7592" s="1310">
        <v>1224.833333</v>
      </c>
    </row>
    <row r="7593" spans="2:4" x14ac:dyDescent="0.2">
      <c r="B7593" s="1341">
        <v>9624</v>
      </c>
      <c r="C7593" s="1341" t="s">
        <v>8020</v>
      </c>
      <c r="D7593" s="1310">
        <v>1178.4300049999999</v>
      </c>
    </row>
    <row r="7594" spans="2:4" x14ac:dyDescent="0.2">
      <c r="B7594" s="1341">
        <v>9625</v>
      </c>
      <c r="C7594" s="1341" t="s">
        <v>8021</v>
      </c>
      <c r="D7594" s="1310">
        <v>1061.8000030000001</v>
      </c>
    </row>
    <row r="7595" spans="2:4" x14ac:dyDescent="0.2">
      <c r="B7595" s="1341">
        <v>9626</v>
      </c>
      <c r="C7595" s="1341" t="s">
        <v>8022</v>
      </c>
      <c r="D7595" s="1310">
        <v>1204.7699950000001</v>
      </c>
    </row>
    <row r="7596" spans="2:4" x14ac:dyDescent="0.2">
      <c r="B7596" s="1341">
        <v>9627</v>
      </c>
      <c r="C7596" s="1341" t="s">
        <v>8023</v>
      </c>
      <c r="D7596" s="1310">
        <v>1053.23334</v>
      </c>
    </row>
    <row r="7597" spans="2:4" x14ac:dyDescent="0.2">
      <c r="B7597" s="1341">
        <v>9628</v>
      </c>
      <c r="C7597" s="1341" t="s">
        <v>8024</v>
      </c>
      <c r="D7597" s="1310">
        <v>1112.3000079999999</v>
      </c>
    </row>
    <row r="7598" spans="2:4" x14ac:dyDescent="0.2">
      <c r="B7598" s="1341">
        <v>9629</v>
      </c>
      <c r="C7598" s="1341" t="s">
        <v>6537</v>
      </c>
      <c r="D7598" s="1310">
        <v>1042.4800290000001</v>
      </c>
    </row>
    <row r="7599" spans="2:4" x14ac:dyDescent="0.2">
      <c r="B7599" s="1341">
        <v>9631</v>
      </c>
      <c r="C7599" s="1341" t="s">
        <v>8025</v>
      </c>
      <c r="D7599" s="1310">
        <v>1167.1249849999999</v>
      </c>
    </row>
    <row r="7600" spans="2:4" x14ac:dyDescent="0.2">
      <c r="B7600" s="1341">
        <v>9632</v>
      </c>
      <c r="C7600" s="1341" t="s">
        <v>8026</v>
      </c>
      <c r="D7600" s="1310">
        <v>1149.257167</v>
      </c>
    </row>
    <row r="7601" spans="2:4" x14ac:dyDescent="0.2">
      <c r="B7601" s="1341">
        <v>9633</v>
      </c>
      <c r="C7601" s="1341" t="s">
        <v>8027</v>
      </c>
      <c r="D7601" s="1310">
        <v>1370.9888780000001</v>
      </c>
    </row>
    <row r="7602" spans="2:4" x14ac:dyDescent="0.2">
      <c r="B7602" s="1341">
        <v>9634</v>
      </c>
      <c r="C7602" s="1341" t="s">
        <v>8028</v>
      </c>
      <c r="D7602" s="1310">
        <v>992.28750200000002</v>
      </c>
    </row>
    <row r="7603" spans="2:4" x14ac:dyDescent="0.2">
      <c r="B7603" s="1341">
        <v>9635</v>
      </c>
      <c r="C7603" s="1341" t="s">
        <v>8029</v>
      </c>
      <c r="D7603" s="1310">
        <v>1357.1800049999999</v>
      </c>
    </row>
    <row r="7604" spans="2:4" x14ac:dyDescent="0.2">
      <c r="B7604" s="1341">
        <v>9636</v>
      </c>
      <c r="C7604" s="1341" t="s">
        <v>7871</v>
      </c>
      <c r="D7604" s="1310">
        <v>1022.568745</v>
      </c>
    </row>
    <row r="7605" spans="2:4" x14ac:dyDescent="0.2">
      <c r="B7605" s="1341">
        <v>9638</v>
      </c>
      <c r="C7605" s="1341" t="s">
        <v>8030</v>
      </c>
      <c r="D7605" s="1310">
        <v>1132.277785</v>
      </c>
    </row>
    <row r="7606" spans="2:4" x14ac:dyDescent="0.2">
      <c r="B7606" s="1341">
        <v>9639</v>
      </c>
      <c r="C7606" s="1341" t="s">
        <v>8031</v>
      </c>
      <c r="D7606" s="1310">
        <v>1945.640005</v>
      </c>
    </row>
    <row r="7607" spans="2:4" x14ac:dyDescent="0.2">
      <c r="B7607" s="1341">
        <v>9640</v>
      </c>
      <c r="C7607" s="1341" t="s">
        <v>8032</v>
      </c>
      <c r="D7607" s="1310">
        <v>995.48260000000005</v>
      </c>
    </row>
    <row r="7608" spans="2:4" x14ac:dyDescent="0.2">
      <c r="B7608" s="1341">
        <v>9641</v>
      </c>
      <c r="C7608" s="1341" t="s">
        <v>8033</v>
      </c>
      <c r="D7608" s="1310">
        <v>1011.1</v>
      </c>
    </row>
    <row r="7609" spans="2:4" x14ac:dyDescent="0.2">
      <c r="B7609" s="1341">
        <v>9642</v>
      </c>
      <c r="C7609" s="1341" t="s">
        <v>8034</v>
      </c>
      <c r="D7609" s="1310">
        <v>1441.2468719999999</v>
      </c>
    </row>
    <row r="7610" spans="2:4" x14ac:dyDescent="0.2">
      <c r="B7610" s="1341">
        <v>9643</v>
      </c>
      <c r="C7610" s="1341" t="s">
        <v>8035</v>
      </c>
      <c r="D7610" s="1310">
        <v>1076.3428610000001</v>
      </c>
    </row>
    <row r="7611" spans="2:4" x14ac:dyDescent="0.2">
      <c r="B7611" s="1341">
        <v>9644</v>
      </c>
      <c r="C7611" s="1341" t="s">
        <v>8036</v>
      </c>
      <c r="D7611" s="1310">
        <v>1036.2222220000001</v>
      </c>
    </row>
    <row r="7612" spans="2:4" x14ac:dyDescent="0.2">
      <c r="B7612" s="1341">
        <v>9645</v>
      </c>
      <c r="C7612" s="1341" t="s">
        <v>2913</v>
      </c>
      <c r="D7612" s="1310">
        <v>1250.8499959999999</v>
      </c>
    </row>
    <row r="7613" spans="2:4" x14ac:dyDescent="0.2">
      <c r="B7613" s="1341">
        <v>9646</v>
      </c>
      <c r="C7613" s="1341" t="s">
        <v>8037</v>
      </c>
      <c r="D7613" s="1310">
        <v>1187.318182</v>
      </c>
    </row>
    <row r="7614" spans="2:4" x14ac:dyDescent="0.2">
      <c r="B7614" s="1341">
        <v>9647</v>
      </c>
      <c r="C7614" s="1341" t="s">
        <v>8038</v>
      </c>
      <c r="D7614" s="1310">
        <v>1034.961127</v>
      </c>
    </row>
    <row r="7615" spans="2:4" x14ac:dyDescent="0.2">
      <c r="B7615" s="1341">
        <v>9648</v>
      </c>
      <c r="C7615" s="1341" t="s">
        <v>8039</v>
      </c>
      <c r="D7615" s="1310">
        <v>1035.870007</v>
      </c>
    </row>
    <row r="7616" spans="2:4" x14ac:dyDescent="0.2">
      <c r="B7616" s="1341">
        <v>9649</v>
      </c>
      <c r="C7616" s="1341" t="s">
        <v>8040</v>
      </c>
      <c r="D7616" s="1310">
        <v>1173.742833</v>
      </c>
    </row>
    <row r="7617" spans="2:4" x14ac:dyDescent="0.2">
      <c r="B7617" s="1341">
        <v>9650</v>
      </c>
      <c r="C7617" s="1341" t="s">
        <v>5693</v>
      </c>
      <c r="D7617" s="1310">
        <v>1033.3000079999999</v>
      </c>
    </row>
    <row r="7618" spans="2:4" x14ac:dyDescent="0.2">
      <c r="B7618" s="1341">
        <v>9651</v>
      </c>
      <c r="C7618" s="1341" t="s">
        <v>8041</v>
      </c>
      <c r="D7618" s="1310">
        <v>1148.2199949999999</v>
      </c>
    </row>
    <row r="7619" spans="2:4" x14ac:dyDescent="0.2">
      <c r="B7619" s="1341">
        <v>9652</v>
      </c>
      <c r="C7619" s="1341" t="s">
        <v>8042</v>
      </c>
      <c r="D7619" s="1310">
        <v>1249.837509</v>
      </c>
    </row>
    <row r="7620" spans="2:4" x14ac:dyDescent="0.2">
      <c r="B7620" s="1341">
        <v>9653</v>
      </c>
      <c r="C7620" s="1341" t="s">
        <v>8043</v>
      </c>
      <c r="D7620" s="1310">
        <v>1657.2384689999999</v>
      </c>
    </row>
    <row r="7621" spans="2:4" x14ac:dyDescent="0.2">
      <c r="B7621" s="1341">
        <v>9654</v>
      </c>
      <c r="C7621" s="1341" t="s">
        <v>8044</v>
      </c>
      <c r="D7621" s="1310">
        <v>1329.0916649999999</v>
      </c>
    </row>
    <row r="7622" spans="2:4" x14ac:dyDescent="0.2">
      <c r="B7622" s="1341">
        <v>9655</v>
      </c>
      <c r="C7622" s="1341" t="s">
        <v>8045</v>
      </c>
      <c r="D7622" s="1310">
        <v>1374.960879</v>
      </c>
    </row>
    <row r="7623" spans="2:4" x14ac:dyDescent="0.2">
      <c r="B7623" s="1341">
        <v>9656</v>
      </c>
      <c r="C7623" s="1341" t="s">
        <v>8046</v>
      </c>
      <c r="D7623" s="1310">
        <v>1343.7749960000001</v>
      </c>
    </row>
    <row r="7624" spans="2:4" x14ac:dyDescent="0.2">
      <c r="B7624" s="1341">
        <v>9657</v>
      </c>
      <c r="C7624" s="1341" t="s">
        <v>8047</v>
      </c>
      <c r="D7624" s="1310">
        <v>1068.98928</v>
      </c>
    </row>
    <row r="7625" spans="2:4" x14ac:dyDescent="0.2">
      <c r="B7625" s="1341">
        <v>9658</v>
      </c>
      <c r="C7625" s="1341" t="s">
        <v>4406</v>
      </c>
      <c r="D7625" s="1310">
        <v>1141.583333</v>
      </c>
    </row>
    <row r="7626" spans="2:4" x14ac:dyDescent="0.2">
      <c r="B7626" s="1341">
        <v>9659</v>
      </c>
      <c r="C7626" s="1341" t="s">
        <v>8048</v>
      </c>
      <c r="D7626" s="1310">
        <v>1244.436379</v>
      </c>
    </row>
    <row r="7627" spans="2:4" x14ac:dyDescent="0.2">
      <c r="B7627" s="1341">
        <v>9660</v>
      </c>
      <c r="C7627" s="1341" t="s">
        <v>8049</v>
      </c>
      <c r="D7627" s="1310">
        <v>1280.136364</v>
      </c>
    </row>
    <row r="7628" spans="2:4" x14ac:dyDescent="0.2">
      <c r="B7628" s="1341">
        <v>9661</v>
      </c>
      <c r="C7628" s="1341" t="s">
        <v>8050</v>
      </c>
      <c r="D7628" s="1310">
        <v>1137.4312359999999</v>
      </c>
    </row>
    <row r="7629" spans="2:4" x14ac:dyDescent="0.2">
      <c r="B7629" s="1341">
        <v>9662</v>
      </c>
      <c r="C7629" s="1341" t="s">
        <v>8051</v>
      </c>
      <c r="D7629" s="1310">
        <v>1148.9571530000001</v>
      </c>
    </row>
    <row r="7630" spans="2:4" x14ac:dyDescent="0.2">
      <c r="B7630" s="1341">
        <v>9663</v>
      </c>
      <c r="C7630" s="1341" t="s">
        <v>8052</v>
      </c>
      <c r="D7630" s="1310">
        <v>1136.4750369999999</v>
      </c>
    </row>
    <row r="7631" spans="2:4" x14ac:dyDescent="0.2">
      <c r="B7631" s="1341">
        <v>9664</v>
      </c>
      <c r="C7631" s="1341" t="s">
        <v>8053</v>
      </c>
      <c r="D7631" s="1310">
        <v>1247.8363589999999</v>
      </c>
    </row>
    <row r="7632" spans="2:4" x14ac:dyDescent="0.2">
      <c r="B7632" s="1341">
        <v>9665</v>
      </c>
      <c r="C7632" s="1341" t="s">
        <v>8054</v>
      </c>
      <c r="D7632" s="1310">
        <v>1220.883321</v>
      </c>
    </row>
    <row r="7633" spans="2:4" x14ac:dyDescent="0.2">
      <c r="B7633" s="1341">
        <v>9666</v>
      </c>
      <c r="C7633" s="1341" t="s">
        <v>8055</v>
      </c>
      <c r="D7633" s="1310">
        <v>1203.4812549999999</v>
      </c>
    </row>
    <row r="7634" spans="2:4" x14ac:dyDescent="0.2">
      <c r="B7634" s="1341">
        <v>9667</v>
      </c>
      <c r="C7634" s="1341" t="s">
        <v>368</v>
      </c>
      <c r="D7634" s="1310">
        <v>1070.1272750000001</v>
      </c>
    </row>
    <row r="7635" spans="2:4" x14ac:dyDescent="0.2">
      <c r="B7635" s="1341">
        <v>9668</v>
      </c>
      <c r="C7635" s="1341" t="s">
        <v>8056</v>
      </c>
      <c r="D7635" s="1310">
        <v>1348.4125059999999</v>
      </c>
    </row>
    <row r="7636" spans="2:4" x14ac:dyDescent="0.2">
      <c r="B7636" s="1341">
        <v>9669</v>
      </c>
      <c r="C7636" s="1341" t="s">
        <v>8057</v>
      </c>
      <c r="D7636" s="1310">
        <v>1033.1667070000001</v>
      </c>
    </row>
    <row r="7637" spans="2:4" x14ac:dyDescent="0.2">
      <c r="B7637" s="1341">
        <v>9670</v>
      </c>
      <c r="C7637" s="1341" t="s">
        <v>8058</v>
      </c>
      <c r="D7637" s="1310">
        <v>2106.2085729999999</v>
      </c>
    </row>
    <row r="7638" spans="2:4" x14ac:dyDescent="0.2">
      <c r="B7638" s="1341">
        <v>9671</v>
      </c>
      <c r="C7638" s="1341" t="s">
        <v>8059</v>
      </c>
      <c r="D7638" s="1310">
        <v>1081.5703739999999</v>
      </c>
    </row>
    <row r="7639" spans="2:4" x14ac:dyDescent="0.2">
      <c r="B7639" s="1341">
        <v>9672</v>
      </c>
      <c r="C7639" s="1341" t="s">
        <v>8060</v>
      </c>
      <c r="D7639" s="1310">
        <v>1329.7</v>
      </c>
    </row>
    <row r="7640" spans="2:4" x14ac:dyDescent="0.2">
      <c r="B7640" s="1341">
        <v>9673</v>
      </c>
      <c r="C7640" s="1341" t="s">
        <v>5705</v>
      </c>
      <c r="D7640" s="1310">
        <v>1482.400009</v>
      </c>
    </row>
    <row r="7641" spans="2:4" x14ac:dyDescent="0.2">
      <c r="B7641" s="1341">
        <v>9674</v>
      </c>
      <c r="C7641" s="1341" t="s">
        <v>8061</v>
      </c>
      <c r="D7641" s="1310">
        <v>1156.180636</v>
      </c>
    </row>
    <row r="7642" spans="2:4" x14ac:dyDescent="0.2">
      <c r="B7642" s="1341">
        <v>9675</v>
      </c>
      <c r="C7642" s="1341" t="s">
        <v>8062</v>
      </c>
      <c r="D7642" s="1310">
        <v>1045.2700010000001</v>
      </c>
    </row>
    <row r="7643" spans="2:4" x14ac:dyDescent="0.2">
      <c r="B7643" s="1341">
        <v>9676</v>
      </c>
      <c r="C7643" s="1341" t="s">
        <v>8063</v>
      </c>
      <c r="D7643" s="1310">
        <v>1483.4222139999999</v>
      </c>
    </row>
    <row r="7644" spans="2:4" x14ac:dyDescent="0.2">
      <c r="B7644" s="1341">
        <v>9677</v>
      </c>
      <c r="C7644" s="1341" t="s">
        <v>8064</v>
      </c>
      <c r="D7644" s="1310">
        <v>1005.995461</v>
      </c>
    </row>
    <row r="7645" spans="2:4" x14ac:dyDescent="0.2">
      <c r="B7645" s="1341">
        <v>9678</v>
      </c>
      <c r="C7645" s="1341" t="s">
        <v>8065</v>
      </c>
      <c r="D7645" s="1310">
        <v>1445.5571640000001</v>
      </c>
    </row>
    <row r="7646" spans="2:4" x14ac:dyDescent="0.2">
      <c r="B7646" s="1341">
        <v>9679</v>
      </c>
      <c r="C7646" s="1341" t="s">
        <v>8066</v>
      </c>
      <c r="D7646" s="1310">
        <v>1093.7349979999999</v>
      </c>
    </row>
    <row r="7647" spans="2:4" x14ac:dyDescent="0.2">
      <c r="B7647" s="1341">
        <v>9680</v>
      </c>
      <c r="C7647" s="1341" t="s">
        <v>8067</v>
      </c>
      <c r="D7647" s="1310">
        <v>1008.329405</v>
      </c>
    </row>
    <row r="7648" spans="2:4" x14ac:dyDescent="0.2">
      <c r="B7648" s="1341">
        <v>9681</v>
      </c>
      <c r="C7648" s="1341" t="s">
        <v>8068</v>
      </c>
      <c r="D7648" s="1310">
        <v>1056.208333</v>
      </c>
    </row>
    <row r="7649" spans="2:4" x14ac:dyDescent="0.2">
      <c r="B7649" s="1341">
        <v>9682</v>
      </c>
      <c r="C7649" s="1341" t="s">
        <v>8069</v>
      </c>
      <c r="D7649" s="1310">
        <v>1152.6555450000001</v>
      </c>
    </row>
    <row r="7650" spans="2:4" x14ac:dyDescent="0.2">
      <c r="B7650" s="1341">
        <v>9683</v>
      </c>
      <c r="C7650" s="1341" t="s">
        <v>8070</v>
      </c>
      <c r="D7650" s="1310">
        <v>1351.8154019999999</v>
      </c>
    </row>
    <row r="7651" spans="2:4" x14ac:dyDescent="0.2">
      <c r="B7651" s="1341">
        <v>9684</v>
      </c>
      <c r="C7651" s="1341" t="s">
        <v>8071</v>
      </c>
      <c r="D7651" s="1310">
        <v>1024.157148</v>
      </c>
    </row>
    <row r="7652" spans="2:4" x14ac:dyDescent="0.2">
      <c r="B7652" s="1341">
        <v>9685</v>
      </c>
      <c r="C7652" s="1341" t="s">
        <v>8072</v>
      </c>
      <c r="D7652" s="1310">
        <v>1013.933322</v>
      </c>
    </row>
    <row r="7653" spans="2:4" x14ac:dyDescent="0.2">
      <c r="B7653" s="1341">
        <v>9701</v>
      </c>
      <c r="C7653" s="1341" t="s">
        <v>8073</v>
      </c>
      <c r="D7653" s="1310">
        <v>1033.8333540000001</v>
      </c>
    </row>
    <row r="7654" spans="2:4" x14ac:dyDescent="0.2">
      <c r="B7654" s="1341">
        <v>9702</v>
      </c>
      <c r="C7654" s="1341" t="s">
        <v>8074</v>
      </c>
      <c r="D7654" s="1310">
        <v>1029.0250140000001</v>
      </c>
    </row>
    <row r="7655" spans="2:4" x14ac:dyDescent="0.2">
      <c r="B7655" s="1341">
        <v>9703</v>
      </c>
      <c r="C7655" s="1341" t="s">
        <v>8075</v>
      </c>
      <c r="D7655" s="1310">
        <v>985.80908799999997</v>
      </c>
    </row>
    <row r="7656" spans="2:4" x14ac:dyDescent="0.2">
      <c r="B7656" s="1341">
        <v>9706</v>
      </c>
      <c r="C7656" s="1341" t="s">
        <v>8076</v>
      </c>
      <c r="D7656" s="1310">
        <v>940.20001200000002</v>
      </c>
    </row>
    <row r="7657" spans="2:4" x14ac:dyDescent="0.2">
      <c r="B7657" s="1341">
        <v>9707</v>
      </c>
      <c r="C7657" s="1341" t="s">
        <v>7170</v>
      </c>
      <c r="D7657" s="1310">
        <v>1003.477783</v>
      </c>
    </row>
    <row r="7658" spans="2:4" x14ac:dyDescent="0.2">
      <c r="B7658" s="1341">
        <v>9708</v>
      </c>
      <c r="C7658" s="1341" t="s">
        <v>4750</v>
      </c>
      <c r="D7658" s="1310">
        <v>946.63748899999996</v>
      </c>
    </row>
    <row r="7659" spans="2:4" x14ac:dyDescent="0.2">
      <c r="B7659" s="1341">
        <v>9709</v>
      </c>
      <c r="C7659" s="1341" t="s">
        <v>8077</v>
      </c>
      <c r="D7659" s="1310">
        <v>912.52220999999997</v>
      </c>
    </row>
    <row r="7660" spans="2:4" x14ac:dyDescent="0.2">
      <c r="B7660" s="1341">
        <v>9711</v>
      </c>
      <c r="C7660" s="1341" t="s">
        <v>5786</v>
      </c>
      <c r="D7660" s="1310">
        <v>964.97501399999999</v>
      </c>
    </row>
    <row r="7661" spans="2:4" x14ac:dyDescent="0.2">
      <c r="B7661" s="1341">
        <v>9712</v>
      </c>
      <c r="C7661" s="1341" t="s">
        <v>8078</v>
      </c>
      <c r="D7661" s="1310">
        <v>967.21111399999995</v>
      </c>
    </row>
    <row r="7662" spans="2:4" x14ac:dyDescent="0.2">
      <c r="B7662" s="1341">
        <v>9713</v>
      </c>
      <c r="C7662" s="1341" t="s">
        <v>2793</v>
      </c>
      <c r="D7662" s="1310">
        <v>993.29999499999997</v>
      </c>
    </row>
    <row r="7663" spans="2:4" x14ac:dyDescent="0.2">
      <c r="B7663" s="1341">
        <v>9716</v>
      </c>
      <c r="C7663" s="1341" t="s">
        <v>8079</v>
      </c>
      <c r="D7663" s="1310">
        <v>900.99230499999999</v>
      </c>
    </row>
    <row r="7664" spans="2:4" x14ac:dyDescent="0.2">
      <c r="B7664" s="1341">
        <v>9717</v>
      </c>
      <c r="C7664" s="1341" t="s">
        <v>8080</v>
      </c>
      <c r="D7664" s="1310">
        <v>941.56000400000005</v>
      </c>
    </row>
    <row r="7665" spans="2:4" x14ac:dyDescent="0.2">
      <c r="B7665" s="1341">
        <v>9718</v>
      </c>
      <c r="C7665" s="1341" t="s">
        <v>8081</v>
      </c>
      <c r="D7665" s="1310">
        <v>914.34286099999997</v>
      </c>
    </row>
    <row r="7666" spans="2:4" x14ac:dyDescent="0.2">
      <c r="B7666" s="1341">
        <v>9721</v>
      </c>
      <c r="C7666" s="1341" t="s">
        <v>8082</v>
      </c>
      <c r="D7666" s="1310">
        <v>833.90002400000003</v>
      </c>
    </row>
    <row r="7667" spans="2:4" x14ac:dyDescent="0.2">
      <c r="B7667" s="1341">
        <v>9722</v>
      </c>
      <c r="C7667" s="1341" t="s">
        <v>8083</v>
      </c>
      <c r="D7667" s="1310">
        <v>901.69230800000003</v>
      </c>
    </row>
    <row r="7668" spans="2:4" x14ac:dyDescent="0.2">
      <c r="B7668" s="1341">
        <v>9723</v>
      </c>
      <c r="C7668" s="1341" t="s">
        <v>8084</v>
      </c>
      <c r="D7668" s="1310">
        <v>883.71110699999997</v>
      </c>
    </row>
    <row r="7669" spans="2:4" x14ac:dyDescent="0.2">
      <c r="B7669" s="1341">
        <v>9724</v>
      </c>
      <c r="C7669" s="1341" t="s">
        <v>8085</v>
      </c>
      <c r="D7669" s="1310">
        <v>835.26666299999999</v>
      </c>
    </row>
    <row r="7670" spans="2:4" x14ac:dyDescent="0.2">
      <c r="B7670" s="1341">
        <v>9725</v>
      </c>
      <c r="C7670" s="1341" t="s">
        <v>8086</v>
      </c>
      <c r="D7670" s="1310">
        <v>884.96666800000003</v>
      </c>
    </row>
    <row r="7671" spans="2:4" x14ac:dyDescent="0.2">
      <c r="B7671" s="1341">
        <v>9726</v>
      </c>
      <c r="C7671" s="1341" t="s">
        <v>8087</v>
      </c>
      <c r="D7671" s="1310">
        <v>919.885716</v>
      </c>
    </row>
    <row r="7672" spans="2:4" x14ac:dyDescent="0.2">
      <c r="B7672" s="1341">
        <v>9727</v>
      </c>
      <c r="C7672" s="1341" t="s">
        <v>8088</v>
      </c>
      <c r="D7672" s="1310">
        <v>939.67142999999999</v>
      </c>
    </row>
    <row r="7673" spans="2:4" x14ac:dyDescent="0.2">
      <c r="B7673" s="1341">
        <v>9732</v>
      </c>
      <c r="C7673" s="1341" t="s">
        <v>4127</v>
      </c>
      <c r="D7673" s="1310">
        <v>932.23331700000006</v>
      </c>
    </row>
    <row r="7674" spans="2:4" x14ac:dyDescent="0.2">
      <c r="B7674" s="1341">
        <v>9733</v>
      </c>
      <c r="C7674" s="1341" t="s">
        <v>7360</v>
      </c>
      <c r="D7674" s="1310">
        <v>922.13334099999997</v>
      </c>
    </row>
    <row r="7675" spans="2:4" x14ac:dyDescent="0.2">
      <c r="B7675" s="1341">
        <v>9734</v>
      </c>
      <c r="C7675" s="1341" t="s">
        <v>8089</v>
      </c>
      <c r="D7675" s="1310">
        <v>894.014274</v>
      </c>
    </row>
    <row r="7676" spans="2:4" x14ac:dyDescent="0.2">
      <c r="B7676" s="1341">
        <v>9735</v>
      </c>
      <c r="C7676" s="1341" t="s">
        <v>8090</v>
      </c>
      <c r="D7676" s="1310">
        <v>899.77273300000002</v>
      </c>
    </row>
    <row r="7677" spans="2:4" x14ac:dyDescent="0.2">
      <c r="B7677" s="1341">
        <v>9736</v>
      </c>
      <c r="C7677" s="1341" t="s">
        <v>8091</v>
      </c>
      <c r="D7677" s="1310">
        <v>965.23333700000001</v>
      </c>
    </row>
    <row r="7678" spans="2:4" x14ac:dyDescent="0.2">
      <c r="B7678" s="1341">
        <v>9737</v>
      </c>
      <c r="C7678" s="1341" t="s">
        <v>8092</v>
      </c>
      <c r="D7678" s="1310">
        <v>963.89090799999997</v>
      </c>
    </row>
    <row r="7679" spans="2:4" x14ac:dyDescent="0.2">
      <c r="B7679" s="1341">
        <v>9738</v>
      </c>
      <c r="C7679" s="1341" t="s">
        <v>8093</v>
      </c>
      <c r="D7679" s="1310">
        <v>959.85555699999998</v>
      </c>
    </row>
    <row r="7680" spans="2:4" x14ac:dyDescent="0.2">
      <c r="B7680" s="1341">
        <v>9739</v>
      </c>
      <c r="C7680" s="1341" t="s">
        <v>8094</v>
      </c>
      <c r="D7680" s="1310">
        <v>960.911112</v>
      </c>
    </row>
    <row r="7681" spans="2:4" x14ac:dyDescent="0.2">
      <c r="B7681" s="1341">
        <v>9740</v>
      </c>
      <c r="C7681" s="1341" t="s">
        <v>5188</v>
      </c>
      <c r="D7681" s="1310">
        <v>968.79999699999996</v>
      </c>
    </row>
    <row r="7682" spans="2:4" x14ac:dyDescent="0.2">
      <c r="B7682" s="1341">
        <v>9741</v>
      </c>
      <c r="C7682" s="1341" t="s">
        <v>8095</v>
      </c>
      <c r="D7682" s="1310">
        <v>965.63750500000003</v>
      </c>
    </row>
    <row r="7683" spans="2:4" x14ac:dyDescent="0.2">
      <c r="B7683" s="1341">
        <v>9742</v>
      </c>
      <c r="C7683" s="1341" t="s">
        <v>8096</v>
      </c>
      <c r="D7683" s="1310">
        <v>987.98749499999997</v>
      </c>
    </row>
    <row r="7684" spans="2:4" x14ac:dyDescent="0.2">
      <c r="B7684" s="1341">
        <v>9746</v>
      </c>
      <c r="C7684" s="1341" t="s">
        <v>8097</v>
      </c>
      <c r="D7684" s="1310">
        <v>981.04286400000001</v>
      </c>
    </row>
    <row r="7685" spans="2:4" x14ac:dyDescent="0.2">
      <c r="B7685" s="1341">
        <v>9747</v>
      </c>
      <c r="C7685" s="1341" t="s">
        <v>3164</v>
      </c>
      <c r="D7685" s="1310">
        <v>968.89999</v>
      </c>
    </row>
    <row r="7686" spans="2:4" x14ac:dyDescent="0.2">
      <c r="B7686" s="1341">
        <v>9748</v>
      </c>
      <c r="C7686" s="1341" t="s">
        <v>8098</v>
      </c>
      <c r="D7686" s="1310">
        <v>973.87273600000003</v>
      </c>
    </row>
    <row r="7687" spans="2:4" x14ac:dyDescent="0.2">
      <c r="B7687" s="1341">
        <v>9749</v>
      </c>
      <c r="C7687" s="1341" t="s">
        <v>8099</v>
      </c>
      <c r="D7687" s="1310">
        <v>965.48571300000003</v>
      </c>
    </row>
    <row r="7688" spans="2:4" x14ac:dyDescent="0.2">
      <c r="B7688" s="1341">
        <v>9751</v>
      </c>
      <c r="C7688" s="1341" t="s">
        <v>8100</v>
      </c>
      <c r="D7688" s="1310">
        <v>952.47777599999995</v>
      </c>
    </row>
    <row r="7689" spans="2:4" x14ac:dyDescent="0.2">
      <c r="B7689" s="1341">
        <v>9752</v>
      </c>
      <c r="C7689" s="1341" t="s">
        <v>4711</v>
      </c>
      <c r="D7689" s="1310">
        <v>903.385716</v>
      </c>
    </row>
    <row r="7690" spans="2:4" x14ac:dyDescent="0.2">
      <c r="B7690" s="1341">
        <v>9753</v>
      </c>
      <c r="C7690" s="1341" t="s">
        <v>8101</v>
      </c>
      <c r="D7690" s="1310">
        <v>949.9375</v>
      </c>
    </row>
    <row r="7691" spans="2:4" x14ac:dyDescent="0.2">
      <c r="B7691" s="1341">
        <v>9756</v>
      </c>
      <c r="C7691" s="1341" t="s">
        <v>8102</v>
      </c>
      <c r="D7691" s="1310">
        <v>930.91000399999996</v>
      </c>
    </row>
    <row r="7692" spans="2:4" x14ac:dyDescent="0.2">
      <c r="B7692" s="1341">
        <v>9757</v>
      </c>
      <c r="C7692" s="1341" t="s">
        <v>4252</v>
      </c>
      <c r="D7692" s="1310">
        <v>923.49999400000002</v>
      </c>
    </row>
    <row r="7693" spans="2:4" x14ac:dyDescent="0.2">
      <c r="B7693" s="1341">
        <v>9758</v>
      </c>
      <c r="C7693" s="1341" t="s">
        <v>7783</v>
      </c>
      <c r="D7693" s="1310">
        <v>950.88888199999997</v>
      </c>
    </row>
    <row r="7694" spans="2:4" x14ac:dyDescent="0.2">
      <c r="B7694" s="1341">
        <v>9760</v>
      </c>
      <c r="C7694" s="1341" t="s">
        <v>8103</v>
      </c>
      <c r="D7694" s="1310">
        <v>955.73331700000006</v>
      </c>
    </row>
    <row r="7695" spans="2:4" x14ac:dyDescent="0.2">
      <c r="B7695" s="1341">
        <v>9762</v>
      </c>
      <c r="C7695" s="1341" t="s">
        <v>8104</v>
      </c>
      <c r="D7695" s="1310">
        <v>943.53636600000004</v>
      </c>
    </row>
    <row r="7696" spans="2:4" x14ac:dyDescent="0.2">
      <c r="B7696" s="1341">
        <v>9763</v>
      </c>
      <c r="C7696" s="1341" t="s">
        <v>8105</v>
      </c>
      <c r="D7696" s="1310">
        <v>911.728568</v>
      </c>
    </row>
    <row r="7697" spans="2:4" x14ac:dyDescent="0.2">
      <c r="B7697" s="1341">
        <v>9767</v>
      </c>
      <c r="C7697" s="1341" t="s">
        <v>8106</v>
      </c>
      <c r="D7697" s="1310">
        <v>981.44999700000005</v>
      </c>
    </row>
    <row r="7698" spans="2:4" x14ac:dyDescent="0.2">
      <c r="B7698" s="1341">
        <v>9768</v>
      </c>
      <c r="C7698" s="1341" t="s">
        <v>8107</v>
      </c>
      <c r="D7698" s="1310">
        <v>997.94286199999999</v>
      </c>
    </row>
    <row r="7699" spans="2:4" x14ac:dyDescent="0.2">
      <c r="B7699" s="1341">
        <v>9769</v>
      </c>
      <c r="C7699" s="1341" t="s">
        <v>4110</v>
      </c>
      <c r="D7699" s="1310">
        <v>963.240002</v>
      </c>
    </row>
    <row r="7700" spans="2:4" x14ac:dyDescent="0.2">
      <c r="B7700" s="1341">
        <v>9770</v>
      </c>
      <c r="C7700" s="1341" t="s">
        <v>6166</v>
      </c>
      <c r="D7700" s="1310">
        <v>990.94999900000005</v>
      </c>
    </row>
    <row r="7701" spans="2:4" x14ac:dyDescent="0.2">
      <c r="B7701" s="1341">
        <v>9771</v>
      </c>
      <c r="C7701" s="1341" t="s">
        <v>8108</v>
      </c>
      <c r="D7701" s="1310">
        <v>994.663635</v>
      </c>
    </row>
    <row r="7702" spans="2:4" x14ac:dyDescent="0.2">
      <c r="B7702" s="1341">
        <v>9772</v>
      </c>
      <c r="C7702" s="1341" t="s">
        <v>5528</v>
      </c>
      <c r="D7702" s="1310">
        <v>954.92857100000003</v>
      </c>
    </row>
    <row r="7703" spans="2:4" x14ac:dyDescent="0.2">
      <c r="B7703" s="1341">
        <v>9775</v>
      </c>
      <c r="C7703" s="1341" t="s">
        <v>8109</v>
      </c>
      <c r="D7703" s="1310">
        <v>1018</v>
      </c>
    </row>
    <row r="7704" spans="2:4" x14ac:dyDescent="0.2">
      <c r="B7704" s="1341">
        <v>9776</v>
      </c>
      <c r="C7704" s="1341" t="s">
        <v>8110</v>
      </c>
      <c r="D7704" s="1310">
        <v>973.24374799999998</v>
      </c>
    </row>
    <row r="7705" spans="2:4" x14ac:dyDescent="0.2">
      <c r="B7705" s="1341">
        <v>9777</v>
      </c>
      <c r="C7705" s="1341" t="s">
        <v>8111</v>
      </c>
      <c r="D7705" s="1310">
        <v>975.66666699999996</v>
      </c>
    </row>
    <row r="7706" spans="2:4" x14ac:dyDescent="0.2">
      <c r="B7706" s="1341">
        <v>9778</v>
      </c>
      <c r="C7706" s="1341" t="s">
        <v>1983</v>
      </c>
      <c r="D7706" s="1310">
        <v>960.74285899999995</v>
      </c>
    </row>
    <row r="7707" spans="2:4" x14ac:dyDescent="0.2">
      <c r="B7707" s="1341">
        <v>9781</v>
      </c>
      <c r="C7707" s="1341" t="s">
        <v>8112</v>
      </c>
      <c r="D7707" s="1310">
        <v>995.67498799999998</v>
      </c>
    </row>
    <row r="7708" spans="2:4" x14ac:dyDescent="0.2">
      <c r="B7708" s="1341">
        <v>9782</v>
      </c>
      <c r="C7708" s="1341" t="s">
        <v>8113</v>
      </c>
      <c r="D7708" s="1310">
        <v>1006.119995</v>
      </c>
    </row>
    <row r="7709" spans="2:4" x14ac:dyDescent="0.2">
      <c r="B7709" s="1341">
        <v>9786</v>
      </c>
      <c r="C7709" s="1341" t="s">
        <v>8114</v>
      </c>
      <c r="D7709" s="1310">
        <v>1048.9700009999999</v>
      </c>
    </row>
    <row r="7710" spans="2:4" x14ac:dyDescent="0.2">
      <c r="B7710" s="1341">
        <v>9787</v>
      </c>
      <c r="C7710" s="1341" t="s">
        <v>8115</v>
      </c>
      <c r="D7710" s="1310">
        <v>980.70908399999996</v>
      </c>
    </row>
    <row r="7711" spans="2:4" x14ac:dyDescent="0.2">
      <c r="B7711" s="1341">
        <v>9788</v>
      </c>
      <c r="C7711" s="1341" t="s">
        <v>8116</v>
      </c>
      <c r="D7711" s="1310">
        <v>980.67142200000001</v>
      </c>
    </row>
    <row r="7712" spans="2:4" x14ac:dyDescent="0.2">
      <c r="B7712" s="1341">
        <v>9789</v>
      </c>
      <c r="C7712" s="1341" t="s">
        <v>8117</v>
      </c>
      <c r="D7712" s="1310">
        <v>1033.3583369999999</v>
      </c>
    </row>
    <row r="7713" spans="2:4" x14ac:dyDescent="0.2">
      <c r="B7713" s="1341">
        <v>9801</v>
      </c>
      <c r="C7713" s="1341" t="s">
        <v>8118</v>
      </c>
      <c r="D7713" s="1310">
        <v>990.69032100000004</v>
      </c>
    </row>
    <row r="7714" spans="2:4" x14ac:dyDescent="0.2">
      <c r="B7714" s="1341">
        <v>9802</v>
      </c>
      <c r="C7714" s="1341" t="s">
        <v>8119</v>
      </c>
      <c r="D7714" s="1310">
        <v>905.64374899999996</v>
      </c>
    </row>
    <row r="7715" spans="2:4" x14ac:dyDescent="0.2">
      <c r="B7715" s="1341">
        <v>9803</v>
      </c>
      <c r="C7715" s="1341" t="s">
        <v>8120</v>
      </c>
      <c r="D7715" s="1310">
        <v>987.153324</v>
      </c>
    </row>
    <row r="7716" spans="2:4" x14ac:dyDescent="0.2">
      <c r="B7716" s="1341">
        <v>9804</v>
      </c>
      <c r="C7716" s="1341" t="s">
        <v>8121</v>
      </c>
      <c r="D7716" s="1310">
        <v>919.41818000000001</v>
      </c>
    </row>
    <row r="7717" spans="2:4" x14ac:dyDescent="0.2">
      <c r="B7717" s="1341">
        <v>9805</v>
      </c>
      <c r="C7717" s="1341" t="s">
        <v>8122</v>
      </c>
      <c r="D7717" s="1310">
        <v>899.385716</v>
      </c>
    </row>
    <row r="7718" spans="2:4" x14ac:dyDescent="0.2">
      <c r="B7718" s="1341">
        <v>9806</v>
      </c>
      <c r="C7718" s="1341" t="s">
        <v>4822</v>
      </c>
      <c r="D7718" s="1310">
        <v>914.22500600000001</v>
      </c>
    </row>
    <row r="7719" spans="2:4" x14ac:dyDescent="0.2">
      <c r="B7719" s="1341">
        <v>9807</v>
      </c>
      <c r="C7719" s="1341" t="s">
        <v>6035</v>
      </c>
      <c r="D7719" s="1310">
        <v>921.64544699999999</v>
      </c>
    </row>
    <row r="7720" spans="2:4" x14ac:dyDescent="0.2">
      <c r="B7720" s="1341">
        <v>9808</v>
      </c>
      <c r="C7720" s="1341" t="s">
        <v>8123</v>
      </c>
      <c r="D7720" s="1310">
        <v>966.34210800000005</v>
      </c>
    </row>
    <row r="7721" spans="2:4" x14ac:dyDescent="0.2">
      <c r="B7721" s="1341">
        <v>9809</v>
      </c>
      <c r="C7721" s="1341" t="s">
        <v>8124</v>
      </c>
      <c r="D7721" s="1310">
        <v>969.07778299999995</v>
      </c>
    </row>
    <row r="7722" spans="2:4" x14ac:dyDescent="0.2">
      <c r="B7722" s="1341">
        <v>9810</v>
      </c>
      <c r="C7722" s="1341" t="s">
        <v>8125</v>
      </c>
      <c r="D7722" s="1310">
        <v>1076.743759</v>
      </c>
    </row>
    <row r="7723" spans="2:4" x14ac:dyDescent="0.2">
      <c r="B7723" s="1341">
        <v>9811</v>
      </c>
      <c r="C7723" s="1341" t="s">
        <v>8126</v>
      </c>
      <c r="D7723" s="1310">
        <v>1099.9037069999999</v>
      </c>
    </row>
    <row r="7724" spans="2:4" x14ac:dyDescent="0.2">
      <c r="B7724" s="1341">
        <v>9812</v>
      </c>
      <c r="C7724" s="1341" t="s">
        <v>8127</v>
      </c>
      <c r="D7724" s="1310">
        <v>1036.8956459999999</v>
      </c>
    </row>
    <row r="7725" spans="2:4" x14ac:dyDescent="0.2">
      <c r="B7725" s="1341">
        <v>9813</v>
      </c>
      <c r="C7725" s="1341" t="s">
        <v>8128</v>
      </c>
      <c r="D7725" s="1310">
        <v>1118.8535770000001</v>
      </c>
    </row>
    <row r="7726" spans="2:4" x14ac:dyDescent="0.2">
      <c r="B7726" s="1341">
        <v>9814</v>
      </c>
      <c r="C7726" s="1341" t="s">
        <v>8129</v>
      </c>
      <c r="D7726" s="1310">
        <v>1128.2923069999999</v>
      </c>
    </row>
    <row r="7727" spans="2:4" x14ac:dyDescent="0.2">
      <c r="B7727" s="1341">
        <v>9815</v>
      </c>
      <c r="C7727" s="1341" t="s">
        <v>8130</v>
      </c>
      <c r="D7727" s="1310">
        <v>1087.207707</v>
      </c>
    </row>
    <row r="7728" spans="2:4" x14ac:dyDescent="0.2">
      <c r="B7728" s="1341">
        <v>9816</v>
      </c>
      <c r="C7728" s="1341" t="s">
        <v>8131</v>
      </c>
      <c r="D7728" s="1310">
        <v>1089.8181930000001</v>
      </c>
    </row>
    <row r="7729" spans="2:4" x14ac:dyDescent="0.2">
      <c r="B7729" s="1341">
        <v>9817</v>
      </c>
      <c r="C7729" s="1341" t="s">
        <v>8132</v>
      </c>
      <c r="D7729" s="1310">
        <v>1036.868755</v>
      </c>
    </row>
    <row r="7730" spans="2:4" x14ac:dyDescent="0.2">
      <c r="B7730" s="1341">
        <v>9818</v>
      </c>
      <c r="C7730" s="1341" t="s">
        <v>8133</v>
      </c>
      <c r="D7730" s="1310">
        <v>1004.7</v>
      </c>
    </row>
    <row r="7731" spans="2:4" x14ac:dyDescent="0.2">
      <c r="B7731" s="1341">
        <v>9819</v>
      </c>
      <c r="C7731" s="1341" t="s">
        <v>1495</v>
      </c>
      <c r="D7731" s="1310">
        <v>1012.849998</v>
      </c>
    </row>
    <row r="7732" spans="2:4" x14ac:dyDescent="0.2">
      <c r="B7732" s="1341">
        <v>9820</v>
      </c>
      <c r="C7732" s="1341" t="s">
        <v>2141</v>
      </c>
      <c r="D7732" s="1310">
        <v>1066.3142869999999</v>
      </c>
    </row>
    <row r="7733" spans="2:4" x14ac:dyDescent="0.2">
      <c r="B7733" s="1341">
        <v>9821</v>
      </c>
      <c r="C7733" s="1341" t="s">
        <v>8134</v>
      </c>
      <c r="D7733" s="1310">
        <v>1162.1000160000001</v>
      </c>
    </row>
    <row r="7734" spans="2:4" x14ac:dyDescent="0.2">
      <c r="B7734" s="1341">
        <v>9822</v>
      </c>
      <c r="C7734" s="1341" t="s">
        <v>8135</v>
      </c>
      <c r="D7734" s="1310">
        <v>1146.0749920000001</v>
      </c>
    </row>
    <row r="7735" spans="2:4" x14ac:dyDescent="0.2">
      <c r="B7735" s="1341">
        <v>9823</v>
      </c>
      <c r="C7735" s="1341" t="s">
        <v>8136</v>
      </c>
      <c r="D7735" s="1310">
        <v>1188.0285819999999</v>
      </c>
    </row>
    <row r="7736" spans="2:4" x14ac:dyDescent="0.2">
      <c r="B7736" s="1341">
        <v>9824</v>
      </c>
      <c r="C7736" s="1341" t="s">
        <v>7683</v>
      </c>
      <c r="D7736" s="1310">
        <v>1204.0833230000001</v>
      </c>
    </row>
    <row r="7737" spans="2:4" x14ac:dyDescent="0.2">
      <c r="B7737" s="1341">
        <v>9825</v>
      </c>
      <c r="C7737" s="1341" t="s">
        <v>8137</v>
      </c>
      <c r="D7737" s="1310">
        <v>1240.4625020000001</v>
      </c>
    </row>
    <row r="7738" spans="2:4" x14ac:dyDescent="0.2">
      <c r="B7738" s="1341">
        <v>9826</v>
      </c>
      <c r="C7738" s="1341" t="s">
        <v>8138</v>
      </c>
      <c r="D7738" s="1310">
        <v>1240</v>
      </c>
    </row>
    <row r="7739" spans="2:4" x14ac:dyDescent="0.2">
      <c r="B7739" s="1341">
        <v>9827</v>
      </c>
      <c r="C7739" s="1341" t="s">
        <v>8139</v>
      </c>
      <c r="D7739" s="1310">
        <v>1234.0124969999999</v>
      </c>
    </row>
    <row r="7740" spans="2:4" x14ac:dyDescent="0.2">
      <c r="B7740" s="1341">
        <v>9828</v>
      </c>
      <c r="C7740" s="1341" t="s">
        <v>8140</v>
      </c>
      <c r="D7740" s="1310">
        <v>1146.412491</v>
      </c>
    </row>
    <row r="7741" spans="2:4" x14ac:dyDescent="0.2">
      <c r="B7741" s="1341">
        <v>9829</v>
      </c>
      <c r="C7741" s="1341" t="s">
        <v>8141</v>
      </c>
      <c r="D7741" s="1310">
        <v>1091.5916649999999</v>
      </c>
    </row>
    <row r="7742" spans="2:4" x14ac:dyDescent="0.2">
      <c r="B7742" s="1341">
        <v>9830</v>
      </c>
      <c r="C7742" s="1341" t="s">
        <v>8142</v>
      </c>
      <c r="D7742" s="1310">
        <v>1126</v>
      </c>
    </row>
    <row r="7743" spans="2:4" x14ac:dyDescent="0.2">
      <c r="B7743" s="1341">
        <v>9831</v>
      </c>
      <c r="C7743" s="1341" t="s">
        <v>8143</v>
      </c>
      <c r="D7743" s="1310">
        <v>1135.542864</v>
      </c>
    </row>
    <row r="7744" spans="2:4" x14ac:dyDescent="0.2">
      <c r="B7744" s="1341">
        <v>9832</v>
      </c>
      <c r="C7744" s="1341" t="s">
        <v>8144</v>
      </c>
      <c r="D7744" s="1310">
        <v>1163.3249820000001</v>
      </c>
    </row>
    <row r="7745" spans="2:4" x14ac:dyDescent="0.2">
      <c r="B7745" s="1341">
        <v>9833</v>
      </c>
      <c r="C7745" s="1341" t="s">
        <v>8145</v>
      </c>
      <c r="D7745" s="1310">
        <v>1149.918191</v>
      </c>
    </row>
    <row r="7746" spans="2:4" x14ac:dyDescent="0.2">
      <c r="B7746" s="1341">
        <v>9834</v>
      </c>
      <c r="C7746" s="1341" t="s">
        <v>6368</v>
      </c>
      <c r="D7746" s="1310">
        <v>1112.875</v>
      </c>
    </row>
    <row r="7747" spans="2:4" x14ac:dyDescent="0.2">
      <c r="B7747" s="1341">
        <v>9835</v>
      </c>
      <c r="C7747" s="1341" t="s">
        <v>7576</v>
      </c>
      <c r="D7747" s="1310">
        <v>1153.600021</v>
      </c>
    </row>
    <row r="7748" spans="2:4" x14ac:dyDescent="0.2">
      <c r="B7748" s="1341">
        <v>9836</v>
      </c>
      <c r="C7748" s="1341" t="s">
        <v>8146</v>
      </c>
      <c r="D7748" s="1310">
        <v>1044.400024</v>
      </c>
    </row>
    <row r="7749" spans="2:4" x14ac:dyDescent="0.2">
      <c r="B7749" s="1341">
        <v>9837</v>
      </c>
      <c r="C7749" s="1341" t="s">
        <v>8147</v>
      </c>
      <c r="D7749" s="1310">
        <v>1079.0699890000001</v>
      </c>
    </row>
    <row r="7750" spans="2:4" x14ac:dyDescent="0.2">
      <c r="B7750" s="1341">
        <v>9838</v>
      </c>
      <c r="C7750" s="1341" t="s">
        <v>8148</v>
      </c>
      <c r="D7750" s="1310">
        <v>1179.0600099999999</v>
      </c>
    </row>
    <row r="7751" spans="2:4" x14ac:dyDescent="0.2">
      <c r="B7751" s="1341">
        <v>9839</v>
      </c>
      <c r="C7751" s="1341" t="s">
        <v>8149</v>
      </c>
      <c r="D7751" s="1310">
        <v>1023.3833519999999</v>
      </c>
    </row>
    <row r="7752" spans="2:4" x14ac:dyDescent="0.2">
      <c r="B7752" s="1341">
        <v>9841</v>
      </c>
      <c r="C7752" s="1341" t="s">
        <v>8150</v>
      </c>
      <c r="D7752" s="1310">
        <v>1236.3421049999999</v>
      </c>
    </row>
    <row r="7753" spans="2:4" x14ac:dyDescent="0.2">
      <c r="B7753" s="1341">
        <v>9842</v>
      </c>
      <c r="C7753" s="1341" t="s">
        <v>8151</v>
      </c>
      <c r="D7753" s="1310">
        <v>1205.994803</v>
      </c>
    </row>
    <row r="7754" spans="2:4" x14ac:dyDescent="0.2">
      <c r="B7754" s="1341">
        <v>9844</v>
      </c>
      <c r="C7754" s="1341" t="s">
        <v>8152</v>
      </c>
      <c r="D7754" s="1310">
        <v>1274.609375</v>
      </c>
    </row>
    <row r="7755" spans="2:4" x14ac:dyDescent="0.2">
      <c r="B7755" s="1341">
        <v>9845</v>
      </c>
      <c r="C7755" s="1341" t="s">
        <v>8153</v>
      </c>
      <c r="D7755" s="1310">
        <v>1320.3333270000001</v>
      </c>
    </row>
    <row r="7756" spans="2:4" x14ac:dyDescent="0.2">
      <c r="B7756" s="1341">
        <v>9846</v>
      </c>
      <c r="C7756" s="1341" t="s">
        <v>8154</v>
      </c>
      <c r="D7756" s="1310">
        <v>1278.1750030000001</v>
      </c>
    </row>
    <row r="7757" spans="2:4" x14ac:dyDescent="0.2">
      <c r="B7757" s="1341">
        <v>9847</v>
      </c>
      <c r="C7757" s="1341" t="s">
        <v>8155</v>
      </c>
      <c r="D7757" s="1310">
        <v>1341.477783</v>
      </c>
    </row>
    <row r="7758" spans="2:4" x14ac:dyDescent="0.2">
      <c r="B7758" s="1341">
        <v>9848</v>
      </c>
      <c r="C7758" s="1341" t="s">
        <v>4372</v>
      </c>
      <c r="D7758" s="1310">
        <v>1336.3000139999999</v>
      </c>
    </row>
    <row r="7759" spans="2:4" x14ac:dyDescent="0.2">
      <c r="B7759" s="1341">
        <v>9849</v>
      </c>
      <c r="C7759" s="1341" t="s">
        <v>8156</v>
      </c>
      <c r="D7759" s="1310">
        <v>1237.258832</v>
      </c>
    </row>
    <row r="7760" spans="2:4" x14ac:dyDescent="0.2">
      <c r="B7760" s="1341">
        <v>9850</v>
      </c>
      <c r="C7760" s="1341" t="s">
        <v>390</v>
      </c>
      <c r="D7760" s="1310">
        <v>1402.73999</v>
      </c>
    </row>
    <row r="7761" spans="2:4" x14ac:dyDescent="0.2">
      <c r="B7761" s="1341">
        <v>9851</v>
      </c>
      <c r="C7761" s="1341" t="s">
        <v>3649</v>
      </c>
      <c r="D7761" s="1310">
        <v>1491.3777669999999</v>
      </c>
    </row>
    <row r="7762" spans="2:4" x14ac:dyDescent="0.2">
      <c r="B7762" s="1341">
        <v>9852</v>
      </c>
      <c r="C7762" s="1341" t="s">
        <v>2642</v>
      </c>
      <c r="D7762" s="1310">
        <v>1416.9499510000001</v>
      </c>
    </row>
    <row r="7763" spans="2:4" x14ac:dyDescent="0.2">
      <c r="B7763" s="1341">
        <v>9853</v>
      </c>
      <c r="C7763" s="1341" t="s">
        <v>8157</v>
      </c>
      <c r="D7763" s="1310">
        <v>1527.6000019999999</v>
      </c>
    </row>
    <row r="7764" spans="2:4" x14ac:dyDescent="0.2">
      <c r="B7764" s="1341">
        <v>9854</v>
      </c>
      <c r="C7764" s="1341" t="s">
        <v>8158</v>
      </c>
      <c r="D7764" s="1310">
        <v>1395.2437520000001</v>
      </c>
    </row>
    <row r="7765" spans="2:4" x14ac:dyDescent="0.2">
      <c r="B7765" s="1341">
        <v>9855</v>
      </c>
      <c r="C7765" s="1341" t="s">
        <v>1469</v>
      </c>
      <c r="D7765" s="1310">
        <v>1370.012512</v>
      </c>
    </row>
    <row r="7766" spans="2:4" x14ac:dyDescent="0.2">
      <c r="B7766" s="1341">
        <v>9856</v>
      </c>
      <c r="C7766" s="1341" t="s">
        <v>8159</v>
      </c>
      <c r="D7766" s="1310">
        <v>1626.6562650000001</v>
      </c>
    </row>
    <row r="7767" spans="2:4" x14ac:dyDescent="0.2">
      <c r="B7767" s="1341">
        <v>9857</v>
      </c>
      <c r="C7767" s="1341" t="s">
        <v>8160</v>
      </c>
      <c r="D7767" s="1310">
        <v>1499.500014</v>
      </c>
    </row>
    <row r="7768" spans="2:4" x14ac:dyDescent="0.2">
      <c r="B7768" s="1341">
        <v>9858</v>
      </c>
      <c r="C7768" s="1341" t="s">
        <v>8161</v>
      </c>
      <c r="D7768" s="1310">
        <v>1645.1583250000001</v>
      </c>
    </row>
    <row r="7769" spans="2:4" x14ac:dyDescent="0.2">
      <c r="B7769" s="1341">
        <v>9859</v>
      </c>
      <c r="C7769" s="1341" t="s">
        <v>8162</v>
      </c>
      <c r="D7769" s="1310">
        <v>1637.0600039999999</v>
      </c>
    </row>
    <row r="7770" spans="2:4" x14ac:dyDescent="0.2">
      <c r="B7770" s="1341">
        <v>9860</v>
      </c>
      <c r="C7770" s="1341" t="s">
        <v>4222</v>
      </c>
      <c r="D7770" s="1310">
        <v>1516.9533369999999</v>
      </c>
    </row>
    <row r="7771" spans="2:4" x14ac:dyDescent="0.2">
      <c r="B7771" s="1341">
        <v>9861</v>
      </c>
      <c r="C7771" s="1341" t="s">
        <v>8163</v>
      </c>
      <c r="D7771" s="1310">
        <v>1833.1294089999999</v>
      </c>
    </row>
    <row r="7772" spans="2:4" x14ac:dyDescent="0.2">
      <c r="B7772" s="1341">
        <v>9862</v>
      </c>
      <c r="C7772" s="1341" t="s">
        <v>1983</v>
      </c>
      <c r="D7772" s="1310">
        <v>1460.6571570000001</v>
      </c>
    </row>
    <row r="7773" spans="2:4" x14ac:dyDescent="0.2">
      <c r="B7773" s="1341">
        <v>9863</v>
      </c>
      <c r="C7773" s="1341" t="s">
        <v>8164</v>
      </c>
      <c r="D7773" s="1310">
        <v>1434.5700200000001</v>
      </c>
    </row>
    <row r="7774" spans="2:4" x14ac:dyDescent="0.2">
      <c r="B7774" s="1341">
        <v>9864</v>
      </c>
      <c r="C7774" s="1341" t="s">
        <v>8165</v>
      </c>
      <c r="D7774" s="1310">
        <v>1546.7857320000001</v>
      </c>
    </row>
    <row r="7775" spans="2:4" x14ac:dyDescent="0.2">
      <c r="B7775" s="1341">
        <v>9865</v>
      </c>
      <c r="C7775" s="1341" t="s">
        <v>8166</v>
      </c>
      <c r="D7775" s="1310">
        <v>1576.6333010000001</v>
      </c>
    </row>
    <row r="7776" spans="2:4" x14ac:dyDescent="0.2">
      <c r="B7776" s="1341">
        <v>9866</v>
      </c>
      <c r="C7776" s="1341" t="s">
        <v>8167</v>
      </c>
      <c r="D7776" s="1310">
        <v>1651.9375</v>
      </c>
    </row>
    <row r="7777" spans="2:4" x14ac:dyDescent="0.2">
      <c r="B7777" s="1341">
        <v>9867</v>
      </c>
      <c r="C7777" s="1341" t="s">
        <v>8168</v>
      </c>
      <c r="D7777" s="1310">
        <v>1500.46875</v>
      </c>
    </row>
    <row r="7778" spans="2:4" x14ac:dyDescent="0.2">
      <c r="B7778" s="1341">
        <v>9868</v>
      </c>
      <c r="C7778" s="1341" t="s">
        <v>8169</v>
      </c>
      <c r="D7778" s="1310">
        <v>1642.7769310000001</v>
      </c>
    </row>
    <row r="7779" spans="2:4" x14ac:dyDescent="0.2">
      <c r="B7779" s="1341">
        <v>9870</v>
      </c>
      <c r="C7779" s="1341" t="s">
        <v>8170</v>
      </c>
      <c r="D7779" s="1310">
        <v>1938.7645219999999</v>
      </c>
    </row>
    <row r="7780" spans="2:4" x14ac:dyDescent="0.2">
      <c r="B7780" s="1341">
        <v>9871</v>
      </c>
      <c r="C7780" s="1341" t="s">
        <v>8171</v>
      </c>
      <c r="D7780" s="1310">
        <v>1589.95</v>
      </c>
    </row>
    <row r="7781" spans="2:4" x14ac:dyDescent="0.2">
      <c r="B7781" s="1341">
        <v>9872</v>
      </c>
      <c r="C7781" s="1341" t="s">
        <v>8172</v>
      </c>
      <c r="D7781" s="1310">
        <v>1830.2370330000001</v>
      </c>
    </row>
    <row r="7782" spans="2:4" x14ac:dyDescent="0.2">
      <c r="B7782" s="1341">
        <v>9873</v>
      </c>
      <c r="C7782" s="1341" t="s">
        <v>8173</v>
      </c>
      <c r="D7782" s="1310">
        <v>1758.8999920000001</v>
      </c>
    </row>
    <row r="7783" spans="2:4" x14ac:dyDescent="0.2">
      <c r="B7783" s="1341">
        <v>9874</v>
      </c>
      <c r="C7783" s="1341" t="s">
        <v>8174</v>
      </c>
      <c r="D7783" s="1310">
        <v>2124.0037069999998</v>
      </c>
    </row>
    <row r="7784" spans="2:4" x14ac:dyDescent="0.2">
      <c r="B7784" s="1341">
        <v>9875</v>
      </c>
      <c r="C7784" s="1341" t="s">
        <v>8175</v>
      </c>
      <c r="D7784" s="1310">
        <v>1975.5357059999999</v>
      </c>
    </row>
    <row r="7785" spans="2:4" x14ac:dyDescent="0.2">
      <c r="B7785" s="1341">
        <v>9876</v>
      </c>
      <c r="C7785" s="1341" t="s">
        <v>8176</v>
      </c>
      <c r="D7785" s="1310">
        <v>1945.964303</v>
      </c>
    </row>
    <row r="7786" spans="2:4" x14ac:dyDescent="0.2">
      <c r="B7786" s="1341">
        <v>9877</v>
      </c>
      <c r="C7786" s="1341" t="s">
        <v>1998</v>
      </c>
      <c r="D7786" s="1310">
        <v>1736.9368380000001</v>
      </c>
    </row>
    <row r="7787" spans="2:4" x14ac:dyDescent="0.2">
      <c r="B7787" s="1341">
        <v>9878</v>
      </c>
      <c r="C7787" s="1341" t="s">
        <v>8177</v>
      </c>
      <c r="D7787" s="1310">
        <v>2099.8566850000002</v>
      </c>
    </row>
    <row r="7788" spans="2:4" x14ac:dyDescent="0.2">
      <c r="B7788" s="1341">
        <v>9879</v>
      </c>
      <c r="C7788" s="1341" t="s">
        <v>8178</v>
      </c>
      <c r="D7788" s="1310">
        <v>1837.751618</v>
      </c>
    </row>
    <row r="7789" spans="2:4" x14ac:dyDescent="0.2">
      <c r="B7789" s="1341">
        <v>9880</v>
      </c>
      <c r="C7789" s="1341" t="s">
        <v>8179</v>
      </c>
      <c r="D7789" s="1310">
        <v>1766.1408140000001</v>
      </c>
    </row>
    <row r="7790" spans="2:4" x14ac:dyDescent="0.2">
      <c r="B7790" s="1341">
        <v>9881</v>
      </c>
      <c r="C7790" s="1341" t="s">
        <v>8180</v>
      </c>
      <c r="D7790" s="1310">
        <v>1754.9124979999999</v>
      </c>
    </row>
    <row r="7791" spans="2:4" x14ac:dyDescent="0.2">
      <c r="B7791" s="1341">
        <v>9882</v>
      </c>
      <c r="C7791" s="1341" t="s">
        <v>8181</v>
      </c>
      <c r="D7791" s="1310">
        <v>1948.433338</v>
      </c>
    </row>
    <row r="7792" spans="2:4" x14ac:dyDescent="0.2">
      <c r="B7792" s="1341">
        <v>9901</v>
      </c>
      <c r="C7792" s="1341" t="s">
        <v>2421</v>
      </c>
      <c r="D7792" s="1310">
        <v>1117.5</v>
      </c>
    </row>
    <row r="7793" spans="2:4" x14ac:dyDescent="0.2">
      <c r="B7793" s="1341">
        <v>9902</v>
      </c>
      <c r="C7793" s="1341" t="s">
        <v>8182</v>
      </c>
      <c r="D7793" s="1310">
        <v>1078.9137929999999</v>
      </c>
    </row>
    <row r="7794" spans="2:4" x14ac:dyDescent="0.2">
      <c r="B7794" s="1341">
        <v>9903</v>
      </c>
      <c r="C7794" s="1341" t="s">
        <v>8183</v>
      </c>
      <c r="D7794" s="1310">
        <v>1035.6799960000001</v>
      </c>
    </row>
    <row r="7795" spans="2:4" x14ac:dyDescent="0.2">
      <c r="B7795" s="1341">
        <v>9904</v>
      </c>
      <c r="C7795" s="1341" t="s">
        <v>8184</v>
      </c>
      <c r="D7795" s="1310">
        <v>896.57333600000004</v>
      </c>
    </row>
    <row r="7796" spans="2:4" x14ac:dyDescent="0.2">
      <c r="B7796" s="1341">
        <v>9905</v>
      </c>
      <c r="C7796" s="1341" t="s">
        <v>8185</v>
      </c>
      <c r="D7796" s="1310">
        <v>939.31999499999995</v>
      </c>
    </row>
    <row r="7797" spans="2:4" x14ac:dyDescent="0.2">
      <c r="B7797" s="1341">
        <v>9906</v>
      </c>
      <c r="C7797" s="1341" t="s">
        <v>8186</v>
      </c>
      <c r="D7797" s="1310">
        <v>966.171425</v>
      </c>
    </row>
    <row r="7798" spans="2:4" x14ac:dyDescent="0.2">
      <c r="B7798" s="1341">
        <v>9907</v>
      </c>
      <c r="C7798" s="1341" t="s">
        <v>1897</v>
      </c>
      <c r="D7798" s="1310">
        <v>927.78461600000003</v>
      </c>
    </row>
    <row r="7799" spans="2:4" x14ac:dyDescent="0.2">
      <c r="B7799" s="1341">
        <v>9908</v>
      </c>
      <c r="C7799" s="1341" t="s">
        <v>8187</v>
      </c>
      <c r="D7799" s="1310">
        <v>987.383331</v>
      </c>
    </row>
    <row r="7800" spans="2:4" x14ac:dyDescent="0.2">
      <c r="B7800" s="1341">
        <v>9909</v>
      </c>
      <c r="C7800" s="1341" t="s">
        <v>8188</v>
      </c>
      <c r="D7800" s="1310">
        <v>1011.7916719999999</v>
      </c>
    </row>
    <row r="7801" spans="2:4" x14ac:dyDescent="0.2">
      <c r="B7801" s="1341">
        <v>9910</v>
      </c>
      <c r="C7801" s="1341" t="s">
        <v>8189</v>
      </c>
      <c r="D7801" s="1310">
        <v>1052.322218</v>
      </c>
    </row>
    <row r="7802" spans="2:4" x14ac:dyDescent="0.2">
      <c r="B7802" s="1341">
        <v>9911</v>
      </c>
      <c r="C7802" s="1341" t="s">
        <v>8190</v>
      </c>
      <c r="D7802" s="1310">
        <v>946.06667100000004</v>
      </c>
    </row>
    <row r="7803" spans="2:4" x14ac:dyDescent="0.2">
      <c r="B7803" s="1341">
        <v>9912</v>
      </c>
      <c r="C7803" s="1341" t="s">
        <v>8191</v>
      </c>
      <c r="D7803" s="1310">
        <v>985.73000300000001</v>
      </c>
    </row>
    <row r="7804" spans="2:4" x14ac:dyDescent="0.2">
      <c r="B7804" s="1341">
        <v>9913</v>
      </c>
      <c r="C7804" s="1341" t="s">
        <v>8192</v>
      </c>
      <c r="D7804" s="1310">
        <v>1036.616689</v>
      </c>
    </row>
    <row r="7805" spans="2:4" x14ac:dyDescent="0.2">
      <c r="B7805" s="1341">
        <v>9914</v>
      </c>
      <c r="C7805" s="1341" t="s">
        <v>8193</v>
      </c>
      <c r="D7805" s="1310">
        <v>1047.925</v>
      </c>
    </row>
    <row r="7806" spans="2:4" x14ac:dyDescent="0.2">
      <c r="B7806" s="1341">
        <v>9915</v>
      </c>
      <c r="C7806" s="1341" t="s">
        <v>8194</v>
      </c>
      <c r="D7806" s="1310">
        <v>1021.537506</v>
      </c>
    </row>
    <row r="7807" spans="2:4" x14ac:dyDescent="0.2">
      <c r="B7807" s="1341">
        <v>9916</v>
      </c>
      <c r="C7807" s="1341" t="s">
        <v>8195</v>
      </c>
      <c r="D7807" s="1310">
        <v>1132.7705940000001</v>
      </c>
    </row>
    <row r="7808" spans="2:4" x14ac:dyDescent="0.2">
      <c r="B7808" s="1341">
        <v>9917</v>
      </c>
      <c r="C7808" s="1341" t="s">
        <v>8196</v>
      </c>
      <c r="D7808" s="1310">
        <v>1177.542864</v>
      </c>
    </row>
    <row r="7809" spans="2:4" x14ac:dyDescent="0.2">
      <c r="B7809" s="1341">
        <v>9918</v>
      </c>
      <c r="C7809" s="1341" t="s">
        <v>8197</v>
      </c>
      <c r="D7809" s="1310">
        <v>1138.0166630000001</v>
      </c>
    </row>
    <row r="7810" spans="2:4" x14ac:dyDescent="0.2">
      <c r="B7810" s="1341">
        <v>9919</v>
      </c>
      <c r="C7810" s="1341" t="s">
        <v>8198</v>
      </c>
      <c r="D7810" s="1310">
        <v>1032.8000489999999</v>
      </c>
    </row>
    <row r="7811" spans="2:4" x14ac:dyDescent="0.2">
      <c r="B7811" s="1341">
        <v>9920</v>
      </c>
      <c r="C7811" s="1341" t="s">
        <v>8199</v>
      </c>
      <c r="D7811" s="1310">
        <v>1061.1999510000001</v>
      </c>
    </row>
    <row r="7812" spans="2:4" x14ac:dyDescent="0.2">
      <c r="B7812" s="1341">
        <v>9921</v>
      </c>
      <c r="C7812" s="1341" t="s">
        <v>8200</v>
      </c>
      <c r="D7812" s="1310">
        <v>1081.054549</v>
      </c>
    </row>
    <row r="7813" spans="2:4" x14ac:dyDescent="0.2">
      <c r="B7813" s="1341">
        <v>9922</v>
      </c>
      <c r="C7813" s="1341" t="s">
        <v>5960</v>
      </c>
      <c r="D7813" s="1310">
        <v>1090.9000040000001</v>
      </c>
    </row>
    <row r="7814" spans="2:4" x14ac:dyDescent="0.2">
      <c r="B7814" s="1341">
        <v>9923</v>
      </c>
      <c r="C7814" s="1341" t="s">
        <v>8201</v>
      </c>
      <c r="D7814" s="1310">
        <v>1055.325012</v>
      </c>
    </row>
    <row r="7815" spans="2:4" x14ac:dyDescent="0.2">
      <c r="B7815" s="1341">
        <v>9924</v>
      </c>
      <c r="C7815" s="1341" t="s">
        <v>8202</v>
      </c>
      <c r="D7815" s="1310">
        <v>1306.2222220000001</v>
      </c>
    </row>
    <row r="7816" spans="2:4" x14ac:dyDescent="0.2">
      <c r="B7816" s="1341">
        <v>9925</v>
      </c>
      <c r="C7816" s="1341" t="s">
        <v>8203</v>
      </c>
      <c r="D7816" s="1310">
        <v>1230.2090840000001</v>
      </c>
    </row>
    <row r="7817" spans="2:4" x14ac:dyDescent="0.2">
      <c r="B7817" s="1341">
        <v>9926</v>
      </c>
      <c r="C7817" s="1341" t="s">
        <v>8204</v>
      </c>
      <c r="D7817" s="1310">
        <v>1178.499986</v>
      </c>
    </row>
    <row r="7818" spans="2:4" x14ac:dyDescent="0.2">
      <c r="B7818" s="1341">
        <v>9927</v>
      </c>
      <c r="C7818" s="1341" t="s">
        <v>8205</v>
      </c>
      <c r="D7818" s="1310">
        <v>1295.7571499999999</v>
      </c>
    </row>
    <row r="7819" spans="2:4" x14ac:dyDescent="0.2">
      <c r="B7819" s="1341">
        <v>9928</v>
      </c>
      <c r="C7819" s="1341" t="s">
        <v>8206</v>
      </c>
      <c r="D7819" s="1310">
        <v>1218.880005</v>
      </c>
    </row>
    <row r="7820" spans="2:4" x14ac:dyDescent="0.2">
      <c r="B7820" s="1341">
        <v>9929</v>
      </c>
      <c r="C7820" s="1341" t="s">
        <v>8207</v>
      </c>
      <c r="D7820" s="1310">
        <v>1518.080005</v>
      </c>
    </row>
    <row r="7821" spans="2:4" x14ac:dyDescent="0.2">
      <c r="B7821" s="1341">
        <v>9930</v>
      </c>
      <c r="C7821" s="1341" t="s">
        <v>8208</v>
      </c>
      <c r="D7821" s="1310">
        <v>1506.619995</v>
      </c>
    </row>
    <row r="7822" spans="2:4" x14ac:dyDescent="0.2">
      <c r="B7822" s="1341">
        <v>9931</v>
      </c>
      <c r="C7822" s="1341" t="s">
        <v>8209</v>
      </c>
      <c r="D7822" s="1310">
        <v>1243.7444390000001</v>
      </c>
    </row>
    <row r="7823" spans="2:4" x14ac:dyDescent="0.2">
      <c r="B7823" s="1341">
        <v>9932</v>
      </c>
      <c r="C7823" s="1341" t="s">
        <v>8210</v>
      </c>
      <c r="D7823" s="1310">
        <v>1142.9576790000001</v>
      </c>
    </row>
    <row r="7824" spans="2:4" x14ac:dyDescent="0.2">
      <c r="B7824" s="1341">
        <v>9933</v>
      </c>
      <c r="C7824" s="1341" t="s">
        <v>8211</v>
      </c>
      <c r="D7824" s="1310">
        <v>1141.5</v>
      </c>
    </row>
    <row r="7825" spans="2:4" x14ac:dyDescent="0.2">
      <c r="B7825" s="1341">
        <v>9934</v>
      </c>
      <c r="C7825" s="1341" t="s">
        <v>8212</v>
      </c>
      <c r="D7825" s="1310">
        <v>1178.092304</v>
      </c>
    </row>
    <row r="7826" spans="2:4" x14ac:dyDescent="0.2">
      <c r="B7826" s="1341">
        <v>9935</v>
      </c>
      <c r="C7826" s="1341" t="s">
        <v>6466</v>
      </c>
      <c r="D7826" s="1310">
        <v>1157.3500059999999</v>
      </c>
    </row>
    <row r="7827" spans="2:4" x14ac:dyDescent="0.2">
      <c r="B7827" s="1341">
        <v>9936</v>
      </c>
      <c r="C7827" s="1341" t="s">
        <v>8213</v>
      </c>
      <c r="D7827" s="1310">
        <v>1168.4727230000001</v>
      </c>
    </row>
    <row r="7828" spans="2:4" x14ac:dyDescent="0.2">
      <c r="B7828" s="1341">
        <v>9937</v>
      </c>
      <c r="C7828" s="1341" t="s">
        <v>8214</v>
      </c>
      <c r="D7828" s="1310">
        <v>1758.9357130000001</v>
      </c>
    </row>
    <row r="7829" spans="2:4" x14ac:dyDescent="0.2">
      <c r="B7829" s="1341">
        <v>9938</v>
      </c>
      <c r="C7829" s="1341" t="s">
        <v>8215</v>
      </c>
      <c r="D7829" s="1310">
        <v>1452.51001</v>
      </c>
    </row>
    <row r="7830" spans="2:4" x14ac:dyDescent="0.2">
      <c r="B7830" s="1341">
        <v>9939</v>
      </c>
      <c r="C7830" s="1341" t="s">
        <v>7330</v>
      </c>
      <c r="D7830" s="1310">
        <v>1300.25</v>
      </c>
    </row>
    <row r="7831" spans="2:4" x14ac:dyDescent="0.2">
      <c r="B7831" s="1341">
        <v>9940</v>
      </c>
      <c r="C7831" s="1341" t="s">
        <v>8216</v>
      </c>
      <c r="D7831" s="1310">
        <v>1212.963634</v>
      </c>
    </row>
    <row r="7832" spans="2:4" x14ac:dyDescent="0.2">
      <c r="B7832" s="1341">
        <v>9941</v>
      </c>
      <c r="C7832" s="1341" t="s">
        <v>8217</v>
      </c>
      <c r="D7832" s="1310">
        <v>1372.0889010000001</v>
      </c>
    </row>
    <row r="7833" spans="2:4" x14ac:dyDescent="0.2">
      <c r="B7833" s="1341">
        <v>9942</v>
      </c>
      <c r="C7833" s="1341" t="s">
        <v>8218</v>
      </c>
      <c r="D7833" s="1310">
        <v>1809.68335</v>
      </c>
    </row>
    <row r="7834" spans="2:4" x14ac:dyDescent="0.2">
      <c r="B7834" s="1341">
        <v>9943</v>
      </c>
      <c r="C7834" s="1341" t="s">
        <v>8219</v>
      </c>
      <c r="D7834" s="1310">
        <v>1667.8000079999999</v>
      </c>
    </row>
    <row r="7835" spans="2:4" x14ac:dyDescent="0.2">
      <c r="B7835" s="1341">
        <v>9944</v>
      </c>
      <c r="C7835" s="1341" t="s">
        <v>8220</v>
      </c>
      <c r="D7835" s="1310">
        <v>1864.4206879999999</v>
      </c>
    </row>
    <row r="7836" spans="2:4" x14ac:dyDescent="0.2">
      <c r="B7836" s="1341">
        <v>9945</v>
      </c>
      <c r="C7836" s="1341" t="s">
        <v>8221</v>
      </c>
      <c r="D7836" s="1310">
        <v>1542.149981</v>
      </c>
    </row>
    <row r="7837" spans="2:4" x14ac:dyDescent="0.2">
      <c r="B7837" s="1341">
        <v>9946</v>
      </c>
      <c r="C7837" s="1341" t="s">
        <v>8222</v>
      </c>
      <c r="D7837" s="1310">
        <v>1566.246672</v>
      </c>
    </row>
    <row r="7838" spans="2:4" x14ac:dyDescent="0.2">
      <c r="B7838" s="1341">
        <v>9947</v>
      </c>
      <c r="C7838" s="1341" t="s">
        <v>5277</v>
      </c>
      <c r="D7838" s="1310">
        <v>1554.921748</v>
      </c>
    </row>
    <row r="7839" spans="2:4" x14ac:dyDescent="0.2">
      <c r="B7839" s="1341">
        <v>9948</v>
      </c>
      <c r="C7839" s="1341" t="s">
        <v>8223</v>
      </c>
      <c r="D7839" s="1310">
        <v>1366.700012</v>
      </c>
    </row>
    <row r="7840" spans="2:4" x14ac:dyDescent="0.2">
      <c r="B7840" s="1341">
        <v>9949</v>
      </c>
      <c r="C7840" s="1341" t="s">
        <v>8224</v>
      </c>
      <c r="D7840" s="1310">
        <v>1301.2499800000001</v>
      </c>
    </row>
    <row r="7841" spans="2:4" x14ac:dyDescent="0.2">
      <c r="B7841" s="1341">
        <v>9950</v>
      </c>
      <c r="C7841" s="1341" t="s">
        <v>8225</v>
      </c>
      <c r="D7841" s="1310">
        <v>1516.840015</v>
      </c>
    </row>
    <row r="7842" spans="2:4" x14ac:dyDescent="0.2">
      <c r="B7842" s="1341">
        <v>9952</v>
      </c>
      <c r="C7842" s="1341" t="s">
        <v>8226</v>
      </c>
      <c r="D7842" s="1310">
        <v>1577.5749920000001</v>
      </c>
    </row>
    <row r="7843" spans="2:4" x14ac:dyDescent="0.2">
      <c r="B7843" s="1341">
        <v>9953</v>
      </c>
      <c r="C7843" s="1341" t="s">
        <v>8227</v>
      </c>
      <c r="D7843" s="1310">
        <v>1867.0384710000001</v>
      </c>
    </row>
    <row r="7844" spans="2:4" x14ac:dyDescent="0.2">
      <c r="B7844" s="1341">
        <v>9954</v>
      </c>
      <c r="C7844" s="1341" t="s">
        <v>8228</v>
      </c>
      <c r="D7844" s="1310">
        <v>1892.0928610000001</v>
      </c>
    </row>
    <row r="7845" spans="2:4" x14ac:dyDescent="0.2">
      <c r="B7845" s="1341">
        <v>9956</v>
      </c>
      <c r="C7845" s="1341" t="s">
        <v>8229</v>
      </c>
      <c r="D7845" s="1310">
        <v>1603.2294199999999</v>
      </c>
    </row>
    <row r="7846" spans="2:4" x14ac:dyDescent="0.2">
      <c r="B7846" s="1341">
        <v>9957</v>
      </c>
      <c r="C7846" s="1341" t="s">
        <v>8230</v>
      </c>
      <c r="D7846" s="1310">
        <v>2143.2062529999998</v>
      </c>
    </row>
    <row r="7847" spans="2:4" x14ac:dyDescent="0.2">
      <c r="B7847" s="1341">
        <v>9958</v>
      </c>
      <c r="C7847" s="1341" t="s">
        <v>8231</v>
      </c>
      <c r="D7847" s="1310">
        <v>1972</v>
      </c>
    </row>
    <row r="7848" spans="2:4" x14ac:dyDescent="0.2">
      <c r="B7848" s="1341">
        <v>9959</v>
      </c>
      <c r="C7848" s="1341" t="s">
        <v>8232</v>
      </c>
      <c r="D7848" s="1310">
        <v>1943.1666459999999</v>
      </c>
    </row>
    <row r="7849" spans="2:4" x14ac:dyDescent="0.2">
      <c r="B7849" s="1341">
        <v>9960</v>
      </c>
      <c r="C7849" s="1341" t="s">
        <v>8233</v>
      </c>
      <c r="D7849" s="1310">
        <v>2062.9800289999998</v>
      </c>
    </row>
    <row r="7850" spans="2:4" x14ac:dyDescent="0.2">
      <c r="B7850" s="1341">
        <v>9961</v>
      </c>
      <c r="C7850" s="1341" t="s">
        <v>7127</v>
      </c>
      <c r="D7850" s="1310">
        <v>1840.366679</v>
      </c>
    </row>
    <row r="7851" spans="2:4" x14ac:dyDescent="0.2">
      <c r="B7851" s="1341">
        <v>9962</v>
      </c>
      <c r="C7851" s="1341" t="s">
        <v>8234</v>
      </c>
      <c r="D7851" s="1310">
        <v>1860.400024</v>
      </c>
    </row>
    <row r="7852" spans="2:4" x14ac:dyDescent="0.2">
      <c r="B7852" s="1341">
        <v>9963</v>
      </c>
      <c r="C7852" s="1341" t="s">
        <v>2642</v>
      </c>
      <c r="D7852" s="1310">
        <v>1808.107694</v>
      </c>
    </row>
    <row r="7853" spans="2:4" x14ac:dyDescent="0.2">
      <c r="B7853" s="1341">
        <v>9964</v>
      </c>
      <c r="C7853" s="1341" t="s">
        <v>8235</v>
      </c>
      <c r="D7853" s="1310">
        <v>1643.541166</v>
      </c>
    </row>
    <row r="7854" spans="2:4" x14ac:dyDescent="0.2">
      <c r="B7854" s="1341">
        <v>9965</v>
      </c>
      <c r="C7854" s="1341" t="s">
        <v>8236</v>
      </c>
      <c r="D7854" s="1310">
        <v>1426.950012</v>
      </c>
    </row>
    <row r="7855" spans="2:4" x14ac:dyDescent="0.2">
      <c r="B7855" s="1341">
        <v>9966</v>
      </c>
      <c r="C7855" s="1341" t="s">
        <v>8237</v>
      </c>
      <c r="D7855" s="1310">
        <v>1876.9699949999999</v>
      </c>
    </row>
    <row r="7856" spans="2:4" x14ac:dyDescent="0.2">
      <c r="B7856" s="1341">
        <v>9967</v>
      </c>
      <c r="C7856" s="1341" t="s">
        <v>8238</v>
      </c>
      <c r="D7856" s="1310">
        <v>1786.6095379999999</v>
      </c>
    </row>
    <row r="7857" spans="2:4" x14ac:dyDescent="0.2">
      <c r="B7857" s="1341">
        <v>9968</v>
      </c>
      <c r="C7857" s="1341" t="s">
        <v>8239</v>
      </c>
      <c r="D7857" s="1310">
        <v>1595.825012</v>
      </c>
    </row>
    <row r="7858" spans="2:4" x14ac:dyDescent="0.2">
      <c r="B7858" s="1341">
        <v>9969</v>
      </c>
      <c r="C7858" s="1341" t="s">
        <v>8240</v>
      </c>
      <c r="D7858" s="1310">
        <v>1636.473332</v>
      </c>
    </row>
    <row r="7859" spans="2:4" x14ac:dyDescent="0.2">
      <c r="B7859" s="1341">
        <v>9970</v>
      </c>
      <c r="C7859" s="1341" t="s">
        <v>4428</v>
      </c>
      <c r="D7859" s="1310">
        <v>1557.8909249999999</v>
      </c>
    </row>
    <row r="7860" spans="2:4" x14ac:dyDescent="0.2">
      <c r="B7860" s="1341">
        <v>9971</v>
      </c>
      <c r="C7860" s="1341" t="s">
        <v>8241</v>
      </c>
      <c r="D7860" s="1310">
        <v>1474.485735</v>
      </c>
    </row>
    <row r="7861" spans="2:4" x14ac:dyDescent="0.2">
      <c r="B7861" s="1341">
        <v>9972</v>
      </c>
      <c r="C7861" s="1341" t="s">
        <v>8242</v>
      </c>
      <c r="D7861" s="1310">
        <v>1899.904438</v>
      </c>
    </row>
    <row r="7862" spans="2:4" x14ac:dyDescent="0.2">
      <c r="B7862" s="1341">
        <v>9973</v>
      </c>
      <c r="C7862" s="1341" t="s">
        <v>8243</v>
      </c>
      <c r="D7862" s="1310">
        <v>1989.8756760000001</v>
      </c>
    </row>
    <row r="7863" spans="2:4" x14ac:dyDescent="0.2">
      <c r="B7863" s="1341">
        <v>9974</v>
      </c>
      <c r="C7863" s="1341" t="s">
        <v>8244</v>
      </c>
      <c r="D7863" s="1310">
        <v>2085.631034</v>
      </c>
    </row>
    <row r="7864" spans="2:4" x14ac:dyDescent="0.2">
      <c r="B7864" s="1341">
        <v>9975</v>
      </c>
      <c r="C7864" s="1341" t="s">
        <v>8245</v>
      </c>
      <c r="D7864" s="1310">
        <v>2143.6451609999999</v>
      </c>
    </row>
  </sheetData>
  <sheetProtection algorithmName="SHA-512" hashValue="rSKWptBA3CoDw4Gu3hTcNAS4RAq7hP+xuISnK/efD7BY+PdvsJ96T19U9FZkYETpbh5jjsd9hkL9I0c6UnL9OQ==" saltValue="JmQNTk03oXQZZ7ltVeKINg==" spinCount="100000" sheet="1" objects="1" scenarios="1" autoFilter="0"/>
  <autoFilter ref="B5:C7864" xr:uid="{DB5C28AE-01D0-46E8-A37B-F434487EB6ED}"/>
  <mergeCells count="2">
    <mergeCell ref="B1:D1"/>
    <mergeCell ref="B3:D3"/>
  </mergeCells>
  <conditionalFormatting sqref="C2397">
    <cfRule type="duplicateValues" dxfId="9" priority="1"/>
  </conditionalFormatting>
  <pageMargins left="0.70866141732283472" right="0.70866141732283472" top="0.78740157480314965" bottom="0.78740157480314965" header="0.31496062992125984" footer="0.31496062992125984"/>
  <pageSetup paperSize="9" orientation="portrait" horizont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05A63-470C-47BE-BA5B-0004F4207F2D}">
  <sheetPr codeName="Tabelle2"/>
  <dimension ref="A1:M19"/>
  <sheetViews>
    <sheetView workbookViewId="0">
      <selection activeCell="K35" sqref="K35"/>
    </sheetView>
  </sheetViews>
  <sheetFormatPr baseColWidth="10" defaultRowHeight="12.75" x14ac:dyDescent="0.2"/>
  <sheetData>
    <row r="1" spans="1:13" x14ac:dyDescent="0.2">
      <c r="A1" t="s">
        <v>8439</v>
      </c>
    </row>
    <row r="3" spans="1:13" x14ac:dyDescent="0.2">
      <c r="A3" t="s">
        <v>8440</v>
      </c>
      <c r="B3" t="s">
        <v>8441</v>
      </c>
    </row>
    <row r="4" spans="1:13" x14ac:dyDescent="0.2">
      <c r="B4" t="s">
        <v>8442</v>
      </c>
    </row>
    <row r="5" spans="1:13" x14ac:dyDescent="0.2">
      <c r="B5" t="s">
        <v>8443</v>
      </c>
    </row>
    <row r="6" spans="1:13" x14ac:dyDescent="0.2">
      <c r="B6" t="s">
        <v>8444</v>
      </c>
    </row>
    <row r="7" spans="1:13" x14ac:dyDescent="0.2">
      <c r="B7" t="s">
        <v>8445</v>
      </c>
    </row>
    <row r="9" spans="1:13" x14ac:dyDescent="0.2">
      <c r="A9" s="1129" t="s">
        <v>8474</v>
      </c>
    </row>
    <row r="10" spans="1:13" x14ac:dyDescent="0.2">
      <c r="A10" t="s">
        <v>8521</v>
      </c>
    </row>
    <row r="12" spans="1:13" x14ac:dyDescent="0.2">
      <c r="A12" t="s">
        <v>8523</v>
      </c>
    </row>
    <row r="13" spans="1:13" ht="41.25" customHeight="1" x14ac:dyDescent="0.2">
      <c r="A13" s="3170" t="s">
        <v>8524</v>
      </c>
      <c r="B13" s="3170"/>
      <c r="C13" s="3170"/>
      <c r="D13" s="3170"/>
      <c r="E13" s="3170"/>
      <c r="F13" s="3170"/>
      <c r="G13" s="3170"/>
      <c r="H13" s="3170"/>
      <c r="I13" s="3170"/>
      <c r="J13" s="3170"/>
      <c r="K13" s="3170"/>
      <c r="L13" s="3170"/>
      <c r="M13" s="3170"/>
    </row>
    <row r="14" spans="1:13" x14ac:dyDescent="0.2">
      <c r="A14" t="s">
        <v>8525</v>
      </c>
    </row>
    <row r="16" spans="1:13" x14ac:dyDescent="0.2">
      <c r="A16" s="1129" t="s">
        <v>8538</v>
      </c>
      <c r="F16" s="3171" t="s">
        <v>8539</v>
      </c>
    </row>
    <row r="17" spans="1:6" x14ac:dyDescent="0.2">
      <c r="A17" s="1129" t="s">
        <v>8540</v>
      </c>
      <c r="F17" s="3171"/>
    </row>
    <row r="18" spans="1:6" x14ac:dyDescent="0.2">
      <c r="A18" s="1129" t="s">
        <v>8541</v>
      </c>
      <c r="F18" s="3171"/>
    </row>
    <row r="19" spans="1:6" x14ac:dyDescent="0.2">
      <c r="A19" s="1129" t="s">
        <v>8542</v>
      </c>
      <c r="F19" s="3171"/>
    </row>
  </sheetData>
  <mergeCells count="2">
    <mergeCell ref="A13:M13"/>
    <mergeCell ref="F16:F19"/>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
  <dimension ref="A1:BO101"/>
  <sheetViews>
    <sheetView workbookViewId="0">
      <selection activeCell="M17" sqref="M17"/>
    </sheetView>
  </sheetViews>
  <sheetFormatPr baseColWidth="10" defaultColWidth="11.42578125" defaultRowHeight="12.75" x14ac:dyDescent="0.2"/>
  <cols>
    <col min="1" max="1" width="1" style="258" customWidth="1"/>
    <col min="2" max="2" width="49.7109375" style="258" customWidth="1"/>
    <col min="3" max="3" width="11.42578125" style="125"/>
    <col min="4" max="4" width="10.28515625" style="123" customWidth="1"/>
    <col min="5" max="5" width="7.140625" style="122" customWidth="1"/>
    <col min="6" max="7" width="5.7109375" style="122" customWidth="1"/>
    <col min="8" max="8" width="6.28515625" style="125" customWidth="1"/>
    <col min="9" max="10" width="6.28515625" style="122" customWidth="1"/>
    <col min="11" max="12" width="11" style="122" customWidth="1"/>
    <col min="13" max="15" width="11.42578125" style="125" customWidth="1"/>
    <col min="16" max="18" width="11.28515625" style="122" customWidth="1"/>
    <col min="19" max="24" width="10.7109375" style="122" customWidth="1"/>
    <col min="25" max="26" width="13.7109375" style="122" customWidth="1"/>
    <col min="27" max="27" width="7.85546875" style="122" customWidth="1"/>
    <col min="28" max="28" width="8.7109375" style="122" customWidth="1"/>
    <col min="29" max="29" width="8.7109375" style="124" customWidth="1"/>
    <col min="30" max="31" width="5.7109375" style="124" customWidth="1"/>
    <col min="32" max="33" width="5.7109375" customWidth="1"/>
    <col min="34" max="36" width="12.85546875" customWidth="1"/>
    <col min="37" max="37" width="12.5703125" style="124" customWidth="1"/>
    <col min="38" max="40" width="11.42578125" style="125" customWidth="1"/>
    <col min="41" max="52" width="11.42578125" style="125"/>
    <col min="55" max="16384" width="11.42578125" style="125"/>
  </cols>
  <sheetData>
    <row r="1" spans="1:67" x14ac:dyDescent="0.2">
      <c r="A1" s="1447" t="s">
        <v>8314</v>
      </c>
      <c r="B1" s="29"/>
      <c r="D1" s="121" t="s">
        <v>220</v>
      </c>
      <c r="F1" s="30"/>
      <c r="G1" s="33"/>
      <c r="I1" s="33"/>
      <c r="J1" s="33"/>
      <c r="K1" s="33"/>
      <c r="L1" s="33"/>
      <c r="P1" s="33"/>
      <c r="Q1" s="33"/>
      <c r="R1" s="33"/>
      <c r="S1" s="33"/>
      <c r="T1" s="33"/>
      <c r="U1" s="33"/>
      <c r="V1" s="33"/>
      <c r="W1" s="33"/>
      <c r="X1" s="33"/>
      <c r="Y1" s="33"/>
      <c r="Z1" s="33"/>
      <c r="AA1" s="33"/>
      <c r="AB1" s="33"/>
    </row>
    <row r="2" spans="1:67" x14ac:dyDescent="0.2">
      <c r="A2" s="34"/>
      <c r="B2" s="29"/>
      <c r="D2" s="126"/>
      <c r="E2" s="33"/>
      <c r="F2" s="33"/>
      <c r="G2" s="33"/>
      <c r="I2" s="33"/>
      <c r="J2" s="33"/>
      <c r="K2" s="33"/>
      <c r="L2" s="33"/>
      <c r="P2" s="33"/>
      <c r="Q2" s="33"/>
      <c r="R2" s="33"/>
      <c r="S2" s="33"/>
      <c r="T2" s="33"/>
      <c r="U2" s="33"/>
      <c r="V2" s="33"/>
      <c r="W2" s="33"/>
      <c r="X2" s="33"/>
      <c r="Y2" s="33"/>
      <c r="Z2" s="33"/>
      <c r="AA2" s="33"/>
      <c r="AB2" s="33"/>
      <c r="AC2" s="112"/>
      <c r="AD2" s="112"/>
      <c r="AE2" s="112"/>
      <c r="AK2" s="112" t="s">
        <v>339</v>
      </c>
    </row>
    <row r="3" spans="1:67" x14ac:dyDescent="0.2">
      <c r="A3" s="34"/>
      <c r="B3" s="355" t="s">
        <v>343</v>
      </c>
      <c r="D3" s="126"/>
      <c r="E3" s="33"/>
      <c r="F3" s="33"/>
      <c r="G3" s="33"/>
      <c r="I3" s="33"/>
      <c r="J3" s="33"/>
      <c r="K3" s="33"/>
      <c r="L3" s="33"/>
      <c r="P3" s="33"/>
      <c r="Q3" s="33"/>
      <c r="R3" s="33"/>
      <c r="S3" s="33"/>
      <c r="T3" s="33"/>
      <c r="U3" s="33"/>
      <c r="V3" s="33"/>
      <c r="W3" s="33"/>
      <c r="X3" s="33"/>
      <c r="Y3" s="33"/>
      <c r="Z3" s="33"/>
      <c r="AA3" s="33"/>
      <c r="AB3" s="33"/>
      <c r="AC3" s="112"/>
      <c r="AD3" s="112"/>
      <c r="AE3" s="112"/>
      <c r="AK3" s="112"/>
      <c r="BE3" s="1306" t="s">
        <v>8515</v>
      </c>
      <c r="BF3" s="1306"/>
      <c r="BG3" s="1306"/>
    </row>
    <row r="4" spans="1:67" ht="13.5" thickBot="1" x14ac:dyDescent="0.25">
      <c r="A4" s="34"/>
      <c r="B4" s="1427" t="s">
        <v>8299</v>
      </c>
      <c r="C4" s="1356" t="s">
        <v>8300</v>
      </c>
      <c r="D4" s="1428" t="s">
        <v>8301</v>
      </c>
      <c r="E4" s="1365" t="s">
        <v>8302</v>
      </c>
      <c r="F4" s="1365" t="s">
        <v>8303</v>
      </c>
      <c r="G4" s="1365" t="s">
        <v>8304</v>
      </c>
      <c r="H4" s="1356" t="s">
        <v>8246</v>
      </c>
      <c r="I4" s="1356" t="s">
        <v>8247</v>
      </c>
      <c r="J4" s="1356" t="s">
        <v>8248</v>
      </c>
      <c r="K4" s="1365" t="s">
        <v>8255</v>
      </c>
      <c r="L4" s="1397" t="s">
        <v>8305</v>
      </c>
      <c r="M4" s="1366" t="s">
        <v>8256</v>
      </c>
      <c r="N4" s="1366" t="s">
        <v>8257</v>
      </c>
      <c r="O4" s="1366" t="s">
        <v>8258</v>
      </c>
      <c r="P4" s="1378" t="s">
        <v>8260</v>
      </c>
      <c r="Q4" s="1378" t="s">
        <v>8261</v>
      </c>
      <c r="R4" s="1378" t="s">
        <v>8262</v>
      </c>
      <c r="S4" s="1378" t="s">
        <v>8266</v>
      </c>
      <c r="T4" s="1378" t="s">
        <v>8267</v>
      </c>
      <c r="U4" s="1378" t="s">
        <v>8268</v>
      </c>
      <c r="V4" s="1397" t="s">
        <v>8271</v>
      </c>
      <c r="W4" s="1397" t="s">
        <v>8272</v>
      </c>
      <c r="X4" s="1397" t="s">
        <v>8273</v>
      </c>
      <c r="Y4" s="1378" t="s">
        <v>8278</v>
      </c>
      <c r="Z4" s="1404" t="s">
        <v>8282</v>
      </c>
      <c r="AA4" s="1378" t="s">
        <v>8306</v>
      </c>
      <c r="AB4" s="1378" t="s">
        <v>8307</v>
      </c>
      <c r="AC4" s="1408" t="s">
        <v>8284</v>
      </c>
      <c r="AD4" s="1409" t="s">
        <v>8285</v>
      </c>
      <c r="AE4" s="1409" t="s">
        <v>8286</v>
      </c>
      <c r="AF4" s="1409" t="s">
        <v>8287</v>
      </c>
      <c r="AG4" s="1410" t="s">
        <v>8288</v>
      </c>
      <c r="AH4" s="1411" t="s">
        <v>8289</v>
      </c>
      <c r="AI4" s="2179" t="s">
        <v>8434</v>
      </c>
      <c r="AJ4" s="1411"/>
      <c r="AK4" s="33"/>
      <c r="AS4" s="2934" t="s">
        <v>667</v>
      </c>
      <c r="AT4" s="2934"/>
      <c r="AU4" s="2934"/>
      <c r="AV4" s="2934"/>
      <c r="AW4" s="2934"/>
      <c r="AX4" s="2934"/>
      <c r="BF4" s="1306" t="s">
        <v>8516</v>
      </c>
    </row>
    <row r="5" spans="1:67" ht="15.6" customHeight="1" x14ac:dyDescent="0.2">
      <c r="A5" s="35"/>
      <c r="B5" s="1429"/>
      <c r="C5" s="1368"/>
      <c r="D5" s="3172" t="s">
        <v>8308</v>
      </c>
      <c r="E5" s="1430" t="s">
        <v>3</v>
      </c>
      <c r="F5" s="1431"/>
      <c r="G5" s="1431"/>
      <c r="H5" s="1357" t="s">
        <v>8249</v>
      </c>
      <c r="I5" s="1358"/>
      <c r="J5" s="1358"/>
      <c r="K5" s="1342" t="s">
        <v>8251</v>
      </c>
      <c r="L5" s="1402" t="s">
        <v>8274</v>
      </c>
      <c r="M5" s="1367" t="s">
        <v>299</v>
      </c>
      <c r="N5" s="1368"/>
      <c r="O5" s="1369"/>
      <c r="P5" s="1379" t="s">
        <v>8263</v>
      </c>
      <c r="Q5" s="1343"/>
      <c r="R5" s="1163"/>
      <c r="S5" s="1387" t="s">
        <v>8269</v>
      </c>
      <c r="T5" s="1388"/>
      <c r="U5" s="1389"/>
      <c r="V5" s="1398" t="s">
        <v>8274</v>
      </c>
      <c r="W5" s="1398" t="s">
        <v>8274</v>
      </c>
      <c r="X5" s="1398" t="s">
        <v>8274</v>
      </c>
      <c r="Y5" s="1402" t="s">
        <v>8279</v>
      </c>
      <c r="Z5" s="1405" t="s">
        <v>8274</v>
      </c>
      <c r="AA5" s="3174" t="s">
        <v>227</v>
      </c>
      <c r="AB5" s="3175"/>
      <c r="AC5" s="1412" t="s">
        <v>8290</v>
      </c>
      <c r="AD5" s="1413"/>
      <c r="AE5" s="1414"/>
      <c r="AF5" s="1414"/>
      <c r="AG5" s="1415"/>
      <c r="AH5" s="1416" t="s">
        <v>8291</v>
      </c>
      <c r="AI5" s="2180" t="s">
        <v>8435</v>
      </c>
      <c r="AJ5" s="1446" t="s">
        <v>8420</v>
      </c>
      <c r="AK5" s="122" t="s">
        <v>285</v>
      </c>
      <c r="AL5" s="1044" t="s">
        <v>312</v>
      </c>
      <c r="AO5" s="2934" t="s">
        <v>466</v>
      </c>
      <c r="AP5" s="2934"/>
      <c r="AQ5" s="2934"/>
      <c r="AS5" s="125" t="s">
        <v>556</v>
      </c>
      <c r="AT5" s="125" t="s">
        <v>668</v>
      </c>
      <c r="AU5" s="125" t="s">
        <v>544</v>
      </c>
      <c r="AV5" s="125" t="s">
        <v>556</v>
      </c>
      <c r="AW5" s="125" t="s">
        <v>668</v>
      </c>
      <c r="AX5" s="125" t="s">
        <v>544</v>
      </c>
      <c r="AY5" s="125" t="s">
        <v>720</v>
      </c>
      <c r="BH5" s="3178" t="s">
        <v>1262</v>
      </c>
      <c r="BI5" s="3178"/>
      <c r="BJ5" s="3178"/>
      <c r="BL5" s="1321"/>
      <c r="BM5" s="3180" t="s">
        <v>1262</v>
      </c>
      <c r="BN5" s="3180"/>
      <c r="BO5" s="3181"/>
    </row>
    <row r="6" spans="1:67" ht="14.25" x14ac:dyDescent="0.2">
      <c r="A6" s="49"/>
      <c r="B6" s="1432" t="s">
        <v>48</v>
      </c>
      <c r="C6" s="1304" t="s">
        <v>270</v>
      </c>
      <c r="D6" s="3173"/>
      <c r="E6" s="1433" t="s">
        <v>8309</v>
      </c>
      <c r="F6" s="1434"/>
      <c r="G6" s="1434"/>
      <c r="H6" s="1359" t="s">
        <v>8250</v>
      </c>
      <c r="I6" s="1360"/>
      <c r="J6" s="1360"/>
      <c r="K6" s="1363" t="s">
        <v>8252</v>
      </c>
      <c r="L6" s="1364" t="s">
        <v>0</v>
      </c>
      <c r="M6" s="1370" t="s">
        <v>300</v>
      </c>
      <c r="N6" s="1304"/>
      <c r="O6" s="1371"/>
      <c r="P6" s="1380" t="s">
        <v>8264</v>
      </c>
      <c r="Q6" s="1172"/>
      <c r="R6" s="1172"/>
      <c r="S6" s="1390" t="s">
        <v>8270</v>
      </c>
      <c r="T6" s="1391"/>
      <c r="U6" s="1392"/>
      <c r="V6" s="1399" t="s">
        <v>13</v>
      </c>
      <c r="W6" s="1399" t="s">
        <v>13</v>
      </c>
      <c r="X6" s="1399" t="s">
        <v>13</v>
      </c>
      <c r="Y6" s="1364" t="s">
        <v>8280</v>
      </c>
      <c r="Z6" s="1406" t="s">
        <v>11</v>
      </c>
      <c r="AA6" s="3176" t="s">
        <v>232</v>
      </c>
      <c r="AB6" s="3177"/>
      <c r="AC6" s="1417" t="s">
        <v>8292</v>
      </c>
      <c r="AD6" s="1418"/>
      <c r="AE6" s="1419"/>
      <c r="AF6" s="1419"/>
      <c r="AG6" s="1420"/>
      <c r="AH6" s="1421" t="s">
        <v>8293</v>
      </c>
      <c r="AI6" s="2181" t="s">
        <v>8436</v>
      </c>
      <c r="AJ6" s="1446" t="s">
        <v>8421</v>
      </c>
      <c r="AK6" s="122" t="s">
        <v>13</v>
      </c>
      <c r="AL6" s="1044" t="s">
        <v>310</v>
      </c>
      <c r="AM6" s="125" t="s">
        <v>311</v>
      </c>
      <c r="AO6" s="125" t="s">
        <v>0</v>
      </c>
      <c r="AP6" s="277" t="s">
        <v>467</v>
      </c>
      <c r="AQ6" s="277" t="s">
        <v>13</v>
      </c>
      <c r="AT6" s="125" t="s">
        <v>669</v>
      </c>
      <c r="AU6" s="125" t="s">
        <v>553</v>
      </c>
      <c r="AW6" s="125" t="s">
        <v>669</v>
      </c>
      <c r="AX6" s="125" t="s">
        <v>553</v>
      </c>
      <c r="AY6" s="125" t="s">
        <v>721</v>
      </c>
      <c r="BC6" s="1130" t="s">
        <v>8404</v>
      </c>
      <c r="BH6" s="3179" t="s">
        <v>1263</v>
      </c>
      <c r="BI6" s="3179"/>
      <c r="BJ6" s="3179"/>
      <c r="BL6" s="1322"/>
      <c r="BM6" s="3179" t="s">
        <v>1263</v>
      </c>
      <c r="BN6" s="3179"/>
      <c r="BO6" s="3182"/>
    </row>
    <row r="7" spans="1:67" ht="14.25" x14ac:dyDescent="0.2">
      <c r="A7" s="40"/>
      <c r="B7" s="1432"/>
      <c r="C7" s="1304"/>
      <c r="D7" s="3173"/>
      <c r="E7" s="1433" t="s">
        <v>8310</v>
      </c>
      <c r="F7" s="1434"/>
      <c r="G7" s="1434"/>
      <c r="H7" s="1359" t="s">
        <v>234</v>
      </c>
      <c r="I7" s="1360"/>
      <c r="J7" s="1360"/>
      <c r="K7" s="1364" t="s">
        <v>8253</v>
      </c>
      <c r="L7" s="1435" t="s">
        <v>12</v>
      </c>
      <c r="M7" s="1372" t="s">
        <v>8259</v>
      </c>
      <c r="N7" s="1373"/>
      <c r="O7" s="1374"/>
      <c r="P7" s="1381" t="s">
        <v>8265</v>
      </c>
      <c r="Q7" s="1382"/>
      <c r="R7" s="1383"/>
      <c r="S7" s="1391" t="s">
        <v>8265</v>
      </c>
      <c r="T7" s="1162"/>
      <c r="U7" s="1174"/>
      <c r="V7" s="1400" t="s">
        <v>233</v>
      </c>
      <c r="W7" s="1400" t="s">
        <v>233</v>
      </c>
      <c r="X7" s="1400" t="s">
        <v>233</v>
      </c>
      <c r="Y7" s="1364" t="s">
        <v>8253</v>
      </c>
      <c r="Z7" s="1406" t="s">
        <v>12</v>
      </c>
      <c r="AA7" s="1436" t="s">
        <v>0</v>
      </c>
      <c r="AB7" s="1437" t="s">
        <v>8311</v>
      </c>
      <c r="AC7" s="1417" t="s">
        <v>8294</v>
      </c>
      <c r="AD7" s="1418" t="s">
        <v>1101</v>
      </c>
      <c r="AE7" s="1419"/>
      <c r="AF7" s="1419"/>
      <c r="AG7" s="1420"/>
      <c r="AH7" s="1421" t="s">
        <v>8295</v>
      </c>
      <c r="AI7" s="2181" t="s">
        <v>8437</v>
      </c>
      <c r="AJ7" s="1446" t="s">
        <v>730</v>
      </c>
      <c r="AK7" s="122" t="s">
        <v>339</v>
      </c>
      <c r="AL7" s="1044"/>
      <c r="AS7" s="125" t="s">
        <v>2</v>
      </c>
      <c r="AT7" s="125" t="s">
        <v>557</v>
      </c>
      <c r="AU7" s="125" t="s">
        <v>2</v>
      </c>
      <c r="AV7" s="125" t="s">
        <v>2</v>
      </c>
      <c r="AW7" s="125" t="s">
        <v>557</v>
      </c>
      <c r="AX7" s="125" t="s">
        <v>2</v>
      </c>
      <c r="AY7" s="125" t="s">
        <v>722</v>
      </c>
      <c r="BC7" s="1130" t="s">
        <v>1220</v>
      </c>
      <c r="BH7"/>
      <c r="BI7" s="1129"/>
      <c r="BJ7" s="1129"/>
      <c r="BL7" s="1322"/>
      <c r="BM7"/>
      <c r="BN7" s="1129"/>
      <c r="BO7" s="1323"/>
    </row>
    <row r="8" spans="1:67" ht="27" thickBot="1" x14ac:dyDescent="0.3">
      <c r="A8" s="41"/>
      <c r="B8" s="1438"/>
      <c r="C8" s="1439"/>
      <c r="D8" s="1440" t="s">
        <v>8312</v>
      </c>
      <c r="E8" s="1441" t="s">
        <v>4</v>
      </c>
      <c r="F8" s="1442" t="s">
        <v>239</v>
      </c>
      <c r="G8" s="1442" t="s">
        <v>240</v>
      </c>
      <c r="H8" s="1361" t="s">
        <v>4</v>
      </c>
      <c r="I8" s="1362" t="s">
        <v>239</v>
      </c>
      <c r="J8" s="1362" t="s">
        <v>240</v>
      </c>
      <c r="K8" s="1173" t="s">
        <v>8254</v>
      </c>
      <c r="L8" s="1443" t="s">
        <v>8313</v>
      </c>
      <c r="M8" s="1375" t="s">
        <v>37</v>
      </c>
      <c r="N8" s="1376" t="s">
        <v>38</v>
      </c>
      <c r="O8" s="1377" t="s">
        <v>39</v>
      </c>
      <c r="P8" s="1384" t="s">
        <v>37</v>
      </c>
      <c r="Q8" s="1385" t="s">
        <v>38</v>
      </c>
      <c r="R8" s="1386" t="s">
        <v>39</v>
      </c>
      <c r="S8" s="1393" t="s">
        <v>37</v>
      </c>
      <c r="T8" s="1394" t="s">
        <v>38</v>
      </c>
      <c r="U8" s="1395" t="s">
        <v>39</v>
      </c>
      <c r="V8" s="1401" t="s">
        <v>8275</v>
      </c>
      <c r="W8" s="1401" t="s">
        <v>8276</v>
      </c>
      <c r="X8" s="1401" t="s">
        <v>8277</v>
      </c>
      <c r="Y8" s="1403" t="s">
        <v>8281</v>
      </c>
      <c r="Z8" s="1407" t="s">
        <v>8283</v>
      </c>
      <c r="AA8" s="1444" t="s">
        <v>0</v>
      </c>
      <c r="AB8" s="1445" t="s">
        <v>11</v>
      </c>
      <c r="AC8" s="1422"/>
      <c r="AD8" s="1423" t="s">
        <v>4</v>
      </c>
      <c r="AE8" s="1424" t="s">
        <v>8296</v>
      </c>
      <c r="AF8" s="1424" t="s">
        <v>8297</v>
      </c>
      <c r="AG8" s="1425" t="s">
        <v>1043</v>
      </c>
      <c r="AH8" s="1426" t="s">
        <v>8298</v>
      </c>
      <c r="AI8" s="2182" t="s">
        <v>8438</v>
      </c>
      <c r="AJ8" s="1446"/>
      <c r="AK8" s="122"/>
      <c r="AL8" s="1044"/>
      <c r="AS8" s="2934" t="s">
        <v>470</v>
      </c>
      <c r="AT8" s="2934"/>
      <c r="AU8" s="2934"/>
      <c r="AV8" s="2934" t="s">
        <v>13</v>
      </c>
      <c r="AW8" s="2934"/>
      <c r="AX8" s="2934"/>
      <c r="AY8" s="125" t="s">
        <v>473</v>
      </c>
      <c r="AZ8" s="125" t="s">
        <v>13</v>
      </c>
      <c r="BC8" s="1306" t="s">
        <v>4</v>
      </c>
      <c r="BD8" s="1306" t="s">
        <v>1046</v>
      </c>
      <c r="BE8" s="1306" t="s">
        <v>4</v>
      </c>
      <c r="BF8" s="1306"/>
      <c r="BG8" s="1306"/>
      <c r="BH8" s="1318" t="s">
        <v>4</v>
      </c>
      <c r="BI8" s="1319" t="s">
        <v>269</v>
      </c>
      <c r="BJ8" s="1320" t="s">
        <v>6</v>
      </c>
      <c r="BL8" s="1324" t="s">
        <v>270</v>
      </c>
      <c r="BM8" s="1318" t="s">
        <v>4</v>
      </c>
      <c r="BN8" s="1319" t="s">
        <v>269</v>
      </c>
      <c r="BO8" s="1325" t="s">
        <v>6</v>
      </c>
    </row>
    <row r="9" spans="1:67" x14ac:dyDescent="0.2">
      <c r="A9" s="46" t="s">
        <v>49</v>
      </c>
      <c r="B9" s="47"/>
      <c r="C9" s="1105">
        <v>0</v>
      </c>
      <c r="D9" s="153"/>
      <c r="E9" s="48"/>
      <c r="F9" s="154"/>
      <c r="G9" s="155"/>
      <c r="I9" s="155"/>
      <c r="J9" s="155"/>
      <c r="K9" s="297"/>
      <c r="L9" s="214"/>
      <c r="M9" s="276"/>
      <c r="N9" s="277"/>
      <c r="O9" s="278"/>
      <c r="P9" s="299"/>
      <c r="Q9" s="158"/>
      <c r="R9" s="158"/>
      <c r="S9" s="158"/>
      <c r="T9" s="159"/>
      <c r="U9" s="301"/>
      <c r="V9" s="189"/>
      <c r="W9" s="158"/>
      <c r="X9" s="158"/>
      <c r="Y9" s="153"/>
      <c r="Z9" s="161"/>
      <c r="AA9" s="161"/>
      <c r="AB9" s="160"/>
      <c r="AC9" s="112"/>
      <c r="AD9" s="112"/>
      <c r="AE9" s="112"/>
      <c r="AK9" s="112"/>
      <c r="AL9" s="1044"/>
      <c r="BL9" s="1322">
        <v>1</v>
      </c>
      <c r="BM9" s="1326">
        <v>3.2</v>
      </c>
      <c r="BN9" s="1327">
        <v>0.2</v>
      </c>
      <c r="BO9" s="1328">
        <v>7.9</v>
      </c>
    </row>
    <row r="10" spans="1:67" ht="14.25" x14ac:dyDescent="0.2">
      <c r="A10" s="181"/>
      <c r="B10" s="182" t="s">
        <v>245</v>
      </c>
      <c r="C10" s="1105">
        <v>0</v>
      </c>
      <c r="D10" s="171"/>
      <c r="E10" s="169"/>
      <c r="F10" s="173" t="s">
        <v>214</v>
      </c>
      <c r="G10" s="174"/>
      <c r="H10" s="1307"/>
      <c r="I10" s="174"/>
      <c r="J10" s="174"/>
      <c r="K10" s="298"/>
      <c r="L10" s="303"/>
      <c r="M10" s="276"/>
      <c r="N10" s="277"/>
      <c r="O10" s="278"/>
      <c r="P10" s="300"/>
      <c r="Q10" s="175"/>
      <c r="R10" s="175"/>
      <c r="S10" s="175"/>
      <c r="T10" s="176"/>
      <c r="U10" s="302"/>
      <c r="V10" s="303"/>
      <c r="W10" s="1396"/>
      <c r="X10" s="1396"/>
      <c r="Y10" s="171"/>
      <c r="Z10" s="303"/>
      <c r="AA10" s="172"/>
      <c r="AB10" s="177"/>
      <c r="AC10" s="122"/>
      <c r="AD10" s="122"/>
      <c r="AE10" s="122"/>
      <c r="AK10" s="122"/>
      <c r="AL10" s="1044"/>
      <c r="BL10" s="1322">
        <v>2</v>
      </c>
      <c r="BM10" s="1326">
        <v>3.3</v>
      </c>
      <c r="BN10" s="1327">
        <v>0.2</v>
      </c>
      <c r="BO10" s="1328">
        <v>3.1</v>
      </c>
    </row>
    <row r="11" spans="1:67" x14ac:dyDescent="0.2">
      <c r="A11" s="49"/>
      <c r="B11" s="1448" t="s">
        <v>246</v>
      </c>
      <c r="C11" s="1373">
        <v>1</v>
      </c>
      <c r="D11" s="1449">
        <v>0.4</v>
      </c>
      <c r="E11" s="1450">
        <v>37</v>
      </c>
      <c r="F11" s="1451">
        <v>11.5</v>
      </c>
      <c r="G11" s="1451">
        <v>45.3</v>
      </c>
      <c r="H11" s="1452">
        <v>35</v>
      </c>
      <c r="I11" s="1451">
        <v>11.6</v>
      </c>
      <c r="J11" s="1451">
        <v>43.3</v>
      </c>
      <c r="K11" s="1453">
        <v>7.6</v>
      </c>
      <c r="L11" s="1454">
        <v>8.2100000000000009</v>
      </c>
      <c r="M11" s="1452">
        <v>5.4</v>
      </c>
      <c r="N11" s="1451">
        <v>6</v>
      </c>
      <c r="O11" s="1455">
        <v>11</v>
      </c>
      <c r="P11" s="1452">
        <v>2.16</v>
      </c>
      <c r="Q11" s="1451">
        <v>2.4</v>
      </c>
      <c r="R11" s="1455">
        <v>4.4000000000000004</v>
      </c>
      <c r="S11" s="1452">
        <v>6.3</v>
      </c>
      <c r="T11" s="1451">
        <v>7.48</v>
      </c>
      <c r="U11" s="1455">
        <v>9.2100000000000009</v>
      </c>
      <c r="V11" s="1456">
        <v>20.09</v>
      </c>
      <c r="W11" s="1457">
        <v>18.170000000000002</v>
      </c>
      <c r="X11" s="1458">
        <v>21.77</v>
      </c>
      <c r="Y11" s="1459">
        <v>2</v>
      </c>
      <c r="Z11" s="1460">
        <v>1.8</v>
      </c>
      <c r="AA11" s="1461">
        <v>15</v>
      </c>
      <c r="AB11" s="1462">
        <v>30</v>
      </c>
      <c r="AC11" s="1463" t="s">
        <v>1103</v>
      </c>
      <c r="AD11" s="1464">
        <v>2.7</v>
      </c>
      <c r="AE11" s="1465">
        <v>1.49</v>
      </c>
      <c r="AF11" s="1466">
        <v>0.28999999999999998</v>
      </c>
      <c r="AG11" s="1466">
        <v>0.06</v>
      </c>
      <c r="AH11" s="1467">
        <v>56</v>
      </c>
      <c r="AK11" s="122"/>
      <c r="AL11" s="1044"/>
      <c r="BL11" s="1329">
        <v>3</v>
      </c>
      <c r="BM11" s="1330">
        <v>0</v>
      </c>
      <c r="BN11" s="1330">
        <v>0</v>
      </c>
      <c r="BO11" s="1331">
        <v>0</v>
      </c>
    </row>
    <row r="12" spans="1:67" x14ac:dyDescent="0.2">
      <c r="A12" s="49"/>
      <c r="B12" s="1448" t="s">
        <v>9</v>
      </c>
      <c r="C12" s="1373">
        <v>1</v>
      </c>
      <c r="D12" s="1453">
        <v>0.7</v>
      </c>
      <c r="E12" s="1450">
        <v>56</v>
      </c>
      <c r="F12" s="1451">
        <v>18.8</v>
      </c>
      <c r="G12" s="1451">
        <v>68</v>
      </c>
      <c r="H12" s="1452">
        <v>53</v>
      </c>
      <c r="I12" s="1451">
        <v>17.399999999999999</v>
      </c>
      <c r="J12" s="1451">
        <v>64.400000000000006</v>
      </c>
      <c r="K12" s="1453">
        <v>11.5</v>
      </c>
      <c r="L12" s="1454">
        <v>8.1999999999999993</v>
      </c>
      <c r="M12" s="1452">
        <v>5.4</v>
      </c>
      <c r="N12" s="1451">
        <v>6</v>
      </c>
      <c r="O12" s="1455">
        <v>11</v>
      </c>
      <c r="P12" s="1452">
        <v>3.78</v>
      </c>
      <c r="Q12" s="1451">
        <v>4.2</v>
      </c>
      <c r="R12" s="1455">
        <v>7.7</v>
      </c>
      <c r="S12" s="1452">
        <v>10</v>
      </c>
      <c r="T12" s="1451">
        <v>11.53</v>
      </c>
      <c r="U12" s="1455">
        <v>14.31</v>
      </c>
      <c r="V12" s="1456">
        <v>20.76</v>
      </c>
      <c r="W12" s="1457">
        <v>19.38</v>
      </c>
      <c r="X12" s="1458">
        <v>23.48</v>
      </c>
      <c r="Y12" s="1459">
        <v>3</v>
      </c>
      <c r="Z12" s="1460">
        <v>1.8</v>
      </c>
      <c r="AA12" s="1461">
        <v>15</v>
      </c>
      <c r="AB12" s="1462">
        <v>30</v>
      </c>
      <c r="AC12" s="1463" t="s">
        <v>1103</v>
      </c>
      <c r="AD12" s="1464">
        <v>2.7</v>
      </c>
      <c r="AE12" s="1465">
        <v>1.49</v>
      </c>
      <c r="AF12" s="1466">
        <v>0.28999999999999998</v>
      </c>
      <c r="AG12" s="1466">
        <v>0.06</v>
      </c>
      <c r="AH12" s="1467">
        <v>56</v>
      </c>
      <c r="AK12" s="122"/>
      <c r="AL12" s="1044"/>
      <c r="BL12" s="1329">
        <v>4</v>
      </c>
      <c r="BM12" s="1330">
        <v>0</v>
      </c>
      <c r="BN12" s="1330">
        <v>0</v>
      </c>
      <c r="BO12" s="1331">
        <v>0</v>
      </c>
    </row>
    <row r="13" spans="1:67" x14ac:dyDescent="0.2">
      <c r="A13" s="49"/>
      <c r="B13" s="1448" t="s">
        <v>10</v>
      </c>
      <c r="C13" s="1373">
        <v>1</v>
      </c>
      <c r="D13" s="1453">
        <v>1</v>
      </c>
      <c r="E13" s="1450">
        <v>64</v>
      </c>
      <c r="F13" s="1451">
        <v>21.9</v>
      </c>
      <c r="G13" s="1451">
        <v>76.900000000000006</v>
      </c>
      <c r="H13" s="1452">
        <v>62</v>
      </c>
      <c r="I13" s="1451">
        <v>19.399999999999999</v>
      </c>
      <c r="J13" s="1451">
        <v>73.400000000000006</v>
      </c>
      <c r="K13" s="1453">
        <v>13.1</v>
      </c>
      <c r="L13" s="1454">
        <v>8.19</v>
      </c>
      <c r="M13" s="1452">
        <v>5.4</v>
      </c>
      <c r="N13" s="1451">
        <v>6</v>
      </c>
      <c r="O13" s="1455">
        <v>11</v>
      </c>
      <c r="P13" s="1452">
        <v>5.4</v>
      </c>
      <c r="Q13" s="1451">
        <v>6</v>
      </c>
      <c r="R13" s="1455">
        <v>11</v>
      </c>
      <c r="S13" s="1452">
        <v>11.4</v>
      </c>
      <c r="T13" s="1451">
        <v>13.59</v>
      </c>
      <c r="U13" s="1455">
        <v>17.12</v>
      </c>
      <c r="V13" s="1456">
        <v>23.74</v>
      </c>
      <c r="W13" s="1457">
        <v>21.53</v>
      </c>
      <c r="X13" s="1458">
        <v>26.44</v>
      </c>
      <c r="Y13" s="1459">
        <v>3.4</v>
      </c>
      <c r="Z13" s="1460">
        <v>1.8</v>
      </c>
      <c r="AA13" s="1461">
        <v>15</v>
      </c>
      <c r="AB13" s="1462">
        <v>30</v>
      </c>
      <c r="AC13" s="1463" t="s">
        <v>1103</v>
      </c>
      <c r="AD13" s="1464">
        <v>2.7</v>
      </c>
      <c r="AE13" s="1465">
        <v>1.49</v>
      </c>
      <c r="AF13" s="1466">
        <v>0.28999999999999998</v>
      </c>
      <c r="AG13" s="1466">
        <v>0.06</v>
      </c>
      <c r="AH13" s="1467">
        <v>56</v>
      </c>
      <c r="AK13" s="122"/>
      <c r="AL13" s="1044"/>
      <c r="BL13" s="1329">
        <v>5</v>
      </c>
      <c r="BM13" s="1330">
        <v>0</v>
      </c>
      <c r="BN13" s="1330">
        <v>0</v>
      </c>
      <c r="BO13" s="1331">
        <v>0</v>
      </c>
    </row>
    <row r="14" spans="1:67" x14ac:dyDescent="0.2">
      <c r="A14" s="49"/>
      <c r="B14" s="1468" t="s">
        <v>247</v>
      </c>
      <c r="C14" s="1469">
        <v>1</v>
      </c>
      <c r="D14" s="1470">
        <v>1</v>
      </c>
      <c r="E14" s="1471">
        <v>100</v>
      </c>
      <c r="F14" s="1472">
        <v>36</v>
      </c>
      <c r="G14" s="1473">
        <v>104</v>
      </c>
      <c r="H14" s="1471">
        <v>77</v>
      </c>
      <c r="I14" s="1472">
        <v>27</v>
      </c>
      <c r="J14" s="1473">
        <v>93</v>
      </c>
      <c r="K14" s="1474">
        <v>19</v>
      </c>
      <c r="L14" s="1474">
        <v>8.9</v>
      </c>
      <c r="M14" s="1475">
        <v>4</v>
      </c>
      <c r="N14" s="1476">
        <v>6</v>
      </c>
      <c r="O14" s="1477">
        <v>11</v>
      </c>
      <c r="P14" s="1475">
        <v>4</v>
      </c>
      <c r="Q14" s="1478">
        <v>6</v>
      </c>
      <c r="R14" s="1479">
        <v>11</v>
      </c>
      <c r="S14" s="1480">
        <v>14.4</v>
      </c>
      <c r="T14" s="1476">
        <v>18.190000000000001</v>
      </c>
      <c r="U14" s="1477">
        <v>23.02</v>
      </c>
      <c r="V14" s="1481">
        <v>19.71</v>
      </c>
      <c r="W14" s="1482">
        <v>19.350000000000001</v>
      </c>
      <c r="X14" s="1483">
        <v>22.35</v>
      </c>
      <c r="Y14" s="1475">
        <v>6</v>
      </c>
      <c r="Z14" s="1484">
        <v>1.8</v>
      </c>
      <c r="AA14" s="1485">
        <v>15</v>
      </c>
      <c r="AB14" s="1486">
        <v>30</v>
      </c>
      <c r="AC14" s="1487" t="s">
        <v>1103</v>
      </c>
      <c r="AD14" s="1488">
        <v>2.7</v>
      </c>
      <c r="AE14" s="1489">
        <v>1.49</v>
      </c>
      <c r="AF14" s="1473">
        <v>0.28999999999999998</v>
      </c>
      <c r="AG14" s="1473">
        <v>0.06</v>
      </c>
      <c r="AH14" s="1490">
        <v>50</v>
      </c>
      <c r="AK14" s="122"/>
      <c r="AL14" s="1044"/>
      <c r="BL14" s="1329">
        <v>6</v>
      </c>
      <c r="BM14" s="1330">
        <v>0</v>
      </c>
      <c r="BN14" s="1330">
        <v>0</v>
      </c>
      <c r="BO14" s="1331">
        <v>0</v>
      </c>
    </row>
    <row r="15" spans="1:67" x14ac:dyDescent="0.2">
      <c r="A15" s="49"/>
      <c r="B15" s="1491" t="s">
        <v>248</v>
      </c>
      <c r="C15" s="1492">
        <v>1</v>
      </c>
      <c r="D15" s="1493">
        <v>1</v>
      </c>
      <c r="E15" s="1494">
        <v>115</v>
      </c>
      <c r="F15" s="1495">
        <v>42</v>
      </c>
      <c r="G15" s="1496">
        <v>116</v>
      </c>
      <c r="H15" s="1494">
        <v>84</v>
      </c>
      <c r="I15" s="1495">
        <v>29</v>
      </c>
      <c r="J15" s="1496">
        <v>101</v>
      </c>
      <c r="K15" s="1497">
        <v>20</v>
      </c>
      <c r="L15" s="1497">
        <v>9.32</v>
      </c>
      <c r="M15" s="1498">
        <v>4</v>
      </c>
      <c r="N15" s="1499">
        <v>6</v>
      </c>
      <c r="O15" s="1500">
        <v>11</v>
      </c>
      <c r="P15" s="1498">
        <v>4</v>
      </c>
      <c r="Q15" s="1501">
        <v>6</v>
      </c>
      <c r="R15" s="1502">
        <v>11</v>
      </c>
      <c r="S15" s="1503">
        <v>15</v>
      </c>
      <c r="T15" s="1499">
        <v>18.989999999999998</v>
      </c>
      <c r="U15" s="1500">
        <v>24.02</v>
      </c>
      <c r="V15" s="1504">
        <v>20.03</v>
      </c>
      <c r="W15" s="1505">
        <v>19.43</v>
      </c>
      <c r="X15" s="1506">
        <v>22.14</v>
      </c>
      <c r="Y15" s="1498">
        <v>6.4</v>
      </c>
      <c r="Z15" s="1507">
        <v>1.8</v>
      </c>
      <c r="AA15" s="1508">
        <v>15</v>
      </c>
      <c r="AB15" s="1509">
        <v>30</v>
      </c>
      <c r="AC15" s="1510" t="s">
        <v>1103</v>
      </c>
      <c r="AD15" s="1511">
        <v>2.7</v>
      </c>
      <c r="AE15" s="1512">
        <v>1.49</v>
      </c>
      <c r="AF15" s="1496">
        <v>0.28999999999999998</v>
      </c>
      <c r="AG15" s="1496">
        <v>0.06</v>
      </c>
      <c r="AH15" s="1513">
        <v>50</v>
      </c>
      <c r="AK15" s="122"/>
      <c r="AL15" s="1044"/>
      <c r="BL15" s="1329">
        <v>7</v>
      </c>
      <c r="BM15" s="1330">
        <v>0</v>
      </c>
      <c r="BN15" s="1330">
        <v>0</v>
      </c>
      <c r="BO15" s="1331">
        <v>0</v>
      </c>
    </row>
    <row r="16" spans="1:67" x14ac:dyDescent="0.2">
      <c r="A16" s="49"/>
      <c r="B16" s="1448" t="s">
        <v>249</v>
      </c>
      <c r="C16" s="1373">
        <v>1</v>
      </c>
      <c r="D16" s="1453">
        <v>1</v>
      </c>
      <c r="E16" s="1514">
        <v>133</v>
      </c>
      <c r="F16" s="1515">
        <v>46.97</v>
      </c>
      <c r="G16" s="1466">
        <v>125</v>
      </c>
      <c r="H16" s="1514">
        <v>89</v>
      </c>
      <c r="I16" s="1515">
        <v>31</v>
      </c>
      <c r="J16" s="1466">
        <v>107</v>
      </c>
      <c r="K16" s="1454">
        <v>21</v>
      </c>
      <c r="L16" s="1454">
        <v>9.35</v>
      </c>
      <c r="M16" s="1459">
        <v>5</v>
      </c>
      <c r="N16" s="1516">
        <v>6</v>
      </c>
      <c r="O16" s="1517">
        <v>11</v>
      </c>
      <c r="P16" s="1459">
        <v>5</v>
      </c>
      <c r="Q16" s="1451">
        <v>6</v>
      </c>
      <c r="R16" s="1455">
        <v>11</v>
      </c>
      <c r="S16" s="1452">
        <v>16</v>
      </c>
      <c r="T16" s="1516">
        <v>19.79</v>
      </c>
      <c r="U16" s="1517">
        <v>25.02</v>
      </c>
      <c r="V16" s="1456">
        <v>21.32</v>
      </c>
      <c r="W16" s="1457">
        <v>19.13</v>
      </c>
      <c r="X16" s="1458">
        <v>21.65</v>
      </c>
      <c r="Y16" s="1459">
        <v>6.8</v>
      </c>
      <c r="Z16" s="1460">
        <v>1.8</v>
      </c>
      <c r="AA16" s="1461">
        <v>15</v>
      </c>
      <c r="AB16" s="1462">
        <v>30</v>
      </c>
      <c r="AC16" s="1463" t="s">
        <v>1103</v>
      </c>
      <c r="AD16" s="1464">
        <v>2.7</v>
      </c>
      <c r="AE16" s="1465">
        <v>1.49</v>
      </c>
      <c r="AF16" s="1466">
        <v>0.28999999999999998</v>
      </c>
      <c r="AG16" s="1466">
        <v>0.06</v>
      </c>
      <c r="AH16" s="1467">
        <v>50</v>
      </c>
      <c r="AK16" s="122"/>
      <c r="AL16" s="1044"/>
      <c r="BL16" s="1329">
        <v>8</v>
      </c>
      <c r="BM16" s="1330">
        <v>0</v>
      </c>
      <c r="BN16" s="1330">
        <v>0</v>
      </c>
      <c r="BO16" s="1331">
        <v>0</v>
      </c>
    </row>
    <row r="17" spans="1:67" ht="13.5" thickBot="1" x14ac:dyDescent="0.25">
      <c r="A17" s="49"/>
      <c r="B17" s="1448" t="s">
        <v>250</v>
      </c>
      <c r="C17" s="1373">
        <v>1</v>
      </c>
      <c r="D17" s="1453">
        <v>1</v>
      </c>
      <c r="E17" s="1514">
        <v>152</v>
      </c>
      <c r="F17" s="1515">
        <v>52</v>
      </c>
      <c r="G17" s="1466">
        <v>135</v>
      </c>
      <c r="H17" s="1514">
        <v>94</v>
      </c>
      <c r="I17" s="1515">
        <v>32</v>
      </c>
      <c r="J17" s="1466">
        <v>112</v>
      </c>
      <c r="K17" s="1454">
        <v>22</v>
      </c>
      <c r="L17" s="1454">
        <v>10.31</v>
      </c>
      <c r="M17" s="1459">
        <v>6</v>
      </c>
      <c r="N17" s="1516">
        <v>7</v>
      </c>
      <c r="O17" s="1517">
        <v>12</v>
      </c>
      <c r="P17" s="1459">
        <v>6</v>
      </c>
      <c r="Q17" s="1451">
        <v>7</v>
      </c>
      <c r="R17" s="1455">
        <v>12</v>
      </c>
      <c r="S17" s="1452">
        <v>17</v>
      </c>
      <c r="T17" s="1516">
        <v>20.96</v>
      </c>
      <c r="U17" s="1517">
        <v>26.38</v>
      </c>
      <c r="V17" s="1456">
        <v>23.66</v>
      </c>
      <c r="W17" s="1457">
        <v>21</v>
      </c>
      <c r="X17" s="1458">
        <v>22.88</v>
      </c>
      <c r="Y17" s="1459">
        <v>7.2</v>
      </c>
      <c r="Z17" s="1460">
        <v>1.8</v>
      </c>
      <c r="AA17" s="1461">
        <v>15</v>
      </c>
      <c r="AB17" s="1462">
        <v>30</v>
      </c>
      <c r="AC17" s="1463" t="s">
        <v>1103</v>
      </c>
      <c r="AD17" s="1464">
        <v>2.7</v>
      </c>
      <c r="AE17" s="1465">
        <v>1.49</v>
      </c>
      <c r="AF17" s="1466">
        <v>0.28999999999999998</v>
      </c>
      <c r="AG17" s="1466">
        <v>0.06</v>
      </c>
      <c r="AH17" s="1467">
        <v>50</v>
      </c>
      <c r="AK17" s="122"/>
      <c r="AL17" s="1044"/>
      <c r="BL17" s="1332">
        <v>9</v>
      </c>
      <c r="BM17" s="1333">
        <v>0</v>
      </c>
      <c r="BN17" s="1333">
        <v>0</v>
      </c>
      <c r="BO17" s="1334">
        <v>0</v>
      </c>
    </row>
    <row r="18" spans="1:67" ht="14.25" x14ac:dyDescent="0.2">
      <c r="A18" s="181"/>
      <c r="B18" s="182" t="s">
        <v>251</v>
      </c>
      <c r="C18" s="1105">
        <v>0</v>
      </c>
      <c r="D18" s="171"/>
      <c r="E18" s="169"/>
      <c r="F18" s="173" t="s">
        <v>214</v>
      </c>
      <c r="G18" s="174"/>
      <c r="H18" s="1307"/>
      <c r="I18" s="174"/>
      <c r="J18" s="174"/>
      <c r="K18" s="298"/>
      <c r="L18" s="185"/>
      <c r="M18" s="372"/>
      <c r="N18" s="373"/>
      <c r="O18" s="374"/>
      <c r="P18" s="300"/>
      <c r="Q18" s="175"/>
      <c r="R18" s="175"/>
      <c r="S18" s="175"/>
      <c r="T18" s="176"/>
      <c r="U18" s="302"/>
      <c r="V18" s="303"/>
      <c r="W18" s="1396"/>
      <c r="X18" s="1396"/>
      <c r="Y18" s="171"/>
      <c r="Z18" s="172"/>
      <c r="AA18" s="172"/>
      <c r="AB18" s="177"/>
      <c r="AC18" s="122"/>
      <c r="AD18" s="122"/>
      <c r="AE18" s="122"/>
      <c r="AK18" s="122"/>
      <c r="AL18" s="1044"/>
    </row>
    <row r="19" spans="1:67" x14ac:dyDescent="0.2">
      <c r="A19" s="49"/>
      <c r="B19" s="1448" t="s">
        <v>246</v>
      </c>
      <c r="C19" s="1373">
        <v>1</v>
      </c>
      <c r="D19" s="1449">
        <v>0.4</v>
      </c>
      <c r="E19" s="1452">
        <v>46.2</v>
      </c>
      <c r="F19" s="1451">
        <v>13.5</v>
      </c>
      <c r="G19" s="1451">
        <v>56</v>
      </c>
      <c r="H19" s="1452">
        <v>47.1</v>
      </c>
      <c r="I19" s="1451">
        <v>13.6</v>
      </c>
      <c r="J19" s="1451">
        <v>55.3</v>
      </c>
      <c r="K19" s="1449">
        <v>7.6</v>
      </c>
      <c r="L19" s="1454">
        <v>8.15</v>
      </c>
      <c r="M19" s="1452">
        <v>5.4</v>
      </c>
      <c r="N19" s="1451">
        <v>6</v>
      </c>
      <c r="O19" s="1455">
        <v>11</v>
      </c>
      <c r="P19" s="1452">
        <v>2.16</v>
      </c>
      <c r="Q19" s="1451">
        <v>2.4</v>
      </c>
      <c r="R19" s="1455">
        <v>4.4000000000000004</v>
      </c>
      <c r="S19" s="1452">
        <v>6.4</v>
      </c>
      <c r="T19" s="1451">
        <v>7.48</v>
      </c>
      <c r="U19" s="1455">
        <v>9.2100000000000009</v>
      </c>
      <c r="V19" s="1518">
        <v>19.71</v>
      </c>
      <c r="W19" s="1185">
        <v>18.11</v>
      </c>
      <c r="X19" s="1519">
        <v>21.72</v>
      </c>
      <c r="Y19" s="1459">
        <v>2</v>
      </c>
      <c r="Z19" s="1460">
        <v>1.8</v>
      </c>
      <c r="AA19" s="1461">
        <v>15</v>
      </c>
      <c r="AB19" s="1462">
        <v>30</v>
      </c>
      <c r="AC19" s="1463" t="s">
        <v>1103</v>
      </c>
      <c r="AD19" s="1464">
        <v>2.7</v>
      </c>
      <c r="AE19" s="1465">
        <v>1.49</v>
      </c>
      <c r="AF19" s="1466">
        <v>0.28999999999999998</v>
      </c>
      <c r="AG19" s="1466">
        <v>0.06</v>
      </c>
      <c r="AH19" s="1467">
        <v>56</v>
      </c>
      <c r="AK19" s="122"/>
      <c r="AL19" s="1044"/>
    </row>
    <row r="20" spans="1:67" x14ac:dyDescent="0.2">
      <c r="A20" s="49"/>
      <c r="B20" s="1448" t="s">
        <v>9</v>
      </c>
      <c r="C20" s="1373">
        <v>1</v>
      </c>
      <c r="D20" s="1453">
        <v>0.7</v>
      </c>
      <c r="E20" s="1452">
        <v>70.7</v>
      </c>
      <c r="F20" s="1451">
        <v>20.2</v>
      </c>
      <c r="G20" s="1451">
        <v>90.7</v>
      </c>
      <c r="H20" s="1452">
        <v>71.599999999999994</v>
      </c>
      <c r="I20" s="1451">
        <v>21.4</v>
      </c>
      <c r="J20" s="1451">
        <v>86</v>
      </c>
      <c r="K20" s="1449">
        <v>11.5</v>
      </c>
      <c r="L20" s="1454">
        <v>8.2799999999999994</v>
      </c>
      <c r="M20" s="1452">
        <v>5.4</v>
      </c>
      <c r="N20" s="1451">
        <v>6</v>
      </c>
      <c r="O20" s="1455">
        <v>11</v>
      </c>
      <c r="P20" s="1452">
        <v>3.78</v>
      </c>
      <c r="Q20" s="1451">
        <v>4.2</v>
      </c>
      <c r="R20" s="1455">
        <v>7.7</v>
      </c>
      <c r="S20" s="1452">
        <v>10</v>
      </c>
      <c r="T20" s="1451">
        <v>11.53</v>
      </c>
      <c r="U20" s="1455">
        <v>14.31</v>
      </c>
      <c r="V20" s="1518">
        <v>20.85</v>
      </c>
      <c r="W20" s="1185">
        <v>19.46</v>
      </c>
      <c r="X20" s="1519">
        <v>23.54</v>
      </c>
      <c r="Y20" s="1459">
        <v>3</v>
      </c>
      <c r="Z20" s="1460">
        <v>1.8</v>
      </c>
      <c r="AA20" s="1461">
        <v>15</v>
      </c>
      <c r="AB20" s="1462">
        <v>30</v>
      </c>
      <c r="AC20" s="1463" t="s">
        <v>1103</v>
      </c>
      <c r="AD20" s="1464">
        <v>2.7</v>
      </c>
      <c r="AE20" s="1465">
        <v>1.49</v>
      </c>
      <c r="AF20" s="1466">
        <v>0.28999999999999998</v>
      </c>
      <c r="AG20" s="1466">
        <v>0.06</v>
      </c>
      <c r="AH20" s="1467">
        <v>56</v>
      </c>
      <c r="AK20" s="122"/>
      <c r="AL20" s="1044"/>
    </row>
    <row r="21" spans="1:67" x14ac:dyDescent="0.2">
      <c r="A21" s="49"/>
      <c r="B21" s="1448" t="s">
        <v>10</v>
      </c>
      <c r="C21" s="1373">
        <v>1</v>
      </c>
      <c r="D21" s="1453">
        <v>1</v>
      </c>
      <c r="E21" s="1452">
        <v>82.5</v>
      </c>
      <c r="F21" s="1451">
        <v>22.3</v>
      </c>
      <c r="G21" s="1451">
        <v>96.5</v>
      </c>
      <c r="H21" s="1452">
        <v>84.4</v>
      </c>
      <c r="I21" s="1451">
        <v>24.4</v>
      </c>
      <c r="J21" s="1451">
        <v>98.9</v>
      </c>
      <c r="K21" s="1449">
        <v>13.1</v>
      </c>
      <c r="L21" s="1454">
        <v>8.48</v>
      </c>
      <c r="M21" s="1452">
        <v>5.4</v>
      </c>
      <c r="N21" s="1451">
        <v>6</v>
      </c>
      <c r="O21" s="1455">
        <v>11</v>
      </c>
      <c r="P21" s="1452">
        <v>5.4</v>
      </c>
      <c r="Q21" s="1451">
        <v>6</v>
      </c>
      <c r="R21" s="1455">
        <v>11</v>
      </c>
      <c r="S21" s="1452">
        <v>11.5</v>
      </c>
      <c r="T21" s="1451">
        <v>13.59</v>
      </c>
      <c r="U21" s="1455">
        <v>17.12</v>
      </c>
      <c r="V21" s="1518">
        <v>23.87</v>
      </c>
      <c r="W21" s="1185">
        <v>21.81</v>
      </c>
      <c r="X21" s="1519">
        <v>26.66</v>
      </c>
      <c r="Y21" s="1459">
        <v>3.4</v>
      </c>
      <c r="Z21" s="1460">
        <v>1.8</v>
      </c>
      <c r="AA21" s="1461">
        <v>15</v>
      </c>
      <c r="AB21" s="1462">
        <v>30</v>
      </c>
      <c r="AC21" s="1463" t="s">
        <v>1103</v>
      </c>
      <c r="AD21" s="1464">
        <v>2.7</v>
      </c>
      <c r="AE21" s="1465">
        <v>1.49</v>
      </c>
      <c r="AF21" s="1466">
        <v>0.28999999999999998</v>
      </c>
      <c r="AG21" s="1466">
        <v>0.06</v>
      </c>
      <c r="AH21" s="1467">
        <v>56</v>
      </c>
      <c r="AK21" s="122"/>
      <c r="AL21" s="1044"/>
    </row>
    <row r="22" spans="1:67" x14ac:dyDescent="0.2">
      <c r="A22" s="49"/>
      <c r="B22" s="1448" t="s">
        <v>247</v>
      </c>
      <c r="C22" s="1373">
        <v>1</v>
      </c>
      <c r="D22" s="1453">
        <v>1</v>
      </c>
      <c r="E22" s="1514">
        <v>109</v>
      </c>
      <c r="F22" s="1515">
        <v>37</v>
      </c>
      <c r="G22" s="1466">
        <v>129</v>
      </c>
      <c r="H22" s="1514">
        <v>98</v>
      </c>
      <c r="I22" s="1515">
        <v>31</v>
      </c>
      <c r="J22" s="1466">
        <v>121</v>
      </c>
      <c r="K22" s="1454">
        <v>19</v>
      </c>
      <c r="L22" s="1454">
        <v>9.6</v>
      </c>
      <c r="M22" s="1459">
        <v>4</v>
      </c>
      <c r="N22" s="1516">
        <v>6</v>
      </c>
      <c r="O22" s="1517">
        <v>11</v>
      </c>
      <c r="P22" s="1459">
        <v>4</v>
      </c>
      <c r="Q22" s="1451">
        <v>6</v>
      </c>
      <c r="R22" s="1455">
        <v>11</v>
      </c>
      <c r="S22" s="1459">
        <v>14.4</v>
      </c>
      <c r="T22" s="1516">
        <v>18.190000000000001</v>
      </c>
      <c r="U22" s="1517">
        <v>23.02</v>
      </c>
      <c r="V22" s="1456">
        <v>20.64</v>
      </c>
      <c r="W22" s="1457">
        <v>20.079999999999998</v>
      </c>
      <c r="X22" s="1458">
        <v>22.92</v>
      </c>
      <c r="Y22" s="1459">
        <v>6</v>
      </c>
      <c r="Z22" s="1460">
        <v>1.8</v>
      </c>
      <c r="AA22" s="1461">
        <v>15</v>
      </c>
      <c r="AB22" s="1462">
        <v>30</v>
      </c>
      <c r="AC22" s="1463" t="s">
        <v>1103</v>
      </c>
      <c r="AD22" s="1464">
        <v>2.7</v>
      </c>
      <c r="AE22" s="1465">
        <v>1.49</v>
      </c>
      <c r="AF22" s="1466">
        <v>0.28999999999999998</v>
      </c>
      <c r="AG22" s="1466">
        <v>0.06</v>
      </c>
      <c r="AH22" s="1467">
        <v>50</v>
      </c>
      <c r="AK22" s="122"/>
      <c r="AL22" s="1044"/>
    </row>
    <row r="23" spans="1:67" x14ac:dyDescent="0.2">
      <c r="A23" s="49"/>
      <c r="B23" s="1448" t="s">
        <v>248</v>
      </c>
      <c r="C23" s="1373">
        <v>1</v>
      </c>
      <c r="D23" s="1453">
        <v>1</v>
      </c>
      <c r="E23" s="1514">
        <v>124</v>
      </c>
      <c r="F23" s="1515">
        <v>43</v>
      </c>
      <c r="G23" s="1466">
        <v>134</v>
      </c>
      <c r="H23" s="1514">
        <v>98</v>
      </c>
      <c r="I23" s="1515">
        <v>31</v>
      </c>
      <c r="J23" s="1466">
        <v>120</v>
      </c>
      <c r="K23" s="1454">
        <v>20</v>
      </c>
      <c r="L23" s="1454">
        <v>9.5299999999999994</v>
      </c>
      <c r="M23" s="1459">
        <v>4</v>
      </c>
      <c r="N23" s="1516">
        <v>6</v>
      </c>
      <c r="O23" s="1517">
        <v>11</v>
      </c>
      <c r="P23" s="1459">
        <v>4</v>
      </c>
      <c r="Q23" s="1451">
        <v>6</v>
      </c>
      <c r="R23" s="1455">
        <v>11</v>
      </c>
      <c r="S23" s="1459">
        <v>15</v>
      </c>
      <c r="T23" s="1516">
        <v>18.989999999999998</v>
      </c>
      <c r="U23" s="1517">
        <v>24.02</v>
      </c>
      <c r="V23" s="1456">
        <v>20.309999999999999</v>
      </c>
      <c r="W23" s="1457">
        <v>19.649999999999999</v>
      </c>
      <c r="X23" s="1458">
        <v>22.31</v>
      </c>
      <c r="Y23" s="1459">
        <v>6.4</v>
      </c>
      <c r="Z23" s="1460">
        <v>1.8</v>
      </c>
      <c r="AA23" s="1461">
        <v>15</v>
      </c>
      <c r="AB23" s="1462">
        <v>30</v>
      </c>
      <c r="AC23" s="1463" t="s">
        <v>1103</v>
      </c>
      <c r="AD23" s="1464">
        <v>2.7</v>
      </c>
      <c r="AE23" s="1465">
        <v>1.49</v>
      </c>
      <c r="AF23" s="1466">
        <v>0.28999999999999998</v>
      </c>
      <c r="AG23" s="1466">
        <v>0.06</v>
      </c>
      <c r="AH23" s="1467">
        <v>50</v>
      </c>
      <c r="AK23" s="122"/>
      <c r="AL23" s="1044"/>
    </row>
    <row r="24" spans="1:67" x14ac:dyDescent="0.2">
      <c r="A24" s="49"/>
      <c r="B24" s="1448" t="s">
        <v>249</v>
      </c>
      <c r="C24" s="1373">
        <v>1</v>
      </c>
      <c r="D24" s="1453">
        <v>1</v>
      </c>
      <c r="E24" s="1514">
        <v>141</v>
      </c>
      <c r="F24" s="1515">
        <v>48</v>
      </c>
      <c r="G24" s="1466">
        <v>143</v>
      </c>
      <c r="H24" s="1514">
        <v>101</v>
      </c>
      <c r="I24" s="1515">
        <v>33</v>
      </c>
      <c r="J24" s="1466">
        <v>124</v>
      </c>
      <c r="K24" s="1454">
        <v>21</v>
      </c>
      <c r="L24" s="1454">
        <v>9.61</v>
      </c>
      <c r="M24" s="1459">
        <v>5</v>
      </c>
      <c r="N24" s="1516">
        <v>6</v>
      </c>
      <c r="O24" s="1517">
        <v>11</v>
      </c>
      <c r="P24" s="1459">
        <v>5</v>
      </c>
      <c r="Q24" s="1451">
        <v>6</v>
      </c>
      <c r="R24" s="1455">
        <v>11</v>
      </c>
      <c r="S24" s="1459">
        <v>16</v>
      </c>
      <c r="T24" s="1516">
        <v>19.79</v>
      </c>
      <c r="U24" s="1517">
        <v>25.02</v>
      </c>
      <c r="V24" s="1456">
        <v>21.66</v>
      </c>
      <c r="W24" s="1457">
        <v>19.41</v>
      </c>
      <c r="X24" s="1458">
        <v>21.87</v>
      </c>
      <c r="Y24" s="1459">
        <v>6.8</v>
      </c>
      <c r="Z24" s="1460">
        <v>1.8</v>
      </c>
      <c r="AA24" s="1461">
        <v>15</v>
      </c>
      <c r="AB24" s="1462">
        <v>30</v>
      </c>
      <c r="AC24" s="1463" t="s">
        <v>1103</v>
      </c>
      <c r="AD24" s="1464">
        <v>2.7</v>
      </c>
      <c r="AE24" s="1465">
        <v>1.49</v>
      </c>
      <c r="AF24" s="1466">
        <v>0.28999999999999998</v>
      </c>
      <c r="AG24" s="1466">
        <v>0.06</v>
      </c>
      <c r="AH24" s="1467">
        <v>50</v>
      </c>
      <c r="AK24" s="122"/>
      <c r="AL24" s="1044"/>
    </row>
    <row r="25" spans="1:67" x14ac:dyDescent="0.2">
      <c r="A25" s="49"/>
      <c r="B25" s="44"/>
      <c r="C25" s="1105">
        <v>0</v>
      </c>
      <c r="D25" s="162"/>
      <c r="E25" s="179"/>
      <c r="F25" s="164"/>
      <c r="G25" s="165"/>
      <c r="H25" s="1308"/>
      <c r="I25" s="165"/>
      <c r="J25" s="165"/>
      <c r="K25" s="163"/>
      <c r="L25" s="162"/>
      <c r="M25" s="372"/>
      <c r="N25" s="373"/>
      <c r="O25" s="374"/>
      <c r="P25" s="170"/>
      <c r="Q25" s="166"/>
      <c r="R25" s="166"/>
      <c r="S25" s="166"/>
      <c r="T25" s="167"/>
      <c r="U25" s="275"/>
      <c r="V25" s="303"/>
      <c r="W25" s="1396"/>
      <c r="X25" s="1396"/>
      <c r="Y25" s="162"/>
      <c r="Z25" s="163"/>
      <c r="AA25" s="163"/>
      <c r="AB25" s="45"/>
      <c r="AC25" s="122"/>
      <c r="AD25" s="122"/>
      <c r="AE25" s="122"/>
      <c r="AK25" s="122"/>
      <c r="AL25" s="1044"/>
    </row>
    <row r="26" spans="1:67" x14ac:dyDescent="0.2">
      <c r="A26" s="49"/>
      <c r="B26" s="44" t="s">
        <v>256</v>
      </c>
      <c r="C26" s="1105">
        <v>0</v>
      </c>
      <c r="D26" s="162">
        <f>+'Berechnung Nährstoffe und Lager'!BG13</f>
        <v>1</v>
      </c>
      <c r="E26" s="179">
        <f>+$D26</f>
        <v>1</v>
      </c>
      <c r="F26" s="179">
        <f t="shared" ref="F26:AK27" si="0">+$D26</f>
        <v>1</v>
      </c>
      <c r="G26" s="179">
        <f t="shared" si="0"/>
        <v>1</v>
      </c>
      <c r="H26" s="228">
        <f t="shared" ref="H26:J27" si="1">+$D26</f>
        <v>1</v>
      </c>
      <c r="I26" s="228">
        <f t="shared" si="1"/>
        <v>1</v>
      </c>
      <c r="J26" s="228">
        <f t="shared" si="1"/>
        <v>1</v>
      </c>
      <c r="K26" s="163">
        <f t="shared" si="0"/>
        <v>1</v>
      </c>
      <c r="L26" s="304">
        <f t="shared" si="0"/>
        <v>1</v>
      </c>
      <c r="M26" s="279">
        <f t="shared" si="0"/>
        <v>1</v>
      </c>
      <c r="N26" s="376">
        <f t="shared" si="0"/>
        <v>1</v>
      </c>
      <c r="O26" s="280">
        <f t="shared" si="0"/>
        <v>1</v>
      </c>
      <c r="P26" s="228">
        <f t="shared" si="0"/>
        <v>1</v>
      </c>
      <c r="Q26" s="228">
        <f t="shared" si="0"/>
        <v>1</v>
      </c>
      <c r="R26" s="228">
        <f t="shared" si="0"/>
        <v>1</v>
      </c>
      <c r="S26" s="179">
        <f t="shared" si="0"/>
        <v>1</v>
      </c>
      <c r="T26" s="179">
        <f t="shared" si="0"/>
        <v>1</v>
      </c>
      <c r="U26" s="163">
        <f t="shared" si="0"/>
        <v>1</v>
      </c>
      <c r="V26" s="304">
        <f t="shared" si="0"/>
        <v>1</v>
      </c>
      <c r="W26" s="304">
        <f t="shared" si="0"/>
        <v>1</v>
      </c>
      <c r="X26" s="304">
        <f t="shared" si="0"/>
        <v>1</v>
      </c>
      <c r="Y26" s="179">
        <f t="shared" si="0"/>
        <v>1</v>
      </c>
      <c r="Z26" s="179">
        <f t="shared" si="0"/>
        <v>1</v>
      </c>
      <c r="AA26" s="179">
        <f t="shared" si="0"/>
        <v>1</v>
      </c>
      <c r="AB26" s="179">
        <f t="shared" si="0"/>
        <v>1</v>
      </c>
      <c r="AC26" s="1463" t="s">
        <v>1103</v>
      </c>
      <c r="AD26" s="179">
        <f t="shared" si="0"/>
        <v>1</v>
      </c>
      <c r="AE26" s="179">
        <f t="shared" si="0"/>
        <v>1</v>
      </c>
      <c r="AF26" s="179">
        <f t="shared" si="0"/>
        <v>1</v>
      </c>
      <c r="AG26" s="179">
        <f t="shared" si="0"/>
        <v>1</v>
      </c>
      <c r="AH26" s="179">
        <f t="shared" si="0"/>
        <v>1</v>
      </c>
      <c r="AK26" s="122">
        <f t="shared" si="0"/>
        <v>1</v>
      </c>
      <c r="AL26" s="1044"/>
    </row>
    <row r="27" spans="1:67" x14ac:dyDescent="0.2">
      <c r="A27" s="49"/>
      <c r="B27" s="44" t="s">
        <v>213</v>
      </c>
      <c r="C27" s="1105">
        <v>0</v>
      </c>
      <c r="D27" s="162">
        <f>+'Berechnung Nährstoffe und Lager'!B12</f>
        <v>0</v>
      </c>
      <c r="E27" s="179">
        <f>+$D27</f>
        <v>0</v>
      </c>
      <c r="F27" s="179">
        <f t="shared" si="0"/>
        <v>0</v>
      </c>
      <c r="G27" s="179">
        <f t="shared" si="0"/>
        <v>0</v>
      </c>
      <c r="H27" s="179">
        <f t="shared" si="1"/>
        <v>0</v>
      </c>
      <c r="I27" s="179">
        <f t="shared" si="1"/>
        <v>0</v>
      </c>
      <c r="J27" s="179">
        <f t="shared" si="1"/>
        <v>0</v>
      </c>
      <c r="K27" s="179">
        <f t="shared" si="0"/>
        <v>0</v>
      </c>
      <c r="L27" s="179">
        <f t="shared" si="0"/>
        <v>0</v>
      </c>
      <c r="M27" s="179">
        <f t="shared" si="0"/>
        <v>0</v>
      </c>
      <c r="N27" s="179">
        <f t="shared" si="0"/>
        <v>0</v>
      </c>
      <c r="O27" s="179">
        <f t="shared" si="0"/>
        <v>0</v>
      </c>
      <c r="P27" s="179">
        <f t="shared" si="0"/>
        <v>0</v>
      </c>
      <c r="Q27" s="179">
        <f t="shared" si="0"/>
        <v>0</v>
      </c>
      <c r="R27" s="179">
        <f t="shared" si="0"/>
        <v>0</v>
      </c>
      <c r="S27" s="179">
        <f t="shared" si="0"/>
        <v>0</v>
      </c>
      <c r="T27" s="179">
        <f t="shared" si="0"/>
        <v>0</v>
      </c>
      <c r="U27" s="179">
        <f t="shared" si="0"/>
        <v>0</v>
      </c>
      <c r="V27" s="179">
        <f t="shared" si="0"/>
        <v>0</v>
      </c>
      <c r="W27" s="179">
        <f t="shared" si="0"/>
        <v>0</v>
      </c>
      <c r="X27" s="179">
        <f t="shared" si="0"/>
        <v>0</v>
      </c>
      <c r="Y27" s="179">
        <f t="shared" si="0"/>
        <v>0</v>
      </c>
      <c r="Z27" s="179">
        <f t="shared" si="0"/>
        <v>0</v>
      </c>
      <c r="AA27" s="179">
        <f t="shared" si="0"/>
        <v>0</v>
      </c>
      <c r="AB27" s="179">
        <f t="shared" si="0"/>
        <v>0</v>
      </c>
      <c r="AC27" s="1463" t="s">
        <v>1103</v>
      </c>
      <c r="AD27" s="179">
        <f t="shared" si="0"/>
        <v>0</v>
      </c>
      <c r="AE27" s="179">
        <f t="shared" si="0"/>
        <v>0</v>
      </c>
      <c r="AF27" s="179">
        <f t="shared" si="0"/>
        <v>0</v>
      </c>
      <c r="AG27" s="179">
        <f t="shared" si="0"/>
        <v>0</v>
      </c>
      <c r="AH27" s="179">
        <f t="shared" si="0"/>
        <v>0</v>
      </c>
      <c r="AK27" s="179">
        <f t="shared" si="0"/>
        <v>0</v>
      </c>
      <c r="AL27" s="1044"/>
    </row>
    <row r="28" spans="1:67" x14ac:dyDescent="0.2">
      <c r="A28" s="49"/>
      <c r="B28" s="44" t="s">
        <v>257</v>
      </c>
      <c r="C28" s="1105">
        <v>0</v>
      </c>
      <c r="D28" s="306">
        <f>IF(D27&lt;=6000,D14,IF(AND(D27&gt;6000,D27&lt;=8000),D14+(D15-D14)/2000*(D27-6000),IF(AND(D27&gt;8000,D27&lt;=10000),D15+(D16-D15)/2000*(D27-8000),IF(AND(D27&gt;10000,D27&lt;=12000),D16+(D17-D16)/2000*(D27-10000),D17))))</f>
        <v>1</v>
      </c>
      <c r="E28" s="306">
        <f>IF(E27&lt;=6000,E14,IF(AND(E27&gt;6000,E27&lt;=8000),E14+(E15-E14)/2000*(E27-6000),IF(AND(E27&gt;8000,E27&lt;=10000),E15+(E16-E15)/2000*(E27-8000),IF(AND(E27&gt;10000,E27&lt;=12000),E16+(E17-E16)/2000*(E27-10000),E17))))</f>
        <v>100</v>
      </c>
      <c r="F28" s="306">
        <f>IF(F27&lt;=6000,F14,IF(AND(F27&gt;6000,F27&lt;=8000),F14+(F15-F14)/2000*(F27-6000),IF(AND(F27&gt;8000,F27&lt;=10000),F15+(F16-F15)/2000*(F27-8000),IF(AND(F27&gt;10000,F27&lt;=12000),F16+(F17-F16)/2000*(F27-10000),F17))))</f>
        <v>36</v>
      </c>
      <c r="G28" s="306">
        <f>IF(G27&lt;=6000,G14,IF(AND(G27&gt;6000,G27&lt;=8000),G14+(G15-G14)/2000*(G27-6000),IF(AND(G27&gt;8000,G27&lt;=10000),G15+(G16-G15)/2000*(G27-8000),IF(AND(G27&gt;10000,G27&lt;=12000),G16+(G17-G16)/2000*(G27-10000),G17))))</f>
        <v>104</v>
      </c>
      <c r="H28" s="307">
        <f>IF(H27&lt;=6000,H14,IF(AND(H27&gt;6000,H27&lt;=8000),H14+(H15-H14)/2000*(H27-6000),IF(AND(H27&gt;8000,H27&lt;=10000),H15+(H16-H15)/2000*(H27-8000),IF(AND(H27&gt;10000,H27&lt;=12000),H16+(H17-H16)/2000*(H27-10000),H17))))</f>
        <v>77</v>
      </c>
      <c r="I28" s="307">
        <f t="shared" ref="I28:J28" si="2">IF(I27&lt;=6000,I14,IF(AND(I27&gt;6000,I27&lt;=8000),I14+(I15-I14)/2000*(I27-6000),IF(AND(I27&gt;8000,I27&lt;=10000),I15+(I16-I15)/2000*(I27-8000),IF(AND(I27&gt;10000,I27&lt;=12000),I16+(I17-I16)/2000*(I27-10000),I17))))</f>
        <v>27</v>
      </c>
      <c r="J28" s="307">
        <f t="shared" si="2"/>
        <v>93</v>
      </c>
      <c r="K28" s="306">
        <f>IF(K27&lt;=6000,K14,IF(AND(K27&gt;6000,K27&lt;=8000),K14+(K15-K14)/2000*(K27-6000),IF(AND(K27&gt;8000,K27&lt;=10000),K15+(K16-K15)/2000*(K27-8000),IF(AND(K27&gt;10000,K27&lt;=12000),K16+(K17-K16)/2000*(K27-10000),K17))))</f>
        <v>19</v>
      </c>
      <c r="L28" s="307">
        <f>IF(L27&lt;=6000,L14,IF(AND(L27&gt;6000,L27&lt;=8000),L14+(L15-L14)/2000*(L27-6000),IF(AND(L27&gt;8000,L27&lt;=10000),L15+(L16-L15)/2000*(L27-8000),IF(AND(L27&gt;10000,L27&lt;=12000),L16+(L17-L16)/2000*(L27-10000),L17))))</f>
        <v>8.9</v>
      </c>
      <c r="M28" s="382">
        <f>IF(M27&lt;=6000,M14,IF(AND(M27&gt;6000,M27&lt;=8000),M14+(M15-M14)/2000*(M27-6000),IF(AND(M27&gt;8000,M27&lt;=10000),M15+(M16-M15)/2000*(M27-8000),IF(AND(M27&gt;10000,M27&lt;=12000),M16+(M17-M16)/2000*(M27-10000),M17))))</f>
        <v>4</v>
      </c>
      <c r="N28" s="377">
        <f>IF(N27&lt;=6000,N14,IF(AND(N27&gt;6000,N27&lt;=8000),N14+(N15-N14)/2000*(N27-6000),IF(AND(N27&gt;8000,N27&lt;=10000),N15+(N16-N15)/2000*(N27-8000),IF(AND(N27&gt;10000,N27&lt;=12000),N16+(N17-N16)/2000*(N27-10000),N17))))</f>
        <v>6</v>
      </c>
      <c r="O28" s="378">
        <f>IF(O27&lt;=6000,O14,IF(AND(O27&gt;6000,O27&lt;=8000),O14+(O15-O14)/2000*(O27-6000),IF(AND(O27&gt;8000,O27&lt;=10000),O15+(O16-O15)/2000*(O27-8000),IF(AND(O27&gt;10000,O27&lt;=12000),O16+(O17-O16)/2000*(O27-10000),O17))))</f>
        <v>11</v>
      </c>
      <c r="P28" s="306">
        <f t="shared" ref="P28:AA28" si="3">IF(P27&lt;=6000,P14,IF(AND(P27&gt;6000,P27&lt;=8000),P14+(P15-P14)/2000*(P27-6000),IF(AND(P27&gt;8000,P27&lt;=10000),P15+(P16-P15)/2000*(P27-8000),IF(AND(P27&gt;10000,P27&lt;=12000),P16+(P17-P16)/2000*(P27-10000),P17))))</f>
        <v>4</v>
      </c>
      <c r="Q28" s="306">
        <f t="shared" ref="Q28:R28" si="4">IF(Q27&lt;=6000,Q14,IF(AND(Q27&gt;6000,Q27&lt;=8000),Q14+(Q15-Q14)/2000*(Q27-6000),IF(AND(Q27&gt;8000,Q27&lt;=10000),Q15+(Q16-Q15)/2000*(Q27-8000),IF(AND(Q27&gt;10000,Q27&lt;=12000),Q16+(Q17-Q16)/2000*(Q27-10000),Q17))))</f>
        <v>6</v>
      </c>
      <c r="R28" s="306">
        <f t="shared" si="4"/>
        <v>11</v>
      </c>
      <c r="S28" s="306">
        <f t="shared" si="3"/>
        <v>14.4</v>
      </c>
      <c r="T28" s="306">
        <f t="shared" si="3"/>
        <v>18.190000000000001</v>
      </c>
      <c r="U28" s="306">
        <f t="shared" si="3"/>
        <v>23.02</v>
      </c>
      <c r="V28" s="307">
        <f t="shared" si="3"/>
        <v>19.71</v>
      </c>
      <c r="W28" s="307">
        <f t="shared" ref="W28:X28" si="5">IF(W27&lt;=6000,W14,IF(AND(W27&gt;6000,W27&lt;=8000),W14+(W15-W14)/2000*(W27-6000),IF(AND(W27&gt;8000,W27&lt;=10000),W15+(W16-W15)/2000*(W27-8000),IF(AND(W27&gt;10000,W27&lt;=12000),W16+(W17-W16)/2000*(W27-10000),W17))))</f>
        <v>19.350000000000001</v>
      </c>
      <c r="X28" s="307">
        <f t="shared" si="5"/>
        <v>22.35</v>
      </c>
      <c r="Y28" s="306">
        <f>IF(Y27&lt;=6000,Y14,IF(AND(Y27&gt;6000,Y27&lt;=8000),Y14+(Y15-Y14)/2000*(Y27-6000),IF(AND(Y27&gt;8000,Y27&lt;=10000),Y15+(Y16-Y15)/2000*(Y27-8000),IF(AND(Y27&gt;10000,Y27&lt;=12000),Y16+(Y17-Y16)/2000*(Y27-10000),Y17))))</f>
        <v>6</v>
      </c>
      <c r="Z28" s="307">
        <f>IF(Z27&lt;=6000,Z14,IF(AND(Z27&gt;6000,Z27&lt;=8000),Z14+(Z15-Z14)/2000*(Z27-6000),IF(AND(Z27&gt;8000,Z27&lt;=10000),Z15+(Z16-Z15)/2000*(Z27-8000),IF(AND(Z27&gt;10000,Z27&lt;=12000),Z16+(Z17-Z16)/2000*(Z27-10000),Z17))))</f>
        <v>1.8</v>
      </c>
      <c r="AA28" s="306">
        <f t="shared" si="3"/>
        <v>15</v>
      </c>
      <c r="AB28" s="306">
        <f>IF(AB27&lt;=6000,AB14,IF(AND(AB27&gt;6000,AB27&lt;=8000),AB14+(AB15-AB14)/2000*(AB27-6000),IF(AND(AB27&gt;8000,AB27&lt;=10000),AB15+(AB16-AB15)/2000*(AB27-8000),IF(AND(AB27&gt;10000,AB27&lt;=12000),AB16+(AB17-AB16)/2000*(AB27-10000),AB17))))</f>
        <v>30</v>
      </c>
      <c r="AC28" s="1463" t="s">
        <v>1103</v>
      </c>
      <c r="AD28" s="306">
        <f t="shared" ref="AD28:AH28" si="6">IF(AD27&lt;=6000,AD14,IF(AND(AD27&gt;6000,AD27&lt;=8000),AD14+(AD15-AD14)/2000*(AD27-6000),IF(AND(AD27&gt;8000,AD27&lt;=10000),AD15+(AD16-AD15)/2000*(AD27-8000),IF(AND(AD27&gt;10000,AD27&lt;=12000),AD16+(AD17-AD16)/2000*(AD27-10000),AD17))))</f>
        <v>2.7</v>
      </c>
      <c r="AE28" s="306">
        <f t="shared" si="6"/>
        <v>1.49</v>
      </c>
      <c r="AF28" s="306">
        <f t="shared" si="6"/>
        <v>0.28999999999999998</v>
      </c>
      <c r="AG28" s="306">
        <f t="shared" si="6"/>
        <v>0.06</v>
      </c>
      <c r="AH28" s="306">
        <f t="shared" si="6"/>
        <v>50</v>
      </c>
      <c r="AK28" s="404"/>
      <c r="AL28" s="1044"/>
    </row>
    <row r="29" spans="1:67" x14ac:dyDescent="0.2">
      <c r="A29" s="49"/>
      <c r="B29" s="44" t="s">
        <v>258</v>
      </c>
      <c r="C29" s="1105">
        <v>0</v>
      </c>
      <c r="D29" s="306">
        <f>IF(D27&lt;=6000,D22,IF(AND(D27&gt;6000,D27&lt;=8000),D22+(D23-D22)/2000*(D27-6000),IF(AND(D27&gt;8000,D27&lt;=10000),D23+(D24-D23)/2000*(D27-8000),D24)))</f>
        <v>1</v>
      </c>
      <c r="E29" s="306">
        <f>IF(E27&lt;=6000,E22,IF(AND(E27&gt;6000,E27&lt;=8000),E22+(E23-E22)/2000*(E27-6000),IF(AND(E27&gt;8000,E27&lt;=10000),E23+(E24-E23)/2000*(E27-8000),E24)))</f>
        <v>109</v>
      </c>
      <c r="F29" s="306">
        <f t="shared" ref="F29:AB29" si="7">IF(F27&lt;=6000,F22,IF(AND(F27&gt;6000,F27&lt;=8000),F22+(F23-F22)/2000*(F27-6000),IF(AND(F27&gt;8000,F27&lt;=10000),F23+(F24-F23)/2000*(F27-8000),F24)))</f>
        <v>37</v>
      </c>
      <c r="G29" s="306">
        <f t="shared" si="7"/>
        <v>129</v>
      </c>
      <c r="H29" s="307">
        <f t="shared" ref="H29:J29" si="8">IF(H27&lt;=6000,H22,IF(AND(H27&gt;6000,H27&lt;=8000),H22+(H23-H22)/2000*(H27-6000),IF(AND(H27&gt;8000,H27&lt;=10000),H23+(H24-H23)/2000*(H27-8000),H24)))</f>
        <v>98</v>
      </c>
      <c r="I29" s="307">
        <f t="shared" si="8"/>
        <v>31</v>
      </c>
      <c r="J29" s="307">
        <f t="shared" si="8"/>
        <v>121</v>
      </c>
      <c r="K29" s="306">
        <f t="shared" si="7"/>
        <v>19</v>
      </c>
      <c r="L29" s="307">
        <f>IF(L27&lt;=6000,L22,IF(AND(L27&gt;6000,L27&lt;=8000),L22+(L23-L22)/2000*(L27-6000),IF(AND(L27&gt;8000,L27&lt;=10000),L23+(L24-L23)/2000*(L27-8000),L24)))</f>
        <v>9.6</v>
      </c>
      <c r="M29" s="382">
        <f>IF(M27&lt;=6000,M22,IF(AND(M27&gt;6000,M27&lt;=8000),M22+(M23-M22)/2000*(M27-6000),IF(AND(M27&gt;8000,M27&lt;=10000),M23+(M24-M23)/2000*(M27-8000),M24)))</f>
        <v>4</v>
      </c>
      <c r="N29" s="377">
        <f>IF(N27&lt;=6000,N22,IF(AND(N27&gt;6000,N27&lt;=8000),N22+(N23-N22)/2000*(N27-6000),IF(AND(N27&gt;8000,N27&lt;=10000),N23+(N24-N23)/2000*(N27-8000),N24)))</f>
        <v>6</v>
      </c>
      <c r="O29" s="378">
        <f>IF(O27&lt;=6000,O22,IF(AND(O27&gt;6000,O27&lt;=8000),O22+(O23-O22)/2000*(O27-6000),IF(AND(O27&gt;8000,O27&lt;=10000),O23+(O24-O23)/2000*(O27-8000),O24)))</f>
        <v>11</v>
      </c>
      <c r="P29" s="306">
        <f t="shared" si="7"/>
        <v>4</v>
      </c>
      <c r="Q29" s="306">
        <f t="shared" ref="Q29:R29" si="9">IF(Q27&lt;=6000,Q22,IF(AND(Q27&gt;6000,Q27&lt;=8000),Q22+(Q23-Q22)/2000*(Q27-6000),IF(AND(Q27&gt;8000,Q27&lt;=10000),Q23+(Q24-Q23)/2000*(Q27-8000),Q24)))</f>
        <v>6</v>
      </c>
      <c r="R29" s="306">
        <f t="shared" si="9"/>
        <v>11</v>
      </c>
      <c r="S29" s="306">
        <f t="shared" si="7"/>
        <v>14.4</v>
      </c>
      <c r="T29" s="306">
        <f t="shared" si="7"/>
        <v>18.190000000000001</v>
      </c>
      <c r="U29" s="306">
        <f t="shared" si="7"/>
        <v>23.02</v>
      </c>
      <c r="V29" s="307">
        <f t="shared" si="7"/>
        <v>20.64</v>
      </c>
      <c r="W29" s="307">
        <f t="shared" ref="W29:X29" si="10">IF(W27&lt;=6000,W22,IF(AND(W27&gt;6000,W27&lt;=8000),W22+(W23-W22)/2000*(W27-6000),IF(AND(W27&gt;8000,W27&lt;=10000),W23+(W24-W23)/2000*(W27-8000),W24)))</f>
        <v>20.079999999999998</v>
      </c>
      <c r="X29" s="307">
        <f t="shared" si="10"/>
        <v>22.92</v>
      </c>
      <c r="Y29" s="306">
        <f t="shared" si="7"/>
        <v>6</v>
      </c>
      <c r="Z29" s="307">
        <f t="shared" si="7"/>
        <v>1.8</v>
      </c>
      <c r="AA29" s="306">
        <f t="shared" si="7"/>
        <v>15</v>
      </c>
      <c r="AB29" s="306">
        <f t="shared" si="7"/>
        <v>30</v>
      </c>
      <c r="AC29" s="1463" t="s">
        <v>1103</v>
      </c>
      <c r="AD29" s="306">
        <f t="shared" ref="AD29:AH29" si="11">IF(AD27&lt;=6000,AD22,IF(AND(AD27&gt;6000,AD27&lt;=8000),AD22+(AD23-AD22)/2000*(AD27-6000),IF(AND(AD27&gt;8000,AD27&lt;=10000),AD23+(AD24-AD23)/2000*(AD27-8000),AD24)))</f>
        <v>2.7</v>
      </c>
      <c r="AE29" s="306">
        <f t="shared" si="11"/>
        <v>1.49</v>
      </c>
      <c r="AF29" s="306">
        <f t="shared" si="11"/>
        <v>0.28999999999999998</v>
      </c>
      <c r="AG29" s="306">
        <f t="shared" si="11"/>
        <v>0.06</v>
      </c>
      <c r="AH29" s="306">
        <f t="shared" si="11"/>
        <v>50</v>
      </c>
      <c r="AK29" s="404"/>
      <c r="AL29" s="1044"/>
    </row>
    <row r="30" spans="1:67" x14ac:dyDescent="0.2">
      <c r="A30" s="49"/>
      <c r="B30" s="44"/>
      <c r="C30" s="1105">
        <v>0</v>
      </c>
      <c r="D30" s="179"/>
      <c r="E30" s="179"/>
      <c r="F30" s="179"/>
      <c r="G30" s="179"/>
      <c r="I30" s="179"/>
      <c r="J30" s="179"/>
      <c r="K30" s="163"/>
      <c r="L30" s="162"/>
      <c r="M30" s="372"/>
      <c r="N30" s="373"/>
      <c r="O30" s="374"/>
      <c r="P30" s="228"/>
      <c r="Q30" s="228"/>
      <c r="R30" s="228"/>
      <c r="S30" s="179"/>
      <c r="T30" s="179"/>
      <c r="U30" s="163"/>
      <c r="V30" s="303"/>
      <c r="W30" s="303"/>
      <c r="X30" s="303"/>
      <c r="Y30" s="179"/>
      <c r="Z30" s="179"/>
      <c r="AA30" s="179"/>
      <c r="AB30" s="179"/>
      <c r="AC30" s="179"/>
      <c r="AD30" s="179"/>
      <c r="AE30" s="179"/>
      <c r="AF30" s="179"/>
      <c r="AG30" s="179"/>
      <c r="AH30" s="179"/>
      <c r="AK30" s="122"/>
      <c r="AL30" s="1044"/>
    </row>
    <row r="31" spans="1:67" x14ac:dyDescent="0.2">
      <c r="A31" s="49"/>
      <c r="B31" s="44" t="s">
        <v>22</v>
      </c>
      <c r="C31" s="1105">
        <v>1</v>
      </c>
      <c r="D31" s="15">
        <f>IF(D$26&lt;=0.65,D28,IF(D$26&gt;=0.85,D29,((0.85-D$26)*5*D28)+((D$26-0.65)*5*D29)))</f>
        <v>1</v>
      </c>
      <c r="E31" s="15">
        <f>IF(E$26&lt;=0.65,E28,IF(E$26&gt;=0.85,E29,((0.85-E$26)*5*E28)+((E$26-0.65)*5*E29)))</f>
        <v>109</v>
      </c>
      <c r="F31" s="15">
        <f t="shared" ref="F31:AA31" si="12">IF(F$26&lt;=0.65,F28,IF(F$26&gt;=0.85,F29,((0.85-F$26)*5*F28)+((F$26-0.65)*5*F29)))</f>
        <v>37</v>
      </c>
      <c r="G31" s="15">
        <f t="shared" si="12"/>
        <v>129</v>
      </c>
      <c r="H31" s="380">
        <f>IF(H$26&lt;=0.65,H28,IF(H$26&gt;=0.85,H29,((0.85-H$26)*5*H28)+((H$26-0.65)*5*H29)))</f>
        <v>98</v>
      </c>
      <c r="I31" s="380">
        <f>IF(I$26&lt;=0.65,I28,IF(I$26&gt;=0.85,I29,((0.85-I$26)*5*I28)+((I$26-0.65)*5*I29)))</f>
        <v>31</v>
      </c>
      <c r="J31" s="380">
        <f t="shared" ref="J31" si="13">IF(J$26&lt;=0.65,J28,IF(J$26&gt;=0.85,J29,((0.85-J$26)*5*J28)+((J$26-0.65)*5*J29)))</f>
        <v>121</v>
      </c>
      <c r="K31" s="15">
        <f>IF(K$26&lt;=0.65,K28,IF(K$26&gt;=0.85,K29,((0.85-K$26)*5*K28)+((K$26-0.65)*5*K29)))</f>
        <v>19</v>
      </c>
      <c r="L31" s="305">
        <f>IF(L$26&lt;=0.65,L28,IF(L$26&gt;=0.85,L29,((0.85-L$26)*5*L28)+((L$26-0.65)*5*L29)))</f>
        <v>9.6</v>
      </c>
      <c r="M31" s="383">
        <f>IF(M$26&lt;=0.65,M28,IF(M$26&gt;=0.85,M29,((0.85-M$26)*5*M28)+((M$26-0.65)*5*M29)))</f>
        <v>4</v>
      </c>
      <c r="N31" s="379">
        <f>IF(N$26&lt;=0.65,N28,IF(N$26&gt;=0.85,N29,((0.85-N$26)*5*N28)+((N$26-0.65)*5*N29)))</f>
        <v>6</v>
      </c>
      <c r="O31" s="380">
        <f>IF(O$26&lt;=0.65,O28,IF(O$26&gt;=0.85,O29,((0.85-O$26)*5*O28)+((O$26-0.65)*5*O29)))</f>
        <v>11</v>
      </c>
      <c r="P31" s="15">
        <f t="shared" si="12"/>
        <v>4</v>
      </c>
      <c r="Q31" s="15">
        <f t="shared" ref="Q31:R31" si="14">IF(Q$26&lt;=0.65,Q28,IF(Q$26&gt;=0.85,Q29,((0.85-Q$26)*5*Q28)+((Q$26-0.65)*5*Q29)))</f>
        <v>6</v>
      </c>
      <c r="R31" s="15">
        <f t="shared" si="14"/>
        <v>11</v>
      </c>
      <c r="S31" s="15">
        <f t="shared" si="12"/>
        <v>14.4</v>
      </c>
      <c r="T31" s="15">
        <f t="shared" si="12"/>
        <v>18.190000000000001</v>
      </c>
      <c r="U31" s="15">
        <f t="shared" si="12"/>
        <v>23.02</v>
      </c>
      <c r="V31" s="305">
        <f t="shared" si="12"/>
        <v>20.64</v>
      </c>
      <c r="W31" s="305">
        <f t="shared" ref="W31:X31" si="15">IF(W$26&lt;=0.65,W28,IF(W$26&gt;=0.85,W29,((0.85-W$26)*5*W28)+((W$26-0.65)*5*W29)))</f>
        <v>20.079999999999998</v>
      </c>
      <c r="X31" s="305">
        <f t="shared" si="15"/>
        <v>22.92</v>
      </c>
      <c r="Y31" s="15">
        <f t="shared" si="12"/>
        <v>6</v>
      </c>
      <c r="Z31" s="305">
        <f>IF(Z$26&lt;=0.65,Z28,IF(Z$26&gt;=0.85,Z29,((0.85-Z$26)*5*Z28)+((Z$26-0.65)*5*Z29)))</f>
        <v>1.8</v>
      </c>
      <c r="AA31" s="15">
        <f t="shared" si="12"/>
        <v>15</v>
      </c>
      <c r="AB31" s="15">
        <f>IF(AB$26&lt;=0.65,AB28,IF(AB$26&gt;=0.85,AB29,((0.85-AB$26)*5*AB28)+((AB$26-0.65)*5*AB29)))</f>
        <v>30</v>
      </c>
      <c r="AC31" s="1463" t="s">
        <v>1103</v>
      </c>
      <c r="AD31" s="15">
        <f t="shared" ref="AD31:AH31" si="16">IF(AD$26&lt;=0.65,AD28,IF(AD$26&gt;=0.85,AD29,((0.85-AD$26)*5*AD28)+((AD$26-0.65)*5*AD29)))</f>
        <v>2.7</v>
      </c>
      <c r="AE31" s="15">
        <f t="shared" si="16"/>
        <v>1.49</v>
      </c>
      <c r="AF31" s="15">
        <f t="shared" si="16"/>
        <v>0.28999999999999998</v>
      </c>
      <c r="AG31" s="15">
        <f t="shared" si="16"/>
        <v>0.06</v>
      </c>
      <c r="AH31" s="15">
        <f t="shared" si="16"/>
        <v>50</v>
      </c>
      <c r="AI31" s="2183">
        <v>40</v>
      </c>
      <c r="AK31" s="405">
        <v>0.9</v>
      </c>
      <c r="AL31" s="1045">
        <v>1</v>
      </c>
      <c r="AM31" s="295">
        <v>2</v>
      </c>
      <c r="AN31" s="295">
        <f>AM31</f>
        <v>2</v>
      </c>
      <c r="AO31" s="295">
        <v>50</v>
      </c>
      <c r="AP31" s="125">
        <v>90</v>
      </c>
      <c r="AQ31" s="125">
        <v>10</v>
      </c>
      <c r="AS31" s="962">
        <v>0.85</v>
      </c>
      <c r="AT31" s="125">
        <v>350</v>
      </c>
      <c r="AU31" s="125">
        <v>55</v>
      </c>
      <c r="AV31" s="962">
        <v>0.8</v>
      </c>
      <c r="AW31" s="125">
        <v>450</v>
      </c>
      <c r="AX31" s="125">
        <v>55</v>
      </c>
      <c r="AY31" s="125">
        <v>40</v>
      </c>
      <c r="AZ31" s="125">
        <v>100</v>
      </c>
      <c r="BC31" s="125">
        <f>AI31/100*AD31</f>
        <v>1.08</v>
      </c>
      <c r="BD31" s="125">
        <f>AI31/100*AE31</f>
        <v>0.59599999999999997</v>
      </c>
      <c r="BE31" s="2290">
        <f>BC31+E31+9*Tierprodukte!D37</f>
        <v>158.05000000000001</v>
      </c>
      <c r="BF31" s="125">
        <f>H31/BE31</f>
        <v>0.62005694400506162</v>
      </c>
      <c r="BH31" s="1326" cm="1">
        <f t="array" ref="BH31">INDEX(BM$9:BM$17,$C31)</f>
        <v>3.2</v>
      </c>
      <c r="BI31" s="1326" cm="1">
        <f t="array" ref="BI31">INDEX(BN$9:BN$17,$C31)</f>
        <v>0.2</v>
      </c>
      <c r="BJ31" s="1326" cm="1">
        <f t="array" ref="BJ31">INDEX(BO$9:BO$17,$C31)</f>
        <v>7.9</v>
      </c>
    </row>
    <row r="32" spans="1:67" x14ac:dyDescent="0.2">
      <c r="A32" s="49"/>
      <c r="B32" s="1448" t="s">
        <v>7</v>
      </c>
      <c r="C32" s="1373">
        <v>1</v>
      </c>
      <c r="D32" s="1449">
        <v>0.2</v>
      </c>
      <c r="E32" s="1452">
        <v>21.81</v>
      </c>
      <c r="F32" s="1451">
        <v>7.4</v>
      </c>
      <c r="G32" s="1451">
        <v>22.24</v>
      </c>
      <c r="H32" s="1450">
        <v>17.54</v>
      </c>
      <c r="I32" s="1466">
        <v>5.79</v>
      </c>
      <c r="J32" s="1466">
        <v>19.940000000000001</v>
      </c>
      <c r="K32" s="1449">
        <v>4.08</v>
      </c>
      <c r="L32" s="1454">
        <v>9.19</v>
      </c>
      <c r="M32" s="1459">
        <v>3.6</v>
      </c>
      <c r="N32" s="1516">
        <v>6</v>
      </c>
      <c r="O32" s="1517">
        <v>11</v>
      </c>
      <c r="P32" s="1459">
        <v>0.72</v>
      </c>
      <c r="Q32" s="1516">
        <v>1.2</v>
      </c>
      <c r="R32" s="1517">
        <v>2.2000000000000002</v>
      </c>
      <c r="S32" s="1459">
        <v>3.15</v>
      </c>
      <c r="T32" s="1516">
        <v>3.88</v>
      </c>
      <c r="U32" s="1455">
        <v>4.88</v>
      </c>
      <c r="V32" s="1456">
        <v>18.350000000000001</v>
      </c>
      <c r="W32" s="1213">
        <v>19.079999999999998</v>
      </c>
      <c r="X32" s="1520">
        <v>21.83</v>
      </c>
      <c r="Y32" s="1459">
        <v>1.28</v>
      </c>
      <c r="Z32" s="1460">
        <v>1.8</v>
      </c>
      <c r="AA32" s="1461">
        <v>15</v>
      </c>
      <c r="AB32" s="1462">
        <v>30</v>
      </c>
      <c r="AC32" s="1463" t="s">
        <v>1103</v>
      </c>
      <c r="AD32" s="1464">
        <v>2.7</v>
      </c>
      <c r="AE32" s="1465">
        <v>1.49</v>
      </c>
      <c r="AF32" s="1466">
        <v>0.28999999999999998</v>
      </c>
      <c r="AG32" s="1466">
        <v>0.06</v>
      </c>
      <c r="AH32" s="1467">
        <v>58</v>
      </c>
      <c r="AI32" s="2183">
        <v>270</v>
      </c>
      <c r="AK32" s="122">
        <v>0.9</v>
      </c>
      <c r="AL32" s="1045">
        <v>1</v>
      </c>
      <c r="AM32" s="295">
        <v>2</v>
      </c>
      <c r="AN32" s="295">
        <f t="shared" ref="AN32:AN85" si="17">AM32</f>
        <v>2</v>
      </c>
      <c r="AO32" s="295">
        <v>50</v>
      </c>
      <c r="AP32" s="125">
        <v>90</v>
      </c>
      <c r="AQ32" s="125">
        <v>10</v>
      </c>
      <c r="AS32" s="962">
        <v>0.85</v>
      </c>
      <c r="AT32" s="125">
        <v>350</v>
      </c>
      <c r="AU32" s="125">
        <v>55</v>
      </c>
      <c r="AV32" s="962">
        <v>0.8</v>
      </c>
      <c r="AW32" s="125">
        <v>450</v>
      </c>
      <c r="AX32" s="125">
        <v>55</v>
      </c>
      <c r="AY32" s="125">
        <v>40</v>
      </c>
      <c r="AZ32" s="125">
        <v>100</v>
      </c>
      <c r="BC32" s="125">
        <f t="shared" ref="BC32:BC85" si="18">AI32/100*AD32</f>
        <v>7.2900000000000009</v>
      </c>
      <c r="BD32" s="125">
        <f t="shared" ref="BD32:BD85" si="19">AI32/100*AE32</f>
        <v>4.0230000000000006</v>
      </c>
      <c r="BE32" s="2289">
        <f t="shared" ref="BE32:BE85" si="20">BC32+E32</f>
        <v>29.1</v>
      </c>
      <c r="BF32" s="125">
        <f t="shared" ref="BF32:BF85" si="21">H32/BE32</f>
        <v>0.60274914089347076</v>
      </c>
      <c r="BH32" s="1326" cm="1">
        <f t="array" ref="BH32">INDEX(BM$9:BM$17,$C32)</f>
        <v>3.2</v>
      </c>
      <c r="BI32" s="1326" cm="1">
        <f t="array" ref="BI32">INDEX(BN$9:BN$17,$C32)</f>
        <v>0.2</v>
      </c>
      <c r="BJ32" s="1326" cm="1">
        <f t="array" ref="BJ32">INDEX(BO$9:BO$17,$C32)</f>
        <v>7.9</v>
      </c>
    </row>
    <row r="33" spans="1:62" x14ac:dyDescent="0.2">
      <c r="A33" s="49"/>
      <c r="B33" s="44" t="s">
        <v>246</v>
      </c>
      <c r="C33" s="1105">
        <v>1</v>
      </c>
      <c r="D33" s="15">
        <f>IF(D$26&lt;=0.65,D11,IF(D$26&gt;=0.85,D19,((0.85-D$26)*5*D11)+((D$26-0.65)*5*D19)))</f>
        <v>0.4</v>
      </c>
      <c r="E33" s="15">
        <f>IF(E$26&lt;=0.65,E11,IF(E$26&gt;=0.85,E19,((0.85-E$26)*5*E11)+((E$26-0.65)*5*E19)))</f>
        <v>46.2</v>
      </c>
      <c r="F33" s="15">
        <f t="shared" ref="F33:AB33" si="22">IF(F$26&lt;=0.65,F11,IF(F$26&gt;=0.85,F19,((0.85-F$26)*5*F11)+((F$26-0.65)*5*F19)))</f>
        <v>13.5</v>
      </c>
      <c r="G33" s="15">
        <f t="shared" si="22"/>
        <v>56</v>
      </c>
      <c r="H33" s="381">
        <f>IF(H$26&lt;=0.65,H11,IF(H$26&gt;=0.85,H19,((0.85-H$26)*5*H11)+((H$26-0.65)*5*H19)))</f>
        <v>47.1</v>
      </c>
      <c r="I33" s="381">
        <f t="shared" ref="I33:J33" si="23">IF(I$26&lt;=0.65,I11,IF(I$26&gt;=0.85,I19,((0.85-I$26)*5*I11)+((I$26-0.65)*5*I19)))</f>
        <v>13.6</v>
      </c>
      <c r="J33" s="381">
        <f t="shared" si="23"/>
        <v>55.3</v>
      </c>
      <c r="K33" s="15">
        <f t="shared" si="22"/>
        <v>7.6</v>
      </c>
      <c r="L33" s="305">
        <f t="shared" ref="L33:O35" si="24">IF(L$26&lt;=0.65,L11,IF(L$26&gt;=0.85,L19,((0.85-L$26)*5*L11)+((L$26-0.65)*5*L19)))</f>
        <v>8.15</v>
      </c>
      <c r="M33" s="375">
        <f t="shared" si="24"/>
        <v>5.4</v>
      </c>
      <c r="N33" s="375">
        <f t="shared" si="24"/>
        <v>6</v>
      </c>
      <c r="O33" s="381">
        <f t="shared" si="24"/>
        <v>11</v>
      </c>
      <c r="P33" s="15">
        <f t="shared" si="22"/>
        <v>2.16</v>
      </c>
      <c r="Q33" s="15">
        <f t="shared" ref="Q33:R33" si="25">IF(Q$26&lt;=0.65,Q11,IF(Q$26&gt;=0.85,Q19,((0.85-Q$26)*5*Q11)+((Q$26-0.65)*5*Q19)))</f>
        <v>2.4</v>
      </c>
      <c r="R33" s="15">
        <f t="shared" si="25"/>
        <v>4.4000000000000004</v>
      </c>
      <c r="S33" s="15">
        <f t="shared" si="22"/>
        <v>6.4</v>
      </c>
      <c r="T33" s="15">
        <f t="shared" si="22"/>
        <v>7.48</v>
      </c>
      <c r="U33" s="15">
        <f t="shared" si="22"/>
        <v>9.2100000000000009</v>
      </c>
      <c r="V33" s="305">
        <f>IF(V$26&lt;=0.65,V11,IF(V$26&gt;=0.85,V19,((0.85-V$26)*5*V11)+((V$26-0.65)*5*V19)))</f>
        <v>19.71</v>
      </c>
      <c r="W33" s="305">
        <f t="shared" ref="W33:X33" si="26">IF(W$26&lt;=0.65,W11,IF(W$26&gt;=0.85,W19,((0.85-W$26)*5*W11)+((W$26-0.65)*5*W19)))</f>
        <v>18.11</v>
      </c>
      <c r="X33" s="305">
        <f t="shared" si="26"/>
        <v>21.72</v>
      </c>
      <c r="Y33" s="15">
        <f t="shared" si="22"/>
        <v>2</v>
      </c>
      <c r="Z33" s="305">
        <f>IF(Z$26&lt;=0.65,Z11,IF(Z$26&gt;=0.85,Z19,((0.85-Z$26)*5*Z11)+((Z$26-0.65)*5*Z19)))</f>
        <v>1.8</v>
      </c>
      <c r="AA33" s="15">
        <f t="shared" si="22"/>
        <v>15</v>
      </c>
      <c r="AB33" s="15">
        <f t="shared" si="22"/>
        <v>30</v>
      </c>
      <c r="AC33" s="1463" t="s">
        <v>1103</v>
      </c>
      <c r="AD33" s="15">
        <f t="shared" ref="AD33:AH33" si="27">IF(AD$26&lt;=0.65,AD11,IF(AD$26&gt;=0.85,AD19,((0.85-AD$26)*5*AD11)+((AD$26-0.65)*5*AD19)))</f>
        <v>2.7</v>
      </c>
      <c r="AE33" s="15">
        <f t="shared" si="27"/>
        <v>1.49</v>
      </c>
      <c r="AF33" s="15">
        <f t="shared" si="27"/>
        <v>0.28999999999999998</v>
      </c>
      <c r="AG33" s="15">
        <f t="shared" si="27"/>
        <v>0.06</v>
      </c>
      <c r="AH33" s="15">
        <f t="shared" si="27"/>
        <v>56</v>
      </c>
      <c r="AI33" s="2183">
        <v>270</v>
      </c>
      <c r="AK33" s="122">
        <v>0.9</v>
      </c>
      <c r="AL33" s="1045">
        <v>1</v>
      </c>
      <c r="AM33" s="295">
        <v>2</v>
      </c>
      <c r="AN33" s="295">
        <f t="shared" si="17"/>
        <v>2</v>
      </c>
      <c r="AO33" s="295">
        <v>50</v>
      </c>
      <c r="AP33" s="125">
        <v>90</v>
      </c>
      <c r="AQ33" s="125">
        <v>10</v>
      </c>
      <c r="AS33" s="962">
        <v>0.85</v>
      </c>
      <c r="AT33" s="125">
        <v>350</v>
      </c>
      <c r="AU33" s="125">
        <v>55</v>
      </c>
      <c r="AV33" s="962">
        <v>0.8</v>
      </c>
      <c r="AW33" s="125">
        <v>450</v>
      </c>
      <c r="AX33" s="125">
        <v>55</v>
      </c>
      <c r="AY33" s="125">
        <v>40</v>
      </c>
      <c r="AZ33" s="125">
        <v>100</v>
      </c>
      <c r="BC33" s="125">
        <f t="shared" si="18"/>
        <v>7.2900000000000009</v>
      </c>
      <c r="BD33" s="125">
        <f t="shared" si="19"/>
        <v>4.0230000000000006</v>
      </c>
      <c r="BE33" s="2289">
        <f t="shared" si="20"/>
        <v>53.49</v>
      </c>
      <c r="BF33" s="125">
        <f t="shared" si="21"/>
        <v>0.88053841839596181</v>
      </c>
      <c r="BH33" s="1326" cm="1">
        <f t="array" ref="BH33">INDEX(BM$9:BM$17,$C33)</f>
        <v>3.2</v>
      </c>
      <c r="BI33" s="1326" cm="1">
        <f t="array" ref="BI33">INDEX(BN$9:BN$17,$C33)</f>
        <v>0.2</v>
      </c>
      <c r="BJ33" s="1326" cm="1">
        <f t="array" ref="BJ33">INDEX(BO$9:BO$17,$C33)</f>
        <v>7.9</v>
      </c>
    </row>
    <row r="34" spans="1:62" x14ac:dyDescent="0.2">
      <c r="A34" s="49"/>
      <c r="B34" s="44" t="s">
        <v>9</v>
      </c>
      <c r="C34" s="1105">
        <v>1</v>
      </c>
      <c r="D34" s="15">
        <f t="shared" ref="D34:AB34" si="28">IF(D$26&lt;=0.65,D12,IF(D$26&gt;=0.85,D20,((0.85-D$26)*5*D12)+((D$26-0.65)*5*D20)))</f>
        <v>0.7</v>
      </c>
      <c r="E34" s="15">
        <f t="shared" si="28"/>
        <v>70.7</v>
      </c>
      <c r="F34" s="15">
        <f t="shared" si="28"/>
        <v>20.2</v>
      </c>
      <c r="G34" s="15">
        <f t="shared" si="28"/>
        <v>90.7</v>
      </c>
      <c r="H34" s="381">
        <f>IF(H$26&lt;=0.65,H12,IF(H$26&gt;=0.85,H20,((0.85-H$26)*5*H12)+((H$26-0.65)*5*H20)))</f>
        <v>71.599999999999994</v>
      </c>
      <c r="I34" s="381">
        <f t="shared" ref="I34:J34" si="29">IF(I$26&lt;=0.65,I12,IF(I$26&gt;=0.85,I20,((0.85-I$26)*5*I12)+((I$26-0.65)*5*I20)))</f>
        <v>21.4</v>
      </c>
      <c r="J34" s="381">
        <f t="shared" si="29"/>
        <v>86</v>
      </c>
      <c r="K34" s="15">
        <f t="shared" si="28"/>
        <v>11.5</v>
      </c>
      <c r="L34" s="305">
        <f t="shared" si="24"/>
        <v>8.2799999999999994</v>
      </c>
      <c r="M34" s="375">
        <f t="shared" si="24"/>
        <v>5.4</v>
      </c>
      <c r="N34" s="375">
        <f t="shared" si="24"/>
        <v>6</v>
      </c>
      <c r="O34" s="381">
        <f t="shared" si="24"/>
        <v>11</v>
      </c>
      <c r="P34" s="15">
        <f t="shared" si="28"/>
        <v>3.78</v>
      </c>
      <c r="Q34" s="15">
        <f t="shared" ref="Q34:R34" si="30">IF(Q$26&lt;=0.65,Q12,IF(Q$26&gt;=0.85,Q20,((0.85-Q$26)*5*Q12)+((Q$26-0.65)*5*Q20)))</f>
        <v>4.2</v>
      </c>
      <c r="R34" s="15">
        <f t="shared" si="30"/>
        <v>7.7</v>
      </c>
      <c r="S34" s="15">
        <f t="shared" si="28"/>
        <v>10</v>
      </c>
      <c r="T34" s="15">
        <f t="shared" si="28"/>
        <v>11.53</v>
      </c>
      <c r="U34" s="15">
        <f t="shared" si="28"/>
        <v>14.31</v>
      </c>
      <c r="V34" s="305">
        <f>IF(V$26&lt;=0.65,V12,IF(V$26&gt;=0.85,V20,((0.85-V$26)*5*V12)+((V$26-0.65)*5*V20)))</f>
        <v>20.85</v>
      </c>
      <c r="W34" s="305">
        <f t="shared" ref="W34:X34" si="31">IF(W$26&lt;=0.65,W12,IF(W$26&gt;=0.85,W20,((0.85-W$26)*5*W12)+((W$26-0.65)*5*W20)))</f>
        <v>19.46</v>
      </c>
      <c r="X34" s="305">
        <f t="shared" si="31"/>
        <v>23.54</v>
      </c>
      <c r="Y34" s="15">
        <f t="shared" si="28"/>
        <v>3</v>
      </c>
      <c r="Z34" s="305">
        <f>IF(Z$26&lt;=0.65,Z12,IF(Z$26&gt;=0.85,Z20,((0.85-Z$26)*5*Z12)+((Z$26-0.65)*5*Z20)))</f>
        <v>1.8</v>
      </c>
      <c r="AA34" s="15">
        <f t="shared" si="28"/>
        <v>15</v>
      </c>
      <c r="AB34" s="15">
        <f t="shared" si="28"/>
        <v>30</v>
      </c>
      <c r="AC34" s="1463" t="s">
        <v>1103</v>
      </c>
      <c r="AD34" s="15">
        <f t="shared" ref="AD34:AH34" si="32">IF(AD$26&lt;=0.65,AD12,IF(AD$26&gt;=0.85,AD20,((0.85-AD$26)*5*AD12)+((AD$26-0.65)*5*AD20)))</f>
        <v>2.7</v>
      </c>
      <c r="AE34" s="15">
        <f t="shared" si="32"/>
        <v>1.49</v>
      </c>
      <c r="AF34" s="15">
        <f t="shared" si="32"/>
        <v>0.28999999999999998</v>
      </c>
      <c r="AG34" s="15">
        <f t="shared" si="32"/>
        <v>0.06</v>
      </c>
      <c r="AH34" s="15">
        <f t="shared" si="32"/>
        <v>56</v>
      </c>
      <c r="AI34" s="2183">
        <v>270</v>
      </c>
      <c r="AK34" s="122">
        <v>0.9</v>
      </c>
      <c r="AL34" s="1045">
        <v>1</v>
      </c>
      <c r="AM34" s="295">
        <v>2</v>
      </c>
      <c r="AN34" s="295">
        <f t="shared" si="17"/>
        <v>2</v>
      </c>
      <c r="AO34" s="295">
        <v>50</v>
      </c>
      <c r="AP34" s="125">
        <v>90</v>
      </c>
      <c r="AQ34" s="125">
        <v>10</v>
      </c>
      <c r="AS34" s="962">
        <v>0.85</v>
      </c>
      <c r="AT34" s="125">
        <v>350</v>
      </c>
      <c r="AU34" s="125">
        <v>55</v>
      </c>
      <c r="AV34" s="962">
        <v>0.8</v>
      </c>
      <c r="AW34" s="125">
        <v>450</v>
      </c>
      <c r="AX34" s="125">
        <v>55</v>
      </c>
      <c r="AY34" s="125">
        <v>40</v>
      </c>
      <c r="AZ34" s="125">
        <v>100</v>
      </c>
      <c r="BC34" s="125">
        <f t="shared" si="18"/>
        <v>7.2900000000000009</v>
      </c>
      <c r="BD34" s="125">
        <f>AI34/100*AE34</f>
        <v>4.0230000000000006</v>
      </c>
      <c r="BE34" s="2289">
        <f t="shared" si="20"/>
        <v>77.990000000000009</v>
      </c>
      <c r="BF34" s="125">
        <f t="shared" si="21"/>
        <v>0.91806641877163719</v>
      </c>
      <c r="BH34" s="1326" cm="1">
        <f t="array" ref="BH34">INDEX(BM$9:BM$17,$C34)</f>
        <v>3.2</v>
      </c>
      <c r="BI34" s="1326" cm="1">
        <f t="array" ref="BI34">INDEX(BN$9:BN$17,$C34)</f>
        <v>0.2</v>
      </c>
      <c r="BJ34" s="1326" cm="1">
        <f t="array" ref="BJ34">INDEX(BO$9:BO$17,$C34)</f>
        <v>7.9</v>
      </c>
    </row>
    <row r="35" spans="1:62" x14ac:dyDescent="0.2">
      <c r="A35" s="49"/>
      <c r="B35" s="44" t="s">
        <v>10</v>
      </c>
      <c r="C35" s="1105">
        <v>1</v>
      </c>
      <c r="D35" s="15">
        <f t="shared" ref="D35:AB35" si="33">IF(D$26&lt;=0.65,D13,IF(D$26&gt;=0.85,D21,((0.85-D$26)*5*D13)+((D$26-0.65)*5*D21)))</f>
        <v>1</v>
      </c>
      <c r="E35" s="15">
        <f t="shared" si="33"/>
        <v>82.5</v>
      </c>
      <c r="F35" s="15">
        <f t="shared" si="33"/>
        <v>22.3</v>
      </c>
      <c r="G35" s="15">
        <f t="shared" si="33"/>
        <v>96.5</v>
      </c>
      <c r="H35" s="381">
        <f>IF(H$26&lt;=0.65,H13,IF(H$26&gt;=0.85,H21,((0.85-H$26)*5*H13)+((H$26-0.65)*5*H21)))</f>
        <v>84.4</v>
      </c>
      <c r="I35" s="381">
        <f t="shared" ref="I35:J35" si="34">IF(I$26&lt;=0.65,I13,IF(I$26&gt;=0.85,I21,((0.85-I$26)*5*I13)+((I$26-0.65)*5*I21)))</f>
        <v>24.4</v>
      </c>
      <c r="J35" s="381">
        <f t="shared" si="34"/>
        <v>98.9</v>
      </c>
      <c r="K35" s="15">
        <f t="shared" si="33"/>
        <v>13.1</v>
      </c>
      <c r="L35" s="305">
        <f t="shared" si="24"/>
        <v>8.48</v>
      </c>
      <c r="M35" s="375">
        <f t="shared" si="24"/>
        <v>5.4</v>
      </c>
      <c r="N35" s="375">
        <f t="shared" si="24"/>
        <v>6</v>
      </c>
      <c r="O35" s="381">
        <f t="shared" si="24"/>
        <v>11</v>
      </c>
      <c r="P35" s="15">
        <f t="shared" si="33"/>
        <v>5.4</v>
      </c>
      <c r="Q35" s="15">
        <f t="shared" ref="Q35:R35" si="35">IF(Q$26&lt;=0.65,Q13,IF(Q$26&gt;=0.85,Q21,((0.85-Q$26)*5*Q13)+((Q$26-0.65)*5*Q21)))</f>
        <v>6</v>
      </c>
      <c r="R35" s="15">
        <f t="shared" si="35"/>
        <v>11</v>
      </c>
      <c r="S35" s="15">
        <f t="shared" si="33"/>
        <v>11.5</v>
      </c>
      <c r="T35" s="15">
        <f t="shared" si="33"/>
        <v>13.59</v>
      </c>
      <c r="U35" s="15">
        <f t="shared" si="33"/>
        <v>17.12</v>
      </c>
      <c r="V35" s="305">
        <f>IF(V$26&lt;=0.65,V13,IF(V$26&gt;=0.85,V21,((0.85-V$26)*5*V13)+((V$26-0.65)*5*V21)))</f>
        <v>23.87</v>
      </c>
      <c r="W35" s="305">
        <f t="shared" ref="W35:X35" si="36">IF(W$26&lt;=0.65,W13,IF(W$26&gt;=0.85,W21,((0.85-W$26)*5*W13)+((W$26-0.65)*5*W21)))</f>
        <v>21.81</v>
      </c>
      <c r="X35" s="305">
        <f t="shared" si="36"/>
        <v>26.66</v>
      </c>
      <c r="Y35" s="15">
        <f>IF(Y$26&lt;=0.65,Y13,IF(Y$26&gt;=0.85,Y21,((0.85-Y$26)*5*Y13)+((Y$26-0.65)*5*Y21)))</f>
        <v>3.4</v>
      </c>
      <c r="Z35" s="305">
        <f>IF(Z$26&lt;=0.65,Z13,IF(Z$26&gt;=0.85,Z21,((0.85-Z$26)*5*Z13)+((Z$26-0.65)*5*Z21)))</f>
        <v>1.8</v>
      </c>
      <c r="AA35" s="15">
        <f t="shared" si="33"/>
        <v>15</v>
      </c>
      <c r="AB35" s="15">
        <f t="shared" si="33"/>
        <v>30</v>
      </c>
      <c r="AC35" s="1463" t="s">
        <v>1103</v>
      </c>
      <c r="AD35" s="15">
        <f t="shared" ref="AD35:AH35" si="37">IF(AD$26&lt;=0.65,AD13,IF(AD$26&gt;=0.85,AD21,((0.85-AD$26)*5*AD13)+((AD$26-0.65)*5*AD21)))</f>
        <v>2.7</v>
      </c>
      <c r="AE35" s="15">
        <f t="shared" si="37"/>
        <v>1.49</v>
      </c>
      <c r="AF35" s="15">
        <f t="shared" si="37"/>
        <v>0.28999999999999998</v>
      </c>
      <c r="AG35" s="15">
        <f t="shared" si="37"/>
        <v>0.06</v>
      </c>
      <c r="AH35" s="15">
        <f t="shared" si="37"/>
        <v>56</v>
      </c>
      <c r="AI35" s="2183">
        <v>270</v>
      </c>
      <c r="AK35" s="122">
        <v>0.9</v>
      </c>
      <c r="AL35" s="1045">
        <v>1</v>
      </c>
      <c r="AM35" s="295">
        <v>2</v>
      </c>
      <c r="AN35" s="295">
        <f t="shared" si="17"/>
        <v>2</v>
      </c>
      <c r="AO35" s="295">
        <v>50</v>
      </c>
      <c r="AP35" s="125">
        <v>90</v>
      </c>
      <c r="AQ35" s="125">
        <v>10</v>
      </c>
      <c r="AS35" s="962">
        <v>0.85</v>
      </c>
      <c r="AT35" s="125">
        <v>350</v>
      </c>
      <c r="AU35" s="125">
        <v>55</v>
      </c>
      <c r="AV35" s="962">
        <v>0.8</v>
      </c>
      <c r="AW35" s="125">
        <v>450</v>
      </c>
      <c r="AX35" s="125">
        <v>55</v>
      </c>
      <c r="AY35" s="125">
        <v>40</v>
      </c>
      <c r="AZ35" s="125">
        <v>100</v>
      </c>
      <c r="BC35" s="125">
        <f t="shared" si="18"/>
        <v>7.2900000000000009</v>
      </c>
      <c r="BD35" s="125">
        <f t="shared" si="19"/>
        <v>4.0230000000000006</v>
      </c>
      <c r="BE35" s="2289">
        <f t="shared" si="20"/>
        <v>89.79</v>
      </c>
      <c r="BF35" s="125">
        <f t="shared" si="21"/>
        <v>0.93997104354605188</v>
      </c>
      <c r="BH35" s="1326" cm="1">
        <f t="array" ref="BH35">INDEX(BM$9:BM$17,$C35)</f>
        <v>3.2</v>
      </c>
      <c r="BI35" s="1326" cm="1">
        <f t="array" ref="BI35">INDEX(BN$9:BN$17,$C35)</f>
        <v>0.2</v>
      </c>
      <c r="BJ35" s="1326" cm="1">
        <f t="array" ref="BJ35">INDEX(BO$9:BO$17,$C35)</f>
        <v>7.9</v>
      </c>
    </row>
    <row r="36" spans="1:62" x14ac:dyDescent="0.2">
      <c r="A36" s="49"/>
      <c r="B36" s="1521" t="s">
        <v>8315</v>
      </c>
      <c r="C36" s="1373">
        <v>1</v>
      </c>
      <c r="D36" s="1449">
        <v>0.2</v>
      </c>
      <c r="E36" s="1452">
        <v>19.559999999999999</v>
      </c>
      <c r="F36" s="1451">
        <v>6.73</v>
      </c>
      <c r="G36" s="1451">
        <v>11.9</v>
      </c>
      <c r="H36" s="1452">
        <v>7.47</v>
      </c>
      <c r="I36" s="1451">
        <v>2.87</v>
      </c>
      <c r="J36" s="1451">
        <v>5.62</v>
      </c>
      <c r="K36" s="1449">
        <v>4</v>
      </c>
      <c r="L36" s="1454">
        <v>6.06</v>
      </c>
      <c r="M36" s="1452">
        <v>2.25</v>
      </c>
      <c r="N36" s="1451">
        <v>6</v>
      </c>
      <c r="O36" s="1455">
        <v>11</v>
      </c>
      <c r="P36" s="1452">
        <v>0.45</v>
      </c>
      <c r="Q36" s="1451">
        <v>1.2</v>
      </c>
      <c r="R36" s="1455">
        <v>2.2000000000000002</v>
      </c>
      <c r="S36" s="1452">
        <v>3.74</v>
      </c>
      <c r="T36" s="1516">
        <v>4.13</v>
      </c>
      <c r="U36" s="1517">
        <v>4.8</v>
      </c>
      <c r="V36" s="1461">
        <v>9.9600000000000009</v>
      </c>
      <c r="W36" s="1522">
        <v>14.85</v>
      </c>
      <c r="X36" s="1462">
        <v>19.440000000000001</v>
      </c>
      <c r="Y36" s="1459">
        <v>0.62</v>
      </c>
      <c r="Z36" s="1460">
        <v>1.8</v>
      </c>
      <c r="AA36" s="1461">
        <v>15</v>
      </c>
      <c r="AB36" s="1462">
        <v>30</v>
      </c>
      <c r="AC36" s="1463" t="s">
        <v>1103</v>
      </c>
      <c r="AD36" s="1464">
        <v>2.7</v>
      </c>
      <c r="AE36" s="1465">
        <v>1.49</v>
      </c>
      <c r="AF36" s="1466">
        <v>0.28999999999999998</v>
      </c>
      <c r="AG36" s="1466">
        <v>0.06</v>
      </c>
      <c r="AH36" s="1467">
        <v>58</v>
      </c>
      <c r="AI36" s="2183">
        <v>400</v>
      </c>
      <c r="AK36" s="122">
        <v>0.9</v>
      </c>
      <c r="AL36" s="1045">
        <v>1</v>
      </c>
      <c r="AM36" s="295">
        <v>2</v>
      </c>
      <c r="AN36" s="295">
        <f t="shared" ref="AN36:AN37" si="38">AM36</f>
        <v>2</v>
      </c>
      <c r="AO36" s="295">
        <v>50</v>
      </c>
      <c r="AP36" s="125">
        <v>90</v>
      </c>
      <c r="AQ36" s="125">
        <v>10</v>
      </c>
      <c r="AS36" s="962">
        <v>0.85</v>
      </c>
      <c r="AT36" s="125">
        <v>350</v>
      </c>
      <c r="AU36" s="125">
        <v>55</v>
      </c>
      <c r="AV36" s="962">
        <v>0.8</v>
      </c>
      <c r="AW36" s="125">
        <v>450</v>
      </c>
      <c r="AX36" s="125">
        <v>55</v>
      </c>
      <c r="AY36" s="125">
        <v>40</v>
      </c>
      <c r="AZ36" s="125">
        <v>100</v>
      </c>
      <c r="BC36" s="125">
        <f t="shared" si="18"/>
        <v>10.8</v>
      </c>
      <c r="BD36" s="125">
        <f t="shared" si="19"/>
        <v>5.96</v>
      </c>
      <c r="BE36" s="2289">
        <f t="shared" si="20"/>
        <v>30.36</v>
      </c>
      <c r="BF36" s="125">
        <f t="shared" si="21"/>
        <v>0.24604743083003952</v>
      </c>
      <c r="BH36" s="1326" cm="1">
        <f t="array" ref="BH36">INDEX(BM$9:BM$17,$C36)</f>
        <v>3.2</v>
      </c>
      <c r="BI36" s="1326" cm="1">
        <f t="array" ref="BI36">INDEX(BN$9:BN$17,$C36)</f>
        <v>0.2</v>
      </c>
      <c r="BJ36" s="1326" cm="1">
        <f t="array" ref="BJ36">INDEX(BO$9:BO$17,$C36)</f>
        <v>7.9</v>
      </c>
    </row>
    <row r="37" spans="1:62" x14ac:dyDescent="0.2">
      <c r="A37" s="49"/>
      <c r="B37" s="1521" t="s">
        <v>8316</v>
      </c>
      <c r="C37" s="1373">
        <v>1</v>
      </c>
      <c r="D37" s="1449">
        <v>0.2</v>
      </c>
      <c r="E37" s="1452">
        <v>18.190000000000001</v>
      </c>
      <c r="F37" s="1451">
        <v>5.61</v>
      </c>
      <c r="G37" s="1451">
        <v>11.41</v>
      </c>
      <c r="H37" s="1452">
        <v>7.47</v>
      </c>
      <c r="I37" s="1451">
        <v>2.87</v>
      </c>
      <c r="J37" s="1451">
        <v>5.62</v>
      </c>
      <c r="K37" s="1449">
        <v>4</v>
      </c>
      <c r="L37" s="1454">
        <v>6.06</v>
      </c>
      <c r="M37" s="1452">
        <v>2.25</v>
      </c>
      <c r="N37" s="1451">
        <v>6</v>
      </c>
      <c r="O37" s="1455">
        <v>11</v>
      </c>
      <c r="P37" s="1452">
        <v>0.45</v>
      </c>
      <c r="Q37" s="1451">
        <v>1.2</v>
      </c>
      <c r="R37" s="1455">
        <v>2.2000000000000002</v>
      </c>
      <c r="S37" s="1452">
        <v>3.74</v>
      </c>
      <c r="T37" s="1516">
        <v>4.13</v>
      </c>
      <c r="U37" s="1517">
        <v>4.8</v>
      </c>
      <c r="V37" s="1461">
        <v>9.9600000000000009</v>
      </c>
      <c r="W37" s="1522">
        <v>14.85</v>
      </c>
      <c r="X37" s="1462">
        <v>19.440000000000001</v>
      </c>
      <c r="Y37" s="1459">
        <v>0.62</v>
      </c>
      <c r="Z37" s="1460">
        <v>1.8</v>
      </c>
      <c r="AA37" s="1461">
        <v>15</v>
      </c>
      <c r="AB37" s="1462">
        <v>30</v>
      </c>
      <c r="AC37" s="1463" t="s">
        <v>1103</v>
      </c>
      <c r="AD37" s="1464">
        <v>2.7</v>
      </c>
      <c r="AE37" s="1465">
        <v>1.49</v>
      </c>
      <c r="AF37" s="1466">
        <v>0.28999999999999998</v>
      </c>
      <c r="AG37" s="1466">
        <v>0.06</v>
      </c>
      <c r="AH37" s="1467">
        <v>58</v>
      </c>
      <c r="AI37" s="2183">
        <v>400</v>
      </c>
      <c r="AK37" s="122">
        <v>0.9</v>
      </c>
      <c r="AL37" s="1045">
        <v>1</v>
      </c>
      <c r="AM37" s="295">
        <v>2</v>
      </c>
      <c r="AN37" s="295">
        <f t="shared" si="38"/>
        <v>2</v>
      </c>
      <c r="AO37" s="295">
        <v>50</v>
      </c>
      <c r="AP37" s="125">
        <v>90</v>
      </c>
      <c r="AQ37" s="125">
        <v>10</v>
      </c>
      <c r="AS37" s="962">
        <v>0.85</v>
      </c>
      <c r="AT37" s="125">
        <v>350</v>
      </c>
      <c r="AU37" s="125">
        <v>55</v>
      </c>
      <c r="AV37" s="962">
        <v>0.8</v>
      </c>
      <c r="AW37" s="125">
        <v>450</v>
      </c>
      <c r="AX37" s="125">
        <v>55</v>
      </c>
      <c r="AY37" s="125">
        <v>40</v>
      </c>
      <c r="AZ37" s="125">
        <v>100</v>
      </c>
      <c r="BC37" s="125">
        <f t="shared" si="18"/>
        <v>10.8</v>
      </c>
      <c r="BD37" s="125">
        <f t="shared" si="19"/>
        <v>5.96</v>
      </c>
      <c r="BE37" s="2289">
        <f t="shared" si="20"/>
        <v>28.990000000000002</v>
      </c>
      <c r="BF37" s="125">
        <f t="shared" si="21"/>
        <v>0.2576750603656433</v>
      </c>
      <c r="BH37" s="1326" cm="1">
        <f t="array" ref="BH37">INDEX(BM$9:BM$17,$C37)</f>
        <v>3.2</v>
      </c>
      <c r="BI37" s="1326" cm="1">
        <f t="array" ref="BI37">INDEX(BN$9:BN$17,$C37)</f>
        <v>0.2</v>
      </c>
      <c r="BJ37" s="1326" cm="1">
        <f t="array" ref="BJ37">INDEX(BO$9:BO$17,$C37)</f>
        <v>7.9</v>
      </c>
    </row>
    <row r="38" spans="1:62" x14ac:dyDescent="0.2">
      <c r="A38" s="50"/>
      <c r="B38" s="1468" t="s">
        <v>50</v>
      </c>
      <c r="C38" s="1469">
        <v>1</v>
      </c>
      <c r="D38" s="1523">
        <v>0.4</v>
      </c>
      <c r="E38" s="1524">
        <v>37.5</v>
      </c>
      <c r="F38" s="1473">
        <v>14.5</v>
      </c>
      <c r="G38" s="1473">
        <v>31.25</v>
      </c>
      <c r="H38" s="1524">
        <v>20</v>
      </c>
      <c r="I38" s="1473">
        <v>8</v>
      </c>
      <c r="J38" s="1473">
        <v>22</v>
      </c>
      <c r="K38" s="1523">
        <v>7.1</v>
      </c>
      <c r="L38" s="1474">
        <v>8.24</v>
      </c>
      <c r="M38" s="1480">
        <v>1.8</v>
      </c>
      <c r="N38" s="1478">
        <v>6</v>
      </c>
      <c r="O38" s="1479">
        <v>11</v>
      </c>
      <c r="P38" s="1475">
        <v>0.72</v>
      </c>
      <c r="Q38" s="1476">
        <v>2.4</v>
      </c>
      <c r="R38" s="1477">
        <v>4.4000000000000004</v>
      </c>
      <c r="S38" s="1475">
        <v>4.5</v>
      </c>
      <c r="T38" s="1476">
        <v>6.63</v>
      </c>
      <c r="U38" s="1477">
        <v>8.7100000000000009</v>
      </c>
      <c r="V38" s="1481">
        <v>16.940000000000001</v>
      </c>
      <c r="W38" s="1482">
        <v>19.82</v>
      </c>
      <c r="X38" s="1483">
        <v>22.57</v>
      </c>
      <c r="Y38" s="1475">
        <v>2.7</v>
      </c>
      <c r="Z38" s="1484">
        <v>1.8</v>
      </c>
      <c r="AA38" s="1485">
        <v>15</v>
      </c>
      <c r="AB38" s="1486">
        <v>30</v>
      </c>
      <c r="AC38" s="1487" t="s">
        <v>1103</v>
      </c>
      <c r="AD38" s="1488">
        <v>2.7</v>
      </c>
      <c r="AE38" s="1489">
        <v>1.49</v>
      </c>
      <c r="AF38" s="1473">
        <v>0.28999999999999998</v>
      </c>
      <c r="AG38" s="1473">
        <v>0.06</v>
      </c>
      <c r="AH38" s="1490">
        <v>58</v>
      </c>
      <c r="AI38" s="2184">
        <v>270</v>
      </c>
      <c r="AK38" s="122">
        <v>0.9</v>
      </c>
      <c r="AL38" s="1045">
        <v>1</v>
      </c>
      <c r="AM38" s="295">
        <v>2</v>
      </c>
      <c r="AN38" s="295">
        <f t="shared" si="17"/>
        <v>2</v>
      </c>
      <c r="AO38" s="295">
        <v>50</v>
      </c>
      <c r="AP38" s="125">
        <v>90</v>
      </c>
      <c r="AQ38" s="125">
        <v>10</v>
      </c>
      <c r="AS38" s="962">
        <v>0.85</v>
      </c>
      <c r="AT38" s="125">
        <v>350</v>
      </c>
      <c r="AU38" s="125">
        <v>55</v>
      </c>
      <c r="AV38" s="962">
        <v>0.8</v>
      </c>
      <c r="AW38" s="125">
        <v>450</v>
      </c>
      <c r="AX38" s="125">
        <v>55</v>
      </c>
      <c r="AY38" s="125">
        <v>40</v>
      </c>
      <c r="AZ38" s="125">
        <v>100</v>
      </c>
      <c r="BC38" s="125">
        <f t="shared" si="18"/>
        <v>7.2900000000000009</v>
      </c>
      <c r="BD38" s="125">
        <f t="shared" si="19"/>
        <v>4.0230000000000006</v>
      </c>
      <c r="BE38" s="2289">
        <f t="shared" si="20"/>
        <v>44.79</v>
      </c>
      <c r="BF38" s="125">
        <f t="shared" si="21"/>
        <v>0.44652824291136417</v>
      </c>
      <c r="BH38" s="1326" cm="1">
        <f t="array" ref="BH38">INDEX(BM$9:BM$17,$C38)</f>
        <v>3.2</v>
      </c>
      <c r="BI38" s="1326" cm="1">
        <f t="array" ref="BI38">INDEX(BN$9:BN$17,$C38)</f>
        <v>0.2</v>
      </c>
      <c r="BJ38" s="1326" cm="1">
        <f t="array" ref="BJ38">INDEX(BO$9:BO$17,$C38)</f>
        <v>7.9</v>
      </c>
    </row>
    <row r="39" spans="1:62" x14ac:dyDescent="0.2">
      <c r="A39" s="50"/>
      <c r="B39" s="1448" t="s">
        <v>51</v>
      </c>
      <c r="C39" s="1373">
        <v>1</v>
      </c>
      <c r="D39" s="1449">
        <v>1</v>
      </c>
      <c r="E39" s="1450">
        <v>54.5</v>
      </c>
      <c r="F39" s="1466">
        <v>20.5</v>
      </c>
      <c r="G39" s="1466">
        <v>45.5</v>
      </c>
      <c r="H39" s="1450">
        <v>28.5</v>
      </c>
      <c r="I39" s="1466">
        <v>11.5</v>
      </c>
      <c r="J39" s="1466">
        <v>31.5</v>
      </c>
      <c r="K39" s="1449">
        <v>9.9</v>
      </c>
      <c r="L39" s="1454">
        <v>8.6199999999999992</v>
      </c>
      <c r="M39" s="1452">
        <v>1.8</v>
      </c>
      <c r="N39" s="1451">
        <v>6</v>
      </c>
      <c r="O39" s="1455">
        <v>11</v>
      </c>
      <c r="P39" s="1459">
        <v>1.8</v>
      </c>
      <c r="Q39" s="1516">
        <v>6</v>
      </c>
      <c r="R39" s="1517">
        <v>11</v>
      </c>
      <c r="S39" s="1459">
        <v>6.6</v>
      </c>
      <c r="T39" s="1516">
        <v>10.14</v>
      </c>
      <c r="U39" s="1517">
        <v>13.92</v>
      </c>
      <c r="V39" s="1456">
        <v>20.43</v>
      </c>
      <c r="W39" s="1457">
        <v>26.64</v>
      </c>
      <c r="X39" s="1458">
        <v>30.94</v>
      </c>
      <c r="Y39" s="1459">
        <v>3.9</v>
      </c>
      <c r="Z39" s="1460">
        <v>1.8</v>
      </c>
      <c r="AA39" s="1461">
        <v>15</v>
      </c>
      <c r="AB39" s="1462">
        <v>30</v>
      </c>
      <c r="AC39" s="1463" t="s">
        <v>1103</v>
      </c>
      <c r="AD39" s="1464">
        <v>2.7</v>
      </c>
      <c r="AE39" s="1465">
        <v>1.49</v>
      </c>
      <c r="AF39" s="1466">
        <v>0.28999999999999998</v>
      </c>
      <c r="AG39" s="1466">
        <v>0.06</v>
      </c>
      <c r="AH39" s="1467">
        <v>58</v>
      </c>
      <c r="AI39" s="2183">
        <v>400</v>
      </c>
      <c r="AK39" s="122">
        <v>0.9</v>
      </c>
      <c r="AL39" s="1045">
        <v>1</v>
      </c>
      <c r="AM39" s="295">
        <v>2</v>
      </c>
      <c r="AN39" s="295">
        <f t="shared" si="17"/>
        <v>2</v>
      </c>
      <c r="AO39" s="295">
        <v>50</v>
      </c>
      <c r="AP39" s="125">
        <v>90</v>
      </c>
      <c r="AQ39" s="125">
        <v>10</v>
      </c>
      <c r="AS39" s="962">
        <v>0.85</v>
      </c>
      <c r="AT39" s="125">
        <v>350</v>
      </c>
      <c r="AU39" s="125">
        <v>55</v>
      </c>
      <c r="AV39" s="962">
        <v>0.8</v>
      </c>
      <c r="AW39" s="125">
        <v>450</v>
      </c>
      <c r="AX39" s="125">
        <v>55</v>
      </c>
      <c r="AY39" s="125">
        <v>40</v>
      </c>
      <c r="AZ39" s="125">
        <v>100</v>
      </c>
      <c r="BC39" s="125">
        <f t="shared" si="18"/>
        <v>10.8</v>
      </c>
      <c r="BD39" s="125">
        <f t="shared" si="19"/>
        <v>5.96</v>
      </c>
      <c r="BE39" s="2289">
        <f t="shared" si="20"/>
        <v>65.3</v>
      </c>
      <c r="BF39" s="125">
        <f t="shared" si="21"/>
        <v>0.43644716692189894</v>
      </c>
      <c r="BH39" s="1326" cm="1">
        <f t="array" ref="BH39">INDEX(BM$9:BM$17,$C39)</f>
        <v>3.2</v>
      </c>
      <c r="BI39" s="1326" cm="1">
        <f t="array" ref="BI39">INDEX(BN$9:BN$17,$C39)</f>
        <v>0.2</v>
      </c>
      <c r="BJ39" s="1326" cm="1">
        <f t="array" ref="BJ39">INDEX(BO$9:BO$17,$C39)</f>
        <v>7.9</v>
      </c>
    </row>
    <row r="40" spans="1:62" x14ac:dyDescent="0.2">
      <c r="A40" s="49"/>
      <c r="B40" s="1448" t="s">
        <v>8</v>
      </c>
      <c r="C40" s="1373">
        <v>1</v>
      </c>
      <c r="D40" s="1453">
        <v>1</v>
      </c>
      <c r="E40" s="1450">
        <v>64</v>
      </c>
      <c r="F40" s="1466">
        <v>21</v>
      </c>
      <c r="G40" s="1466">
        <v>78</v>
      </c>
      <c r="H40" s="1450">
        <v>61</v>
      </c>
      <c r="I40" s="1466">
        <v>20</v>
      </c>
      <c r="J40" s="1466">
        <v>74</v>
      </c>
      <c r="K40" s="1460">
        <v>13.1</v>
      </c>
      <c r="L40" s="1454">
        <v>8.19</v>
      </c>
      <c r="M40" s="1459">
        <v>4.2300000000000004</v>
      </c>
      <c r="N40" s="1516">
        <v>6</v>
      </c>
      <c r="O40" s="1517">
        <v>11</v>
      </c>
      <c r="P40" s="1459">
        <v>4.2300000000000004</v>
      </c>
      <c r="Q40" s="1516">
        <v>6</v>
      </c>
      <c r="R40" s="1517">
        <v>11</v>
      </c>
      <c r="S40" s="1459">
        <v>7.78</v>
      </c>
      <c r="T40" s="1516">
        <v>13.59</v>
      </c>
      <c r="U40" s="1517">
        <v>17.12</v>
      </c>
      <c r="V40" s="1456">
        <v>30.07</v>
      </c>
      <c r="W40" s="1457">
        <v>21.53</v>
      </c>
      <c r="X40" s="1458">
        <v>26.44</v>
      </c>
      <c r="Y40" s="1459">
        <v>3.4</v>
      </c>
      <c r="Z40" s="1460">
        <v>1.8</v>
      </c>
      <c r="AA40" s="1461">
        <v>15</v>
      </c>
      <c r="AB40" s="1462">
        <v>30</v>
      </c>
      <c r="AC40" s="1463" t="s">
        <v>1103</v>
      </c>
      <c r="AD40" s="1464">
        <v>2.7</v>
      </c>
      <c r="AE40" s="1465">
        <v>1.49</v>
      </c>
      <c r="AF40" s="1466">
        <v>0.28999999999999998</v>
      </c>
      <c r="AG40" s="1466">
        <v>0.06</v>
      </c>
      <c r="AH40" s="1467">
        <v>58</v>
      </c>
      <c r="AI40" s="2183">
        <v>400</v>
      </c>
      <c r="AK40" s="122">
        <v>0.9</v>
      </c>
      <c r="AL40" s="1045">
        <v>1</v>
      </c>
      <c r="AM40" s="295">
        <v>2</v>
      </c>
      <c r="AN40" s="295">
        <f t="shared" si="17"/>
        <v>2</v>
      </c>
      <c r="AO40" s="295">
        <v>50</v>
      </c>
      <c r="AP40" s="125">
        <v>90</v>
      </c>
      <c r="AQ40" s="125">
        <v>10</v>
      </c>
      <c r="AS40" s="962">
        <v>0.85</v>
      </c>
      <c r="AT40" s="125">
        <v>350</v>
      </c>
      <c r="AU40" s="125">
        <v>55</v>
      </c>
      <c r="AV40" s="962">
        <v>0.8</v>
      </c>
      <c r="AW40" s="125">
        <v>450</v>
      </c>
      <c r="AX40" s="125">
        <v>55</v>
      </c>
      <c r="AY40" s="125">
        <v>40</v>
      </c>
      <c r="AZ40" s="125">
        <v>100</v>
      </c>
      <c r="BC40" s="125">
        <f t="shared" si="18"/>
        <v>10.8</v>
      </c>
      <c r="BD40" s="125">
        <f t="shared" si="19"/>
        <v>5.96</v>
      </c>
      <c r="BE40" s="2289">
        <f t="shared" si="20"/>
        <v>74.8</v>
      </c>
      <c r="BF40" s="125">
        <f t="shared" si="21"/>
        <v>0.81550802139037437</v>
      </c>
      <c r="BH40" s="1326" cm="1">
        <f t="array" ref="BH40">INDEX(BM$9:BM$17,$C40)</f>
        <v>3.2</v>
      </c>
      <c r="BI40" s="1326" cm="1">
        <f t="array" ref="BI40">INDEX(BN$9:BN$17,$C40)</f>
        <v>0.2</v>
      </c>
      <c r="BJ40" s="1326" cm="1">
        <f t="array" ref="BJ40">INDEX(BO$9:BO$17,$C40)</f>
        <v>7.9</v>
      </c>
    </row>
    <row r="41" spans="1:62" x14ac:dyDescent="0.2">
      <c r="A41" s="49"/>
      <c r="B41" s="1448" t="s">
        <v>52</v>
      </c>
      <c r="C41" s="1373">
        <v>1</v>
      </c>
      <c r="D41" s="1449">
        <v>1.1399999999999999</v>
      </c>
      <c r="E41" s="1514">
        <v>105</v>
      </c>
      <c r="F41" s="1515">
        <v>31</v>
      </c>
      <c r="G41" s="1466">
        <v>129</v>
      </c>
      <c r="H41" s="1514">
        <v>108</v>
      </c>
      <c r="I41" s="1515">
        <v>32</v>
      </c>
      <c r="J41" s="1466">
        <v>128</v>
      </c>
      <c r="K41" s="1454">
        <v>20</v>
      </c>
      <c r="L41" s="1454">
        <v>8.0399999999999991</v>
      </c>
      <c r="M41" s="1459">
        <v>4.3899999999999997</v>
      </c>
      <c r="N41" s="1516">
        <v>6</v>
      </c>
      <c r="O41" s="1517">
        <v>11</v>
      </c>
      <c r="P41" s="1459">
        <v>5</v>
      </c>
      <c r="Q41" s="1451">
        <v>6</v>
      </c>
      <c r="R41" s="1455">
        <v>11</v>
      </c>
      <c r="S41" s="1459">
        <v>15.8</v>
      </c>
      <c r="T41" s="1516">
        <v>19.5</v>
      </c>
      <c r="U41" s="1517">
        <v>24.58</v>
      </c>
      <c r="V41" s="1456">
        <v>19.43</v>
      </c>
      <c r="W41" s="1457">
        <v>17.63</v>
      </c>
      <c r="X41" s="1458">
        <v>20.59</v>
      </c>
      <c r="Y41" s="1459">
        <v>6</v>
      </c>
      <c r="Z41" s="1460">
        <v>1.8</v>
      </c>
      <c r="AA41" s="1461">
        <v>15</v>
      </c>
      <c r="AB41" s="1462">
        <v>30</v>
      </c>
      <c r="AC41" s="1463" t="s">
        <v>1103</v>
      </c>
      <c r="AD41" s="1464">
        <v>2.7</v>
      </c>
      <c r="AE41" s="1465">
        <v>1.49</v>
      </c>
      <c r="AF41" s="1466">
        <v>0.28999999999999998</v>
      </c>
      <c r="AG41" s="1466">
        <v>0.06</v>
      </c>
      <c r="AH41" s="1467">
        <v>50</v>
      </c>
      <c r="AI41" s="2183">
        <v>230</v>
      </c>
      <c r="AK41" s="122">
        <v>0.9</v>
      </c>
      <c r="AL41" s="1045">
        <v>1</v>
      </c>
      <c r="AM41" s="295">
        <v>2</v>
      </c>
      <c r="AN41" s="295">
        <f t="shared" si="17"/>
        <v>2</v>
      </c>
      <c r="AO41" s="295">
        <v>50</v>
      </c>
      <c r="AP41" s="125">
        <v>90</v>
      </c>
      <c r="AQ41" s="125">
        <v>10</v>
      </c>
      <c r="AS41" s="962">
        <v>0.85</v>
      </c>
      <c r="AT41" s="125">
        <v>350</v>
      </c>
      <c r="AU41" s="125">
        <v>55</v>
      </c>
      <c r="AV41" s="962">
        <v>0.8</v>
      </c>
      <c r="AW41" s="125">
        <v>450</v>
      </c>
      <c r="AX41" s="125">
        <v>55</v>
      </c>
      <c r="AY41" s="125">
        <v>40</v>
      </c>
      <c r="AZ41" s="125">
        <v>100</v>
      </c>
      <c r="BC41" s="125">
        <f t="shared" si="18"/>
        <v>6.21</v>
      </c>
      <c r="BD41" s="125">
        <f t="shared" si="19"/>
        <v>3.4269999999999996</v>
      </c>
      <c r="BE41" s="2289">
        <f t="shared" si="20"/>
        <v>111.21</v>
      </c>
      <c r="BF41" s="125">
        <f t="shared" si="21"/>
        <v>0.97113568923657945</v>
      </c>
      <c r="BH41" s="1326" cm="1">
        <f t="array" ref="BH41">INDEX(BM$9:BM$17,$C41)</f>
        <v>3.2</v>
      </c>
      <c r="BI41" s="1326" cm="1">
        <f t="array" ref="BI41">INDEX(BN$9:BN$17,$C41)</f>
        <v>0.2</v>
      </c>
      <c r="BJ41" s="1326" cm="1">
        <f t="array" ref="BJ41">INDEX(BO$9:BO$17,$C41)</f>
        <v>7.9</v>
      </c>
    </row>
    <row r="42" spans="1:62" x14ac:dyDescent="0.2">
      <c r="A42" s="40"/>
      <c r="B42" s="2168" t="s">
        <v>53</v>
      </c>
      <c r="C42" s="1373">
        <v>2</v>
      </c>
      <c r="D42" s="1449">
        <v>0.32</v>
      </c>
      <c r="E42" s="1450">
        <v>27.3</v>
      </c>
      <c r="F42" s="1466">
        <v>12.6</v>
      </c>
      <c r="G42" s="1466">
        <v>12.77</v>
      </c>
      <c r="H42" s="1525"/>
      <c r="I42" s="1526"/>
      <c r="J42" s="1526"/>
      <c r="K42" s="1454">
        <v>4.2</v>
      </c>
      <c r="L42" s="1454">
        <v>5.5</v>
      </c>
      <c r="M42" s="1459">
        <v>6.25</v>
      </c>
      <c r="N42" s="1516">
        <v>8</v>
      </c>
      <c r="O42" s="1517">
        <v>11</v>
      </c>
      <c r="P42" s="1459">
        <v>2</v>
      </c>
      <c r="Q42" s="1516">
        <v>2.56</v>
      </c>
      <c r="R42" s="1517">
        <v>3.52</v>
      </c>
      <c r="S42" s="1459">
        <v>3.6</v>
      </c>
      <c r="T42" s="1451">
        <v>4.4800000000000004</v>
      </c>
      <c r="U42" s="1455">
        <v>5.48</v>
      </c>
      <c r="V42" s="1456">
        <v>23.21</v>
      </c>
      <c r="W42" s="1457">
        <v>22.83</v>
      </c>
      <c r="X42" s="1458">
        <v>24.38</v>
      </c>
      <c r="Y42" s="1459">
        <v>1.3</v>
      </c>
      <c r="Z42" s="1460">
        <v>1.8</v>
      </c>
      <c r="AA42" s="1461">
        <v>20</v>
      </c>
      <c r="AB42" s="1462">
        <v>30</v>
      </c>
      <c r="AC42" s="1527" t="s">
        <v>1104</v>
      </c>
      <c r="AD42" s="1528">
        <v>2.56</v>
      </c>
      <c r="AE42" s="1465">
        <v>1.17</v>
      </c>
      <c r="AF42" s="1529">
        <v>0.24</v>
      </c>
      <c r="AG42" s="1224">
        <v>0.05</v>
      </c>
      <c r="AH42" s="1467">
        <v>79</v>
      </c>
      <c r="AI42">
        <v>200</v>
      </c>
      <c r="AK42" s="122">
        <v>0.9</v>
      </c>
      <c r="AL42" s="1045">
        <v>1</v>
      </c>
      <c r="AM42" s="295">
        <v>2</v>
      </c>
      <c r="AN42" s="295">
        <f t="shared" si="17"/>
        <v>2</v>
      </c>
      <c r="AO42" s="295">
        <v>60</v>
      </c>
      <c r="AP42" s="125">
        <v>90</v>
      </c>
      <c r="AQ42" s="125">
        <v>10</v>
      </c>
      <c r="AS42" s="962">
        <v>0.85</v>
      </c>
      <c r="AT42" s="125">
        <v>400</v>
      </c>
      <c r="AU42" s="125">
        <v>60</v>
      </c>
      <c r="AV42" s="962">
        <v>0.82</v>
      </c>
      <c r="AW42" s="125">
        <v>400</v>
      </c>
      <c r="AX42" s="125">
        <v>60</v>
      </c>
      <c r="AY42" s="125">
        <v>40</v>
      </c>
      <c r="AZ42" s="125">
        <v>100</v>
      </c>
      <c r="BC42" s="125">
        <f t="shared" si="18"/>
        <v>5.12</v>
      </c>
      <c r="BD42" s="125">
        <f t="shared" si="19"/>
        <v>2.34</v>
      </c>
      <c r="BE42" s="2289">
        <f t="shared" si="20"/>
        <v>32.42</v>
      </c>
      <c r="BF42" s="125">
        <f t="shared" si="21"/>
        <v>0</v>
      </c>
      <c r="BH42" s="1326" cm="1">
        <f t="array" ref="BH42">INDEX(BM$9:BM$17,$C42)</f>
        <v>3.3</v>
      </c>
      <c r="BI42" s="1326" cm="1">
        <f t="array" ref="BI42">INDEX(BN$9:BN$17,$C42)</f>
        <v>0.2</v>
      </c>
      <c r="BJ42" s="1326" cm="1">
        <f t="array" ref="BJ42">INDEX(BO$9:BO$17,$C42)</f>
        <v>3.1</v>
      </c>
    </row>
    <row r="43" spans="1:62" x14ac:dyDescent="0.2">
      <c r="A43" s="40"/>
      <c r="B43" s="2169" t="s">
        <v>8415</v>
      </c>
      <c r="C43" s="1492">
        <v>2</v>
      </c>
      <c r="D43" s="1530">
        <v>0.32</v>
      </c>
      <c r="E43" s="1531">
        <v>24.1</v>
      </c>
      <c r="F43" s="1496">
        <v>11.2</v>
      </c>
      <c r="G43" s="1496">
        <v>11.58</v>
      </c>
      <c r="H43" s="1532"/>
      <c r="I43" s="1533"/>
      <c r="J43" s="1533"/>
      <c r="K43" s="1497">
        <v>4.2</v>
      </c>
      <c r="L43" s="1497">
        <v>5.5</v>
      </c>
      <c r="M43" s="1498">
        <v>6.25</v>
      </c>
      <c r="N43" s="1499">
        <v>8</v>
      </c>
      <c r="O43" s="1500">
        <v>11</v>
      </c>
      <c r="P43" s="1498">
        <v>2</v>
      </c>
      <c r="Q43" s="1499">
        <v>2.56</v>
      </c>
      <c r="R43" s="1500">
        <v>3.52</v>
      </c>
      <c r="S43" s="1498">
        <v>3.6</v>
      </c>
      <c r="T43" s="1501">
        <v>4.4800000000000004</v>
      </c>
      <c r="U43" s="1502">
        <v>5.48</v>
      </c>
      <c r="V43" s="1504">
        <v>23.21</v>
      </c>
      <c r="W43" s="1505">
        <v>22.83</v>
      </c>
      <c r="X43" s="1506">
        <v>24.38</v>
      </c>
      <c r="Y43" s="1498">
        <v>1.3</v>
      </c>
      <c r="Z43" s="1507">
        <v>1.8</v>
      </c>
      <c r="AA43" s="1508">
        <v>20</v>
      </c>
      <c r="AB43" s="1509">
        <v>30</v>
      </c>
      <c r="AC43" s="1534" t="s">
        <v>1104</v>
      </c>
      <c r="AD43" s="1535">
        <v>2.56</v>
      </c>
      <c r="AE43" s="1512">
        <v>1.17</v>
      </c>
      <c r="AF43" s="1536">
        <v>0.24</v>
      </c>
      <c r="AG43" s="1537">
        <v>0.05</v>
      </c>
      <c r="AH43" s="1513">
        <v>79</v>
      </c>
      <c r="AI43">
        <v>200</v>
      </c>
      <c r="AK43" s="122">
        <v>0.9</v>
      </c>
      <c r="AL43" s="1045">
        <v>1</v>
      </c>
      <c r="AM43" s="295">
        <v>2</v>
      </c>
      <c r="AN43" s="295">
        <f t="shared" si="17"/>
        <v>2</v>
      </c>
      <c r="AO43" s="295">
        <v>60</v>
      </c>
      <c r="AP43" s="125">
        <v>90</v>
      </c>
      <c r="AQ43" s="125">
        <v>10</v>
      </c>
      <c r="AS43" s="962">
        <v>0.85</v>
      </c>
      <c r="AT43" s="125">
        <v>400</v>
      </c>
      <c r="AU43" s="125">
        <v>60</v>
      </c>
      <c r="AV43" s="962">
        <v>0.82</v>
      </c>
      <c r="AW43" s="125">
        <v>400</v>
      </c>
      <c r="AX43" s="125">
        <v>60</v>
      </c>
      <c r="AY43" s="125">
        <v>40</v>
      </c>
      <c r="AZ43" s="125">
        <v>100</v>
      </c>
      <c r="BC43" s="125">
        <f t="shared" si="18"/>
        <v>5.12</v>
      </c>
      <c r="BD43" s="125">
        <f t="shared" si="19"/>
        <v>2.34</v>
      </c>
      <c r="BE43" s="2289">
        <f t="shared" si="20"/>
        <v>29.220000000000002</v>
      </c>
      <c r="BF43" s="125">
        <f t="shared" si="21"/>
        <v>0</v>
      </c>
      <c r="BH43" s="1326" cm="1">
        <f t="array" ref="BH43">INDEX(BM$9:BM$17,$C43)</f>
        <v>3.3</v>
      </c>
      <c r="BI43" s="1326" cm="1">
        <f t="array" ref="BI43">INDEX(BN$9:BN$17,$C43)</f>
        <v>0.2</v>
      </c>
      <c r="BJ43" s="1326" cm="1">
        <f t="array" ref="BJ43">INDEX(BO$9:BO$17,$C43)</f>
        <v>3.1</v>
      </c>
    </row>
    <row r="44" spans="1:62" x14ac:dyDescent="0.2">
      <c r="A44" s="40"/>
      <c r="B44" s="2170" t="s">
        <v>55</v>
      </c>
      <c r="C44" s="1373">
        <v>2</v>
      </c>
      <c r="D44" s="1449">
        <v>0.32</v>
      </c>
      <c r="E44" s="1450">
        <v>27.5</v>
      </c>
      <c r="F44" s="1466">
        <v>12.8</v>
      </c>
      <c r="G44" s="1466">
        <v>13.13</v>
      </c>
      <c r="H44" s="1538"/>
      <c r="I44" s="1526"/>
      <c r="J44" s="1526"/>
      <c r="K44" s="1454">
        <v>4.4000000000000004</v>
      </c>
      <c r="L44" s="1454">
        <v>5.5</v>
      </c>
      <c r="M44" s="1459">
        <v>6.25</v>
      </c>
      <c r="N44" s="1516">
        <v>8</v>
      </c>
      <c r="O44" s="1517">
        <v>11</v>
      </c>
      <c r="P44" s="1459">
        <v>2</v>
      </c>
      <c r="Q44" s="1516">
        <v>2.56</v>
      </c>
      <c r="R44" s="1517">
        <v>3.52</v>
      </c>
      <c r="S44" s="1459">
        <v>3.7</v>
      </c>
      <c r="T44" s="1451">
        <v>4.63</v>
      </c>
      <c r="U44" s="1455">
        <v>5.68</v>
      </c>
      <c r="V44" s="1456">
        <v>22.83</v>
      </c>
      <c r="W44" s="1457">
        <v>22.31</v>
      </c>
      <c r="X44" s="1458">
        <v>23.71</v>
      </c>
      <c r="Y44" s="1459">
        <v>1.4</v>
      </c>
      <c r="Z44" s="1460">
        <v>1.8</v>
      </c>
      <c r="AA44" s="1461">
        <v>20</v>
      </c>
      <c r="AB44" s="1462">
        <v>30</v>
      </c>
      <c r="AC44" s="1527" t="s">
        <v>1104</v>
      </c>
      <c r="AD44" s="1528">
        <v>2.56</v>
      </c>
      <c r="AE44" s="1465">
        <v>1.17</v>
      </c>
      <c r="AF44" s="1529">
        <v>0.24</v>
      </c>
      <c r="AG44" s="1224">
        <v>0.05</v>
      </c>
      <c r="AH44" s="1467">
        <v>79</v>
      </c>
      <c r="AI44">
        <v>224</v>
      </c>
      <c r="AK44" s="122">
        <v>0.9</v>
      </c>
      <c r="AL44" s="1045">
        <v>1</v>
      </c>
      <c r="AM44" s="295">
        <v>2</v>
      </c>
      <c r="AN44" s="295">
        <f t="shared" si="17"/>
        <v>2</v>
      </c>
      <c r="AO44" s="295">
        <v>60</v>
      </c>
      <c r="AP44" s="125">
        <v>90</v>
      </c>
      <c r="AQ44" s="125">
        <v>10</v>
      </c>
      <c r="AS44" s="962">
        <v>0.85</v>
      </c>
      <c r="AT44" s="125">
        <v>400</v>
      </c>
      <c r="AU44" s="125">
        <v>60</v>
      </c>
      <c r="AV44" s="962">
        <v>0.82</v>
      </c>
      <c r="AW44" s="125">
        <v>400</v>
      </c>
      <c r="AX44" s="125">
        <v>60</v>
      </c>
      <c r="AY44" s="125">
        <v>40</v>
      </c>
      <c r="AZ44" s="125">
        <v>100</v>
      </c>
      <c r="BC44" s="125">
        <f t="shared" si="18"/>
        <v>5.7344000000000008</v>
      </c>
      <c r="BD44" s="125">
        <f t="shared" si="19"/>
        <v>2.6208</v>
      </c>
      <c r="BE44" s="2289">
        <f t="shared" si="20"/>
        <v>33.234400000000001</v>
      </c>
      <c r="BF44" s="125">
        <f t="shared" si="21"/>
        <v>0</v>
      </c>
      <c r="BH44" s="1326" cm="1">
        <f t="array" ref="BH44">INDEX(BM$9:BM$17,$C44)</f>
        <v>3.3</v>
      </c>
      <c r="BI44" s="1326" cm="1">
        <f t="array" ref="BI44">INDEX(BN$9:BN$17,$C44)</f>
        <v>0.2</v>
      </c>
      <c r="BJ44" s="1326" cm="1">
        <f t="array" ref="BJ44">INDEX(BO$9:BO$17,$C44)</f>
        <v>3.1</v>
      </c>
    </row>
    <row r="45" spans="1:62" x14ac:dyDescent="0.2">
      <c r="A45" s="40"/>
      <c r="B45" s="2170" t="s">
        <v>56</v>
      </c>
      <c r="C45" s="1373">
        <v>2</v>
      </c>
      <c r="D45" s="1449">
        <v>0.32</v>
      </c>
      <c r="E45" s="1450">
        <v>24.2</v>
      </c>
      <c r="F45" s="1466">
        <v>11.2</v>
      </c>
      <c r="G45" s="1466">
        <v>11.82</v>
      </c>
      <c r="H45" s="1538"/>
      <c r="I45" s="1526"/>
      <c r="J45" s="1526"/>
      <c r="K45" s="1454">
        <v>4.4000000000000004</v>
      </c>
      <c r="L45" s="1454">
        <v>5.5</v>
      </c>
      <c r="M45" s="1459">
        <v>6.25</v>
      </c>
      <c r="N45" s="1516">
        <v>8</v>
      </c>
      <c r="O45" s="1517">
        <v>11</v>
      </c>
      <c r="P45" s="1459">
        <v>2</v>
      </c>
      <c r="Q45" s="1516">
        <v>2.56</v>
      </c>
      <c r="R45" s="1517">
        <v>3.52</v>
      </c>
      <c r="S45" s="1459">
        <v>3.7</v>
      </c>
      <c r="T45" s="1451">
        <v>4.63</v>
      </c>
      <c r="U45" s="1455">
        <v>5.68</v>
      </c>
      <c r="V45" s="1456">
        <v>22.83</v>
      </c>
      <c r="W45" s="1457">
        <v>22.31</v>
      </c>
      <c r="X45" s="1458">
        <v>23.71</v>
      </c>
      <c r="Y45" s="1459">
        <v>1.4</v>
      </c>
      <c r="Z45" s="1460">
        <v>1.8</v>
      </c>
      <c r="AA45" s="1461">
        <v>20</v>
      </c>
      <c r="AB45" s="1462">
        <v>30</v>
      </c>
      <c r="AC45" s="1527" t="s">
        <v>1104</v>
      </c>
      <c r="AD45" s="1528">
        <v>2.56</v>
      </c>
      <c r="AE45" s="1465">
        <v>1.17</v>
      </c>
      <c r="AF45" s="1529">
        <v>0.24</v>
      </c>
      <c r="AG45" s="1224">
        <v>0.05</v>
      </c>
      <c r="AH45" s="1467">
        <v>79</v>
      </c>
      <c r="AI45">
        <v>224</v>
      </c>
      <c r="AK45" s="122">
        <v>0.9</v>
      </c>
      <c r="AL45" s="1045">
        <v>1</v>
      </c>
      <c r="AM45" s="295">
        <v>2</v>
      </c>
      <c r="AN45" s="295">
        <f t="shared" si="17"/>
        <v>2</v>
      </c>
      <c r="AO45" s="295">
        <v>60</v>
      </c>
      <c r="AP45" s="125">
        <v>90</v>
      </c>
      <c r="AQ45" s="125">
        <v>10</v>
      </c>
      <c r="AS45" s="962">
        <v>0.85</v>
      </c>
      <c r="AT45" s="125">
        <v>400</v>
      </c>
      <c r="AU45" s="125">
        <v>60</v>
      </c>
      <c r="AV45" s="962">
        <v>0.82</v>
      </c>
      <c r="AW45" s="125">
        <v>400</v>
      </c>
      <c r="AX45" s="125">
        <v>60</v>
      </c>
      <c r="AY45" s="125">
        <v>40</v>
      </c>
      <c r="AZ45" s="125">
        <v>100</v>
      </c>
      <c r="BC45" s="125">
        <f t="shared" si="18"/>
        <v>5.7344000000000008</v>
      </c>
      <c r="BD45" s="125">
        <f t="shared" si="19"/>
        <v>2.6208</v>
      </c>
      <c r="BE45" s="2289">
        <f t="shared" si="20"/>
        <v>29.9344</v>
      </c>
      <c r="BF45" s="125">
        <f t="shared" si="21"/>
        <v>0</v>
      </c>
      <c r="BH45" s="1326" cm="1">
        <f t="array" ref="BH45">INDEX(BM$9:BM$17,$C45)</f>
        <v>3.3</v>
      </c>
      <c r="BI45" s="1326" cm="1">
        <f t="array" ref="BI45">INDEX(BN$9:BN$17,$C45)</f>
        <v>0.2</v>
      </c>
      <c r="BJ45" s="1326" cm="1">
        <f t="array" ref="BJ45">INDEX(BO$9:BO$17,$C45)</f>
        <v>3.1</v>
      </c>
    </row>
    <row r="46" spans="1:62" x14ac:dyDescent="0.2">
      <c r="A46" s="40"/>
      <c r="B46" s="1448" t="s">
        <v>57</v>
      </c>
      <c r="C46" s="1373">
        <v>2</v>
      </c>
      <c r="D46" s="1449">
        <v>0.4</v>
      </c>
      <c r="E46" s="1450">
        <v>41.1</v>
      </c>
      <c r="F46" s="1466">
        <v>17.899999999999999</v>
      </c>
      <c r="G46" s="1466">
        <v>21.09</v>
      </c>
      <c r="H46" s="1525"/>
      <c r="I46" s="1526"/>
      <c r="J46" s="1526"/>
      <c r="K46" s="1454">
        <v>6.5</v>
      </c>
      <c r="L46" s="1454">
        <v>5.5</v>
      </c>
      <c r="M46" s="1459">
        <v>7.5</v>
      </c>
      <c r="N46" s="1516">
        <v>8</v>
      </c>
      <c r="O46" s="1517">
        <v>11</v>
      </c>
      <c r="P46" s="1459">
        <v>3</v>
      </c>
      <c r="Q46" s="1516">
        <v>3.2</v>
      </c>
      <c r="R46" s="1517">
        <v>4.4000000000000004</v>
      </c>
      <c r="S46" s="1459">
        <v>5.2</v>
      </c>
      <c r="T46" s="1451">
        <v>6.47</v>
      </c>
      <c r="U46" s="1455">
        <v>8.11</v>
      </c>
      <c r="V46" s="1456">
        <v>24.15</v>
      </c>
      <c r="W46" s="1457">
        <v>20.72</v>
      </c>
      <c r="X46" s="1458">
        <v>21.44</v>
      </c>
      <c r="Y46" s="1459">
        <v>2.4</v>
      </c>
      <c r="Z46" s="1460">
        <v>1.8</v>
      </c>
      <c r="AA46" s="1456">
        <v>20</v>
      </c>
      <c r="AB46" s="1462">
        <v>30</v>
      </c>
      <c r="AC46" s="1463" t="s">
        <v>1104</v>
      </c>
      <c r="AD46" s="1528">
        <v>2.56</v>
      </c>
      <c r="AE46" s="1465">
        <v>1.17</v>
      </c>
      <c r="AF46" s="1529">
        <v>0.24</v>
      </c>
      <c r="AG46" s="1224">
        <v>0.05</v>
      </c>
      <c r="AH46" s="1467">
        <v>79</v>
      </c>
      <c r="AI46">
        <v>700</v>
      </c>
      <c r="AK46" s="122">
        <v>0.9</v>
      </c>
      <c r="AL46" s="1045">
        <v>1</v>
      </c>
      <c r="AM46" s="295">
        <v>2</v>
      </c>
      <c r="AN46" s="295">
        <f t="shared" si="17"/>
        <v>2</v>
      </c>
      <c r="AO46" s="295">
        <v>60</v>
      </c>
      <c r="AP46" s="125">
        <v>90</v>
      </c>
      <c r="AQ46" s="125">
        <v>10</v>
      </c>
      <c r="AS46" s="962">
        <v>0.85</v>
      </c>
      <c r="AT46" s="125">
        <v>400</v>
      </c>
      <c r="AU46" s="125">
        <v>60</v>
      </c>
      <c r="AV46" s="962">
        <v>0.82</v>
      </c>
      <c r="AW46" s="125">
        <v>400</v>
      </c>
      <c r="AX46" s="125">
        <v>60</v>
      </c>
      <c r="AY46" s="125">
        <v>40</v>
      </c>
      <c r="AZ46" s="125">
        <v>100</v>
      </c>
      <c r="BC46" s="125">
        <f t="shared" si="18"/>
        <v>17.920000000000002</v>
      </c>
      <c r="BD46" s="125">
        <f t="shared" si="19"/>
        <v>8.19</v>
      </c>
      <c r="BE46" s="2289">
        <f t="shared" si="20"/>
        <v>59.02</v>
      </c>
      <c r="BF46" s="125">
        <f t="shared" si="21"/>
        <v>0</v>
      </c>
      <c r="BH46" s="1326" cm="1">
        <f t="array" ref="BH46">INDEX(BM$9:BM$17,$C46)</f>
        <v>3.3</v>
      </c>
      <c r="BI46" s="1326" cm="1">
        <f t="array" ref="BI46">INDEX(BN$9:BN$17,$C46)</f>
        <v>0.2</v>
      </c>
      <c r="BJ46" s="1326" cm="1">
        <f t="array" ref="BJ46">INDEX(BO$9:BO$17,$C46)</f>
        <v>3.1</v>
      </c>
    </row>
    <row r="47" spans="1:62" x14ac:dyDescent="0.2">
      <c r="A47" s="40"/>
      <c r="B47" s="1448" t="s">
        <v>58</v>
      </c>
      <c r="C47" s="1373">
        <v>2</v>
      </c>
      <c r="D47" s="1449">
        <v>0.4</v>
      </c>
      <c r="E47" s="1450">
        <v>36.799999999999997</v>
      </c>
      <c r="F47" s="1466">
        <v>16</v>
      </c>
      <c r="G47" s="1466">
        <v>19.52</v>
      </c>
      <c r="H47" s="1525"/>
      <c r="I47" s="1526"/>
      <c r="J47" s="1526"/>
      <c r="K47" s="1454">
        <v>6.5</v>
      </c>
      <c r="L47" s="1454">
        <v>5.5</v>
      </c>
      <c r="M47" s="1459">
        <v>7.5</v>
      </c>
      <c r="N47" s="1516">
        <v>8</v>
      </c>
      <c r="O47" s="1517">
        <v>11</v>
      </c>
      <c r="P47" s="1459">
        <v>3</v>
      </c>
      <c r="Q47" s="1516">
        <v>3.2</v>
      </c>
      <c r="R47" s="1517">
        <v>4.4000000000000004</v>
      </c>
      <c r="S47" s="1459">
        <v>5.2</v>
      </c>
      <c r="T47" s="1451">
        <v>6.47</v>
      </c>
      <c r="U47" s="1455">
        <v>8.11</v>
      </c>
      <c r="V47" s="1456">
        <v>24.15</v>
      </c>
      <c r="W47" s="1457">
        <v>20.72</v>
      </c>
      <c r="X47" s="1458">
        <v>21.44</v>
      </c>
      <c r="Y47" s="1459">
        <v>2.4</v>
      </c>
      <c r="Z47" s="1460">
        <v>1.8</v>
      </c>
      <c r="AA47" s="1456">
        <v>20</v>
      </c>
      <c r="AB47" s="1462">
        <v>30</v>
      </c>
      <c r="AC47" s="1463" t="s">
        <v>1104</v>
      </c>
      <c r="AD47" s="1528">
        <v>2.56</v>
      </c>
      <c r="AE47" s="1465">
        <v>1.17</v>
      </c>
      <c r="AF47" s="1529">
        <v>0.24</v>
      </c>
      <c r="AG47" s="1224">
        <v>0.05</v>
      </c>
      <c r="AH47" s="1467">
        <v>79</v>
      </c>
      <c r="AI47">
        <v>700</v>
      </c>
      <c r="AK47" s="122">
        <v>0.9</v>
      </c>
      <c r="AL47" s="1045">
        <v>1</v>
      </c>
      <c r="AM47" s="295">
        <v>2</v>
      </c>
      <c r="AN47" s="295">
        <f t="shared" si="17"/>
        <v>2</v>
      </c>
      <c r="AO47" s="295">
        <v>60</v>
      </c>
      <c r="AP47" s="125">
        <v>90</v>
      </c>
      <c r="AQ47" s="125">
        <v>10</v>
      </c>
      <c r="AS47" s="962">
        <v>0.85</v>
      </c>
      <c r="AT47" s="125">
        <v>400</v>
      </c>
      <c r="AU47" s="125">
        <v>60</v>
      </c>
      <c r="AV47" s="962">
        <v>0.82</v>
      </c>
      <c r="AW47" s="125">
        <v>400</v>
      </c>
      <c r="AX47" s="125">
        <v>60</v>
      </c>
      <c r="AY47" s="125">
        <v>40</v>
      </c>
      <c r="AZ47" s="125">
        <v>100</v>
      </c>
      <c r="BC47" s="125">
        <f t="shared" si="18"/>
        <v>17.920000000000002</v>
      </c>
      <c r="BD47" s="125">
        <f t="shared" si="19"/>
        <v>8.19</v>
      </c>
      <c r="BE47" s="2289">
        <f t="shared" si="20"/>
        <v>54.72</v>
      </c>
      <c r="BF47" s="125">
        <f t="shared" si="21"/>
        <v>0</v>
      </c>
      <c r="BH47" s="1326" cm="1">
        <f t="array" ref="BH47">INDEX(BM$9:BM$17,$C47)</f>
        <v>3.3</v>
      </c>
      <c r="BI47" s="1326" cm="1">
        <f t="array" ref="BI47">INDEX(BN$9:BN$17,$C47)</f>
        <v>0.2</v>
      </c>
      <c r="BJ47" s="1326" cm="1">
        <f t="array" ref="BJ47">INDEX(BO$9:BO$17,$C47)</f>
        <v>3.1</v>
      </c>
    </row>
    <row r="48" spans="1:62" x14ac:dyDescent="0.2">
      <c r="A48" s="40"/>
      <c r="B48" s="32" t="s">
        <v>59</v>
      </c>
      <c r="C48" s="1373">
        <v>2</v>
      </c>
      <c r="D48" s="1449">
        <v>0.42</v>
      </c>
      <c r="E48" s="1450">
        <v>42.9</v>
      </c>
      <c r="F48" s="1466">
        <v>18.600000000000001</v>
      </c>
      <c r="G48" s="1466">
        <v>21.33</v>
      </c>
      <c r="H48" s="1538"/>
      <c r="I48" s="1526"/>
      <c r="J48" s="1526"/>
      <c r="K48" s="1454">
        <v>7</v>
      </c>
      <c r="L48" s="1454">
        <v>5.5</v>
      </c>
      <c r="M48" s="1459">
        <v>7.14</v>
      </c>
      <c r="N48" s="1516">
        <v>8</v>
      </c>
      <c r="O48" s="1517">
        <v>11</v>
      </c>
      <c r="P48" s="1459">
        <v>3</v>
      </c>
      <c r="Q48" s="1516">
        <v>3.36</v>
      </c>
      <c r="R48" s="1517">
        <v>4.62</v>
      </c>
      <c r="S48" s="1459">
        <v>5.5</v>
      </c>
      <c r="T48" s="1451">
        <v>6.93</v>
      </c>
      <c r="U48" s="1455">
        <v>8.69</v>
      </c>
      <c r="V48" s="1456">
        <v>23.27</v>
      </c>
      <c r="W48" s="1457">
        <v>20.440000000000001</v>
      </c>
      <c r="X48" s="1458">
        <v>21.12</v>
      </c>
      <c r="Y48" s="1459">
        <v>2.6</v>
      </c>
      <c r="Z48" s="1460">
        <v>1.8</v>
      </c>
      <c r="AA48" s="1456">
        <v>20</v>
      </c>
      <c r="AB48" s="1462">
        <v>30</v>
      </c>
      <c r="AC48" s="1463" t="s">
        <v>1104</v>
      </c>
      <c r="AD48" s="1528">
        <v>2.56</v>
      </c>
      <c r="AE48" s="1465">
        <v>1.17</v>
      </c>
      <c r="AF48" s="1529">
        <v>0.24</v>
      </c>
      <c r="AG48" s="1224">
        <v>0.05</v>
      </c>
      <c r="AH48" s="1467">
        <v>79</v>
      </c>
      <c r="AI48">
        <v>784</v>
      </c>
      <c r="AK48" s="122">
        <v>0.9</v>
      </c>
      <c r="AL48" s="1045">
        <v>1</v>
      </c>
      <c r="AM48" s="295">
        <v>2</v>
      </c>
      <c r="AN48" s="295">
        <f t="shared" si="17"/>
        <v>2</v>
      </c>
      <c r="AO48" s="295">
        <v>60</v>
      </c>
      <c r="AP48" s="125">
        <v>90</v>
      </c>
      <c r="AQ48" s="125">
        <v>10</v>
      </c>
      <c r="AS48" s="962">
        <v>0.85</v>
      </c>
      <c r="AT48" s="125">
        <v>400</v>
      </c>
      <c r="AU48" s="125">
        <v>60</v>
      </c>
      <c r="AV48" s="962">
        <v>0.82</v>
      </c>
      <c r="AW48" s="125">
        <v>400</v>
      </c>
      <c r="AX48" s="125">
        <v>60</v>
      </c>
      <c r="AY48" s="125">
        <v>40</v>
      </c>
      <c r="AZ48" s="125">
        <v>100</v>
      </c>
      <c r="BC48" s="125">
        <f t="shared" si="18"/>
        <v>20.070399999999999</v>
      </c>
      <c r="BD48" s="125">
        <f t="shared" si="19"/>
        <v>9.1727999999999987</v>
      </c>
      <c r="BE48" s="2289">
        <f t="shared" si="20"/>
        <v>62.970399999999998</v>
      </c>
      <c r="BF48" s="125">
        <f t="shared" si="21"/>
        <v>0</v>
      </c>
      <c r="BH48" s="1326" cm="1">
        <f t="array" ref="BH48">INDEX(BM$9:BM$17,$C48)</f>
        <v>3.3</v>
      </c>
      <c r="BI48" s="1326" cm="1">
        <f t="array" ref="BI48">INDEX(BN$9:BN$17,$C48)</f>
        <v>0.2</v>
      </c>
      <c r="BJ48" s="1326" cm="1">
        <f t="array" ref="BJ48">INDEX(BO$9:BO$17,$C48)</f>
        <v>3.1</v>
      </c>
    </row>
    <row r="49" spans="1:62" x14ac:dyDescent="0.2">
      <c r="A49" s="40"/>
      <c r="B49" s="32" t="s">
        <v>60</v>
      </c>
      <c r="C49" s="1373">
        <v>2</v>
      </c>
      <c r="D49" s="1449">
        <v>0.42</v>
      </c>
      <c r="E49" s="1450">
        <v>38.4</v>
      </c>
      <c r="F49" s="1466">
        <v>16.7</v>
      </c>
      <c r="G49" s="1466">
        <v>20.73</v>
      </c>
      <c r="H49" s="1538"/>
      <c r="I49" s="1526"/>
      <c r="J49" s="1526"/>
      <c r="K49" s="1454">
        <v>7</v>
      </c>
      <c r="L49" s="1454">
        <v>5.5</v>
      </c>
      <c r="M49" s="1459">
        <v>7.14</v>
      </c>
      <c r="N49" s="1516">
        <v>8</v>
      </c>
      <c r="O49" s="1517">
        <v>11</v>
      </c>
      <c r="P49" s="1459">
        <v>3</v>
      </c>
      <c r="Q49" s="1516">
        <v>3.36</v>
      </c>
      <c r="R49" s="1517">
        <v>4.62</v>
      </c>
      <c r="S49" s="1459">
        <v>5.5</v>
      </c>
      <c r="T49" s="1451">
        <v>6.93</v>
      </c>
      <c r="U49" s="1455">
        <v>8.69</v>
      </c>
      <c r="V49" s="1456">
        <v>23.27</v>
      </c>
      <c r="W49" s="1457">
        <v>20.440000000000001</v>
      </c>
      <c r="X49" s="1458">
        <v>21.12</v>
      </c>
      <c r="Y49" s="1459">
        <v>2.6</v>
      </c>
      <c r="Z49" s="1460">
        <v>1.8</v>
      </c>
      <c r="AA49" s="1456">
        <v>20</v>
      </c>
      <c r="AB49" s="1462">
        <v>30</v>
      </c>
      <c r="AC49" s="1463" t="s">
        <v>1104</v>
      </c>
      <c r="AD49" s="1528">
        <v>2.56</v>
      </c>
      <c r="AE49" s="1465">
        <v>1.17</v>
      </c>
      <c r="AF49" s="1529">
        <v>0.24</v>
      </c>
      <c r="AG49" s="1224">
        <v>0.05</v>
      </c>
      <c r="AH49" s="1467">
        <v>79</v>
      </c>
      <c r="AI49">
        <v>784</v>
      </c>
      <c r="AK49" s="122">
        <v>0.9</v>
      </c>
      <c r="AL49" s="1045">
        <v>1</v>
      </c>
      <c r="AM49" s="295">
        <v>2</v>
      </c>
      <c r="AN49" s="295">
        <f t="shared" si="17"/>
        <v>2</v>
      </c>
      <c r="AO49" s="295">
        <v>60</v>
      </c>
      <c r="AP49" s="125">
        <v>90</v>
      </c>
      <c r="AQ49" s="125">
        <v>10</v>
      </c>
      <c r="AS49" s="962">
        <v>0.85</v>
      </c>
      <c r="AT49" s="125">
        <v>400</v>
      </c>
      <c r="AU49" s="125">
        <v>60</v>
      </c>
      <c r="AV49" s="962">
        <v>0.82</v>
      </c>
      <c r="AW49" s="125">
        <v>400</v>
      </c>
      <c r="AX49" s="125">
        <v>60</v>
      </c>
      <c r="AY49" s="125">
        <v>40</v>
      </c>
      <c r="AZ49" s="125">
        <v>100</v>
      </c>
      <c r="BC49" s="125">
        <f t="shared" si="18"/>
        <v>20.070399999999999</v>
      </c>
      <c r="BD49" s="125">
        <f t="shared" si="19"/>
        <v>9.1727999999999987</v>
      </c>
      <c r="BE49" s="2289">
        <f t="shared" si="20"/>
        <v>58.470399999999998</v>
      </c>
      <c r="BF49" s="125">
        <f t="shared" si="21"/>
        <v>0</v>
      </c>
      <c r="BH49" s="1326" cm="1">
        <f t="array" ref="BH49">INDEX(BM$9:BM$17,$C49)</f>
        <v>3.3</v>
      </c>
      <c r="BI49" s="1326" cm="1">
        <f t="array" ref="BI49">INDEX(BN$9:BN$17,$C49)</f>
        <v>0.2</v>
      </c>
      <c r="BJ49" s="1326" cm="1">
        <f t="array" ref="BJ49">INDEX(BO$9:BO$17,$C49)</f>
        <v>3.1</v>
      </c>
    </row>
    <row r="50" spans="1:62" x14ac:dyDescent="0.2">
      <c r="A50" s="49"/>
      <c r="B50" s="32" t="s">
        <v>61</v>
      </c>
      <c r="C50" s="1373">
        <v>2</v>
      </c>
      <c r="D50" s="1453">
        <v>0.03</v>
      </c>
      <c r="E50" s="1450">
        <v>4.46</v>
      </c>
      <c r="F50" s="1516">
        <v>1.64</v>
      </c>
      <c r="G50" s="1466">
        <v>2.73</v>
      </c>
      <c r="H50" s="1538"/>
      <c r="I50" s="1526"/>
      <c r="J50" s="1526"/>
      <c r="K50" s="1460">
        <v>0.7</v>
      </c>
      <c r="L50" s="1454">
        <v>5.5</v>
      </c>
      <c r="M50" s="1459">
        <v>7.67</v>
      </c>
      <c r="N50" s="1516">
        <v>8</v>
      </c>
      <c r="O50" s="1517">
        <v>11</v>
      </c>
      <c r="P50" s="1459">
        <v>0.23</v>
      </c>
      <c r="Q50" s="1516">
        <v>0.24</v>
      </c>
      <c r="R50" s="1517">
        <v>0.33</v>
      </c>
      <c r="S50" s="1459">
        <v>0.43</v>
      </c>
      <c r="T50" s="1516">
        <v>0.61</v>
      </c>
      <c r="U50" s="1517">
        <v>0.82</v>
      </c>
      <c r="V50" s="1456">
        <v>24.28</v>
      </c>
      <c r="W50" s="1457">
        <v>18.13</v>
      </c>
      <c r="X50" s="1458">
        <v>17.329999999999998</v>
      </c>
      <c r="Y50" s="1459">
        <v>0.35</v>
      </c>
      <c r="Z50" s="1460">
        <v>1.8</v>
      </c>
      <c r="AA50" s="1456">
        <v>20</v>
      </c>
      <c r="AB50" s="1462">
        <v>30</v>
      </c>
      <c r="AC50" s="1463" t="s">
        <v>1104</v>
      </c>
      <c r="AD50" s="1528">
        <v>2.56</v>
      </c>
      <c r="AE50" s="1465">
        <v>1.17</v>
      </c>
      <c r="AF50" s="1529">
        <v>0.24</v>
      </c>
      <c r="AG50" s="1224">
        <v>0.05</v>
      </c>
      <c r="AH50" s="1467">
        <v>79</v>
      </c>
      <c r="AI50">
        <v>164.25</v>
      </c>
      <c r="AK50" s="122">
        <v>0.9</v>
      </c>
      <c r="AL50" s="1045">
        <v>1</v>
      </c>
      <c r="AM50" s="295">
        <v>2</v>
      </c>
      <c r="AN50" s="295">
        <f t="shared" si="17"/>
        <v>2</v>
      </c>
      <c r="AO50" s="295">
        <v>60</v>
      </c>
      <c r="AP50" s="125">
        <v>90</v>
      </c>
      <c r="AQ50" s="125">
        <v>10</v>
      </c>
      <c r="AS50" s="962">
        <v>0.85</v>
      </c>
      <c r="AT50" s="125">
        <v>400</v>
      </c>
      <c r="AU50" s="125">
        <v>60</v>
      </c>
      <c r="AV50" s="962">
        <v>0.82</v>
      </c>
      <c r="AW50" s="125">
        <v>400</v>
      </c>
      <c r="AX50" s="125">
        <v>60</v>
      </c>
      <c r="AY50" s="125">
        <v>40</v>
      </c>
      <c r="AZ50" s="125">
        <v>100</v>
      </c>
      <c r="BC50" s="125">
        <f t="shared" si="18"/>
        <v>4.2048000000000005</v>
      </c>
      <c r="BD50" s="125">
        <f t="shared" si="19"/>
        <v>1.9217249999999999</v>
      </c>
      <c r="BE50" s="2289">
        <f t="shared" si="20"/>
        <v>8.6647999999999996</v>
      </c>
      <c r="BF50" s="125">
        <f t="shared" si="21"/>
        <v>0</v>
      </c>
      <c r="BH50" s="1326" cm="1">
        <f t="array" ref="BH50">INDEX(BM$9:BM$17,$C50)</f>
        <v>3.3</v>
      </c>
      <c r="BI50" s="1326" cm="1">
        <f t="array" ref="BI50">INDEX(BN$9:BN$17,$C50)</f>
        <v>0.2</v>
      </c>
      <c r="BJ50" s="1326" cm="1">
        <f t="array" ref="BJ50">INDEX(BO$9:BO$17,$C50)</f>
        <v>3.1</v>
      </c>
    </row>
    <row r="51" spans="1:62" x14ac:dyDescent="0.2">
      <c r="A51" s="49"/>
      <c r="B51" s="32" t="s">
        <v>62</v>
      </c>
      <c r="C51" s="1373">
        <v>2</v>
      </c>
      <c r="D51" s="1453">
        <v>0.03</v>
      </c>
      <c r="E51" s="1450">
        <v>4.1900000000000004</v>
      </c>
      <c r="F51" s="1516">
        <v>1.61</v>
      </c>
      <c r="G51" s="1466">
        <v>2.61</v>
      </c>
      <c r="H51" s="1538"/>
      <c r="I51" s="1526"/>
      <c r="J51" s="1526"/>
      <c r="K51" s="1460">
        <v>0.7</v>
      </c>
      <c r="L51" s="1454">
        <v>5.5</v>
      </c>
      <c r="M51" s="1459">
        <v>7.67</v>
      </c>
      <c r="N51" s="1516">
        <v>8</v>
      </c>
      <c r="O51" s="1517">
        <v>11</v>
      </c>
      <c r="P51" s="1459">
        <v>0.23</v>
      </c>
      <c r="Q51" s="1516">
        <v>0.24</v>
      </c>
      <c r="R51" s="1517">
        <v>0.33</v>
      </c>
      <c r="S51" s="1459">
        <v>0.43</v>
      </c>
      <c r="T51" s="1516">
        <v>0.61</v>
      </c>
      <c r="U51" s="1517">
        <v>0.82</v>
      </c>
      <c r="V51" s="1456">
        <v>24.28</v>
      </c>
      <c r="W51" s="1457">
        <v>18.13</v>
      </c>
      <c r="X51" s="1458">
        <v>17.329999999999998</v>
      </c>
      <c r="Y51" s="1459">
        <v>0.35</v>
      </c>
      <c r="Z51" s="1460">
        <v>1.8</v>
      </c>
      <c r="AA51" s="1456">
        <v>20</v>
      </c>
      <c r="AB51" s="1462">
        <v>30</v>
      </c>
      <c r="AC51" s="1463" t="s">
        <v>1104</v>
      </c>
      <c r="AD51" s="1528">
        <v>2.56</v>
      </c>
      <c r="AE51" s="1465">
        <v>1.17</v>
      </c>
      <c r="AF51" s="1529">
        <v>0.24</v>
      </c>
      <c r="AG51" s="1224">
        <v>0.05</v>
      </c>
      <c r="AH51" s="1467">
        <v>79</v>
      </c>
      <c r="AI51">
        <v>164.25</v>
      </c>
      <c r="AK51" s="122">
        <v>0.9</v>
      </c>
      <c r="AL51" s="1045">
        <v>1</v>
      </c>
      <c r="AM51" s="295">
        <v>2</v>
      </c>
      <c r="AN51" s="295">
        <f t="shared" si="17"/>
        <v>2</v>
      </c>
      <c r="AO51" s="295">
        <v>60</v>
      </c>
      <c r="AP51" s="125">
        <v>90</v>
      </c>
      <c r="AQ51" s="125">
        <v>10</v>
      </c>
      <c r="AS51" s="962">
        <v>0.85</v>
      </c>
      <c r="AT51" s="125">
        <v>400</v>
      </c>
      <c r="AU51" s="125">
        <v>60</v>
      </c>
      <c r="AV51" s="962">
        <v>0.82</v>
      </c>
      <c r="AW51" s="125">
        <v>400</v>
      </c>
      <c r="AX51" s="125">
        <v>60</v>
      </c>
      <c r="AY51" s="125">
        <v>40</v>
      </c>
      <c r="AZ51" s="125">
        <v>100</v>
      </c>
      <c r="BC51" s="125">
        <f t="shared" si="18"/>
        <v>4.2048000000000005</v>
      </c>
      <c r="BD51" s="125">
        <f t="shared" si="19"/>
        <v>1.9217249999999999</v>
      </c>
      <c r="BE51" s="2289">
        <f t="shared" si="20"/>
        <v>8.3948</v>
      </c>
      <c r="BF51" s="125">
        <f t="shared" si="21"/>
        <v>0</v>
      </c>
      <c r="BH51" s="1326" cm="1">
        <f t="array" ref="BH51">INDEX(BM$9:BM$17,$C51)</f>
        <v>3.3</v>
      </c>
      <c r="BI51" s="1326" cm="1">
        <f t="array" ref="BI51">INDEX(BN$9:BN$17,$C51)</f>
        <v>0.2</v>
      </c>
      <c r="BJ51" s="1326" cm="1">
        <f t="array" ref="BJ51">INDEX(BO$9:BO$17,$C51)</f>
        <v>3.1</v>
      </c>
    </row>
    <row r="52" spans="1:62" x14ac:dyDescent="0.2">
      <c r="A52" s="49"/>
      <c r="B52" s="1448" t="s">
        <v>8317</v>
      </c>
      <c r="C52" s="1373">
        <v>2</v>
      </c>
      <c r="D52" s="1453">
        <v>0.16</v>
      </c>
      <c r="E52" s="1450">
        <v>16.39</v>
      </c>
      <c r="F52" s="1466">
        <v>9.1</v>
      </c>
      <c r="G52" s="1466">
        <v>8.0399999999999991</v>
      </c>
      <c r="H52" s="1538"/>
      <c r="I52" s="1526"/>
      <c r="J52" s="1526"/>
      <c r="K52" s="1460">
        <v>2.66</v>
      </c>
      <c r="L52" s="1454">
        <v>5.5</v>
      </c>
      <c r="M52" s="1459">
        <v>6.63</v>
      </c>
      <c r="N52" s="1516">
        <v>8</v>
      </c>
      <c r="O52" s="1517">
        <v>11</v>
      </c>
      <c r="P52" s="1459">
        <v>1.06</v>
      </c>
      <c r="Q52" s="1516">
        <v>1.28</v>
      </c>
      <c r="R52" s="1517">
        <v>1.76</v>
      </c>
      <c r="S52" s="1459">
        <v>1.98</v>
      </c>
      <c r="T52" s="1516">
        <v>2.6</v>
      </c>
      <c r="U52" s="1517">
        <v>3.3</v>
      </c>
      <c r="V52" s="1461">
        <v>23.23</v>
      </c>
      <c r="W52" s="1522">
        <v>20.71</v>
      </c>
      <c r="X52" s="1462">
        <v>21.17</v>
      </c>
      <c r="Y52" s="1459">
        <v>1.06</v>
      </c>
      <c r="Z52" s="1460">
        <v>1.8</v>
      </c>
      <c r="AA52" s="1456">
        <v>20</v>
      </c>
      <c r="AB52" s="1462">
        <v>30</v>
      </c>
      <c r="AC52" s="1463" t="s">
        <v>1104</v>
      </c>
      <c r="AD52" s="1528">
        <v>2.56</v>
      </c>
      <c r="AE52" s="1465">
        <v>1.17</v>
      </c>
      <c r="AF52" s="1529">
        <v>0.24</v>
      </c>
      <c r="AG52" s="1224">
        <v>0.05</v>
      </c>
      <c r="AH52" s="1467">
        <v>79</v>
      </c>
      <c r="AI52">
        <v>255.5</v>
      </c>
      <c r="AK52" s="122">
        <v>0.9</v>
      </c>
      <c r="AL52" s="1045">
        <v>1</v>
      </c>
      <c r="AM52" s="295">
        <v>2</v>
      </c>
      <c r="AN52" s="295">
        <f t="shared" ref="AN52:AN53" si="39">AM52</f>
        <v>2</v>
      </c>
      <c r="AO52" s="295">
        <v>60</v>
      </c>
      <c r="AP52" s="125">
        <v>90</v>
      </c>
      <c r="AQ52" s="125">
        <v>10</v>
      </c>
      <c r="AS52" s="962">
        <v>0.85</v>
      </c>
      <c r="AT52" s="125">
        <v>400</v>
      </c>
      <c r="AU52" s="125">
        <v>60</v>
      </c>
      <c r="AV52" s="962">
        <v>0.82</v>
      </c>
      <c r="AW52" s="125">
        <v>400</v>
      </c>
      <c r="AX52" s="125">
        <v>60</v>
      </c>
      <c r="AY52" s="125">
        <v>40</v>
      </c>
      <c r="AZ52" s="125">
        <v>100</v>
      </c>
      <c r="BC52" s="125">
        <f t="shared" si="18"/>
        <v>6.5408000000000008</v>
      </c>
      <c r="BD52" s="125">
        <f t="shared" si="19"/>
        <v>2.98935</v>
      </c>
      <c r="BE52" s="2289">
        <f t="shared" si="20"/>
        <v>22.930800000000001</v>
      </c>
      <c r="BF52" s="125">
        <f t="shared" si="21"/>
        <v>0</v>
      </c>
      <c r="BH52" s="1326" cm="1">
        <f t="array" ref="BH52">INDEX(BM$9:BM$17,$C52)</f>
        <v>3.3</v>
      </c>
      <c r="BI52" s="1326" cm="1">
        <f t="array" ref="BI52">INDEX(BN$9:BN$17,$C52)</f>
        <v>0.2</v>
      </c>
      <c r="BJ52" s="1326" cm="1">
        <f t="array" ref="BJ52">INDEX(BO$9:BO$17,$C52)</f>
        <v>3.1</v>
      </c>
    </row>
    <row r="53" spans="1:62" x14ac:dyDescent="0.2">
      <c r="A53" s="49"/>
      <c r="B53" s="1448" t="s">
        <v>8318</v>
      </c>
      <c r="C53" s="1373">
        <v>2</v>
      </c>
      <c r="D53" s="1453">
        <v>0.16</v>
      </c>
      <c r="E53" s="1450">
        <v>14.15</v>
      </c>
      <c r="F53" s="1466">
        <v>7.99</v>
      </c>
      <c r="G53" s="1466">
        <v>6.88</v>
      </c>
      <c r="H53" s="1538"/>
      <c r="I53" s="1526"/>
      <c r="J53" s="1526"/>
      <c r="K53" s="1460">
        <v>2.66</v>
      </c>
      <c r="L53" s="1454">
        <v>5.5</v>
      </c>
      <c r="M53" s="1459">
        <v>6.63</v>
      </c>
      <c r="N53" s="1516">
        <v>8</v>
      </c>
      <c r="O53" s="1517">
        <v>11</v>
      </c>
      <c r="P53" s="1459">
        <v>1.06</v>
      </c>
      <c r="Q53" s="1516">
        <v>1.28</v>
      </c>
      <c r="R53" s="1517">
        <v>1.76</v>
      </c>
      <c r="S53" s="1459">
        <v>1.98</v>
      </c>
      <c r="T53" s="1516">
        <v>2.6</v>
      </c>
      <c r="U53" s="1517">
        <v>3.3</v>
      </c>
      <c r="V53" s="1461">
        <v>23.23</v>
      </c>
      <c r="W53" s="1522">
        <v>20.71</v>
      </c>
      <c r="X53" s="1462">
        <v>21.17</v>
      </c>
      <c r="Y53" s="1459">
        <v>1.06</v>
      </c>
      <c r="Z53" s="1460">
        <v>1.8</v>
      </c>
      <c r="AA53" s="1456">
        <v>20</v>
      </c>
      <c r="AB53" s="1462">
        <v>30</v>
      </c>
      <c r="AC53" s="1463" t="s">
        <v>1104</v>
      </c>
      <c r="AD53" s="1528">
        <v>2.56</v>
      </c>
      <c r="AE53" s="1465">
        <v>1.17</v>
      </c>
      <c r="AF53" s="1529">
        <v>0.24</v>
      </c>
      <c r="AG53" s="1224">
        <v>0.05</v>
      </c>
      <c r="AH53" s="1467">
        <v>79</v>
      </c>
      <c r="AI53">
        <v>255.5</v>
      </c>
      <c r="AK53" s="122">
        <v>0.9</v>
      </c>
      <c r="AL53" s="1045">
        <v>1</v>
      </c>
      <c r="AM53" s="295">
        <v>2</v>
      </c>
      <c r="AN53" s="295">
        <f t="shared" si="39"/>
        <v>2</v>
      </c>
      <c r="AO53" s="295">
        <v>60</v>
      </c>
      <c r="AP53" s="125">
        <v>90</v>
      </c>
      <c r="AQ53" s="125">
        <v>10</v>
      </c>
      <c r="AS53" s="962">
        <v>0.85</v>
      </c>
      <c r="AT53" s="125">
        <v>400</v>
      </c>
      <c r="AU53" s="125">
        <v>60</v>
      </c>
      <c r="AV53" s="962">
        <v>0.82</v>
      </c>
      <c r="AW53" s="125">
        <v>400</v>
      </c>
      <c r="AX53" s="125">
        <v>60</v>
      </c>
      <c r="AY53" s="125">
        <v>40</v>
      </c>
      <c r="AZ53" s="125">
        <v>100</v>
      </c>
      <c r="BC53" s="125">
        <f t="shared" si="18"/>
        <v>6.5408000000000008</v>
      </c>
      <c r="BD53" s="125">
        <f t="shared" si="19"/>
        <v>2.98935</v>
      </c>
      <c r="BE53" s="2289">
        <f t="shared" si="20"/>
        <v>20.690800000000003</v>
      </c>
      <c r="BF53" s="125">
        <f t="shared" si="21"/>
        <v>0</v>
      </c>
      <c r="BH53" s="1326" cm="1">
        <f t="array" ref="BH53">INDEX(BM$9:BM$17,$C53)</f>
        <v>3.3</v>
      </c>
      <c r="BI53" s="1326" cm="1">
        <f t="array" ref="BI53">INDEX(BN$9:BN$17,$C53)</f>
        <v>0.2</v>
      </c>
      <c r="BJ53" s="1326" cm="1">
        <f t="array" ref="BJ53">INDEX(BO$9:BO$17,$C53)</f>
        <v>3.1</v>
      </c>
    </row>
    <row r="54" spans="1:62" x14ac:dyDescent="0.2">
      <c r="A54" s="40"/>
      <c r="B54" s="1448" t="s">
        <v>8319</v>
      </c>
      <c r="C54" s="1373">
        <v>2</v>
      </c>
      <c r="D54" s="1449">
        <v>0.14000000000000001</v>
      </c>
      <c r="E54" s="1450">
        <v>14.06</v>
      </c>
      <c r="F54" s="1516">
        <v>5.96</v>
      </c>
      <c r="G54" s="1466">
        <v>7</v>
      </c>
      <c r="H54" s="1538"/>
      <c r="I54" s="1526"/>
      <c r="J54" s="1526"/>
      <c r="K54" s="1460">
        <v>1.85</v>
      </c>
      <c r="L54" s="1454">
        <v>5.5</v>
      </c>
      <c r="M54" s="1459">
        <v>4.43</v>
      </c>
      <c r="N54" s="1516">
        <v>6</v>
      </c>
      <c r="O54" s="1517">
        <v>11</v>
      </c>
      <c r="P54" s="1459">
        <v>0.62</v>
      </c>
      <c r="Q54" s="1516">
        <v>0.84</v>
      </c>
      <c r="R54" s="1517">
        <v>1.54</v>
      </c>
      <c r="S54" s="1459">
        <v>1.33</v>
      </c>
      <c r="T54" s="1451">
        <v>1.79</v>
      </c>
      <c r="U54" s="1455">
        <v>2.41</v>
      </c>
      <c r="V54" s="1456">
        <v>21.28</v>
      </c>
      <c r="W54" s="1457">
        <v>20.04</v>
      </c>
      <c r="X54" s="1458">
        <v>24.28</v>
      </c>
      <c r="Y54" s="1459">
        <v>0.74</v>
      </c>
      <c r="Z54" s="1460">
        <v>1.8</v>
      </c>
      <c r="AA54" s="1456">
        <v>20</v>
      </c>
      <c r="AB54" s="1462">
        <v>30</v>
      </c>
      <c r="AC54" s="1463" t="s">
        <v>1104</v>
      </c>
      <c r="AD54" s="1528">
        <v>2.56</v>
      </c>
      <c r="AE54" s="1465">
        <v>1.17</v>
      </c>
      <c r="AF54" s="1529">
        <v>0.24</v>
      </c>
      <c r="AG54" s="1224">
        <v>0.05</v>
      </c>
      <c r="AH54" s="1467">
        <v>79</v>
      </c>
      <c r="AI54" s="2183">
        <v>273.75</v>
      </c>
      <c r="AK54" s="122">
        <v>0.9</v>
      </c>
      <c r="AL54" s="1045">
        <v>1</v>
      </c>
      <c r="AM54" s="295">
        <v>2</v>
      </c>
      <c r="AN54" s="295">
        <f t="shared" si="17"/>
        <v>2</v>
      </c>
      <c r="AO54" s="295">
        <v>60</v>
      </c>
      <c r="AP54" s="125">
        <v>90</v>
      </c>
      <c r="AQ54" s="125">
        <v>10</v>
      </c>
      <c r="AS54" s="962">
        <v>0.85</v>
      </c>
      <c r="AT54" s="125">
        <v>400</v>
      </c>
      <c r="AU54" s="125">
        <v>60</v>
      </c>
      <c r="AV54" s="962">
        <v>0.82</v>
      </c>
      <c r="AW54" s="125">
        <v>400</v>
      </c>
      <c r="AX54" s="125">
        <v>60</v>
      </c>
      <c r="AY54" s="125">
        <v>40</v>
      </c>
      <c r="AZ54" s="125">
        <v>100</v>
      </c>
      <c r="BC54" s="125">
        <f t="shared" si="18"/>
        <v>7.008</v>
      </c>
      <c r="BD54" s="125">
        <f t="shared" si="19"/>
        <v>3.2028749999999997</v>
      </c>
      <c r="BE54" s="2289">
        <f t="shared" si="20"/>
        <v>21.068000000000001</v>
      </c>
      <c r="BF54" s="125">
        <f t="shared" si="21"/>
        <v>0</v>
      </c>
      <c r="BH54" s="1326" cm="1">
        <f t="array" ref="BH54">INDEX(BM$9:BM$17,$C54)</f>
        <v>3.3</v>
      </c>
      <c r="BI54" s="1326" cm="1">
        <f t="array" ref="BI54">INDEX(BN$9:BN$17,$C54)</f>
        <v>0.2</v>
      </c>
      <c r="BJ54" s="1326" cm="1">
        <f t="array" ref="BJ54">INDEX(BO$9:BO$17,$C54)</f>
        <v>3.1</v>
      </c>
    </row>
    <row r="55" spans="1:62" x14ac:dyDescent="0.2">
      <c r="A55" s="40"/>
      <c r="B55" s="1448" t="s">
        <v>8320</v>
      </c>
      <c r="C55" s="1373">
        <v>2</v>
      </c>
      <c r="D55" s="1449">
        <v>0.14000000000000001</v>
      </c>
      <c r="E55" s="1450">
        <v>13.44</v>
      </c>
      <c r="F55" s="1466">
        <v>5.0599999999999996</v>
      </c>
      <c r="G55" s="1466">
        <v>6.77</v>
      </c>
      <c r="H55" s="1538"/>
      <c r="I55" s="1526"/>
      <c r="J55" s="1526"/>
      <c r="K55" s="1460">
        <v>1.85</v>
      </c>
      <c r="L55" s="1454">
        <v>5.5</v>
      </c>
      <c r="M55" s="1459">
        <v>4.43</v>
      </c>
      <c r="N55" s="1516">
        <v>6</v>
      </c>
      <c r="O55" s="1517">
        <v>11</v>
      </c>
      <c r="P55" s="1459">
        <v>0.62</v>
      </c>
      <c r="Q55" s="1516">
        <v>0.84</v>
      </c>
      <c r="R55" s="1517">
        <v>1.54</v>
      </c>
      <c r="S55" s="1459">
        <v>1.33</v>
      </c>
      <c r="T55" s="1451">
        <v>1.79</v>
      </c>
      <c r="U55" s="1455">
        <v>2.41</v>
      </c>
      <c r="V55" s="1456">
        <v>21.28</v>
      </c>
      <c r="W55" s="1457">
        <v>20.04</v>
      </c>
      <c r="X55" s="1458">
        <v>24.28</v>
      </c>
      <c r="Y55" s="1459">
        <v>0.74</v>
      </c>
      <c r="Z55" s="1460">
        <v>1.8</v>
      </c>
      <c r="AA55" s="1456">
        <v>20</v>
      </c>
      <c r="AB55" s="1462">
        <v>30</v>
      </c>
      <c r="AC55" s="1463" t="s">
        <v>1104</v>
      </c>
      <c r="AD55" s="1528">
        <v>2.56</v>
      </c>
      <c r="AE55" s="1465">
        <v>1.17</v>
      </c>
      <c r="AF55" s="1529">
        <v>0.24</v>
      </c>
      <c r="AG55" s="1224">
        <v>0.05</v>
      </c>
      <c r="AH55" s="1467">
        <v>79</v>
      </c>
      <c r="AI55" s="2183">
        <v>273.75</v>
      </c>
      <c r="AK55" s="122">
        <v>0.9</v>
      </c>
      <c r="AL55" s="1045">
        <v>1</v>
      </c>
      <c r="AM55" s="295">
        <v>2</v>
      </c>
      <c r="AN55" s="295">
        <f t="shared" si="17"/>
        <v>2</v>
      </c>
      <c r="AO55" s="295">
        <v>60</v>
      </c>
      <c r="AP55" s="125">
        <v>90</v>
      </c>
      <c r="AQ55" s="125">
        <v>10</v>
      </c>
      <c r="AS55" s="962">
        <v>0.85</v>
      </c>
      <c r="AT55" s="125">
        <v>400</v>
      </c>
      <c r="AU55" s="125">
        <v>60</v>
      </c>
      <c r="AV55" s="962">
        <v>0.82</v>
      </c>
      <c r="AW55" s="125">
        <v>400</v>
      </c>
      <c r="AX55" s="125">
        <v>60</v>
      </c>
      <c r="AY55" s="125">
        <v>40</v>
      </c>
      <c r="AZ55" s="125">
        <v>100</v>
      </c>
      <c r="BC55" s="125">
        <f t="shared" si="18"/>
        <v>7.008</v>
      </c>
      <c r="BD55" s="125">
        <f t="shared" si="19"/>
        <v>3.2028749999999997</v>
      </c>
      <c r="BE55" s="2289">
        <f t="shared" si="20"/>
        <v>20.448</v>
      </c>
      <c r="BF55" s="125">
        <f t="shared" si="21"/>
        <v>0</v>
      </c>
      <c r="BH55" s="1326" cm="1">
        <f t="array" ref="BH55">INDEX(BM$9:BM$17,$C55)</f>
        <v>3.3</v>
      </c>
      <c r="BI55" s="1326" cm="1">
        <f t="array" ref="BI55">INDEX(BN$9:BN$17,$C55)</f>
        <v>0.2</v>
      </c>
      <c r="BJ55" s="1326" cm="1">
        <f t="array" ref="BJ55">INDEX(BO$9:BO$17,$C55)</f>
        <v>3.1</v>
      </c>
    </row>
    <row r="56" spans="1:62" x14ac:dyDescent="0.2">
      <c r="A56" s="40"/>
      <c r="B56" s="2171" t="s">
        <v>8416</v>
      </c>
      <c r="C56" s="1373">
        <v>2</v>
      </c>
      <c r="D56" s="1449">
        <v>0.14000000000000001</v>
      </c>
      <c r="E56" s="1450">
        <v>12.08</v>
      </c>
      <c r="F56" s="1451">
        <v>4.8099999999999996</v>
      </c>
      <c r="G56" s="1516">
        <v>6.57</v>
      </c>
      <c r="H56" s="1538"/>
      <c r="I56" s="1526"/>
      <c r="J56" s="1526"/>
      <c r="K56" s="1460">
        <v>1.85</v>
      </c>
      <c r="L56" s="1454">
        <v>5.5</v>
      </c>
      <c r="M56" s="1459">
        <v>4.43</v>
      </c>
      <c r="N56" s="1516">
        <v>6</v>
      </c>
      <c r="O56" s="1517">
        <v>11</v>
      </c>
      <c r="P56" s="1459">
        <v>0.62</v>
      </c>
      <c r="Q56" s="1516">
        <v>0.84</v>
      </c>
      <c r="R56" s="1517">
        <v>1.54</v>
      </c>
      <c r="S56" s="1459">
        <v>1.33</v>
      </c>
      <c r="T56" s="1451">
        <v>1.79</v>
      </c>
      <c r="U56" s="1455">
        <v>2.41</v>
      </c>
      <c r="V56" s="1461">
        <v>21.28</v>
      </c>
      <c r="W56" s="1522">
        <v>20.04</v>
      </c>
      <c r="X56" s="1462">
        <v>24.28</v>
      </c>
      <c r="Y56" s="1459">
        <v>0.74</v>
      </c>
      <c r="Z56" s="1460">
        <v>1.8</v>
      </c>
      <c r="AA56" s="1456">
        <v>20</v>
      </c>
      <c r="AB56" s="1462">
        <v>30</v>
      </c>
      <c r="AC56" s="1463" t="s">
        <v>1104</v>
      </c>
      <c r="AD56" s="1528">
        <v>2.56</v>
      </c>
      <c r="AE56" s="1465">
        <v>1.17</v>
      </c>
      <c r="AF56" s="1529">
        <v>0.24</v>
      </c>
      <c r="AG56" s="1224">
        <v>0.05</v>
      </c>
      <c r="AH56" s="1467">
        <v>79</v>
      </c>
      <c r="AI56" s="2183">
        <v>273.75</v>
      </c>
      <c r="AJ56">
        <v>1</v>
      </c>
      <c r="AK56" s="122">
        <v>0.9</v>
      </c>
      <c r="AL56" s="1045">
        <v>1</v>
      </c>
      <c r="AM56" s="295">
        <v>2</v>
      </c>
      <c r="AN56" s="295">
        <f t="shared" ref="AN56:AN59" si="40">AM56</f>
        <v>2</v>
      </c>
      <c r="AO56" s="295">
        <v>60</v>
      </c>
      <c r="AP56" s="125">
        <v>90</v>
      </c>
      <c r="AQ56" s="125">
        <v>10</v>
      </c>
      <c r="AS56" s="962">
        <v>0.85</v>
      </c>
      <c r="AT56" s="125">
        <v>400</v>
      </c>
      <c r="AU56" s="125">
        <v>60</v>
      </c>
      <c r="AV56" s="962">
        <v>0.82</v>
      </c>
      <c r="AW56" s="125">
        <v>400</v>
      </c>
      <c r="AX56" s="125">
        <v>60</v>
      </c>
      <c r="AY56" s="125">
        <v>40</v>
      </c>
      <c r="AZ56" s="125">
        <v>100</v>
      </c>
      <c r="BC56" s="125">
        <f t="shared" si="18"/>
        <v>7.008</v>
      </c>
      <c r="BD56" s="125">
        <f t="shared" si="19"/>
        <v>3.2028749999999997</v>
      </c>
      <c r="BE56" s="2289">
        <f t="shared" si="20"/>
        <v>19.088000000000001</v>
      </c>
      <c r="BF56" s="125">
        <f t="shared" si="21"/>
        <v>0</v>
      </c>
      <c r="BH56" s="1326" cm="1">
        <f t="array" ref="BH56">INDEX(BM$9:BM$17,$C56)</f>
        <v>3.3</v>
      </c>
      <c r="BI56" s="1326" cm="1">
        <f t="array" ref="BI56">INDEX(BN$9:BN$17,$C56)</f>
        <v>0.2</v>
      </c>
      <c r="BJ56" s="1326" cm="1">
        <f t="array" ref="BJ56">INDEX(BO$9:BO$17,$C56)</f>
        <v>3.1</v>
      </c>
    </row>
    <row r="57" spans="1:62" x14ac:dyDescent="0.2">
      <c r="A57" s="49"/>
      <c r="B57" s="1448" t="s">
        <v>65</v>
      </c>
      <c r="C57" s="1373">
        <v>2</v>
      </c>
      <c r="D57" s="1449">
        <v>0.14000000000000001</v>
      </c>
      <c r="E57" s="1450">
        <v>15.41</v>
      </c>
      <c r="F57" s="1466">
        <v>6.28</v>
      </c>
      <c r="G57" s="1516">
        <v>7.53</v>
      </c>
      <c r="H57" s="1538"/>
      <c r="I57" s="1526"/>
      <c r="J57" s="1526"/>
      <c r="K57" s="1460">
        <v>1.89</v>
      </c>
      <c r="L57" s="1454">
        <v>5.5</v>
      </c>
      <c r="M57" s="1459">
        <v>4.5</v>
      </c>
      <c r="N57" s="1516">
        <v>6</v>
      </c>
      <c r="O57" s="1517">
        <v>11</v>
      </c>
      <c r="P57" s="1459">
        <v>0.63</v>
      </c>
      <c r="Q57" s="1516">
        <v>0.84</v>
      </c>
      <c r="R57" s="1517">
        <v>1.54</v>
      </c>
      <c r="S57" s="1459">
        <v>1.36</v>
      </c>
      <c r="T57" s="1451">
        <v>1.82</v>
      </c>
      <c r="U57" s="1455">
        <v>2.4500000000000002</v>
      </c>
      <c r="V57" s="1456">
        <v>21.18</v>
      </c>
      <c r="W57" s="1457">
        <v>19.82</v>
      </c>
      <c r="X57" s="1458">
        <v>23.97</v>
      </c>
      <c r="Y57" s="1459">
        <v>0.76</v>
      </c>
      <c r="Z57" s="1460">
        <v>1.8</v>
      </c>
      <c r="AA57" s="1456">
        <v>20</v>
      </c>
      <c r="AB57" s="1462">
        <v>30</v>
      </c>
      <c r="AC57" s="1463" t="s">
        <v>1104</v>
      </c>
      <c r="AD57" s="1528">
        <v>2.56</v>
      </c>
      <c r="AE57" s="1465">
        <v>1.17</v>
      </c>
      <c r="AF57" s="1529">
        <v>0.24</v>
      </c>
      <c r="AG57" s="1224">
        <v>0.05</v>
      </c>
      <c r="AH57" s="1467">
        <v>79</v>
      </c>
      <c r="AI57">
        <v>310.25</v>
      </c>
      <c r="AK57" s="122">
        <v>0.9</v>
      </c>
      <c r="AL57" s="1045">
        <v>1</v>
      </c>
      <c r="AM57" s="295">
        <v>2</v>
      </c>
      <c r="AN57" s="295">
        <f t="shared" si="40"/>
        <v>2</v>
      </c>
      <c r="AO57" s="295">
        <v>60</v>
      </c>
      <c r="AP57" s="125">
        <v>90</v>
      </c>
      <c r="AQ57" s="125">
        <v>10</v>
      </c>
      <c r="AS57" s="962">
        <v>0.85</v>
      </c>
      <c r="AT57" s="125">
        <v>400</v>
      </c>
      <c r="AU57" s="125">
        <v>60</v>
      </c>
      <c r="AV57" s="962">
        <v>0.82</v>
      </c>
      <c r="AW57" s="125">
        <v>400</v>
      </c>
      <c r="AX57" s="125">
        <v>60</v>
      </c>
      <c r="AY57" s="125">
        <v>40</v>
      </c>
      <c r="AZ57" s="125">
        <v>100</v>
      </c>
      <c r="BC57" s="125">
        <f t="shared" si="18"/>
        <v>7.9424000000000001</v>
      </c>
      <c r="BD57" s="125">
        <f t="shared" si="19"/>
        <v>3.6299249999999996</v>
      </c>
      <c r="BE57" s="2289">
        <f t="shared" si="20"/>
        <v>23.352399999999999</v>
      </c>
      <c r="BF57" s="125">
        <f t="shared" si="21"/>
        <v>0</v>
      </c>
      <c r="BH57" s="1326" cm="1">
        <f t="array" ref="BH57">INDEX(BM$9:BM$17,$C57)</f>
        <v>3.3</v>
      </c>
      <c r="BI57" s="1326" cm="1">
        <f t="array" ref="BI57">INDEX(BN$9:BN$17,$C57)</f>
        <v>0.2</v>
      </c>
      <c r="BJ57" s="1326" cm="1">
        <f t="array" ref="BJ57">INDEX(BO$9:BO$17,$C57)</f>
        <v>3.1</v>
      </c>
    </row>
    <row r="58" spans="1:62" x14ac:dyDescent="0.2">
      <c r="A58" s="49"/>
      <c r="B58" s="1491" t="s">
        <v>66</v>
      </c>
      <c r="C58" s="1492">
        <v>2</v>
      </c>
      <c r="D58" s="1530">
        <v>0.14000000000000001</v>
      </c>
      <c r="E58" s="1531">
        <v>14.78</v>
      </c>
      <c r="F58" s="1501">
        <v>5.56</v>
      </c>
      <c r="G58" s="1496">
        <v>7.27</v>
      </c>
      <c r="H58" s="1539"/>
      <c r="I58" s="1540"/>
      <c r="J58" s="1540"/>
      <c r="K58" s="1497">
        <v>1.89</v>
      </c>
      <c r="L58" s="1497">
        <v>5.5</v>
      </c>
      <c r="M58" s="1498">
        <v>4.5</v>
      </c>
      <c r="N58" s="1499">
        <v>6</v>
      </c>
      <c r="O58" s="1500">
        <v>11</v>
      </c>
      <c r="P58" s="1498">
        <v>0.63</v>
      </c>
      <c r="Q58" s="1499">
        <v>0.84</v>
      </c>
      <c r="R58" s="1500">
        <v>1.54</v>
      </c>
      <c r="S58" s="1498">
        <v>1.36</v>
      </c>
      <c r="T58" s="1501">
        <v>1.82</v>
      </c>
      <c r="U58" s="1502">
        <v>2.4500000000000002</v>
      </c>
      <c r="V58" s="1504">
        <v>21.18</v>
      </c>
      <c r="W58" s="1505">
        <v>19.82</v>
      </c>
      <c r="X58" s="1506">
        <v>23.97</v>
      </c>
      <c r="Y58" s="1498">
        <v>0.76</v>
      </c>
      <c r="Z58" s="1507">
        <v>1.8</v>
      </c>
      <c r="AA58" s="1504">
        <v>20</v>
      </c>
      <c r="AB58" s="1509">
        <v>30</v>
      </c>
      <c r="AC58" s="1510" t="s">
        <v>1104</v>
      </c>
      <c r="AD58" s="1535">
        <v>2.56</v>
      </c>
      <c r="AE58" s="1512">
        <v>1.17</v>
      </c>
      <c r="AF58" s="1536">
        <v>0.24</v>
      </c>
      <c r="AG58" s="1537">
        <v>0.05</v>
      </c>
      <c r="AH58" s="1513">
        <v>79</v>
      </c>
      <c r="AI58">
        <v>310.25</v>
      </c>
      <c r="AK58" s="122">
        <v>0.9</v>
      </c>
      <c r="AL58" s="1045">
        <v>1</v>
      </c>
      <c r="AM58" s="295">
        <v>2</v>
      </c>
      <c r="AN58" s="295">
        <f t="shared" si="40"/>
        <v>2</v>
      </c>
      <c r="AO58" s="295">
        <v>60</v>
      </c>
      <c r="AP58" s="125">
        <v>90</v>
      </c>
      <c r="AQ58" s="125">
        <v>10</v>
      </c>
      <c r="AS58" s="962">
        <v>0.85</v>
      </c>
      <c r="AT58" s="125">
        <v>400</v>
      </c>
      <c r="AU58" s="125">
        <v>60</v>
      </c>
      <c r="AV58" s="962">
        <v>0.82</v>
      </c>
      <c r="AW58" s="125">
        <v>400</v>
      </c>
      <c r="AX58" s="125">
        <v>60</v>
      </c>
      <c r="AY58" s="125">
        <v>40</v>
      </c>
      <c r="AZ58" s="125">
        <v>100</v>
      </c>
      <c r="BC58" s="125">
        <f t="shared" si="18"/>
        <v>7.9424000000000001</v>
      </c>
      <c r="BD58" s="125">
        <f t="shared" si="19"/>
        <v>3.6299249999999996</v>
      </c>
      <c r="BE58" s="2289">
        <f t="shared" si="20"/>
        <v>22.7224</v>
      </c>
      <c r="BF58" s="125">
        <f t="shared" si="21"/>
        <v>0</v>
      </c>
      <c r="BH58" s="1326" cm="1">
        <f t="array" ref="BH58">INDEX(BM$9:BM$17,$C58)</f>
        <v>3.3</v>
      </c>
      <c r="BI58" s="1326" cm="1">
        <f t="array" ref="BI58">INDEX(BN$9:BN$17,$C58)</f>
        <v>0.2</v>
      </c>
      <c r="BJ58" s="1326" cm="1">
        <f t="array" ref="BJ58">INDEX(BO$9:BO$17,$C58)</f>
        <v>3.1</v>
      </c>
    </row>
    <row r="59" spans="1:62" x14ac:dyDescent="0.2">
      <c r="A59" s="49"/>
      <c r="B59" s="2171" t="s">
        <v>8417</v>
      </c>
      <c r="C59" s="1373">
        <v>2</v>
      </c>
      <c r="D59" s="1449">
        <v>0.14000000000000001</v>
      </c>
      <c r="E59" s="1450">
        <v>13.39</v>
      </c>
      <c r="F59" s="1466">
        <v>4.95</v>
      </c>
      <c r="G59" s="1466">
        <v>7.06</v>
      </c>
      <c r="H59" s="1541"/>
      <c r="I59" s="1542"/>
      <c r="J59" s="1542"/>
      <c r="K59" s="1454">
        <v>1.89</v>
      </c>
      <c r="L59" s="1454">
        <v>5.5</v>
      </c>
      <c r="M59" s="1459">
        <v>4.5</v>
      </c>
      <c r="N59" s="1516">
        <v>6</v>
      </c>
      <c r="O59" s="1517">
        <v>11</v>
      </c>
      <c r="P59" s="1459">
        <v>0.63</v>
      </c>
      <c r="Q59" s="1516">
        <v>0.84</v>
      </c>
      <c r="R59" s="1517">
        <v>1.54</v>
      </c>
      <c r="S59" s="1459">
        <v>1.36</v>
      </c>
      <c r="T59" s="1451">
        <v>1.82</v>
      </c>
      <c r="U59" s="1455">
        <v>2.4500000000000002</v>
      </c>
      <c r="V59" s="1461">
        <v>21.18</v>
      </c>
      <c r="W59" s="1522">
        <v>19.82</v>
      </c>
      <c r="X59" s="1462">
        <v>23.97</v>
      </c>
      <c r="Y59" s="1459">
        <v>0.76</v>
      </c>
      <c r="Z59" s="1460">
        <v>1.8</v>
      </c>
      <c r="AA59" s="1456">
        <v>20</v>
      </c>
      <c r="AB59" s="1462">
        <v>30</v>
      </c>
      <c r="AC59" s="1463" t="s">
        <v>1104</v>
      </c>
      <c r="AD59" s="1528">
        <v>2.56</v>
      </c>
      <c r="AE59" s="1465">
        <v>1.17</v>
      </c>
      <c r="AF59" s="1529">
        <v>0.24</v>
      </c>
      <c r="AG59" s="1224">
        <v>0.05</v>
      </c>
      <c r="AH59" s="1467">
        <v>79</v>
      </c>
      <c r="AI59">
        <v>310.25</v>
      </c>
      <c r="AJ59">
        <v>1</v>
      </c>
      <c r="AK59" s="122">
        <v>0.9</v>
      </c>
      <c r="AL59" s="1045">
        <v>1</v>
      </c>
      <c r="AM59" s="295">
        <v>2</v>
      </c>
      <c r="AN59" s="295">
        <f t="shared" si="40"/>
        <v>2</v>
      </c>
      <c r="AO59" s="295">
        <v>60</v>
      </c>
      <c r="AP59" s="125">
        <v>90</v>
      </c>
      <c r="AQ59" s="125">
        <v>10</v>
      </c>
      <c r="AS59" s="962">
        <v>0.85</v>
      </c>
      <c r="AT59" s="125">
        <v>400</v>
      </c>
      <c r="AU59" s="125">
        <v>60</v>
      </c>
      <c r="AV59" s="962">
        <v>0.82</v>
      </c>
      <c r="AW59" s="125">
        <v>400</v>
      </c>
      <c r="AX59" s="125">
        <v>60</v>
      </c>
      <c r="AY59" s="125">
        <v>40</v>
      </c>
      <c r="AZ59" s="125">
        <v>100</v>
      </c>
      <c r="BC59" s="125">
        <f t="shared" si="18"/>
        <v>7.9424000000000001</v>
      </c>
      <c r="BD59" s="125">
        <f t="shared" si="19"/>
        <v>3.6299249999999996</v>
      </c>
      <c r="BE59" s="2289">
        <f t="shared" si="20"/>
        <v>21.3324</v>
      </c>
      <c r="BF59" s="125">
        <f t="shared" si="21"/>
        <v>0</v>
      </c>
      <c r="BH59" s="1326" cm="1">
        <f t="array" ref="BH59">INDEX(BM$9:BM$17,$C59)</f>
        <v>3.3</v>
      </c>
      <c r="BI59" s="1326" cm="1">
        <f t="array" ref="BI59">INDEX(BN$9:BN$17,$C59)</f>
        <v>0.2</v>
      </c>
      <c r="BJ59" s="1326" cm="1">
        <f t="array" ref="BJ59">INDEX(BO$9:BO$17,$C59)</f>
        <v>3.1</v>
      </c>
    </row>
    <row r="60" spans="1:62" x14ac:dyDescent="0.2">
      <c r="A60" s="50"/>
      <c r="B60" s="1543" t="s">
        <v>67</v>
      </c>
      <c r="C60" s="1373">
        <v>2</v>
      </c>
      <c r="D60" s="1453">
        <v>0.3</v>
      </c>
      <c r="E60" s="1450">
        <v>22.1</v>
      </c>
      <c r="F60" s="1466">
        <v>9.6199999999999992</v>
      </c>
      <c r="G60" s="1466">
        <v>8.8000000000000007</v>
      </c>
      <c r="H60" s="1538"/>
      <c r="I60" s="1526"/>
      <c r="J60" s="1526"/>
      <c r="K60" s="1460">
        <v>3.6</v>
      </c>
      <c r="L60" s="1454">
        <v>5.5</v>
      </c>
      <c r="M60" s="1459">
        <v>3.33</v>
      </c>
      <c r="N60" s="1516">
        <v>6</v>
      </c>
      <c r="O60" s="1517">
        <v>11</v>
      </c>
      <c r="P60" s="1459">
        <v>1</v>
      </c>
      <c r="Q60" s="1516">
        <v>1.8</v>
      </c>
      <c r="R60" s="1517">
        <v>3.3</v>
      </c>
      <c r="S60" s="1459">
        <v>2.46</v>
      </c>
      <c r="T60" s="1451">
        <v>3.51</v>
      </c>
      <c r="U60" s="1455">
        <v>4.8</v>
      </c>
      <c r="V60" s="1456">
        <v>19.71</v>
      </c>
      <c r="W60" s="1457">
        <v>21.35</v>
      </c>
      <c r="X60" s="1458">
        <v>25.71</v>
      </c>
      <c r="Y60" s="1459">
        <v>1.5</v>
      </c>
      <c r="Z60" s="1460">
        <v>1.8</v>
      </c>
      <c r="AA60" s="1456">
        <v>20</v>
      </c>
      <c r="AB60" s="1462">
        <v>30</v>
      </c>
      <c r="AC60" s="1463" t="s">
        <v>1104</v>
      </c>
      <c r="AD60" s="1528">
        <v>2.56</v>
      </c>
      <c r="AE60" s="1465">
        <v>1.17</v>
      </c>
      <c r="AF60" s="1529">
        <v>0.24</v>
      </c>
      <c r="AG60" s="1224">
        <v>0.05</v>
      </c>
      <c r="AH60" s="1467">
        <v>79</v>
      </c>
      <c r="AI60">
        <v>0</v>
      </c>
      <c r="AK60" s="122">
        <v>0.9</v>
      </c>
      <c r="AL60" s="1045">
        <v>1</v>
      </c>
      <c r="AM60" s="295">
        <v>2</v>
      </c>
      <c r="AN60" s="295">
        <f t="shared" si="17"/>
        <v>2</v>
      </c>
      <c r="AO60" s="295">
        <v>60</v>
      </c>
      <c r="AP60" s="125">
        <v>90</v>
      </c>
      <c r="AQ60" s="125">
        <v>10</v>
      </c>
      <c r="AS60" s="962">
        <v>0.85</v>
      </c>
      <c r="AT60" s="125">
        <v>400</v>
      </c>
      <c r="AU60" s="125">
        <v>60</v>
      </c>
      <c r="AV60" s="962">
        <v>0.82</v>
      </c>
      <c r="AW60" s="125">
        <v>400</v>
      </c>
      <c r="AX60" s="125">
        <v>60</v>
      </c>
      <c r="AY60" s="125">
        <v>40</v>
      </c>
      <c r="AZ60" s="125">
        <v>100</v>
      </c>
      <c r="BC60" s="125">
        <f t="shared" si="18"/>
        <v>0</v>
      </c>
      <c r="BD60" s="125">
        <f t="shared" si="19"/>
        <v>0</v>
      </c>
      <c r="BE60" s="2289">
        <f t="shared" si="20"/>
        <v>22.1</v>
      </c>
      <c r="BF60" s="125">
        <f t="shared" si="21"/>
        <v>0</v>
      </c>
      <c r="BH60" s="1326" cm="1">
        <f t="array" ref="BH60">INDEX(BM$9:BM$17,$C60)</f>
        <v>3.3</v>
      </c>
      <c r="BI60" s="1326" cm="1">
        <f t="array" ref="BI60">INDEX(BN$9:BN$17,$C60)</f>
        <v>0.2</v>
      </c>
      <c r="BJ60" s="1326" cm="1">
        <f t="array" ref="BJ60">INDEX(BO$9:BO$17,$C60)</f>
        <v>3.1</v>
      </c>
    </row>
    <row r="61" spans="1:62" x14ac:dyDescent="0.2">
      <c r="A61" s="49"/>
      <c r="B61" s="1448" t="s">
        <v>68</v>
      </c>
      <c r="C61" s="1373">
        <v>3</v>
      </c>
      <c r="D61" s="1544">
        <v>4.0000000000000001E-3</v>
      </c>
      <c r="E61" s="1452">
        <v>0.81</v>
      </c>
      <c r="F61" s="1451">
        <v>0.42</v>
      </c>
      <c r="G61" s="1451">
        <v>0.4</v>
      </c>
      <c r="H61" s="1525"/>
      <c r="I61" s="1545"/>
      <c r="J61" s="1545"/>
      <c r="K61" s="1546"/>
      <c r="L61" s="1214"/>
      <c r="M61" s="1547">
        <v>0.88750000000000007</v>
      </c>
      <c r="N61" s="1547">
        <v>0.88750000000000007</v>
      </c>
      <c r="O61" s="1462">
        <f>R61/D61</f>
        <v>0.88750000000000007</v>
      </c>
      <c r="P61" s="1548">
        <v>3.5500000000000002E-3</v>
      </c>
      <c r="Q61" s="1548">
        <v>3.5500000000000002E-3</v>
      </c>
      <c r="R61" s="1548">
        <v>3.5500000000000002E-3</v>
      </c>
      <c r="S61" s="1549">
        <v>2.3400000000000001E-2</v>
      </c>
      <c r="T61" s="1549">
        <v>2.3400000000000001E-2</v>
      </c>
      <c r="U61" s="1549">
        <v>2.3400000000000001E-2</v>
      </c>
      <c r="V61" s="1461">
        <v>50</v>
      </c>
      <c r="W61" s="1522">
        <v>50</v>
      </c>
      <c r="X61" s="1462">
        <v>50</v>
      </c>
      <c r="Y61" s="1550">
        <v>0</v>
      </c>
      <c r="Z61" s="1460"/>
      <c r="AA61" s="1456">
        <v>40</v>
      </c>
      <c r="AB61" s="1458">
        <v>40</v>
      </c>
      <c r="AC61" s="1527" t="s">
        <v>1105</v>
      </c>
      <c r="AD61" s="1528">
        <v>3.5</v>
      </c>
      <c r="AE61" s="1465">
        <v>1.28</v>
      </c>
      <c r="AF61" s="1529">
        <v>0.3</v>
      </c>
      <c r="AG61" s="1224">
        <v>0.06</v>
      </c>
      <c r="AI61">
        <v>0</v>
      </c>
      <c r="AK61" s="122">
        <v>0.7</v>
      </c>
      <c r="AL61" s="1045">
        <v>5</v>
      </c>
      <c r="AM61" s="295">
        <v>5</v>
      </c>
      <c r="AN61" s="295">
        <f t="shared" si="17"/>
        <v>5</v>
      </c>
      <c r="AO61" s="295">
        <v>50</v>
      </c>
      <c r="AP61" s="125">
        <v>90</v>
      </c>
      <c r="AQ61" s="125">
        <v>45</v>
      </c>
      <c r="AS61" s="962">
        <v>0.74</v>
      </c>
      <c r="AT61" s="125">
        <v>500</v>
      </c>
      <c r="AU61" s="125">
        <v>58</v>
      </c>
      <c r="AV61" s="962">
        <v>0.75</v>
      </c>
      <c r="AW61" s="125">
        <v>500</v>
      </c>
      <c r="AX61" s="125">
        <v>55</v>
      </c>
      <c r="AY61" s="125">
        <v>40</v>
      </c>
      <c r="AZ61" s="125">
        <v>100</v>
      </c>
      <c r="BC61" s="125">
        <f t="shared" si="18"/>
        <v>0</v>
      </c>
      <c r="BD61" s="125">
        <f t="shared" si="19"/>
        <v>0</v>
      </c>
      <c r="BE61" s="2289">
        <f t="shared" si="20"/>
        <v>0.81</v>
      </c>
      <c r="BF61" s="125">
        <f t="shared" si="21"/>
        <v>0</v>
      </c>
      <c r="BH61" s="1326" cm="1">
        <f t="array" ref="BH61">INDEX(BM$9:BM$17,$C61)</f>
        <v>0</v>
      </c>
      <c r="BI61" s="1326" cm="1">
        <f t="array" ref="BI61">INDEX(BN$9:BN$17,$C61)</f>
        <v>0</v>
      </c>
      <c r="BJ61" s="1326" cm="1">
        <f t="array" ref="BJ61">INDEX(BO$9:BO$17,$C61)</f>
        <v>0</v>
      </c>
    </row>
    <row r="62" spans="1:62" x14ac:dyDescent="0.2">
      <c r="A62" s="49"/>
      <c r="B62" s="1448" t="s">
        <v>69</v>
      </c>
      <c r="C62" s="1373">
        <v>3</v>
      </c>
      <c r="D62" s="1544">
        <v>4.0000000000000001E-3</v>
      </c>
      <c r="E62" s="1452">
        <v>0.78</v>
      </c>
      <c r="F62" s="1451">
        <v>0.37</v>
      </c>
      <c r="G62" s="1451">
        <v>0.4</v>
      </c>
      <c r="H62" s="1525"/>
      <c r="I62" s="1545"/>
      <c r="J62" s="1545"/>
      <c r="K62" s="1546"/>
      <c r="L62" s="1214"/>
      <c r="M62" s="1547">
        <v>0.87750000000000006</v>
      </c>
      <c r="N62" s="1547">
        <v>0.87750000000000006</v>
      </c>
      <c r="O62" s="1462">
        <f t="shared" ref="O62:O85" si="41">R62/D62</f>
        <v>0.87750000000000006</v>
      </c>
      <c r="P62" s="1548">
        <v>3.5100000000000001E-3</v>
      </c>
      <c r="Q62" s="1548">
        <v>3.5100000000000001E-3</v>
      </c>
      <c r="R62" s="1548">
        <v>3.5100000000000001E-3</v>
      </c>
      <c r="S62" s="1549">
        <v>2.3400000000000001E-2</v>
      </c>
      <c r="T62" s="1549">
        <v>2.3400000000000001E-2</v>
      </c>
      <c r="U62" s="1549">
        <v>2.3400000000000001E-2</v>
      </c>
      <c r="V62" s="1461">
        <v>50</v>
      </c>
      <c r="W62" s="1522">
        <v>50</v>
      </c>
      <c r="X62" s="1462">
        <v>50</v>
      </c>
      <c r="Y62" s="1550">
        <v>0</v>
      </c>
      <c r="Z62" s="1460"/>
      <c r="AA62" s="1456">
        <v>40</v>
      </c>
      <c r="AB62" s="1458">
        <v>40</v>
      </c>
      <c r="AC62" s="1527" t="s">
        <v>1105</v>
      </c>
      <c r="AD62" s="1528">
        <v>3.5</v>
      </c>
      <c r="AE62" s="1465">
        <v>1.28</v>
      </c>
      <c r="AF62" s="1529">
        <v>0.3</v>
      </c>
      <c r="AG62" s="1224">
        <v>0.06</v>
      </c>
      <c r="AI62">
        <v>0</v>
      </c>
      <c r="AK62" s="122">
        <v>0.7</v>
      </c>
      <c r="AL62" s="1045">
        <v>5</v>
      </c>
      <c r="AM62" s="295">
        <v>5</v>
      </c>
      <c r="AN62" s="295">
        <f t="shared" si="17"/>
        <v>5</v>
      </c>
      <c r="AO62" s="295">
        <v>50</v>
      </c>
      <c r="AP62" s="125">
        <v>90</v>
      </c>
      <c r="AQ62" s="125">
        <v>45</v>
      </c>
      <c r="AS62" s="962">
        <v>0.74</v>
      </c>
      <c r="AT62" s="125">
        <v>500</v>
      </c>
      <c r="AU62" s="125">
        <v>58</v>
      </c>
      <c r="AV62" s="962">
        <v>0.75</v>
      </c>
      <c r="AW62" s="125">
        <v>500</v>
      </c>
      <c r="AX62" s="125">
        <v>55</v>
      </c>
      <c r="AY62" s="125">
        <v>40</v>
      </c>
      <c r="AZ62" s="125">
        <v>100</v>
      </c>
      <c r="BC62" s="125">
        <f t="shared" si="18"/>
        <v>0</v>
      </c>
      <c r="BD62" s="125">
        <f t="shared" si="19"/>
        <v>0</v>
      </c>
      <c r="BE62" s="2289">
        <f t="shared" si="20"/>
        <v>0.78</v>
      </c>
      <c r="BF62" s="125">
        <f t="shared" si="21"/>
        <v>0</v>
      </c>
      <c r="BH62" s="1326" cm="1">
        <f t="array" ref="BH62">INDEX(BM$9:BM$17,$C62)</f>
        <v>0</v>
      </c>
      <c r="BI62" s="1326" cm="1">
        <f t="array" ref="BI62">INDEX(BN$9:BN$17,$C62)</f>
        <v>0</v>
      </c>
      <c r="BJ62" s="1326" cm="1">
        <f t="array" ref="BJ62">INDEX(BO$9:BO$17,$C62)</f>
        <v>0</v>
      </c>
    </row>
    <row r="63" spans="1:62" x14ac:dyDescent="0.2">
      <c r="A63" s="49"/>
      <c r="B63" s="1448" t="s">
        <v>70</v>
      </c>
      <c r="C63" s="1373">
        <v>3</v>
      </c>
      <c r="D63" s="1544">
        <v>4.0000000000000001E-3</v>
      </c>
      <c r="E63" s="1452">
        <v>0.28999999999999998</v>
      </c>
      <c r="F63" s="1451">
        <v>0.19</v>
      </c>
      <c r="G63" s="1451">
        <v>0.17</v>
      </c>
      <c r="H63" s="1525"/>
      <c r="I63" s="1545"/>
      <c r="J63" s="1545"/>
      <c r="K63" s="1551"/>
      <c r="L63" s="1552"/>
      <c r="M63" s="1547">
        <v>0.505</v>
      </c>
      <c r="N63" s="1547">
        <v>0.505</v>
      </c>
      <c r="O63" s="1462">
        <f t="shared" si="41"/>
        <v>0.505</v>
      </c>
      <c r="P63" s="1548">
        <v>2.0200000000000001E-3</v>
      </c>
      <c r="Q63" s="1548">
        <v>2.0200000000000001E-3</v>
      </c>
      <c r="R63" s="1548">
        <v>2.0200000000000001E-3</v>
      </c>
      <c r="S63" s="1549">
        <v>7.4000000000000003E-3</v>
      </c>
      <c r="T63" s="1549">
        <v>7.4000000000000003E-3</v>
      </c>
      <c r="U63" s="1549">
        <v>7.4000000000000003E-3</v>
      </c>
      <c r="V63" s="1461">
        <v>50</v>
      </c>
      <c r="W63" s="1522">
        <v>50</v>
      </c>
      <c r="X63" s="1462">
        <v>50</v>
      </c>
      <c r="Y63" s="1550">
        <v>0</v>
      </c>
      <c r="Z63" s="1460"/>
      <c r="AA63" s="1456">
        <v>40</v>
      </c>
      <c r="AB63" s="1458">
        <v>40</v>
      </c>
      <c r="AC63" s="1527" t="s">
        <v>1105</v>
      </c>
      <c r="AD63" s="1528">
        <v>3.5</v>
      </c>
      <c r="AE63" s="1465">
        <v>1.28</v>
      </c>
      <c r="AF63" s="1529">
        <v>0.3</v>
      </c>
      <c r="AG63" s="1224">
        <v>0.06</v>
      </c>
      <c r="AI63">
        <v>11.38</v>
      </c>
      <c r="AK63" s="122">
        <v>0.7</v>
      </c>
      <c r="AL63" s="1045">
        <v>5</v>
      </c>
      <c r="AM63" s="295">
        <v>5</v>
      </c>
      <c r="AN63" s="295">
        <f t="shared" si="17"/>
        <v>5</v>
      </c>
      <c r="AO63" s="295">
        <v>50</v>
      </c>
      <c r="AP63" s="125">
        <v>90</v>
      </c>
      <c r="AQ63" s="125">
        <v>45</v>
      </c>
      <c r="AS63" s="962">
        <v>0.74</v>
      </c>
      <c r="AT63" s="125">
        <v>500</v>
      </c>
      <c r="AU63" s="125">
        <v>58</v>
      </c>
      <c r="AV63" s="962">
        <v>0.75</v>
      </c>
      <c r="AW63" s="125">
        <v>500</v>
      </c>
      <c r="AX63" s="125">
        <v>55</v>
      </c>
      <c r="AY63" s="125">
        <v>40</v>
      </c>
      <c r="AZ63" s="125">
        <v>100</v>
      </c>
      <c r="BC63" s="125">
        <f t="shared" si="18"/>
        <v>0.39830000000000004</v>
      </c>
      <c r="BD63" s="125">
        <f t="shared" si="19"/>
        <v>0.14566400000000002</v>
      </c>
      <c r="BE63" s="2289">
        <f t="shared" si="20"/>
        <v>0.68830000000000002</v>
      </c>
      <c r="BF63" s="125">
        <f t="shared" si="21"/>
        <v>0</v>
      </c>
      <c r="BH63" s="1326" cm="1">
        <f t="array" ref="BH63">INDEX(BM$9:BM$17,$C63)</f>
        <v>0</v>
      </c>
      <c r="BI63" s="1326" cm="1">
        <f t="array" ref="BI63">INDEX(BN$9:BN$17,$C63)</f>
        <v>0</v>
      </c>
      <c r="BJ63" s="1326" cm="1">
        <f t="array" ref="BJ63">INDEX(BO$9:BO$17,$C63)</f>
        <v>0</v>
      </c>
    </row>
    <row r="64" spans="1:62" x14ac:dyDescent="0.2">
      <c r="A64" s="49"/>
      <c r="B64" s="1448" t="s">
        <v>71</v>
      </c>
      <c r="C64" s="1373">
        <v>3</v>
      </c>
      <c r="D64" s="1544">
        <v>4.0000000000000001E-3</v>
      </c>
      <c r="E64" s="1452">
        <v>0.27</v>
      </c>
      <c r="F64" s="1451">
        <v>0.16</v>
      </c>
      <c r="G64" s="1451">
        <v>0.16</v>
      </c>
      <c r="H64" s="1525"/>
      <c r="I64" s="1545"/>
      <c r="J64" s="1545"/>
      <c r="K64" s="1551"/>
      <c r="L64" s="1552"/>
      <c r="M64" s="1547">
        <v>0.505</v>
      </c>
      <c r="N64" s="1547">
        <v>0.505</v>
      </c>
      <c r="O64" s="1462">
        <f t="shared" si="41"/>
        <v>0.505</v>
      </c>
      <c r="P64" s="1548">
        <v>2.0200000000000001E-3</v>
      </c>
      <c r="Q64" s="1548">
        <v>2.0200000000000001E-3</v>
      </c>
      <c r="R64" s="1548">
        <v>2.0200000000000001E-3</v>
      </c>
      <c r="S64" s="1549">
        <v>7.4000000000000003E-3</v>
      </c>
      <c r="T64" s="1549">
        <v>7.4000000000000003E-3</v>
      </c>
      <c r="U64" s="1549">
        <v>7.4000000000000003E-3</v>
      </c>
      <c r="V64" s="1461">
        <v>50</v>
      </c>
      <c r="W64" s="1522">
        <v>50</v>
      </c>
      <c r="X64" s="1462">
        <v>50</v>
      </c>
      <c r="Y64" s="1550">
        <v>0</v>
      </c>
      <c r="Z64" s="1460"/>
      <c r="AA64" s="1456">
        <v>40</v>
      </c>
      <c r="AB64" s="1458">
        <v>40</v>
      </c>
      <c r="AC64" s="1527" t="s">
        <v>1105</v>
      </c>
      <c r="AD64" s="1528">
        <v>3.5</v>
      </c>
      <c r="AE64" s="1465">
        <v>1.28</v>
      </c>
      <c r="AF64" s="1529">
        <v>0.3</v>
      </c>
      <c r="AG64" s="1224">
        <v>0.06</v>
      </c>
      <c r="AI64">
        <v>11.38</v>
      </c>
      <c r="AK64" s="122">
        <v>0.7</v>
      </c>
      <c r="AL64" s="1045">
        <v>5</v>
      </c>
      <c r="AM64" s="295">
        <v>5</v>
      </c>
      <c r="AN64" s="295">
        <f t="shared" si="17"/>
        <v>5</v>
      </c>
      <c r="AO64" s="295">
        <v>50</v>
      </c>
      <c r="AP64" s="125">
        <v>90</v>
      </c>
      <c r="AQ64" s="125">
        <v>45</v>
      </c>
      <c r="AS64" s="962">
        <v>0.74</v>
      </c>
      <c r="AT64" s="125">
        <v>500</v>
      </c>
      <c r="AU64" s="125">
        <v>58</v>
      </c>
      <c r="AV64" s="962">
        <v>0.75</v>
      </c>
      <c r="AW64" s="125">
        <v>500</v>
      </c>
      <c r="AX64" s="125">
        <v>55</v>
      </c>
      <c r="AY64" s="125">
        <v>40</v>
      </c>
      <c r="AZ64" s="125">
        <v>100</v>
      </c>
      <c r="BC64" s="125">
        <f t="shared" si="18"/>
        <v>0.39830000000000004</v>
      </c>
      <c r="BD64" s="125">
        <f t="shared" si="19"/>
        <v>0.14566400000000002</v>
      </c>
      <c r="BE64" s="2289">
        <f t="shared" si="20"/>
        <v>0.66830000000000012</v>
      </c>
      <c r="BF64" s="125">
        <f t="shared" si="21"/>
        <v>0</v>
      </c>
      <c r="BH64" s="1326" cm="1">
        <f t="array" ref="BH64">INDEX(BM$9:BM$17,$C64)</f>
        <v>0</v>
      </c>
      <c r="BI64" s="1326" cm="1">
        <f t="array" ref="BI64">INDEX(BN$9:BN$17,$C64)</f>
        <v>0</v>
      </c>
      <c r="BJ64" s="1326" cm="1">
        <f t="array" ref="BJ64">INDEX(BO$9:BO$17,$C64)</f>
        <v>0</v>
      </c>
    </row>
    <row r="65" spans="1:62" x14ac:dyDescent="0.2">
      <c r="A65" s="40"/>
      <c r="B65" s="1553" t="s">
        <v>72</v>
      </c>
      <c r="C65" s="1492">
        <v>3</v>
      </c>
      <c r="D65" s="1554">
        <v>4.0000000000000001E-3</v>
      </c>
      <c r="E65" s="1531">
        <v>0.52</v>
      </c>
      <c r="F65" s="1496">
        <v>0.25</v>
      </c>
      <c r="G65" s="1496">
        <v>0.28000000000000003</v>
      </c>
      <c r="H65" s="1532"/>
      <c r="I65" s="1555"/>
      <c r="J65" s="1555"/>
      <c r="K65" s="1556"/>
      <c r="L65" s="1557"/>
      <c r="M65" s="1558">
        <v>0.46500000000000002</v>
      </c>
      <c r="N65" s="1558">
        <v>0.46500000000000002</v>
      </c>
      <c r="O65" s="1462">
        <f t="shared" si="41"/>
        <v>0.46500000000000002</v>
      </c>
      <c r="P65" s="1559">
        <v>1.8600000000000001E-3</v>
      </c>
      <c r="Q65" s="1559">
        <v>1.8600000000000001E-3</v>
      </c>
      <c r="R65" s="1559">
        <v>1.8600000000000001E-3</v>
      </c>
      <c r="S65" s="1559">
        <v>1.4800000000000001E-2</v>
      </c>
      <c r="T65" s="1559">
        <v>1.4800000000000001E-2</v>
      </c>
      <c r="U65" s="1559">
        <v>1.4800000000000001E-2</v>
      </c>
      <c r="V65" s="1508">
        <v>60</v>
      </c>
      <c r="W65" s="1560">
        <v>60</v>
      </c>
      <c r="X65" s="1509">
        <v>60</v>
      </c>
      <c r="Y65" s="1561">
        <v>0</v>
      </c>
      <c r="Z65" s="1507"/>
      <c r="AA65" s="1504">
        <v>40</v>
      </c>
      <c r="AB65" s="1506">
        <v>40</v>
      </c>
      <c r="AC65" s="1534" t="s">
        <v>1106</v>
      </c>
      <c r="AD65" s="1535">
        <v>3</v>
      </c>
      <c r="AE65" s="1512">
        <v>0.92</v>
      </c>
      <c r="AF65" s="1536">
        <v>0.31</v>
      </c>
      <c r="AG65" s="1537">
        <v>0.06</v>
      </c>
      <c r="AI65" s="2183">
        <v>23.32</v>
      </c>
      <c r="AK65" s="122">
        <v>0.7</v>
      </c>
      <c r="AL65" s="1045">
        <v>5</v>
      </c>
      <c r="AM65" s="295">
        <v>5</v>
      </c>
      <c r="AN65" s="295">
        <f t="shared" si="17"/>
        <v>5</v>
      </c>
      <c r="AO65" s="295">
        <v>50</v>
      </c>
      <c r="AP65" s="125">
        <v>90</v>
      </c>
      <c r="AQ65" s="125">
        <v>45</v>
      </c>
      <c r="AS65" s="962">
        <v>0.74</v>
      </c>
      <c r="AT65" s="125">
        <v>500</v>
      </c>
      <c r="AU65" s="125">
        <v>58</v>
      </c>
      <c r="AV65" s="962">
        <v>0.75</v>
      </c>
      <c r="AW65" s="125">
        <v>500</v>
      </c>
      <c r="AX65" s="125">
        <v>55</v>
      </c>
      <c r="AY65" s="125">
        <v>40</v>
      </c>
      <c r="AZ65" s="125">
        <v>100</v>
      </c>
      <c r="BC65" s="125">
        <f t="shared" si="18"/>
        <v>0.6996</v>
      </c>
      <c r="BD65" s="125">
        <f t="shared" si="19"/>
        <v>0.21454400000000001</v>
      </c>
      <c r="BE65" s="2289">
        <f t="shared" si="20"/>
        <v>1.2196</v>
      </c>
      <c r="BF65" s="125">
        <f t="shared" si="21"/>
        <v>0</v>
      </c>
      <c r="BH65" s="1326" cm="1">
        <f t="array" ref="BH65">INDEX(BM$9:BM$17,$C65)</f>
        <v>0</v>
      </c>
      <c r="BI65" s="1326" cm="1">
        <f t="array" ref="BI65">INDEX(BN$9:BN$17,$C65)</f>
        <v>0</v>
      </c>
      <c r="BJ65" s="1326" cm="1">
        <f t="array" ref="BJ65">INDEX(BO$9:BO$17,$C65)</f>
        <v>0</v>
      </c>
    </row>
    <row r="66" spans="1:62" x14ac:dyDescent="0.2">
      <c r="A66" s="40"/>
      <c r="B66" s="1491" t="s">
        <v>73</v>
      </c>
      <c r="C66" s="1492">
        <v>3</v>
      </c>
      <c r="D66" s="1554">
        <v>4.0000000000000001E-3</v>
      </c>
      <c r="E66" s="1531">
        <v>0.48</v>
      </c>
      <c r="F66" s="1496">
        <v>0.23</v>
      </c>
      <c r="G66" s="1496">
        <v>0.28000000000000003</v>
      </c>
      <c r="H66" s="1532"/>
      <c r="I66" s="1555"/>
      <c r="J66" s="1555"/>
      <c r="K66" s="1556"/>
      <c r="L66" s="1557"/>
      <c r="M66" s="1558">
        <v>0.46500000000000002</v>
      </c>
      <c r="N66" s="1558">
        <v>0.46500000000000002</v>
      </c>
      <c r="O66" s="1462">
        <f t="shared" si="41"/>
        <v>0.46500000000000002</v>
      </c>
      <c r="P66" s="1559">
        <v>1.8600000000000001E-3</v>
      </c>
      <c r="Q66" s="1559">
        <v>1.8600000000000001E-3</v>
      </c>
      <c r="R66" s="1559">
        <v>1.8600000000000001E-3</v>
      </c>
      <c r="S66" s="1559">
        <v>1.4800000000000001E-2</v>
      </c>
      <c r="T66" s="1559">
        <v>1.4800000000000001E-2</v>
      </c>
      <c r="U66" s="1559">
        <v>1.4800000000000001E-2</v>
      </c>
      <c r="V66" s="1508">
        <v>60</v>
      </c>
      <c r="W66" s="1560">
        <v>60</v>
      </c>
      <c r="X66" s="1509">
        <v>60</v>
      </c>
      <c r="Y66" s="1561">
        <v>0</v>
      </c>
      <c r="Z66" s="1507"/>
      <c r="AA66" s="1504">
        <v>40</v>
      </c>
      <c r="AB66" s="1506">
        <v>40</v>
      </c>
      <c r="AC66" s="1534" t="s">
        <v>1106</v>
      </c>
      <c r="AD66" s="1535">
        <v>3</v>
      </c>
      <c r="AE66" s="1512">
        <v>0.92</v>
      </c>
      <c r="AF66" s="1536">
        <v>0.31</v>
      </c>
      <c r="AG66" s="1537">
        <v>0.06</v>
      </c>
      <c r="AI66" s="2183">
        <v>23.32</v>
      </c>
      <c r="AK66" s="122">
        <v>0.7</v>
      </c>
      <c r="AL66" s="1045">
        <v>5</v>
      </c>
      <c r="AM66" s="295">
        <v>5</v>
      </c>
      <c r="AN66" s="295">
        <f>AM66</f>
        <v>5</v>
      </c>
      <c r="AO66" s="295">
        <v>50</v>
      </c>
      <c r="AP66" s="125">
        <v>90</v>
      </c>
      <c r="AQ66" s="125">
        <v>45</v>
      </c>
      <c r="AS66" s="962">
        <v>0.74</v>
      </c>
      <c r="AT66" s="125">
        <v>500</v>
      </c>
      <c r="AU66" s="125">
        <v>58</v>
      </c>
      <c r="AV66" s="962">
        <v>0.75</v>
      </c>
      <c r="AW66" s="125">
        <v>500</v>
      </c>
      <c r="AX66" s="125">
        <v>55</v>
      </c>
      <c r="AY66" s="125">
        <v>40</v>
      </c>
      <c r="AZ66" s="125">
        <v>100</v>
      </c>
      <c r="BC66" s="125">
        <f t="shared" si="18"/>
        <v>0.6996</v>
      </c>
      <c r="BD66" s="125">
        <f t="shared" si="19"/>
        <v>0.21454400000000001</v>
      </c>
      <c r="BE66" s="2289">
        <f t="shared" si="20"/>
        <v>1.1796</v>
      </c>
      <c r="BF66" s="125">
        <f t="shared" si="21"/>
        <v>0</v>
      </c>
      <c r="BH66" s="1326" cm="1">
        <f t="array" ref="BH66">INDEX(BM$9:BM$17,$C66)</f>
        <v>0</v>
      </c>
      <c r="BI66" s="1326" cm="1">
        <f t="array" ref="BI66">INDEX(BN$9:BN$17,$C66)</f>
        <v>0</v>
      </c>
      <c r="BJ66" s="1326" cm="1">
        <f t="array" ref="BJ66">INDEX(BO$9:BO$17,$C66)</f>
        <v>0</v>
      </c>
    </row>
    <row r="67" spans="1:62" x14ac:dyDescent="0.2">
      <c r="A67" s="40"/>
      <c r="B67" s="1562" t="s">
        <v>74</v>
      </c>
      <c r="C67" s="1373">
        <v>3</v>
      </c>
      <c r="D67" s="1544">
        <v>4.0000000000000001E-3</v>
      </c>
      <c r="E67" s="1450">
        <v>2.42</v>
      </c>
      <c r="F67" s="1466">
        <v>1.37</v>
      </c>
      <c r="G67" s="1466">
        <v>1.17</v>
      </c>
      <c r="H67" s="1525"/>
      <c r="I67" s="1545"/>
      <c r="J67" s="1545"/>
      <c r="K67" s="1563"/>
      <c r="L67" s="1552"/>
      <c r="M67" s="1547">
        <v>5.4249999999999998</v>
      </c>
      <c r="N67" s="1547">
        <v>5.4249999999999998</v>
      </c>
      <c r="O67" s="1462">
        <f t="shared" si="41"/>
        <v>5.4249999999999998</v>
      </c>
      <c r="P67" s="1548">
        <v>2.1700000000000001E-2</v>
      </c>
      <c r="Q67" s="1548">
        <v>2.1700000000000001E-2</v>
      </c>
      <c r="R67" s="1548">
        <v>2.1700000000000001E-2</v>
      </c>
      <c r="S67" s="1548">
        <v>5.4699999999999999E-2</v>
      </c>
      <c r="T67" s="1548">
        <v>5.4699999999999999E-2</v>
      </c>
      <c r="U67" s="1548">
        <v>5.4699999999999999E-2</v>
      </c>
      <c r="V67" s="1461">
        <v>50</v>
      </c>
      <c r="W67" s="1522">
        <v>50</v>
      </c>
      <c r="X67" s="1462">
        <v>50</v>
      </c>
      <c r="Y67" s="1550">
        <v>0</v>
      </c>
      <c r="Z67" s="1460"/>
      <c r="AA67" s="1456">
        <v>40</v>
      </c>
      <c r="AB67" s="1458">
        <v>40</v>
      </c>
      <c r="AC67" s="1463" t="s">
        <v>1107</v>
      </c>
      <c r="AD67" s="1528">
        <v>3.3</v>
      </c>
      <c r="AE67" s="1465">
        <v>1.17</v>
      </c>
      <c r="AF67" s="1529">
        <v>0.3</v>
      </c>
      <c r="AG67" s="1224">
        <v>0.06</v>
      </c>
      <c r="AI67">
        <v>54.72</v>
      </c>
      <c r="AK67" s="122">
        <v>0.7</v>
      </c>
      <c r="AL67" s="1045">
        <v>5</v>
      </c>
      <c r="AM67" s="295">
        <v>5</v>
      </c>
      <c r="AN67" s="295">
        <f t="shared" si="17"/>
        <v>5</v>
      </c>
      <c r="AO67" s="295">
        <v>50</v>
      </c>
      <c r="AP67" s="125">
        <v>90</v>
      </c>
      <c r="AQ67" s="125">
        <v>45</v>
      </c>
      <c r="AS67" s="962">
        <v>0.74</v>
      </c>
      <c r="AT67" s="125">
        <v>500</v>
      </c>
      <c r="AU67" s="125">
        <v>58</v>
      </c>
      <c r="AV67" s="962">
        <v>0.75</v>
      </c>
      <c r="AW67" s="125">
        <v>500</v>
      </c>
      <c r="AX67" s="125">
        <v>55</v>
      </c>
      <c r="AY67" s="125">
        <v>40</v>
      </c>
      <c r="AZ67" s="125">
        <v>100</v>
      </c>
      <c r="BC67" s="125">
        <f t="shared" si="18"/>
        <v>1.80576</v>
      </c>
      <c r="BD67" s="125">
        <f t="shared" si="19"/>
        <v>0.64022400000000002</v>
      </c>
      <c r="BE67" s="2289">
        <f t="shared" si="20"/>
        <v>4.2257600000000002</v>
      </c>
      <c r="BF67" s="125">
        <f t="shared" si="21"/>
        <v>0</v>
      </c>
      <c r="BH67" s="1326" cm="1">
        <f t="array" ref="BH67">INDEX(BM$9:BM$17,$C67)</f>
        <v>0</v>
      </c>
      <c r="BI67" s="1326" cm="1">
        <f t="array" ref="BI67">INDEX(BN$9:BN$17,$C67)</f>
        <v>0</v>
      </c>
      <c r="BJ67" s="1326" cm="1">
        <f t="array" ref="BJ67">INDEX(BO$9:BO$17,$C67)</f>
        <v>0</v>
      </c>
    </row>
    <row r="68" spans="1:62" x14ac:dyDescent="0.2">
      <c r="A68" s="40"/>
      <c r="B68" s="1562" t="s">
        <v>75</v>
      </c>
      <c r="C68" s="1373">
        <v>3</v>
      </c>
      <c r="D68" s="1544">
        <v>4.0000000000000001E-3</v>
      </c>
      <c r="E68" s="1450">
        <v>2.25</v>
      </c>
      <c r="F68" s="1466">
        <v>1.06</v>
      </c>
      <c r="G68" s="1466">
        <v>1.1100000000000001</v>
      </c>
      <c r="H68" s="1525"/>
      <c r="I68" s="1545"/>
      <c r="J68" s="1545"/>
      <c r="K68" s="1563"/>
      <c r="L68" s="1552"/>
      <c r="M68" s="1547">
        <v>5.4249999999999998</v>
      </c>
      <c r="N68" s="1547">
        <v>5.4249999999999998</v>
      </c>
      <c r="O68" s="1462">
        <f t="shared" si="41"/>
        <v>5.4249999999999998</v>
      </c>
      <c r="P68" s="1548">
        <v>2.1700000000000001E-2</v>
      </c>
      <c r="Q68" s="1548">
        <v>2.1700000000000001E-2</v>
      </c>
      <c r="R68" s="1548">
        <v>2.1700000000000001E-2</v>
      </c>
      <c r="S68" s="1548">
        <v>5.4699999999999999E-2</v>
      </c>
      <c r="T68" s="1548">
        <v>5.4699999999999999E-2</v>
      </c>
      <c r="U68" s="1548">
        <v>5.4699999999999999E-2</v>
      </c>
      <c r="V68" s="1461">
        <v>50</v>
      </c>
      <c r="W68" s="1522">
        <v>50</v>
      </c>
      <c r="X68" s="1462">
        <v>50</v>
      </c>
      <c r="Y68" s="1550">
        <v>0</v>
      </c>
      <c r="Z68" s="1460"/>
      <c r="AA68" s="1456">
        <v>40</v>
      </c>
      <c r="AB68" s="1458">
        <v>40</v>
      </c>
      <c r="AC68" s="1463" t="s">
        <v>1107</v>
      </c>
      <c r="AD68" s="1528">
        <v>3.3</v>
      </c>
      <c r="AE68" s="1465">
        <v>1.17</v>
      </c>
      <c r="AF68" s="1529">
        <v>0.3</v>
      </c>
      <c r="AG68" s="1224">
        <v>0.06</v>
      </c>
      <c r="AI68">
        <v>54.72</v>
      </c>
      <c r="AK68" s="122">
        <v>0.7</v>
      </c>
      <c r="AL68" s="1045">
        <v>5</v>
      </c>
      <c r="AM68" s="295">
        <v>5</v>
      </c>
      <c r="AN68" s="295">
        <f t="shared" si="17"/>
        <v>5</v>
      </c>
      <c r="AO68" s="295">
        <v>50</v>
      </c>
      <c r="AP68" s="125">
        <v>90</v>
      </c>
      <c r="AQ68" s="125">
        <v>45</v>
      </c>
      <c r="AS68" s="962">
        <v>0.74</v>
      </c>
      <c r="AT68" s="125">
        <v>500</v>
      </c>
      <c r="AU68" s="125">
        <v>58</v>
      </c>
      <c r="AV68" s="962">
        <v>0.75</v>
      </c>
      <c r="AW68" s="125">
        <v>500</v>
      </c>
      <c r="AX68" s="125">
        <v>55</v>
      </c>
      <c r="AY68" s="125">
        <v>40</v>
      </c>
      <c r="AZ68" s="125">
        <v>100</v>
      </c>
      <c r="BC68" s="125">
        <f t="shared" si="18"/>
        <v>1.80576</v>
      </c>
      <c r="BD68" s="125">
        <f t="shared" si="19"/>
        <v>0.64022400000000002</v>
      </c>
      <c r="BE68" s="2289">
        <f t="shared" si="20"/>
        <v>4.0557600000000003</v>
      </c>
      <c r="BF68" s="125">
        <f t="shared" si="21"/>
        <v>0</v>
      </c>
      <c r="BH68" s="1326" cm="1">
        <f t="array" ref="BH68">INDEX(BM$9:BM$17,$C68)</f>
        <v>0</v>
      </c>
      <c r="BI68" s="1326" cm="1">
        <f t="array" ref="BI68">INDEX(BN$9:BN$17,$C68)</f>
        <v>0</v>
      </c>
      <c r="BJ68" s="1326" cm="1">
        <f t="array" ref="BJ68">INDEX(BO$9:BO$17,$C68)</f>
        <v>0</v>
      </c>
    </row>
    <row r="69" spans="1:62" x14ac:dyDescent="0.2">
      <c r="A69" s="40"/>
      <c r="B69" s="1562" t="s">
        <v>76</v>
      </c>
      <c r="C69" s="1373">
        <v>3</v>
      </c>
      <c r="D69" s="1544">
        <v>4.0000000000000001E-3</v>
      </c>
      <c r="E69" s="1450">
        <v>1.72</v>
      </c>
      <c r="F69" s="1466">
        <v>0.94</v>
      </c>
      <c r="G69" s="1466">
        <v>0.96</v>
      </c>
      <c r="H69" s="1525"/>
      <c r="I69" s="1545"/>
      <c r="J69" s="1545"/>
      <c r="K69" s="1546"/>
      <c r="L69" s="1214"/>
      <c r="M69" s="1547">
        <v>4.3499999999999996</v>
      </c>
      <c r="N69" s="1547">
        <v>4.3499999999999996</v>
      </c>
      <c r="O69" s="1462">
        <f t="shared" si="41"/>
        <v>4.3499999999999996</v>
      </c>
      <c r="P69" s="1548">
        <v>1.7399999999999999E-2</v>
      </c>
      <c r="Q69" s="1548">
        <v>1.7399999999999999E-2</v>
      </c>
      <c r="R69" s="1548">
        <v>1.7399999999999999E-2</v>
      </c>
      <c r="S69" s="1548">
        <v>6.0900000000000003E-2</v>
      </c>
      <c r="T69" s="1548">
        <v>6.0900000000000003E-2</v>
      </c>
      <c r="U69" s="1548">
        <v>6.0900000000000003E-2</v>
      </c>
      <c r="V69" s="1461">
        <v>50</v>
      </c>
      <c r="W69" s="1522">
        <v>50</v>
      </c>
      <c r="X69" s="1462">
        <v>50</v>
      </c>
      <c r="Y69" s="1550">
        <v>0</v>
      </c>
      <c r="Z69" s="1460"/>
      <c r="AA69" s="1456">
        <v>40</v>
      </c>
      <c r="AB69" s="1458">
        <v>40</v>
      </c>
      <c r="AC69" s="1463" t="s">
        <v>1107</v>
      </c>
      <c r="AD69" s="1528">
        <v>3.3</v>
      </c>
      <c r="AE69" s="1465">
        <v>1.17</v>
      </c>
      <c r="AF69" s="1529">
        <v>0.3</v>
      </c>
      <c r="AG69" s="1224">
        <v>0.06</v>
      </c>
      <c r="AI69">
        <v>35.43</v>
      </c>
      <c r="AK69" s="122">
        <v>0.7</v>
      </c>
      <c r="AL69" s="1045">
        <v>5</v>
      </c>
      <c r="AM69" s="295">
        <v>5</v>
      </c>
      <c r="AN69" s="295">
        <f t="shared" si="17"/>
        <v>5</v>
      </c>
      <c r="AO69" s="295">
        <v>50</v>
      </c>
      <c r="AP69" s="125">
        <v>90</v>
      </c>
      <c r="AQ69" s="125">
        <v>45</v>
      </c>
      <c r="AS69" s="962">
        <v>0.74</v>
      </c>
      <c r="AT69" s="125">
        <v>500</v>
      </c>
      <c r="AU69" s="125">
        <v>58</v>
      </c>
      <c r="AV69" s="962">
        <v>0.75</v>
      </c>
      <c r="AW69" s="125">
        <v>500</v>
      </c>
      <c r="AX69" s="125">
        <v>55</v>
      </c>
      <c r="AY69" s="125">
        <v>40</v>
      </c>
      <c r="AZ69" s="125">
        <v>100</v>
      </c>
      <c r="BC69" s="125">
        <f t="shared" si="18"/>
        <v>1.16919</v>
      </c>
      <c r="BD69" s="125">
        <f t="shared" si="19"/>
        <v>0.41453099999999998</v>
      </c>
      <c r="BE69" s="2289">
        <f t="shared" si="20"/>
        <v>2.8891900000000001</v>
      </c>
      <c r="BF69" s="125">
        <f t="shared" si="21"/>
        <v>0</v>
      </c>
      <c r="BH69" s="1326" cm="1">
        <f t="array" ref="BH69">INDEX(BM$9:BM$17,$C69)</f>
        <v>0</v>
      </c>
      <c r="BI69" s="1326" cm="1">
        <f t="array" ref="BI69">INDEX(BN$9:BN$17,$C69)</f>
        <v>0</v>
      </c>
      <c r="BJ69" s="1326" cm="1">
        <f t="array" ref="BJ69">INDEX(BO$9:BO$17,$C69)</f>
        <v>0</v>
      </c>
    </row>
    <row r="70" spans="1:62" x14ac:dyDescent="0.2">
      <c r="A70" s="40"/>
      <c r="B70" s="1562" t="s">
        <v>77</v>
      </c>
      <c r="C70" s="1373">
        <v>3</v>
      </c>
      <c r="D70" s="1544">
        <v>4.0000000000000001E-3</v>
      </c>
      <c r="E70" s="1450">
        <v>1.62</v>
      </c>
      <c r="F70" s="1466">
        <v>0.66</v>
      </c>
      <c r="G70" s="1466">
        <v>0.92</v>
      </c>
      <c r="H70" s="1525"/>
      <c r="I70" s="1545"/>
      <c r="J70" s="1545"/>
      <c r="K70" s="1546"/>
      <c r="L70" s="1214"/>
      <c r="M70" s="1547">
        <v>4.3499999999999996</v>
      </c>
      <c r="N70" s="1547">
        <v>4.3499999999999996</v>
      </c>
      <c r="O70" s="1462">
        <f t="shared" si="41"/>
        <v>4.3499999999999996</v>
      </c>
      <c r="P70" s="1548">
        <v>1.7399999999999999E-2</v>
      </c>
      <c r="Q70" s="1548">
        <v>1.7399999999999999E-2</v>
      </c>
      <c r="R70" s="1548">
        <v>1.7399999999999999E-2</v>
      </c>
      <c r="S70" s="1548">
        <v>6.0900000000000003E-2</v>
      </c>
      <c r="T70" s="1548">
        <v>6.0900000000000003E-2</v>
      </c>
      <c r="U70" s="1548">
        <v>6.0900000000000003E-2</v>
      </c>
      <c r="V70" s="1461">
        <v>50</v>
      </c>
      <c r="W70" s="1522">
        <v>50</v>
      </c>
      <c r="X70" s="1462">
        <v>50</v>
      </c>
      <c r="Y70" s="1550">
        <v>0</v>
      </c>
      <c r="Z70" s="1460"/>
      <c r="AA70" s="1456">
        <v>40</v>
      </c>
      <c r="AB70" s="1458">
        <v>40</v>
      </c>
      <c r="AC70" s="1463" t="s">
        <v>1107</v>
      </c>
      <c r="AD70" s="1528">
        <v>3.3</v>
      </c>
      <c r="AE70" s="1465">
        <v>1.17</v>
      </c>
      <c r="AF70" s="1529">
        <v>0.3</v>
      </c>
      <c r="AG70" s="1224">
        <v>0.06</v>
      </c>
      <c r="AI70">
        <v>35.43</v>
      </c>
      <c r="AK70" s="122">
        <v>0.7</v>
      </c>
      <c r="AL70" s="1045">
        <v>5</v>
      </c>
      <c r="AM70" s="295">
        <v>5</v>
      </c>
      <c r="AN70" s="295">
        <f t="shared" si="17"/>
        <v>5</v>
      </c>
      <c r="AO70" s="295">
        <v>50</v>
      </c>
      <c r="AP70" s="125">
        <v>90</v>
      </c>
      <c r="AQ70" s="125">
        <v>45</v>
      </c>
      <c r="AS70" s="962">
        <v>0.74</v>
      </c>
      <c r="AT70" s="125">
        <v>500</v>
      </c>
      <c r="AU70" s="125">
        <v>58</v>
      </c>
      <c r="AV70" s="962">
        <v>0.75</v>
      </c>
      <c r="AW70" s="125">
        <v>500</v>
      </c>
      <c r="AX70" s="125">
        <v>55</v>
      </c>
      <c r="AY70" s="125">
        <v>40</v>
      </c>
      <c r="AZ70" s="125">
        <v>100</v>
      </c>
      <c r="BC70" s="125">
        <f t="shared" si="18"/>
        <v>1.16919</v>
      </c>
      <c r="BD70" s="125">
        <f t="shared" si="19"/>
        <v>0.41453099999999998</v>
      </c>
      <c r="BE70" s="2289">
        <f t="shared" si="20"/>
        <v>2.7891900000000001</v>
      </c>
      <c r="BF70" s="125">
        <f t="shared" si="21"/>
        <v>0</v>
      </c>
      <c r="BH70" s="1326" cm="1">
        <f t="array" ref="BH70">INDEX(BM$9:BM$17,$C70)</f>
        <v>0</v>
      </c>
      <c r="BI70" s="1326" cm="1">
        <f t="array" ref="BI70">INDEX(BN$9:BN$17,$C70)</f>
        <v>0</v>
      </c>
      <c r="BJ70" s="1326" cm="1">
        <f t="array" ref="BJ70">INDEX(BO$9:BO$17,$C70)</f>
        <v>0</v>
      </c>
    </row>
    <row r="71" spans="1:62" x14ac:dyDescent="0.2">
      <c r="A71" s="49"/>
      <c r="B71" s="1448" t="s">
        <v>78</v>
      </c>
      <c r="C71" s="1373">
        <v>3</v>
      </c>
      <c r="D71" s="1544">
        <v>4.0000000000000001E-3</v>
      </c>
      <c r="E71" s="1450">
        <v>1.87</v>
      </c>
      <c r="F71" s="1466">
        <v>0.57999999999999996</v>
      </c>
      <c r="G71" s="1466">
        <v>1.79</v>
      </c>
      <c r="H71" s="1309">
        <v>1.24</v>
      </c>
      <c r="I71" s="1565">
        <v>0.35</v>
      </c>
      <c r="J71" s="1565">
        <v>1.29</v>
      </c>
      <c r="K71" s="1546"/>
      <c r="L71" s="1214"/>
      <c r="M71" s="1588">
        <v>13.324999999999999</v>
      </c>
      <c r="N71" s="1588">
        <v>13.324999999999999</v>
      </c>
      <c r="O71" s="1462">
        <f t="shared" si="41"/>
        <v>13.324999999999999</v>
      </c>
      <c r="P71" s="1548">
        <v>5.33E-2</v>
      </c>
      <c r="Q71" s="1548">
        <v>5.33E-2</v>
      </c>
      <c r="R71" s="1548">
        <v>5.33E-2</v>
      </c>
      <c r="S71" s="1548">
        <v>0.1053</v>
      </c>
      <c r="T71" s="1548">
        <v>0.1053</v>
      </c>
      <c r="U71" s="1548">
        <v>0.1053</v>
      </c>
      <c r="V71" s="1461">
        <v>30</v>
      </c>
      <c r="W71" s="1522">
        <v>30</v>
      </c>
      <c r="X71" s="1462">
        <v>30</v>
      </c>
      <c r="Y71" s="1550">
        <v>0</v>
      </c>
      <c r="Z71" s="1460"/>
      <c r="AA71" s="1456">
        <v>40</v>
      </c>
      <c r="AB71" s="1458">
        <v>40</v>
      </c>
      <c r="AC71" s="1463" t="s">
        <v>1108</v>
      </c>
      <c r="AD71" s="1528">
        <v>3</v>
      </c>
      <c r="AE71" s="1465">
        <v>1.21</v>
      </c>
      <c r="AF71" s="1529">
        <v>0.3</v>
      </c>
      <c r="AG71" s="1224">
        <v>0.06</v>
      </c>
      <c r="AI71">
        <v>13.52</v>
      </c>
      <c r="AK71" s="122">
        <v>0.7</v>
      </c>
      <c r="AL71" s="1045">
        <v>5</v>
      </c>
      <c r="AM71" s="295">
        <v>5</v>
      </c>
      <c r="AN71" s="295">
        <f t="shared" si="17"/>
        <v>5</v>
      </c>
      <c r="AO71" s="295">
        <v>50</v>
      </c>
      <c r="AP71" s="125">
        <v>90</v>
      </c>
      <c r="AQ71" s="125">
        <v>45</v>
      </c>
      <c r="AS71" s="962">
        <v>0.74</v>
      </c>
      <c r="AT71" s="125">
        <v>500</v>
      </c>
      <c r="AU71" s="125">
        <v>58</v>
      </c>
      <c r="AV71" s="962">
        <v>0.75</v>
      </c>
      <c r="AW71" s="125">
        <v>500</v>
      </c>
      <c r="AX71" s="125">
        <v>55</v>
      </c>
      <c r="AY71" s="125">
        <v>40</v>
      </c>
      <c r="AZ71" s="125">
        <v>100</v>
      </c>
      <c r="BC71" s="125">
        <f t="shared" si="18"/>
        <v>0.40559999999999996</v>
      </c>
      <c r="BD71" s="125">
        <f t="shared" si="19"/>
        <v>0.16359199999999999</v>
      </c>
      <c r="BE71" s="2289">
        <f t="shared" si="20"/>
        <v>2.2755999999999998</v>
      </c>
      <c r="BF71" s="125">
        <f t="shared" si="21"/>
        <v>0.54491123220249604</v>
      </c>
      <c r="BH71" s="1326" cm="1">
        <f t="array" ref="BH71">INDEX(BM$9:BM$17,$C71)</f>
        <v>0</v>
      </c>
      <c r="BI71" s="1326" cm="1">
        <f t="array" ref="BI71">INDEX(BN$9:BN$17,$C71)</f>
        <v>0</v>
      </c>
      <c r="BJ71" s="1326" cm="1">
        <f t="array" ref="BJ71">INDEX(BO$9:BO$17,$C71)</f>
        <v>0</v>
      </c>
    </row>
    <row r="72" spans="1:62" x14ac:dyDescent="0.2">
      <c r="A72" s="49"/>
      <c r="B72" s="1562" t="s">
        <v>79</v>
      </c>
      <c r="C72" s="1373">
        <v>3</v>
      </c>
      <c r="D72" s="1544">
        <v>4.0000000000000001E-3</v>
      </c>
      <c r="E72" s="1450">
        <v>0.71</v>
      </c>
      <c r="F72" s="1466">
        <v>0.4</v>
      </c>
      <c r="G72" s="1466">
        <v>0.38</v>
      </c>
      <c r="H72" s="1566"/>
      <c r="I72" s="1567"/>
      <c r="J72" s="1567"/>
      <c r="K72" s="1546"/>
      <c r="L72" s="1568"/>
      <c r="M72" s="1588">
        <v>1.6</v>
      </c>
      <c r="N72" s="1588">
        <v>1.6</v>
      </c>
      <c r="O72" s="1462">
        <f t="shared" si="41"/>
        <v>1.6</v>
      </c>
      <c r="P72" s="1548">
        <v>6.4000000000000003E-3</v>
      </c>
      <c r="Q72" s="1548">
        <v>6.4000000000000003E-3</v>
      </c>
      <c r="R72" s="1548">
        <v>6.4000000000000003E-3</v>
      </c>
      <c r="S72" s="1548">
        <v>6.7400000000000002E-2</v>
      </c>
      <c r="T72" s="1548">
        <v>6.7400000000000002E-2</v>
      </c>
      <c r="U72" s="1548">
        <v>6.7400000000000002E-2</v>
      </c>
      <c r="V72" s="1461">
        <v>30</v>
      </c>
      <c r="W72" s="1522">
        <v>30</v>
      </c>
      <c r="X72" s="1462">
        <v>30</v>
      </c>
      <c r="Y72" s="1550">
        <v>0</v>
      </c>
      <c r="Z72" s="1460"/>
      <c r="AA72" s="1456">
        <v>40</v>
      </c>
      <c r="AB72" s="1458">
        <v>40</v>
      </c>
      <c r="AC72" s="1463" t="s">
        <v>1109</v>
      </c>
      <c r="AD72" s="1528">
        <v>3</v>
      </c>
      <c r="AE72" s="1465">
        <v>1.1499999999999999</v>
      </c>
      <c r="AF72" s="1529">
        <v>0.3</v>
      </c>
      <c r="AG72" s="1224">
        <v>0.06</v>
      </c>
      <c r="AI72">
        <v>19.5</v>
      </c>
      <c r="AK72" s="122">
        <v>0.7</v>
      </c>
      <c r="AL72" s="1045">
        <v>5</v>
      </c>
      <c r="AM72" s="295">
        <v>5</v>
      </c>
      <c r="AN72" s="295">
        <f t="shared" si="17"/>
        <v>5</v>
      </c>
      <c r="AO72" s="295">
        <v>50</v>
      </c>
      <c r="AP72" s="125">
        <v>90</v>
      </c>
      <c r="AQ72" s="125">
        <v>45</v>
      </c>
      <c r="AS72" s="962">
        <v>0.74</v>
      </c>
      <c r="AT72" s="125">
        <v>500</v>
      </c>
      <c r="AU72" s="125">
        <v>58</v>
      </c>
      <c r="AV72" s="962">
        <v>0.75</v>
      </c>
      <c r="AW72" s="125">
        <v>500</v>
      </c>
      <c r="AX72" s="125">
        <v>55</v>
      </c>
      <c r="AY72" s="125">
        <v>40</v>
      </c>
      <c r="AZ72" s="125">
        <v>100</v>
      </c>
      <c r="BC72" s="125">
        <f t="shared" si="18"/>
        <v>0.58499999999999996</v>
      </c>
      <c r="BD72" s="125">
        <f t="shared" si="19"/>
        <v>0.22424999999999998</v>
      </c>
      <c r="BE72" s="2289">
        <f t="shared" si="20"/>
        <v>1.2949999999999999</v>
      </c>
      <c r="BF72" s="125">
        <f t="shared" si="21"/>
        <v>0</v>
      </c>
      <c r="BH72" s="1326" cm="1">
        <f t="array" ref="BH72">INDEX(BM$9:BM$17,$C72)</f>
        <v>0</v>
      </c>
      <c r="BI72" s="1326" cm="1">
        <f t="array" ref="BI72">INDEX(BN$9:BN$17,$C72)</f>
        <v>0</v>
      </c>
      <c r="BJ72" s="1326" cm="1">
        <f t="array" ref="BJ72">INDEX(BO$9:BO$17,$C72)</f>
        <v>0</v>
      </c>
    </row>
    <row r="73" spans="1:62" x14ac:dyDescent="0.2">
      <c r="A73" s="49"/>
      <c r="B73" s="1562" t="s">
        <v>80</v>
      </c>
      <c r="C73" s="1373">
        <v>3</v>
      </c>
      <c r="D73" s="1544">
        <v>4.0000000000000001E-3</v>
      </c>
      <c r="E73" s="1450">
        <v>0.63</v>
      </c>
      <c r="F73" s="1466">
        <v>0.4</v>
      </c>
      <c r="G73" s="1466">
        <v>0.31</v>
      </c>
      <c r="H73" s="1538"/>
      <c r="I73" s="1526"/>
      <c r="J73" s="1526"/>
      <c r="K73" s="1546"/>
      <c r="L73" s="1214"/>
      <c r="M73" s="1588">
        <v>1.5</v>
      </c>
      <c r="N73" s="1588">
        <v>1.5</v>
      </c>
      <c r="O73" s="1462">
        <f t="shared" si="41"/>
        <v>1.5</v>
      </c>
      <c r="P73" s="1548">
        <v>6.0000000000000001E-3</v>
      </c>
      <c r="Q73" s="1548">
        <v>6.0000000000000001E-3</v>
      </c>
      <c r="R73" s="1548">
        <v>6.0000000000000001E-3</v>
      </c>
      <c r="S73" s="1548">
        <v>0.05</v>
      </c>
      <c r="T73" s="1548">
        <v>0.05</v>
      </c>
      <c r="U73" s="1548">
        <v>0.05</v>
      </c>
      <c r="V73" s="1461">
        <v>30</v>
      </c>
      <c r="W73" s="1522">
        <v>30</v>
      </c>
      <c r="X73" s="1462">
        <v>30</v>
      </c>
      <c r="Y73" s="1550">
        <v>0</v>
      </c>
      <c r="Z73" s="1460"/>
      <c r="AA73" s="1456">
        <v>40</v>
      </c>
      <c r="AB73" s="1458">
        <v>40</v>
      </c>
      <c r="AC73" s="1463" t="s">
        <v>1109</v>
      </c>
      <c r="AD73" s="1528">
        <v>3</v>
      </c>
      <c r="AE73" s="1465">
        <v>1.1499999999999999</v>
      </c>
      <c r="AF73" s="1529">
        <v>0.3</v>
      </c>
      <c r="AG73" s="1224">
        <v>0.06</v>
      </c>
      <c r="AI73">
        <v>20</v>
      </c>
      <c r="AK73" s="122">
        <v>0.7</v>
      </c>
      <c r="AL73" s="1045">
        <v>5</v>
      </c>
      <c r="AM73" s="295">
        <v>5</v>
      </c>
      <c r="AN73" s="295">
        <f t="shared" si="17"/>
        <v>5</v>
      </c>
      <c r="AO73" s="295">
        <v>50</v>
      </c>
      <c r="AP73" s="125">
        <v>90</v>
      </c>
      <c r="AQ73" s="125">
        <v>45</v>
      </c>
      <c r="AS73" s="962">
        <v>0.74</v>
      </c>
      <c r="AT73" s="125">
        <v>500</v>
      </c>
      <c r="AU73" s="125">
        <v>58</v>
      </c>
      <c r="AV73" s="962">
        <v>0.75</v>
      </c>
      <c r="AW73" s="125">
        <v>500</v>
      </c>
      <c r="AX73" s="125">
        <v>55</v>
      </c>
      <c r="AY73" s="125">
        <v>40</v>
      </c>
      <c r="AZ73" s="125">
        <v>100</v>
      </c>
      <c r="BC73" s="125">
        <f t="shared" si="18"/>
        <v>0.60000000000000009</v>
      </c>
      <c r="BD73" s="125">
        <f t="shared" si="19"/>
        <v>0.22999999999999998</v>
      </c>
      <c r="BE73" s="2289">
        <f t="shared" si="20"/>
        <v>1.23</v>
      </c>
      <c r="BF73" s="125">
        <f t="shared" si="21"/>
        <v>0</v>
      </c>
      <c r="BH73" s="1326" cm="1">
        <f t="array" ref="BH73">INDEX(BM$9:BM$17,$C73)</f>
        <v>0</v>
      </c>
      <c r="BI73" s="1326" cm="1">
        <f t="array" ref="BI73">INDEX(BN$9:BN$17,$C73)</f>
        <v>0</v>
      </c>
      <c r="BJ73" s="1326" cm="1">
        <f t="array" ref="BJ73">INDEX(BO$9:BO$17,$C73)</f>
        <v>0</v>
      </c>
    </row>
    <row r="74" spans="1:62" x14ac:dyDescent="0.2">
      <c r="A74" s="54"/>
      <c r="B74" s="1562" t="s">
        <v>8321</v>
      </c>
      <c r="C74" s="1373">
        <v>4</v>
      </c>
      <c r="D74" s="1544">
        <v>6.6000000000000003E-2</v>
      </c>
      <c r="E74" s="1450">
        <v>6.78</v>
      </c>
      <c r="F74" s="1466">
        <v>2.1800000000000002</v>
      </c>
      <c r="G74" s="1466">
        <v>7.42</v>
      </c>
      <c r="H74" s="1450">
        <v>6.18</v>
      </c>
      <c r="I74" s="1466">
        <v>1.94</v>
      </c>
      <c r="J74" s="1466">
        <v>7.54</v>
      </c>
      <c r="K74" s="1546"/>
      <c r="L74" s="1214"/>
      <c r="M74" s="1589">
        <v>3.0303030303030303</v>
      </c>
      <c r="N74" s="1589">
        <v>3.0303030303030303</v>
      </c>
      <c r="O74" s="1462">
        <f t="shared" si="41"/>
        <v>3.0303030303030303</v>
      </c>
      <c r="P74" s="1519">
        <v>0.2</v>
      </c>
      <c r="Q74" s="1519">
        <v>0.2</v>
      </c>
      <c r="R74" s="1519">
        <v>0.2</v>
      </c>
      <c r="S74" s="1569">
        <v>0.38</v>
      </c>
      <c r="T74" s="1569">
        <v>0.38</v>
      </c>
      <c r="U74" s="1569">
        <v>0.38</v>
      </c>
      <c r="V74" s="1456">
        <v>50</v>
      </c>
      <c r="W74" s="1457">
        <v>50</v>
      </c>
      <c r="X74" s="1458">
        <v>50</v>
      </c>
      <c r="Y74" s="1550">
        <v>0</v>
      </c>
      <c r="Z74" s="1454"/>
      <c r="AA74" s="1456">
        <v>45</v>
      </c>
      <c r="AB74" s="1458">
        <v>45</v>
      </c>
      <c r="AC74" s="1463" t="s">
        <v>1121</v>
      </c>
      <c r="AD74" s="1528">
        <v>2.6</v>
      </c>
      <c r="AE74" s="1465">
        <v>1.37</v>
      </c>
      <c r="AF74" s="1529">
        <v>0.24</v>
      </c>
      <c r="AG74" s="1224">
        <v>0.05</v>
      </c>
      <c r="AH74" s="1570"/>
      <c r="AI74" s="1184">
        <v>50</v>
      </c>
      <c r="AK74" s="122">
        <v>0.7</v>
      </c>
      <c r="AL74" s="1045">
        <v>5</v>
      </c>
      <c r="AM74" s="295">
        <v>5</v>
      </c>
      <c r="AN74" s="295">
        <f t="shared" si="17"/>
        <v>5</v>
      </c>
      <c r="AO74" s="295">
        <v>50</v>
      </c>
      <c r="AP74" s="125">
        <v>90</v>
      </c>
      <c r="AQ74" s="125">
        <v>45</v>
      </c>
      <c r="AS74" s="962">
        <v>0.74</v>
      </c>
      <c r="AT74" s="125">
        <v>500</v>
      </c>
      <c r="AU74" s="125">
        <v>58</v>
      </c>
      <c r="AV74" s="962">
        <v>0.75</v>
      </c>
      <c r="AW74" s="125">
        <v>500</v>
      </c>
      <c r="AX74" s="125">
        <v>55</v>
      </c>
      <c r="AY74" s="125">
        <v>40</v>
      </c>
      <c r="AZ74" s="125">
        <v>100</v>
      </c>
      <c r="BC74" s="125">
        <f t="shared" si="18"/>
        <v>1.3</v>
      </c>
      <c r="BD74" s="125">
        <f t="shared" si="19"/>
        <v>0.68500000000000005</v>
      </c>
      <c r="BE74" s="2289">
        <f t="shared" si="20"/>
        <v>8.08</v>
      </c>
      <c r="BF74" s="125">
        <f t="shared" si="21"/>
        <v>0.76485148514851486</v>
      </c>
      <c r="BH74" s="1326" cm="1">
        <f t="array" ref="BH74">INDEX(BM$9:BM$17,$C74)</f>
        <v>0</v>
      </c>
      <c r="BI74" s="1326" cm="1">
        <f t="array" ref="BI74">INDEX(BN$9:BN$17,$C74)</f>
        <v>0</v>
      </c>
      <c r="BJ74" s="1326" cm="1">
        <f t="array" ref="BJ74">INDEX(BO$9:BO$17,$C74)</f>
        <v>0</v>
      </c>
    </row>
    <row r="75" spans="1:62" x14ac:dyDescent="0.2">
      <c r="A75" s="49"/>
      <c r="B75" s="1448" t="s">
        <v>83</v>
      </c>
      <c r="C75" s="1373">
        <v>4</v>
      </c>
      <c r="D75" s="1453">
        <v>0.1</v>
      </c>
      <c r="E75" s="1450">
        <v>14.17</v>
      </c>
      <c r="F75" s="1466">
        <v>4.29</v>
      </c>
      <c r="G75" s="1466">
        <v>15.5</v>
      </c>
      <c r="H75" s="1450">
        <v>12.8</v>
      </c>
      <c r="I75" s="1466">
        <v>3.56</v>
      </c>
      <c r="J75" s="1466">
        <v>14.3</v>
      </c>
      <c r="K75" s="1546"/>
      <c r="L75" s="1214"/>
      <c r="M75" s="1547">
        <v>4</v>
      </c>
      <c r="N75" s="1547">
        <v>4</v>
      </c>
      <c r="O75" s="1462">
        <f t="shared" si="41"/>
        <v>4</v>
      </c>
      <c r="P75" s="1517">
        <v>0.4</v>
      </c>
      <c r="Q75" s="1517">
        <v>0.4</v>
      </c>
      <c r="R75" s="1517">
        <v>0.4</v>
      </c>
      <c r="S75" s="1455">
        <v>0.73</v>
      </c>
      <c r="T75" s="1455">
        <v>0.73</v>
      </c>
      <c r="U75" s="1455">
        <v>0.73</v>
      </c>
      <c r="V75" s="1461">
        <v>50</v>
      </c>
      <c r="W75" s="1522">
        <v>50</v>
      </c>
      <c r="X75" s="1462">
        <v>50</v>
      </c>
      <c r="Y75" s="1550">
        <v>0</v>
      </c>
      <c r="Z75" s="1460"/>
      <c r="AA75" s="1456">
        <v>45</v>
      </c>
      <c r="AB75" s="1458">
        <v>45</v>
      </c>
      <c r="AC75" s="1463" t="s">
        <v>1121</v>
      </c>
      <c r="AD75" s="1528">
        <v>2.6</v>
      </c>
      <c r="AE75" s="1465">
        <v>1.37</v>
      </c>
      <c r="AF75" s="1529">
        <v>0.24</v>
      </c>
      <c r="AG75" s="1224">
        <v>0.05</v>
      </c>
      <c r="AH75" s="1467">
        <v>48</v>
      </c>
      <c r="AI75" s="2183">
        <v>7</v>
      </c>
      <c r="AK75" s="122">
        <v>0.9</v>
      </c>
      <c r="AL75" s="1045">
        <v>1</v>
      </c>
      <c r="AM75" s="295">
        <v>2</v>
      </c>
      <c r="AN75" s="295">
        <f t="shared" si="17"/>
        <v>2</v>
      </c>
      <c r="AO75" s="295">
        <v>50</v>
      </c>
      <c r="AP75" s="125">
        <v>90</v>
      </c>
      <c r="AQ75" s="125">
        <v>10</v>
      </c>
      <c r="AS75" s="962">
        <v>0.8</v>
      </c>
      <c r="AT75" s="125">
        <v>450</v>
      </c>
      <c r="AU75" s="125">
        <v>55</v>
      </c>
      <c r="AV75" s="962">
        <v>0.8</v>
      </c>
      <c r="AW75" s="125">
        <v>450</v>
      </c>
      <c r="AX75" s="125">
        <v>55</v>
      </c>
      <c r="AY75" s="125">
        <v>40</v>
      </c>
      <c r="AZ75" s="125">
        <v>100</v>
      </c>
      <c r="BC75" s="125">
        <f t="shared" si="18"/>
        <v>0.18200000000000002</v>
      </c>
      <c r="BD75" s="125">
        <f t="shared" si="19"/>
        <v>9.5900000000000013E-2</v>
      </c>
      <c r="BE75" s="2289">
        <f t="shared" si="20"/>
        <v>14.352</v>
      </c>
      <c r="BF75" s="125">
        <f t="shared" si="21"/>
        <v>0.89186176142697882</v>
      </c>
      <c r="BH75" s="1326" cm="1">
        <f t="array" ref="BH75">INDEX(BM$9:BM$17,$C75)</f>
        <v>0</v>
      </c>
      <c r="BI75" s="1326" cm="1">
        <f t="array" ref="BI75">INDEX(BN$9:BN$17,$C75)</f>
        <v>0</v>
      </c>
      <c r="BJ75" s="1326" cm="1">
        <f t="array" ref="BJ75">INDEX(BO$9:BO$17,$C75)</f>
        <v>0</v>
      </c>
    </row>
    <row r="76" spans="1:62" x14ac:dyDescent="0.2">
      <c r="A76" s="49"/>
      <c r="B76" s="1562" t="s">
        <v>84</v>
      </c>
      <c r="C76" s="1184">
        <v>5</v>
      </c>
      <c r="D76" s="1449">
        <v>0.12</v>
      </c>
      <c r="E76" s="1514">
        <v>15.2</v>
      </c>
      <c r="F76" s="1515">
        <v>5.73</v>
      </c>
      <c r="G76" s="1466">
        <v>18</v>
      </c>
      <c r="H76" s="1514">
        <v>11.7</v>
      </c>
      <c r="I76" s="1515">
        <v>3.81</v>
      </c>
      <c r="J76" s="1466">
        <v>14.84</v>
      </c>
      <c r="K76" s="1546"/>
      <c r="L76" s="1214"/>
      <c r="M76" s="1547">
        <v>5</v>
      </c>
      <c r="N76" s="1547">
        <v>5</v>
      </c>
      <c r="O76" s="1462">
        <f t="shared" si="41"/>
        <v>5</v>
      </c>
      <c r="P76" s="1517">
        <v>0.6</v>
      </c>
      <c r="Q76" s="1517">
        <v>0.6</v>
      </c>
      <c r="R76" s="1517">
        <v>0.6</v>
      </c>
      <c r="S76" s="1517">
        <v>1</v>
      </c>
      <c r="T76" s="1517">
        <v>1</v>
      </c>
      <c r="U76" s="1517">
        <v>1</v>
      </c>
      <c r="V76" s="1461">
        <v>50</v>
      </c>
      <c r="W76" s="1522">
        <v>50</v>
      </c>
      <c r="X76" s="1462">
        <v>50</v>
      </c>
      <c r="Y76" s="1550">
        <v>0</v>
      </c>
      <c r="Z76" s="1460"/>
      <c r="AA76" s="1456">
        <v>45</v>
      </c>
      <c r="AB76" s="1458">
        <v>45</v>
      </c>
      <c r="AC76" s="1527" t="s">
        <v>1110</v>
      </c>
      <c r="AD76" s="1528">
        <v>2.6</v>
      </c>
      <c r="AE76" s="1465">
        <v>1.37</v>
      </c>
      <c r="AF76" s="1529">
        <v>0.28999999999999998</v>
      </c>
      <c r="AG76" s="1224">
        <v>0.06</v>
      </c>
      <c r="AH76" s="1467">
        <v>48</v>
      </c>
      <c r="AI76" s="2183">
        <v>24</v>
      </c>
      <c r="AK76" s="122">
        <v>0.9</v>
      </c>
      <c r="AL76" s="1045">
        <v>1</v>
      </c>
      <c r="AM76" s="295">
        <v>2</v>
      </c>
      <c r="AN76" s="295">
        <f t="shared" si="17"/>
        <v>2</v>
      </c>
      <c r="AO76" s="295">
        <v>50</v>
      </c>
      <c r="AP76" s="125">
        <v>90</v>
      </c>
      <c r="AQ76" s="125">
        <v>10</v>
      </c>
      <c r="AS76" s="962">
        <v>0.8</v>
      </c>
      <c r="AT76" s="125">
        <v>450</v>
      </c>
      <c r="AU76" s="125">
        <v>55</v>
      </c>
      <c r="AV76" s="962">
        <v>0.8</v>
      </c>
      <c r="AW76" s="125">
        <v>450</v>
      </c>
      <c r="AX76" s="125">
        <v>55</v>
      </c>
      <c r="AY76" s="125">
        <v>40</v>
      </c>
      <c r="AZ76" s="125">
        <v>100</v>
      </c>
      <c r="BC76" s="125">
        <f t="shared" si="18"/>
        <v>0.624</v>
      </c>
      <c r="BD76" s="125">
        <f t="shared" si="19"/>
        <v>0.32880000000000004</v>
      </c>
      <c r="BE76" s="2289">
        <f>BC76+E76</f>
        <v>15.824</v>
      </c>
      <c r="BF76" s="125">
        <f t="shared" si="21"/>
        <v>0.7393832153690596</v>
      </c>
      <c r="BH76" s="1326" cm="1">
        <f t="array" ref="BH76">INDEX(BM$9:BM$17,$C76)</f>
        <v>0</v>
      </c>
      <c r="BI76" s="1326" cm="1">
        <f t="array" ref="BI76">INDEX(BN$9:BN$17,$C76)</f>
        <v>0</v>
      </c>
      <c r="BJ76" s="1326" cm="1">
        <f t="array" ref="BJ76">INDEX(BO$9:BO$17,$C76)</f>
        <v>0</v>
      </c>
    </row>
    <row r="77" spans="1:62" x14ac:dyDescent="0.2">
      <c r="A77" s="49"/>
      <c r="B77" s="1562" t="s">
        <v>85</v>
      </c>
      <c r="C77" s="1184">
        <v>6</v>
      </c>
      <c r="D77" s="1571">
        <v>0.7</v>
      </c>
      <c r="E77" s="1514">
        <v>33.4</v>
      </c>
      <c r="F77" s="1515">
        <v>15.35</v>
      </c>
      <c r="G77" s="1466">
        <v>50.97</v>
      </c>
      <c r="H77" s="1572">
        <v>21.7</v>
      </c>
      <c r="I77" s="1573">
        <v>8.6999999999999993</v>
      </c>
      <c r="J77" s="1573">
        <v>37.9</v>
      </c>
      <c r="K77" s="1546"/>
      <c r="L77" s="1214"/>
      <c r="M77" s="1547">
        <v>5.7142857142857144</v>
      </c>
      <c r="N77" s="1547">
        <v>5.7142857142857144</v>
      </c>
      <c r="O77" s="1462">
        <f t="shared" si="41"/>
        <v>5.7142857142857144</v>
      </c>
      <c r="P77" s="1517">
        <v>4</v>
      </c>
      <c r="Q77" s="1517">
        <v>4</v>
      </c>
      <c r="R77" s="1517">
        <v>4</v>
      </c>
      <c r="S77" s="1517">
        <v>6.8</v>
      </c>
      <c r="T77" s="1517">
        <v>6.8</v>
      </c>
      <c r="U77" s="1517">
        <v>6.8</v>
      </c>
      <c r="V77" s="1461">
        <v>30</v>
      </c>
      <c r="W77" s="1522">
        <v>30</v>
      </c>
      <c r="X77" s="1462">
        <v>30</v>
      </c>
      <c r="Y77" s="1550">
        <v>0</v>
      </c>
      <c r="Z77" s="1460">
        <v>1.8</v>
      </c>
      <c r="AA77" s="1456">
        <v>45</v>
      </c>
      <c r="AB77" s="1458">
        <v>45</v>
      </c>
      <c r="AC77" s="1463" t="s">
        <v>1111</v>
      </c>
      <c r="AD77" s="1528">
        <v>3</v>
      </c>
      <c r="AE77" s="1465">
        <v>1.74</v>
      </c>
      <c r="AF77" s="1529">
        <v>0.24</v>
      </c>
      <c r="AG77" s="1224">
        <v>0.05</v>
      </c>
      <c r="AH77" s="1570"/>
      <c r="AI77" s="2183">
        <v>50</v>
      </c>
      <c r="AK77" s="122">
        <v>0.9</v>
      </c>
      <c r="AL77" s="1045">
        <v>1</v>
      </c>
      <c r="AM77" s="295">
        <v>2</v>
      </c>
      <c r="AN77" s="295">
        <f t="shared" si="17"/>
        <v>2</v>
      </c>
      <c r="AO77" s="295">
        <v>50</v>
      </c>
      <c r="AP77" s="125">
        <v>90</v>
      </c>
      <c r="AQ77" s="125">
        <v>10</v>
      </c>
      <c r="AS77" s="962">
        <v>0.8</v>
      </c>
      <c r="AT77" s="125">
        <v>450</v>
      </c>
      <c r="AU77" s="125">
        <v>55</v>
      </c>
      <c r="AV77" s="962">
        <v>0.8</v>
      </c>
      <c r="AW77" s="125">
        <v>450</v>
      </c>
      <c r="AX77" s="125">
        <v>55</v>
      </c>
      <c r="AY77" s="125">
        <v>40</v>
      </c>
      <c r="AZ77" s="125">
        <v>100</v>
      </c>
      <c r="BC77" s="125">
        <f t="shared" si="18"/>
        <v>1.5</v>
      </c>
      <c r="BD77" s="125">
        <f t="shared" si="19"/>
        <v>0.87</v>
      </c>
      <c r="BE77" s="2289">
        <f t="shared" si="20"/>
        <v>34.9</v>
      </c>
      <c r="BF77" s="125">
        <f t="shared" si="21"/>
        <v>0.62177650429799425</v>
      </c>
      <c r="BH77" s="1326" cm="1">
        <f t="array" ref="BH77">INDEX(BM$9:BM$17,$C77)</f>
        <v>0</v>
      </c>
      <c r="BI77" s="1326" cm="1">
        <f t="array" ref="BI77">INDEX(BN$9:BN$17,$C77)</f>
        <v>0</v>
      </c>
      <c r="BJ77" s="1326" cm="1">
        <f t="array" ref="BJ77">INDEX(BO$9:BO$17,$C77)</f>
        <v>0</v>
      </c>
    </row>
    <row r="78" spans="1:62" x14ac:dyDescent="0.2">
      <c r="A78" s="49"/>
      <c r="B78" s="1562" t="s">
        <v>86</v>
      </c>
      <c r="C78" s="1184">
        <v>6</v>
      </c>
      <c r="D78" s="1449">
        <v>1.1000000000000001</v>
      </c>
      <c r="E78" s="1514">
        <v>53.6</v>
      </c>
      <c r="F78" s="1515">
        <v>23.37</v>
      </c>
      <c r="G78" s="1466">
        <v>67</v>
      </c>
      <c r="H78" s="1572">
        <v>29.5</v>
      </c>
      <c r="I78" s="1573">
        <v>11.4</v>
      </c>
      <c r="J78" s="1573">
        <v>48.9</v>
      </c>
      <c r="K78" s="1546"/>
      <c r="L78" s="1214"/>
      <c r="M78" s="1547">
        <v>5.4545454545454541</v>
      </c>
      <c r="N78" s="1547">
        <v>5.4545454545454541</v>
      </c>
      <c r="O78" s="1462">
        <f t="shared" si="41"/>
        <v>5.4545454545454541</v>
      </c>
      <c r="P78" s="1517">
        <v>6</v>
      </c>
      <c r="Q78" s="1517">
        <v>6</v>
      </c>
      <c r="R78" s="1517">
        <v>6</v>
      </c>
      <c r="S78" s="1517">
        <v>11.2</v>
      </c>
      <c r="T78" s="1517">
        <v>11.2</v>
      </c>
      <c r="U78" s="1517">
        <v>11.2</v>
      </c>
      <c r="V78" s="1461">
        <v>30</v>
      </c>
      <c r="W78" s="1522">
        <v>30</v>
      </c>
      <c r="X78" s="1462">
        <v>30</v>
      </c>
      <c r="Y78" s="1550">
        <v>0</v>
      </c>
      <c r="Z78" s="1460">
        <v>1.8</v>
      </c>
      <c r="AA78" s="1456">
        <v>45</v>
      </c>
      <c r="AB78" s="1458">
        <v>45</v>
      </c>
      <c r="AC78" s="1463" t="s">
        <v>1111</v>
      </c>
      <c r="AD78" s="1528">
        <v>3</v>
      </c>
      <c r="AE78" s="1465">
        <v>1.74</v>
      </c>
      <c r="AF78" s="1529">
        <v>0.24</v>
      </c>
      <c r="AG78" s="1224">
        <v>0.05</v>
      </c>
      <c r="AH78" s="1574"/>
      <c r="AI78" s="2183">
        <v>20</v>
      </c>
      <c r="AK78" s="122">
        <v>0.7</v>
      </c>
      <c r="AL78" s="1045">
        <v>1</v>
      </c>
      <c r="AM78" s="295">
        <v>2</v>
      </c>
      <c r="AN78" s="295">
        <f t="shared" si="17"/>
        <v>2</v>
      </c>
      <c r="AO78" s="295">
        <v>50</v>
      </c>
      <c r="AP78" s="125">
        <v>90</v>
      </c>
      <c r="AQ78" s="125">
        <v>10</v>
      </c>
      <c r="AS78" s="962">
        <v>0.75</v>
      </c>
      <c r="AT78" s="125">
        <v>300</v>
      </c>
      <c r="AU78" s="125">
        <v>55</v>
      </c>
      <c r="AV78" s="962">
        <v>0.75</v>
      </c>
      <c r="AW78" s="125">
        <v>300</v>
      </c>
      <c r="AX78" s="125">
        <v>55</v>
      </c>
      <c r="AY78" s="125">
        <v>40</v>
      </c>
      <c r="AZ78" s="125">
        <v>100</v>
      </c>
      <c r="BC78" s="125">
        <f t="shared" si="18"/>
        <v>0.60000000000000009</v>
      </c>
      <c r="BD78" s="125">
        <f t="shared" si="19"/>
        <v>0.34800000000000003</v>
      </c>
      <c r="BE78" s="2289">
        <f t="shared" si="20"/>
        <v>54.2</v>
      </c>
      <c r="BF78" s="125">
        <f t="shared" si="21"/>
        <v>0.544280442804428</v>
      </c>
      <c r="BH78" s="1326" cm="1">
        <f t="array" ref="BH78">INDEX(BM$9:BM$17,$C78)</f>
        <v>0</v>
      </c>
      <c r="BI78" s="1326" cm="1">
        <f t="array" ref="BI78">INDEX(BN$9:BN$17,$C78)</f>
        <v>0</v>
      </c>
      <c r="BJ78" s="1326" cm="1">
        <f t="array" ref="BJ78">INDEX(BO$9:BO$17,$C78)</f>
        <v>0</v>
      </c>
    </row>
    <row r="79" spans="1:62" x14ac:dyDescent="0.2">
      <c r="A79" s="49"/>
      <c r="B79" s="1448" t="s">
        <v>87</v>
      </c>
      <c r="C79" s="1373">
        <v>7</v>
      </c>
      <c r="D79" s="1575">
        <v>3.2000000000000001E-2</v>
      </c>
      <c r="E79" s="1514">
        <v>9.6999999999999993</v>
      </c>
      <c r="F79" s="1515">
        <v>5.4</v>
      </c>
      <c r="G79" s="1466">
        <v>8.3000000000000007</v>
      </c>
      <c r="H79" s="1450"/>
      <c r="I79" s="1466"/>
      <c r="J79" s="1466"/>
      <c r="K79" s="1449"/>
      <c r="L79" s="1214"/>
      <c r="M79" s="1576">
        <v>10</v>
      </c>
      <c r="N79" s="1576">
        <v>10</v>
      </c>
      <c r="O79" s="1462">
        <f t="shared" si="41"/>
        <v>10</v>
      </c>
      <c r="P79" s="1577">
        <v>0.32</v>
      </c>
      <c r="Q79" s="1577">
        <v>0.32</v>
      </c>
      <c r="R79" s="1577">
        <v>0.32</v>
      </c>
      <c r="S79" s="1517">
        <v>1.22</v>
      </c>
      <c r="T79" s="1517">
        <v>1.22</v>
      </c>
      <c r="U79" s="1517">
        <v>1.22</v>
      </c>
      <c r="V79" s="1461">
        <v>30</v>
      </c>
      <c r="W79" s="1522">
        <v>30</v>
      </c>
      <c r="X79" s="1462">
        <v>30</v>
      </c>
      <c r="Y79" s="1550">
        <v>0</v>
      </c>
      <c r="Z79" s="1460"/>
      <c r="AA79" s="1456">
        <v>45</v>
      </c>
      <c r="AB79" s="1458">
        <v>45</v>
      </c>
      <c r="AC79" s="1463" t="s">
        <v>1112</v>
      </c>
      <c r="AD79" s="1528">
        <v>3</v>
      </c>
      <c r="AE79" s="1465">
        <v>1.49</v>
      </c>
      <c r="AF79" s="1529">
        <v>0.3</v>
      </c>
      <c r="AG79" s="1224">
        <v>0.06</v>
      </c>
      <c r="AH79" s="1570"/>
      <c r="AI79" s="1184">
        <v>156</v>
      </c>
      <c r="AK79" s="122">
        <v>0.7</v>
      </c>
      <c r="AL79" s="1045">
        <v>1</v>
      </c>
      <c r="AM79" s="295">
        <v>2</v>
      </c>
      <c r="AN79" s="295">
        <f t="shared" si="17"/>
        <v>2</v>
      </c>
      <c r="AO79" s="295">
        <v>50</v>
      </c>
      <c r="AP79" s="125">
        <v>90</v>
      </c>
      <c r="AQ79" s="125">
        <v>10</v>
      </c>
      <c r="AS79" s="962">
        <v>0.75</v>
      </c>
      <c r="AT79" s="125">
        <v>300</v>
      </c>
      <c r="AU79" s="125">
        <v>55</v>
      </c>
      <c r="AV79" s="962">
        <v>0.75</v>
      </c>
      <c r="AW79" s="125">
        <v>300</v>
      </c>
      <c r="AX79" s="125">
        <v>55</v>
      </c>
      <c r="AY79" s="125">
        <v>40</v>
      </c>
      <c r="AZ79" s="125">
        <v>100</v>
      </c>
      <c r="BC79" s="125">
        <f t="shared" si="18"/>
        <v>4.68</v>
      </c>
      <c r="BD79" s="125">
        <f t="shared" si="19"/>
        <v>2.3244000000000002</v>
      </c>
      <c r="BE79" s="2289">
        <f t="shared" si="20"/>
        <v>14.379999999999999</v>
      </c>
      <c r="BF79" s="125">
        <f t="shared" si="21"/>
        <v>0</v>
      </c>
      <c r="BH79" s="1326" cm="1">
        <f t="array" ref="BH79">INDEX(BM$9:BM$17,$C79)</f>
        <v>0</v>
      </c>
      <c r="BI79" s="1326" cm="1">
        <f t="array" ref="BI79">INDEX(BN$9:BN$17,$C79)</f>
        <v>0</v>
      </c>
      <c r="BJ79" s="1326" cm="1">
        <f t="array" ref="BJ79">INDEX(BO$9:BO$17,$C79)</f>
        <v>0</v>
      </c>
    </row>
    <row r="80" spans="1:62" x14ac:dyDescent="0.2">
      <c r="A80" s="49"/>
      <c r="B80" s="1468" t="s">
        <v>8322</v>
      </c>
      <c r="C80" s="1469">
        <v>8</v>
      </c>
      <c r="D80" s="1523">
        <v>0.23</v>
      </c>
      <c r="E80" s="1471">
        <v>21.6</v>
      </c>
      <c r="F80" s="1472">
        <v>6.19</v>
      </c>
      <c r="G80" s="1473">
        <v>24</v>
      </c>
      <c r="H80" s="1471">
        <v>21.3</v>
      </c>
      <c r="I80" s="1472">
        <v>6.1</v>
      </c>
      <c r="J80" s="1473">
        <v>16.5</v>
      </c>
      <c r="K80" s="1578"/>
      <c r="L80" s="1579"/>
      <c r="M80" s="1580">
        <v>0</v>
      </c>
      <c r="N80" s="1580">
        <v>0</v>
      </c>
      <c r="O80" s="1462">
        <f t="shared" si="41"/>
        <v>0</v>
      </c>
      <c r="P80" s="1485"/>
      <c r="Q80" s="1580"/>
      <c r="R80" s="1486"/>
      <c r="S80" s="1581"/>
      <c r="T80" s="1580"/>
      <c r="U80" s="1486"/>
      <c r="V80" s="1485"/>
      <c r="W80" s="1582"/>
      <c r="X80" s="1486"/>
      <c r="Y80" s="1583">
        <v>0</v>
      </c>
      <c r="Z80" s="1484"/>
      <c r="AA80" s="1481">
        <v>45</v>
      </c>
      <c r="AB80" s="1483">
        <v>45</v>
      </c>
      <c r="AC80" s="1487" t="s">
        <v>1113</v>
      </c>
      <c r="AD80" s="1584">
        <v>2.6</v>
      </c>
      <c r="AE80" s="1489">
        <v>1.37</v>
      </c>
      <c r="AF80" s="1585">
        <v>0.24</v>
      </c>
      <c r="AG80" s="1586">
        <v>0.05</v>
      </c>
      <c r="AH80" s="1587">
        <v>48</v>
      </c>
      <c r="AI80" s="2184">
        <v>45</v>
      </c>
      <c r="AK80" s="122">
        <v>0.9</v>
      </c>
      <c r="AL80" s="1045">
        <v>5</v>
      </c>
      <c r="AM80" s="295">
        <v>5</v>
      </c>
      <c r="AN80" s="295">
        <f t="shared" si="17"/>
        <v>5</v>
      </c>
      <c r="AO80" s="295">
        <v>50</v>
      </c>
      <c r="AP80" s="125">
        <v>90</v>
      </c>
      <c r="AQ80" s="125">
        <v>10</v>
      </c>
      <c r="AS80" s="962">
        <v>0.8</v>
      </c>
      <c r="AT80" s="125">
        <v>450</v>
      </c>
      <c r="AU80" s="125">
        <v>55</v>
      </c>
      <c r="AV80" s="962">
        <v>0.8</v>
      </c>
      <c r="AW80" s="125">
        <v>450</v>
      </c>
      <c r="AX80" s="125">
        <v>55</v>
      </c>
      <c r="AY80" s="125">
        <v>40</v>
      </c>
      <c r="AZ80" s="125">
        <v>100</v>
      </c>
      <c r="BC80" s="125">
        <f t="shared" si="18"/>
        <v>1.1700000000000002</v>
      </c>
      <c r="BD80" s="125">
        <f t="shared" si="19"/>
        <v>0.61650000000000005</v>
      </c>
      <c r="BE80" s="2289">
        <f t="shared" si="20"/>
        <v>22.770000000000003</v>
      </c>
      <c r="BF80" s="125">
        <f t="shared" si="21"/>
        <v>0.93544137022397877</v>
      </c>
      <c r="BH80" s="1326" cm="1">
        <f t="array" ref="BH80">INDEX(BM$9:BM$17,$C80)</f>
        <v>0</v>
      </c>
      <c r="BI80" s="1326" cm="1">
        <f t="array" ref="BI80">INDEX(BN$9:BN$17,$C80)</f>
        <v>0</v>
      </c>
      <c r="BJ80" s="1326" cm="1">
        <f t="array" ref="BJ80">INDEX(BO$9:BO$17,$C80)</f>
        <v>0</v>
      </c>
    </row>
    <row r="81" spans="1:62" x14ac:dyDescent="0.2">
      <c r="A81" s="55"/>
      <c r="B81" s="1448" t="s">
        <v>88</v>
      </c>
      <c r="C81" s="1373">
        <v>8</v>
      </c>
      <c r="D81" s="1453">
        <v>0.15</v>
      </c>
      <c r="E81" s="1450">
        <v>15.83</v>
      </c>
      <c r="F81" s="1466">
        <v>4.5</v>
      </c>
      <c r="G81" s="1466">
        <v>17.600000000000001</v>
      </c>
      <c r="H81" s="1450">
        <v>15.1</v>
      </c>
      <c r="I81" s="1466">
        <v>4.8</v>
      </c>
      <c r="J81" s="1466">
        <v>18</v>
      </c>
      <c r="K81" s="1546"/>
      <c r="L81" s="1214"/>
      <c r="M81" s="1547">
        <v>0</v>
      </c>
      <c r="N81" s="1547">
        <v>0</v>
      </c>
      <c r="O81" s="1462">
        <f t="shared" si="41"/>
        <v>0</v>
      </c>
      <c r="P81" s="1461"/>
      <c r="Q81" s="1547"/>
      <c r="R81" s="1462"/>
      <c r="S81" s="1564"/>
      <c r="T81" s="1547"/>
      <c r="U81" s="1462"/>
      <c r="V81" s="1461"/>
      <c r="W81" s="1522"/>
      <c r="X81" s="1462"/>
      <c r="Y81" s="1550">
        <v>0</v>
      </c>
      <c r="Z81" s="1460"/>
      <c r="AA81" s="1456">
        <v>45</v>
      </c>
      <c r="AB81" s="1458">
        <v>45</v>
      </c>
      <c r="AC81" s="1463" t="s">
        <v>1113</v>
      </c>
      <c r="AD81" s="1528">
        <v>2.6</v>
      </c>
      <c r="AE81" s="1465">
        <v>1.37</v>
      </c>
      <c r="AF81" s="1529">
        <v>0.24</v>
      </c>
      <c r="AG81" s="1224">
        <v>0.05</v>
      </c>
      <c r="AH81" s="1570">
        <v>48</v>
      </c>
      <c r="AI81" s="2183">
        <v>0</v>
      </c>
      <c r="AK81" s="122">
        <v>0.9</v>
      </c>
      <c r="AL81" s="1045">
        <v>1</v>
      </c>
      <c r="AM81" s="295">
        <v>2</v>
      </c>
      <c r="AN81" s="295">
        <f t="shared" si="17"/>
        <v>2</v>
      </c>
      <c r="AO81" s="295">
        <v>50</v>
      </c>
      <c r="AP81" s="125">
        <v>90</v>
      </c>
      <c r="AQ81" s="125">
        <v>10</v>
      </c>
      <c r="AS81" s="962">
        <v>0.8</v>
      </c>
      <c r="AT81" s="125">
        <v>450</v>
      </c>
      <c r="AU81" s="125">
        <v>55</v>
      </c>
      <c r="AV81" s="962">
        <v>0.8</v>
      </c>
      <c r="AW81" s="125">
        <v>450</v>
      </c>
      <c r="AX81" s="125">
        <v>55</v>
      </c>
      <c r="AY81" s="125">
        <v>40</v>
      </c>
      <c r="AZ81" s="125">
        <v>100</v>
      </c>
      <c r="BC81" s="125">
        <f t="shared" si="18"/>
        <v>0</v>
      </c>
      <c r="BD81" s="125">
        <f t="shared" si="19"/>
        <v>0</v>
      </c>
      <c r="BE81" s="2289">
        <f t="shared" si="20"/>
        <v>15.83</v>
      </c>
      <c r="BF81" s="125">
        <f t="shared" si="21"/>
        <v>0.95388502842703726</v>
      </c>
      <c r="BH81" s="1326" cm="1">
        <f t="array" ref="BH81">INDEX(BM$9:BM$17,$C81)</f>
        <v>0</v>
      </c>
      <c r="BI81" s="1326" cm="1">
        <f t="array" ref="BI81">INDEX(BN$9:BN$17,$C81)</f>
        <v>0</v>
      </c>
      <c r="BJ81" s="1326" cm="1">
        <f t="array" ref="BJ81">INDEX(BO$9:BO$17,$C81)</f>
        <v>0</v>
      </c>
    </row>
    <row r="82" spans="1:62" x14ac:dyDescent="0.2">
      <c r="A82" s="55"/>
      <c r="B82" s="1448" t="s">
        <v>8323</v>
      </c>
      <c r="C82" s="1373">
        <v>8</v>
      </c>
      <c r="D82" s="1449">
        <v>0.45</v>
      </c>
      <c r="E82" s="1452">
        <v>31</v>
      </c>
      <c r="F82" s="1451">
        <v>9.9</v>
      </c>
      <c r="G82" s="1451">
        <v>36.9</v>
      </c>
      <c r="H82" s="1450">
        <v>31</v>
      </c>
      <c r="I82" s="1466">
        <v>9.9</v>
      </c>
      <c r="J82" s="1466">
        <v>36.9</v>
      </c>
      <c r="K82" s="1546"/>
      <c r="L82" s="1214"/>
      <c r="M82" s="1547">
        <v>0</v>
      </c>
      <c r="N82" s="1547">
        <v>0</v>
      </c>
      <c r="O82" s="1462">
        <f t="shared" si="41"/>
        <v>0</v>
      </c>
      <c r="P82" s="1461"/>
      <c r="Q82" s="1547"/>
      <c r="R82" s="1462"/>
      <c r="S82" s="1564"/>
      <c r="T82" s="1547"/>
      <c r="U82" s="1462"/>
      <c r="V82" s="1461"/>
      <c r="W82" s="1522"/>
      <c r="X82" s="1462"/>
      <c r="Y82" s="1550">
        <v>0</v>
      </c>
      <c r="Z82" s="1460"/>
      <c r="AA82" s="1456">
        <v>45</v>
      </c>
      <c r="AB82" s="1458">
        <v>45</v>
      </c>
      <c r="AC82" s="1463" t="s">
        <v>1113</v>
      </c>
      <c r="AD82" s="1528">
        <v>2.6</v>
      </c>
      <c r="AE82" s="1465">
        <v>1.37</v>
      </c>
      <c r="AF82" s="1529">
        <v>0.24</v>
      </c>
      <c r="AG82" s="1224">
        <v>0.05</v>
      </c>
      <c r="AH82" s="1570">
        <v>48</v>
      </c>
      <c r="AI82" s="2183">
        <v>40</v>
      </c>
      <c r="AK82" s="122">
        <v>0.9</v>
      </c>
      <c r="AL82" s="1045">
        <v>1</v>
      </c>
      <c r="AM82" s="295">
        <v>2</v>
      </c>
      <c r="AN82" s="295">
        <f t="shared" si="17"/>
        <v>2</v>
      </c>
      <c r="AO82" s="295">
        <v>50</v>
      </c>
      <c r="AP82" s="125">
        <v>90</v>
      </c>
      <c r="AQ82" s="125">
        <v>10</v>
      </c>
      <c r="AS82" s="962">
        <v>0.8</v>
      </c>
      <c r="AT82" s="125">
        <v>450</v>
      </c>
      <c r="AU82" s="125">
        <v>55</v>
      </c>
      <c r="AV82" s="962">
        <v>0.8</v>
      </c>
      <c r="AW82" s="125">
        <v>450</v>
      </c>
      <c r="AX82" s="125">
        <v>55</v>
      </c>
      <c r="AY82" s="125">
        <v>40</v>
      </c>
      <c r="AZ82" s="125">
        <v>100</v>
      </c>
      <c r="BC82" s="125">
        <f t="shared" si="18"/>
        <v>1.04</v>
      </c>
      <c r="BD82" s="125">
        <f t="shared" si="19"/>
        <v>0.54800000000000004</v>
      </c>
      <c r="BE82" s="2289">
        <f t="shared" si="20"/>
        <v>32.04</v>
      </c>
      <c r="BF82" s="125">
        <f t="shared" si="21"/>
        <v>0.96754057428214735</v>
      </c>
      <c r="BH82" s="1326" cm="1">
        <f t="array" ref="BH82">INDEX(BM$9:BM$17,$C82)</f>
        <v>0</v>
      </c>
      <c r="BI82" s="1326" cm="1">
        <f t="array" ref="BI82">INDEX(BN$9:BN$17,$C82)</f>
        <v>0</v>
      </c>
      <c r="BJ82" s="1326" cm="1">
        <f t="array" ref="BJ82">INDEX(BO$9:BO$17,$C82)</f>
        <v>0</v>
      </c>
    </row>
    <row r="83" spans="1:62" x14ac:dyDescent="0.2">
      <c r="A83" s="54"/>
      <c r="B83" s="1543" t="s">
        <v>90</v>
      </c>
      <c r="C83" s="1373">
        <v>8</v>
      </c>
      <c r="D83" s="1453">
        <v>0.3</v>
      </c>
      <c r="E83" s="1450">
        <v>22.7</v>
      </c>
      <c r="F83" s="1466">
        <v>7.2</v>
      </c>
      <c r="G83" s="1466">
        <v>27</v>
      </c>
      <c r="H83" s="1450">
        <v>22.7</v>
      </c>
      <c r="I83" s="1466">
        <v>7.2</v>
      </c>
      <c r="J83" s="1466">
        <v>27</v>
      </c>
      <c r="K83" s="1546"/>
      <c r="L83" s="1214"/>
      <c r="M83" s="1547">
        <v>0</v>
      </c>
      <c r="N83" s="1547">
        <v>0</v>
      </c>
      <c r="O83" s="1462">
        <f t="shared" si="41"/>
        <v>0</v>
      </c>
      <c r="P83" s="1461"/>
      <c r="Q83" s="1547"/>
      <c r="R83" s="1462"/>
      <c r="S83" s="1564"/>
      <c r="T83" s="1547"/>
      <c r="U83" s="1462"/>
      <c r="V83" s="1461"/>
      <c r="W83" s="1522"/>
      <c r="X83" s="1462"/>
      <c r="Y83" s="1550">
        <v>0</v>
      </c>
      <c r="Z83" s="1460"/>
      <c r="AA83" s="1456">
        <v>45</v>
      </c>
      <c r="AB83" s="1458">
        <v>45</v>
      </c>
      <c r="AC83" s="1463" t="s">
        <v>1113</v>
      </c>
      <c r="AD83" s="1528">
        <v>2.6</v>
      </c>
      <c r="AE83" s="1465">
        <v>1.37</v>
      </c>
      <c r="AF83" s="1529">
        <v>0.24</v>
      </c>
      <c r="AG83" s="1224">
        <v>0.05</v>
      </c>
      <c r="AH83" s="1570">
        <v>48</v>
      </c>
      <c r="AI83" s="2183">
        <v>0</v>
      </c>
      <c r="AK83" s="122">
        <v>0.9</v>
      </c>
      <c r="AL83" s="1045">
        <v>1</v>
      </c>
      <c r="AM83" s="295">
        <v>2</v>
      </c>
      <c r="AN83" s="295">
        <f t="shared" si="17"/>
        <v>2</v>
      </c>
      <c r="AO83" s="295">
        <v>50</v>
      </c>
      <c r="AP83" s="125">
        <v>90</v>
      </c>
      <c r="AQ83" s="125">
        <v>10</v>
      </c>
      <c r="AS83" s="962">
        <v>0.8</v>
      </c>
      <c r="AT83" s="125">
        <v>450</v>
      </c>
      <c r="AU83" s="125">
        <v>55</v>
      </c>
      <c r="AV83" s="962">
        <v>0.8</v>
      </c>
      <c r="AW83" s="125">
        <v>450</v>
      </c>
      <c r="AX83" s="125">
        <v>55</v>
      </c>
      <c r="AY83" s="125">
        <v>40</v>
      </c>
      <c r="AZ83" s="125">
        <v>100</v>
      </c>
      <c r="BC83" s="125">
        <f t="shared" si="18"/>
        <v>0</v>
      </c>
      <c r="BD83" s="125">
        <f t="shared" si="19"/>
        <v>0</v>
      </c>
      <c r="BE83" s="2289">
        <f t="shared" si="20"/>
        <v>22.7</v>
      </c>
      <c r="BF83" s="125">
        <f t="shared" si="21"/>
        <v>1</v>
      </c>
      <c r="BH83" s="1326" cm="1">
        <f t="array" ref="BH83">INDEX(BM$9:BM$17,$C83)</f>
        <v>0</v>
      </c>
      <c r="BI83" s="1326" cm="1">
        <f t="array" ref="BI83">INDEX(BN$9:BN$17,$C83)</f>
        <v>0</v>
      </c>
      <c r="BJ83" s="1326" cm="1">
        <f t="array" ref="BJ83">INDEX(BO$9:BO$17,$C83)</f>
        <v>0</v>
      </c>
    </row>
    <row r="84" spans="1:62" x14ac:dyDescent="0.2">
      <c r="A84" s="54"/>
      <c r="B84" s="1448" t="s">
        <v>8324</v>
      </c>
      <c r="C84" s="1184">
        <v>9</v>
      </c>
      <c r="D84" s="1449">
        <v>0.28000000000000003</v>
      </c>
      <c r="E84" s="1450">
        <v>22.7</v>
      </c>
      <c r="F84" s="1466">
        <v>7.2</v>
      </c>
      <c r="G84" s="1466">
        <v>27</v>
      </c>
      <c r="H84" s="1450">
        <v>22.7</v>
      </c>
      <c r="I84" s="1466">
        <v>7.2</v>
      </c>
      <c r="J84" s="1466">
        <v>27</v>
      </c>
      <c r="K84" s="1546"/>
      <c r="L84" s="1214"/>
      <c r="M84" s="1547">
        <v>7.1428571428571423</v>
      </c>
      <c r="N84" s="1547">
        <v>7.1428571428571423</v>
      </c>
      <c r="O84" s="1462">
        <f t="shared" si="41"/>
        <v>7.1428571428571423</v>
      </c>
      <c r="P84" s="1517">
        <v>2</v>
      </c>
      <c r="Q84" s="1517">
        <v>2</v>
      </c>
      <c r="R84" s="1517">
        <v>2</v>
      </c>
      <c r="S84" s="1517">
        <v>3.4</v>
      </c>
      <c r="T84" s="1517">
        <v>3.4</v>
      </c>
      <c r="U84" s="1517">
        <v>3.4</v>
      </c>
      <c r="V84" s="1461">
        <v>40</v>
      </c>
      <c r="W84" s="1522">
        <v>40</v>
      </c>
      <c r="X84" s="1462">
        <v>40</v>
      </c>
      <c r="Y84" s="1550">
        <v>0</v>
      </c>
      <c r="Z84" s="1460"/>
      <c r="AA84" s="1456">
        <v>45</v>
      </c>
      <c r="AB84" s="1458">
        <v>45</v>
      </c>
      <c r="AC84" s="1527" t="s">
        <v>1111</v>
      </c>
      <c r="AD84" s="1528">
        <v>3</v>
      </c>
      <c r="AE84" s="1465">
        <v>1.74</v>
      </c>
      <c r="AF84" s="1529">
        <v>0.24</v>
      </c>
      <c r="AG84" s="1224">
        <v>0.05</v>
      </c>
      <c r="AH84" s="1570"/>
      <c r="AI84" s="2183">
        <v>50</v>
      </c>
      <c r="AK84" s="122">
        <v>0.9</v>
      </c>
      <c r="AL84" s="1045">
        <v>1</v>
      </c>
      <c r="AM84" s="295">
        <v>2</v>
      </c>
      <c r="AN84" s="295">
        <f t="shared" si="17"/>
        <v>2</v>
      </c>
      <c r="AO84" s="295">
        <v>50</v>
      </c>
      <c r="AP84" s="125">
        <v>90</v>
      </c>
      <c r="AQ84" s="125">
        <v>10</v>
      </c>
      <c r="AS84" s="962">
        <v>0.8</v>
      </c>
      <c r="AT84" s="125">
        <v>450</v>
      </c>
      <c r="AU84" s="125">
        <v>55</v>
      </c>
      <c r="AV84" s="962">
        <v>0.8</v>
      </c>
      <c r="AW84" s="125">
        <v>450</v>
      </c>
      <c r="AX84" s="125">
        <v>55</v>
      </c>
      <c r="AY84" s="125">
        <v>40</v>
      </c>
      <c r="AZ84" s="125">
        <v>100</v>
      </c>
      <c r="BC84" s="125">
        <f t="shared" si="18"/>
        <v>1.5</v>
      </c>
      <c r="BD84" s="125">
        <f t="shared" si="19"/>
        <v>0.87</v>
      </c>
      <c r="BE84" s="2289">
        <f t="shared" si="20"/>
        <v>24.2</v>
      </c>
      <c r="BF84" s="125">
        <f t="shared" si="21"/>
        <v>0.93801652892561982</v>
      </c>
      <c r="BH84" s="1326" cm="1">
        <f t="array" ref="BH84">INDEX(BM$9:BM$17,$C84)</f>
        <v>0</v>
      </c>
      <c r="BI84" s="1326" cm="1">
        <f t="array" ref="BI84">INDEX(BN$9:BN$17,$C84)</f>
        <v>0</v>
      </c>
      <c r="BJ84" s="1326" cm="1">
        <f t="array" ref="BJ84">INDEX(BO$9:BO$17,$C84)</f>
        <v>0</v>
      </c>
    </row>
    <row r="85" spans="1:62" ht="13.5" thickBot="1" x14ac:dyDescent="0.25">
      <c r="A85" s="56"/>
      <c r="B85" s="1448" t="s">
        <v>8325</v>
      </c>
      <c r="C85" s="1184">
        <v>9</v>
      </c>
      <c r="D85" s="1449">
        <v>0.14000000000000001</v>
      </c>
      <c r="E85" s="1450">
        <v>11.35</v>
      </c>
      <c r="F85" s="1466">
        <v>3.6</v>
      </c>
      <c r="G85" s="1466">
        <v>13.5</v>
      </c>
      <c r="H85" s="1450">
        <v>11.35</v>
      </c>
      <c r="I85" s="1466">
        <v>3.6</v>
      </c>
      <c r="J85" s="1466">
        <v>4.95</v>
      </c>
      <c r="K85" s="1546"/>
      <c r="L85" s="1214"/>
      <c r="M85" s="1547">
        <v>7.1428571428571423</v>
      </c>
      <c r="N85" s="1547">
        <v>7.1428571428571423</v>
      </c>
      <c r="O85" s="1462">
        <f t="shared" si="41"/>
        <v>7.1428571428571423</v>
      </c>
      <c r="P85" s="1517">
        <v>1</v>
      </c>
      <c r="Q85" s="1517">
        <v>1</v>
      </c>
      <c r="R85" s="1517">
        <v>1</v>
      </c>
      <c r="S85" s="1517">
        <v>1.7</v>
      </c>
      <c r="T85" s="1517">
        <v>1.7</v>
      </c>
      <c r="U85" s="1517">
        <v>1.7</v>
      </c>
      <c r="V85" s="1461">
        <v>40</v>
      </c>
      <c r="W85" s="1522">
        <v>40</v>
      </c>
      <c r="X85" s="1462">
        <v>40</v>
      </c>
      <c r="Y85" s="1550">
        <v>0</v>
      </c>
      <c r="Z85" s="1460"/>
      <c r="AA85" s="1456">
        <v>45</v>
      </c>
      <c r="AB85" s="1458">
        <v>45</v>
      </c>
      <c r="AC85" s="1527" t="s">
        <v>1111</v>
      </c>
      <c r="AD85" s="1528">
        <v>3</v>
      </c>
      <c r="AE85" s="1465">
        <v>1.74</v>
      </c>
      <c r="AF85" s="1529">
        <v>0.24</v>
      </c>
      <c r="AG85" s="1224">
        <v>0.05</v>
      </c>
      <c r="AH85" s="1570"/>
      <c r="AI85" s="2183">
        <v>30</v>
      </c>
      <c r="AK85" s="122">
        <v>0.9</v>
      </c>
      <c r="AL85" s="1045">
        <v>1</v>
      </c>
      <c r="AM85" s="295">
        <v>2</v>
      </c>
      <c r="AN85" s="295">
        <f t="shared" si="17"/>
        <v>2</v>
      </c>
      <c r="AO85" s="295">
        <v>50</v>
      </c>
      <c r="AP85" s="125">
        <v>90</v>
      </c>
      <c r="AQ85" s="125">
        <v>10</v>
      </c>
      <c r="AS85" s="962">
        <v>0.8</v>
      </c>
      <c r="AT85" s="125">
        <v>450</v>
      </c>
      <c r="AU85" s="125">
        <v>55</v>
      </c>
      <c r="AV85" s="962">
        <v>0.8</v>
      </c>
      <c r="AW85" s="125">
        <v>450</v>
      </c>
      <c r="AX85" s="125">
        <v>55</v>
      </c>
      <c r="AY85" s="125">
        <v>40</v>
      </c>
      <c r="AZ85" s="125">
        <v>100</v>
      </c>
      <c r="BC85" s="125">
        <f t="shared" si="18"/>
        <v>0.89999999999999991</v>
      </c>
      <c r="BD85" s="125">
        <f t="shared" si="19"/>
        <v>0.52200000000000002</v>
      </c>
      <c r="BE85" s="2289">
        <f t="shared" si="20"/>
        <v>12.25</v>
      </c>
      <c r="BF85" s="125">
        <f t="shared" si="21"/>
        <v>0.92653061224489797</v>
      </c>
      <c r="BH85" s="1326" cm="1">
        <f t="array" ref="BH85">INDEX(BM$9:BM$17,$C85)</f>
        <v>0</v>
      </c>
      <c r="BI85" s="1326" cm="1">
        <f t="array" ref="BI85">INDEX(BN$9:BN$17,$C85)</f>
        <v>0</v>
      </c>
      <c r="BJ85" s="1326" cm="1">
        <f t="array" ref="BJ85">INDEX(BO$9:BO$17,$C85)</f>
        <v>0</v>
      </c>
    </row>
    <row r="87" spans="1:62" x14ac:dyDescent="0.2">
      <c r="K87" s="123" t="s">
        <v>468</v>
      </c>
      <c r="M87" s="816" t="s">
        <v>720</v>
      </c>
      <c r="N87" s="122"/>
    </row>
    <row r="88" spans="1:62" x14ac:dyDescent="0.2">
      <c r="G88" s="122" t="s">
        <v>0</v>
      </c>
      <c r="K88" s="123" t="s">
        <v>11</v>
      </c>
      <c r="L88" s="122" t="s">
        <v>13</v>
      </c>
      <c r="M88" s="122" t="s">
        <v>0</v>
      </c>
      <c r="N88" s="122" t="s">
        <v>13</v>
      </c>
    </row>
    <row r="89" spans="1:62" x14ac:dyDescent="0.2">
      <c r="E89" s="58" t="s">
        <v>23</v>
      </c>
      <c r="K89" s="123"/>
      <c r="M89" s="122"/>
      <c r="N89" s="122"/>
    </row>
    <row r="90" spans="1:62" x14ac:dyDescent="0.2">
      <c r="E90" s="59" t="s">
        <v>49</v>
      </c>
      <c r="G90" s="122">
        <v>50</v>
      </c>
      <c r="K90" s="123">
        <v>90</v>
      </c>
      <c r="L90" s="122">
        <v>10</v>
      </c>
      <c r="M90" s="122">
        <v>40</v>
      </c>
      <c r="N90" s="122">
        <v>100</v>
      </c>
    </row>
    <row r="91" spans="1:62" x14ac:dyDescent="0.2">
      <c r="E91" s="59" t="s">
        <v>93</v>
      </c>
      <c r="G91" s="122">
        <v>60</v>
      </c>
      <c r="K91" s="123">
        <v>90</v>
      </c>
      <c r="L91" s="122">
        <v>10</v>
      </c>
      <c r="M91" s="122">
        <v>40</v>
      </c>
      <c r="N91" s="122">
        <v>100</v>
      </c>
    </row>
    <row r="92" spans="1:62" x14ac:dyDescent="0.2">
      <c r="E92" s="59" t="s">
        <v>94</v>
      </c>
      <c r="G92" s="122">
        <v>50</v>
      </c>
      <c r="K92" s="123">
        <v>90</v>
      </c>
      <c r="L92" s="122">
        <v>45</v>
      </c>
      <c r="M92" s="122">
        <v>40</v>
      </c>
      <c r="N92" s="122">
        <v>100</v>
      </c>
    </row>
    <row r="93" spans="1:62" x14ac:dyDescent="0.2">
      <c r="E93" s="57" t="s">
        <v>95</v>
      </c>
      <c r="G93" s="122">
        <v>50</v>
      </c>
      <c r="K93" s="123">
        <v>90</v>
      </c>
      <c r="L93" s="122">
        <v>10</v>
      </c>
      <c r="M93" s="122">
        <v>40</v>
      </c>
      <c r="N93" s="122">
        <v>100</v>
      </c>
    </row>
    <row r="96" spans="1:62" x14ac:dyDescent="0.2">
      <c r="E96" s="122" t="s">
        <v>276</v>
      </c>
      <c r="G96" s="1264"/>
    </row>
    <row r="97" spans="5:7" x14ac:dyDescent="0.2">
      <c r="E97" s="122" t="s">
        <v>23</v>
      </c>
    </row>
    <row r="98" spans="5:7" x14ac:dyDescent="0.2">
      <c r="E98" s="122" t="s">
        <v>217</v>
      </c>
      <c r="G98" s="2291"/>
    </row>
    <row r="99" spans="5:7" x14ac:dyDescent="0.2">
      <c r="E99" s="122" t="s">
        <v>218</v>
      </c>
      <c r="G99" s="2291"/>
    </row>
    <row r="100" spans="5:7" x14ac:dyDescent="0.2">
      <c r="E100" s="1264" t="s">
        <v>94</v>
      </c>
      <c r="G100" s="2291"/>
    </row>
    <row r="101" spans="5:7" x14ac:dyDescent="0.2">
      <c r="E101" s="122" t="s">
        <v>797</v>
      </c>
      <c r="G101" s="2291"/>
    </row>
  </sheetData>
  <customSheetViews>
    <customSheetView guid="{DDA6E6AA-9473-49A0-A3A2-76E4959B79AF}" scale="90" state="hidden" topLeftCell="A21">
      <selection activeCell="V71" sqref="V71"/>
      <pageMargins left="0.7" right="0.7" top="0.78740157499999996" bottom="0.78740157499999996" header="0.3" footer="0.3"/>
      <pageSetup paperSize="9" orientation="portrait" r:id="rId1"/>
    </customSheetView>
  </customSheetViews>
  <mergeCells count="11">
    <mergeCell ref="BH5:BJ5"/>
    <mergeCell ref="BH6:BJ6"/>
    <mergeCell ref="BM5:BO5"/>
    <mergeCell ref="BM6:BO6"/>
    <mergeCell ref="AS8:AU8"/>
    <mergeCell ref="AV8:AX8"/>
    <mergeCell ref="D5:D7"/>
    <mergeCell ref="AA5:AB5"/>
    <mergeCell ref="AA6:AB6"/>
    <mergeCell ref="AS4:AX4"/>
    <mergeCell ref="AO5:AQ5"/>
  </mergeCells>
  <pageMargins left="0.7" right="0.7" top="0.78740157499999996" bottom="0.78740157499999996" header="0.3" footer="0.3"/>
  <pageSetup paperSize="9" orientation="portrait"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590A3-E773-45CB-8F00-850045AC4DAD}">
  <sheetPr codeName="Tabelle15"/>
  <dimension ref="A1:AN30"/>
  <sheetViews>
    <sheetView workbookViewId="0"/>
  </sheetViews>
  <sheetFormatPr baseColWidth="10" defaultRowHeight="12.75" x14ac:dyDescent="0.2"/>
  <sheetData>
    <row r="1" spans="1:40" x14ac:dyDescent="0.2">
      <c r="A1" s="1315" t="s">
        <v>1249</v>
      </c>
      <c r="B1" s="1315" t="s">
        <v>289</v>
      </c>
      <c r="C1" s="1315"/>
      <c r="D1" s="1315"/>
      <c r="E1" s="1315" t="s">
        <v>1076</v>
      </c>
      <c r="F1" s="1315"/>
      <c r="G1" s="1315"/>
      <c r="H1" s="1315" t="s">
        <v>1077</v>
      </c>
      <c r="I1" s="1315"/>
      <c r="J1" s="1315"/>
      <c r="K1" s="1315" t="s">
        <v>1078</v>
      </c>
      <c r="L1" s="1315"/>
      <c r="M1" s="1315"/>
      <c r="N1" s="1315" t="s">
        <v>1079</v>
      </c>
      <c r="O1" s="1315"/>
      <c r="P1" s="1315"/>
      <c r="Q1" s="1315" t="s">
        <v>1177</v>
      </c>
      <c r="R1" s="1315"/>
      <c r="S1" s="1315"/>
      <c r="T1" s="1315" t="s">
        <v>1178</v>
      </c>
      <c r="U1" s="1315"/>
      <c r="V1" s="1315"/>
      <c r="W1" s="1315" t="s">
        <v>1082</v>
      </c>
      <c r="X1" s="1315"/>
      <c r="Y1" s="1315"/>
      <c r="Z1" s="1315" t="s">
        <v>1083</v>
      </c>
      <c r="AA1" s="1315"/>
      <c r="AB1" s="1315"/>
      <c r="AC1" s="1315" t="s">
        <v>1084</v>
      </c>
      <c r="AD1" s="1315"/>
      <c r="AE1" s="1315"/>
      <c r="AF1" s="1315" t="s">
        <v>1085</v>
      </c>
      <c r="AG1" s="1315"/>
      <c r="AH1" s="1315"/>
      <c r="AI1" s="1315" t="s">
        <v>1086</v>
      </c>
      <c r="AJ1" s="1315"/>
      <c r="AK1" s="1315"/>
      <c r="AL1" s="1315" t="s">
        <v>1087</v>
      </c>
      <c r="AM1" s="1315"/>
    </row>
    <row r="2" spans="1:40" x14ac:dyDescent="0.2">
      <c r="A2" s="1315"/>
      <c r="B2" s="1315" t="s">
        <v>4</v>
      </c>
      <c r="C2" s="1315" t="s">
        <v>5</v>
      </c>
      <c r="D2" s="1315"/>
      <c r="E2" s="1315" t="s">
        <v>4</v>
      </c>
      <c r="F2" s="1315" t="s">
        <v>5</v>
      </c>
      <c r="G2" s="1315"/>
      <c r="H2" s="1315" t="s">
        <v>4</v>
      </c>
      <c r="I2" s="1315" t="s">
        <v>5</v>
      </c>
      <c r="J2" s="1315"/>
      <c r="K2" s="1315" t="s">
        <v>4</v>
      </c>
      <c r="L2" s="1315" t="s">
        <v>5</v>
      </c>
      <c r="M2" s="1315"/>
      <c r="N2" s="1315" t="s">
        <v>4</v>
      </c>
      <c r="O2" s="1315" t="s">
        <v>5</v>
      </c>
      <c r="P2" s="1315"/>
      <c r="Q2" s="1315" t="s">
        <v>4</v>
      </c>
      <c r="R2" s="1315" t="s">
        <v>5</v>
      </c>
      <c r="S2" s="1315"/>
      <c r="T2" s="1315" t="s">
        <v>4</v>
      </c>
      <c r="U2" s="1315" t="s">
        <v>5</v>
      </c>
      <c r="V2" s="1315"/>
      <c r="W2" s="1315" t="s">
        <v>4</v>
      </c>
      <c r="X2" s="1315" t="s">
        <v>5</v>
      </c>
      <c r="Y2" s="1315"/>
      <c r="Z2" s="1315" t="s">
        <v>4</v>
      </c>
      <c r="AA2" s="1315" t="s">
        <v>5</v>
      </c>
      <c r="AB2" s="1315"/>
      <c r="AC2" s="1315" t="s">
        <v>4</v>
      </c>
      <c r="AD2" s="1315" t="s">
        <v>5</v>
      </c>
      <c r="AE2" s="1315"/>
      <c r="AF2" s="1315" t="s">
        <v>4</v>
      </c>
      <c r="AG2" s="1315" t="s">
        <v>5</v>
      </c>
      <c r="AH2" s="1315"/>
      <c r="AI2" s="1315" t="s">
        <v>4</v>
      </c>
      <c r="AJ2" s="1315" t="s">
        <v>5</v>
      </c>
      <c r="AK2" s="1315"/>
      <c r="AL2" s="1315" t="s">
        <v>4</v>
      </c>
      <c r="AM2" s="1315" t="s">
        <v>5</v>
      </c>
      <c r="AN2" s="1306"/>
    </row>
    <row r="3" spans="1:40" x14ac:dyDescent="0.2">
      <c r="A3" s="322" t="s">
        <v>1264</v>
      </c>
      <c r="B3" s="322">
        <f>IFERROR(INDEX('Lagerhaltung (freiwillig)'!$EZ$4:$EZ$137,1),"")</f>
        <v>0</v>
      </c>
      <c r="C3" s="322">
        <f>IFERROR(INDEX('Lagerhaltung (freiwillig)'!$FN$4:$FN$137,2),"")</f>
        <v>0</v>
      </c>
      <c r="D3" s="322"/>
      <c r="E3" s="322">
        <f>IFERROR(INDEX('Lagerhaltung (freiwillig)'!$FA$4:$FA$137,1),"")</f>
        <v>0</v>
      </c>
      <c r="F3" s="322">
        <f>IFERROR(INDEX('Lagerhaltung (freiwillig)'!$FO$4:$FO$137,2),"")</f>
        <v>0</v>
      </c>
      <c r="G3" s="322"/>
      <c r="H3" s="322">
        <f>IFERROR(INDEX('Lagerhaltung (freiwillig)'!$FB$4:$FB$137,1),"")</f>
        <v>0</v>
      </c>
      <c r="I3" s="322">
        <f>IFERROR(INDEX('Lagerhaltung (freiwillig)'!$FP$4:$FP$137,2),"")</f>
        <v>0</v>
      </c>
      <c r="J3" s="322"/>
      <c r="K3" s="322">
        <f>IFERROR(INDEX('Lagerhaltung (freiwillig)'!$FC$4:$FC$137,1),"")</f>
        <v>0</v>
      </c>
      <c r="L3" s="322">
        <f>IFERROR(INDEX('Lagerhaltung (freiwillig)'!$FQ$4:$FQ$137,2),"")</f>
        <v>0</v>
      </c>
      <c r="M3" s="322"/>
      <c r="N3" s="322">
        <f>IFERROR(INDEX('Lagerhaltung (freiwillig)'!$FD$4:$FD$137,1),"")</f>
        <v>0</v>
      </c>
      <c r="O3" s="322">
        <f>IFERROR(INDEX('Lagerhaltung (freiwillig)'!$FR$4:$FR$137,2),"")</f>
        <v>0</v>
      </c>
      <c r="P3" s="322"/>
      <c r="Q3" s="322">
        <f>IFERROR(INDEX('Lagerhaltung (freiwillig)'!$FE$4:$FE$137,1),"")</f>
        <v>0</v>
      </c>
      <c r="R3" s="322">
        <f>IFERROR(INDEX('Lagerhaltung (freiwillig)'!$FS$4:$FS$137,2),"")</f>
        <v>0</v>
      </c>
      <c r="S3" s="322"/>
      <c r="T3" s="322">
        <f>IFERROR(INDEX('Lagerhaltung (freiwillig)'!$FF$4:$FF$137,1),"")</f>
        <v>0</v>
      </c>
      <c r="U3" s="322">
        <f>IFERROR(INDEX('Lagerhaltung (freiwillig)'!$FT$4:$FT$137,2),"")</f>
        <v>0</v>
      </c>
      <c r="V3" s="322"/>
      <c r="W3" s="322">
        <f>IFERROR(INDEX('Lagerhaltung (freiwillig)'!$FG$4:$FG$137,1),"")</f>
        <v>0</v>
      </c>
      <c r="X3" s="322">
        <f>IFERROR(INDEX('Lagerhaltung (freiwillig)'!$FU$4:$FU$137,2),"")</f>
        <v>0</v>
      </c>
      <c r="Y3" s="322"/>
      <c r="Z3" s="322">
        <f>IFERROR(INDEX('Lagerhaltung (freiwillig)'!$FH$4:$FH$137,1),"")</f>
        <v>0</v>
      </c>
      <c r="AA3" s="322">
        <f>IFERROR(INDEX('Lagerhaltung (freiwillig)'!$FV$4:$FV$137,2),"")</f>
        <v>0</v>
      </c>
      <c r="AB3" s="322"/>
      <c r="AC3" s="322">
        <f>IFERROR(INDEX('Lagerhaltung (freiwillig)'!$FI$4:$FI$137,1),"")</f>
        <v>0</v>
      </c>
      <c r="AD3" s="322">
        <f>IFERROR(INDEX('Lagerhaltung (freiwillig)'!$FW$4:$FW$137,2),"")</f>
        <v>0</v>
      </c>
      <c r="AE3" s="322"/>
      <c r="AF3" s="322">
        <f>IFERROR(INDEX('Lagerhaltung (freiwillig)'!$FJ$4:$FJ$137,1),"")</f>
        <v>0</v>
      </c>
      <c r="AG3" s="322">
        <f>IFERROR(INDEX('Lagerhaltung (freiwillig)'!$FX$4:$FX$137,2),"")</f>
        <v>0</v>
      </c>
      <c r="AH3" s="322"/>
      <c r="AI3" s="322">
        <f>IFERROR(INDEX('Lagerhaltung (freiwillig)'!$FK$4:$FK$137,1),"")</f>
        <v>0</v>
      </c>
      <c r="AJ3" s="322">
        <f>IFERROR(INDEX('Lagerhaltung (freiwillig)'!$FY$4:$FY$137,2),"")</f>
        <v>0</v>
      </c>
      <c r="AK3" s="322"/>
      <c r="AL3" s="322">
        <f>IFERROR(INDEX('Lagerhaltung (freiwillig)'!$FL$4:$FL$137,1),"")</f>
        <v>0</v>
      </c>
      <c r="AM3" s="322">
        <f>IFERROR(INDEX('Lagerhaltung (freiwillig)'!$FZ$4:$FZ$137,2),"")</f>
        <v>0</v>
      </c>
    </row>
    <row r="4" spans="1:40" x14ac:dyDescent="0.2">
      <c r="A4" s="322" t="s">
        <v>1164</v>
      </c>
      <c r="B4" s="322">
        <f>IFERROR(INDEX('Lagerhaltung (freiwillig)'!$EZ$4:$EZ$137,3),"")</f>
        <v>0</v>
      </c>
      <c r="C4" s="322">
        <f>IFERROR(INDEX('Lagerhaltung (freiwillig)'!$FN$4:$FN$137,4),"")</f>
        <v>0</v>
      </c>
      <c r="D4" s="322"/>
      <c r="E4" s="322">
        <f>IFERROR(INDEX('Lagerhaltung (freiwillig)'!$FA$4:$FA$137,3),"")</f>
        <v>0</v>
      </c>
      <c r="F4" s="322">
        <f>IFERROR(INDEX('Lagerhaltung (freiwillig)'!$FO$4:$FO$137,4),"")</f>
        <v>0</v>
      </c>
      <c r="G4" s="322"/>
      <c r="H4" s="322">
        <f>IFERROR(INDEX('Lagerhaltung (freiwillig)'!$FB$4:$FB$136,3),"")</f>
        <v>0</v>
      </c>
      <c r="I4" s="322">
        <f>IFERROR(INDEX('Lagerhaltung (freiwillig)'!$FP$4:$FP$136,4),"")</f>
        <v>0</v>
      </c>
      <c r="J4" s="322"/>
      <c r="K4" s="322">
        <f>IFERROR(INDEX('Lagerhaltung (freiwillig)'!$FC$4:$FC$136,3),"")</f>
        <v>0</v>
      </c>
      <c r="L4" s="322">
        <f>IFERROR(INDEX('Lagerhaltung (freiwillig)'!$FQ$4:$FQ$136,4),"")</f>
        <v>0</v>
      </c>
      <c r="M4" s="322"/>
      <c r="N4" s="322">
        <f>IFERROR(INDEX('Lagerhaltung (freiwillig)'!$FD$4:$FD$136,3),"")</f>
        <v>0</v>
      </c>
      <c r="O4" s="322">
        <f>IFERROR(INDEX('Lagerhaltung (freiwillig)'!$FR$4:$FR$136,4),"")</f>
        <v>0</v>
      </c>
      <c r="P4" s="322"/>
      <c r="Q4" s="322">
        <f>IFERROR(INDEX('Lagerhaltung (freiwillig)'!$FE$4:$FE$136,3),"")</f>
        <v>0</v>
      </c>
      <c r="R4" s="322">
        <f>IFERROR(INDEX('Lagerhaltung (freiwillig)'!$FS$4:$FS$136,4),"")</f>
        <v>0</v>
      </c>
      <c r="S4" s="322"/>
      <c r="T4" s="322">
        <f>IFERROR(INDEX('Lagerhaltung (freiwillig)'!$FF$4:$FF$136,3),"")</f>
        <v>0</v>
      </c>
      <c r="U4" s="322">
        <f>IFERROR(INDEX('Lagerhaltung (freiwillig)'!$FT$4:$FT$136,4),"")</f>
        <v>0</v>
      </c>
      <c r="V4" s="322"/>
      <c r="W4" s="322">
        <f>IFERROR(INDEX('Lagerhaltung (freiwillig)'!$FG$4:$FG$136,3),"")</f>
        <v>0</v>
      </c>
      <c r="X4" s="322">
        <f>IFERROR(INDEX('Lagerhaltung (freiwillig)'!$FU$4:$FU$136,4),"")</f>
        <v>0</v>
      </c>
      <c r="Y4" s="322"/>
      <c r="Z4" s="322">
        <f>IFERROR(INDEX('Lagerhaltung (freiwillig)'!$FH$4:$FH$136,3),"")</f>
        <v>0</v>
      </c>
      <c r="AA4" s="322">
        <f>IFERROR(INDEX('Lagerhaltung (freiwillig)'!$FV$4:$FV$136,4),"")</f>
        <v>0</v>
      </c>
      <c r="AB4" s="322"/>
      <c r="AC4" s="322">
        <f>IFERROR(INDEX('Lagerhaltung (freiwillig)'!$FI$4:$FI$136,3),"")</f>
        <v>0</v>
      </c>
      <c r="AD4" s="322">
        <f>IFERROR(INDEX('Lagerhaltung (freiwillig)'!$FW$4:$FW$136,4),"")</f>
        <v>0</v>
      </c>
      <c r="AE4" s="322"/>
      <c r="AF4" s="322">
        <f>IFERROR(INDEX('Lagerhaltung (freiwillig)'!$FJ$4:$FJ$136,3),"")</f>
        <v>0</v>
      </c>
      <c r="AG4" s="322">
        <f>IFERROR(INDEX('Lagerhaltung (freiwillig)'!$FX$4:$FX$136,4),"")</f>
        <v>0</v>
      </c>
      <c r="AH4" s="322"/>
      <c r="AI4" s="322">
        <f>IFERROR(INDEX('Lagerhaltung (freiwillig)'!$FK$4:$FK$136,3),"")</f>
        <v>0</v>
      </c>
      <c r="AJ4" s="322">
        <f>IFERROR(INDEX('Lagerhaltung (freiwillig)'!$FY$4:$FY$136,4),"")</f>
        <v>0</v>
      </c>
      <c r="AK4" s="322"/>
      <c r="AL4" s="322">
        <f>IFERROR(INDEX('Lagerhaltung (freiwillig)'!$FL$4:$FL$136,3),"")</f>
        <v>0</v>
      </c>
      <c r="AM4" s="322">
        <f>IFERROR(INDEX('Lagerhaltung (freiwillig)'!$FZ$4:$FZ$136,4),"")</f>
        <v>0</v>
      </c>
    </row>
    <row r="5" spans="1:40" x14ac:dyDescent="0.2">
      <c r="A5" s="322" t="s">
        <v>1265</v>
      </c>
      <c r="B5" s="322">
        <f>IFERROR(INDEX('Lagerhaltung (freiwillig)'!$EZ$4:$EZ$137,5),"")</f>
        <v>0</v>
      </c>
      <c r="C5" s="322">
        <f>IFERROR(INDEX('Lagerhaltung (freiwillig)'!$FN$4:$FN$137,5),"")</f>
        <v>0</v>
      </c>
      <c r="D5" s="322"/>
      <c r="E5" s="322">
        <f>IFERROR(INDEX('Lagerhaltung (freiwillig)'!$FA$4:$FA$136,5),"")</f>
        <v>0</v>
      </c>
      <c r="F5" s="322">
        <f>IFERROR(INDEX('Lagerhaltung (freiwillig)'!$FO$4:$FO$136,5),"")</f>
        <v>0</v>
      </c>
      <c r="G5" s="322"/>
      <c r="H5" s="322">
        <f>IFERROR(INDEX('Lagerhaltung (freiwillig)'!$FB$4:$FB$136,5),"")</f>
        <v>0</v>
      </c>
      <c r="I5" s="322">
        <f>IFERROR(INDEX('Lagerhaltung (freiwillig)'!$FP$4:$FP$136,5),"")</f>
        <v>0</v>
      </c>
      <c r="J5" s="322"/>
      <c r="K5" s="322">
        <f>IFERROR(INDEX('Lagerhaltung (freiwillig)'!$FC$4:$FC$136,5),"")</f>
        <v>0</v>
      </c>
      <c r="L5" s="322">
        <f>IFERROR(INDEX('Lagerhaltung (freiwillig)'!$FQ$4:$FQ$136,5),"")</f>
        <v>0</v>
      </c>
      <c r="M5" s="322"/>
      <c r="N5" s="322">
        <f>IFERROR(INDEX('Lagerhaltung (freiwillig)'!$FD$4:$FD$136,5),"")</f>
        <v>0</v>
      </c>
      <c r="O5" s="322">
        <f>IFERROR(INDEX('Lagerhaltung (freiwillig)'!$FR$4:$FR$136,5),"")</f>
        <v>0</v>
      </c>
      <c r="P5" s="322"/>
      <c r="Q5" s="322">
        <f>IFERROR(INDEX('Lagerhaltung (freiwillig)'!$FE$4:$FE$136,5),"")</f>
        <v>0</v>
      </c>
      <c r="R5" s="322">
        <f>IFERROR(INDEX('Lagerhaltung (freiwillig)'!$FS$4:$FS$136,5),"")</f>
        <v>0</v>
      </c>
      <c r="S5" s="322"/>
      <c r="T5" s="322">
        <f>IFERROR(INDEX('Lagerhaltung (freiwillig)'!$FF$4:$FF$136,5),"")</f>
        <v>0</v>
      </c>
      <c r="U5" s="322">
        <f>IFERROR(INDEX('Lagerhaltung (freiwillig)'!$FT$4:$FT$136,5),"")</f>
        <v>0</v>
      </c>
      <c r="V5" s="322"/>
      <c r="W5" s="322">
        <f>IFERROR(INDEX('Lagerhaltung (freiwillig)'!$FG$4:$FG$136,5),"")</f>
        <v>0</v>
      </c>
      <c r="X5" s="322">
        <f>IFERROR(INDEX('Lagerhaltung (freiwillig)'!$FU$4:$FU$136,5),"")</f>
        <v>0</v>
      </c>
      <c r="Y5" s="322"/>
      <c r="Z5" s="322">
        <f>IFERROR(INDEX('Lagerhaltung (freiwillig)'!$FH$4:$FH$136,5),"")</f>
        <v>0</v>
      </c>
      <c r="AA5" s="322">
        <f>IFERROR(INDEX('Lagerhaltung (freiwillig)'!$FV$4:$FV$136,5),"")</f>
        <v>0</v>
      </c>
      <c r="AB5" s="322"/>
      <c r="AC5" s="322">
        <f>IFERROR(INDEX('Lagerhaltung (freiwillig)'!$FI$4:$FI$136,5),"")</f>
        <v>0</v>
      </c>
      <c r="AD5" s="322">
        <f>IFERROR(INDEX('Lagerhaltung (freiwillig)'!$FW$4:$FW$136,5),"")</f>
        <v>0</v>
      </c>
      <c r="AE5" s="322"/>
      <c r="AF5" s="322">
        <f>IFERROR(INDEX('Lagerhaltung (freiwillig)'!$FJ$4:$FJ$136,5),"")</f>
        <v>0</v>
      </c>
      <c r="AG5" s="322">
        <f>IFERROR(INDEX('Lagerhaltung (freiwillig)'!$FX$4:$FX$136,5),"")</f>
        <v>0</v>
      </c>
      <c r="AH5" s="322"/>
      <c r="AI5" s="322">
        <f>IFERROR(INDEX('Lagerhaltung (freiwillig)'!$FK$4:$FK$136,5),"")</f>
        <v>0</v>
      </c>
      <c r="AJ5" s="322">
        <f>IFERROR(INDEX('Lagerhaltung (freiwillig)'!$FY$4:$FY$136,5),"")</f>
        <v>0</v>
      </c>
      <c r="AK5" s="322"/>
      <c r="AL5" s="322">
        <f>IFERROR(INDEX('Lagerhaltung (freiwillig)'!$FL$4:$FL$136,5),"")</f>
        <v>0</v>
      </c>
      <c r="AM5" s="322">
        <f>IFERROR(INDEX('Lagerhaltung (freiwillig)'!$FZ$4:$FZ$136,5),"")</f>
        <v>0</v>
      </c>
    </row>
    <row r="7" spans="1:40" x14ac:dyDescent="0.2">
      <c r="A7" s="2292" t="s">
        <v>4</v>
      </c>
    </row>
    <row r="8" spans="1:40" x14ac:dyDescent="0.2">
      <c r="B8" s="1315" t="s">
        <v>289</v>
      </c>
      <c r="D8" s="1315"/>
      <c r="E8" s="1315" t="s">
        <v>1076</v>
      </c>
      <c r="F8" s="1315"/>
      <c r="G8" s="1315"/>
      <c r="H8" s="1315" t="s">
        <v>1077</v>
      </c>
      <c r="I8" s="1315"/>
      <c r="J8" s="1315"/>
      <c r="K8" s="1315" t="s">
        <v>1078</v>
      </c>
      <c r="L8" s="1315"/>
      <c r="M8" s="1315"/>
      <c r="N8" s="1315" t="s">
        <v>1079</v>
      </c>
      <c r="O8" s="1315"/>
      <c r="P8" s="1315"/>
      <c r="Q8" s="1315" t="s">
        <v>1177</v>
      </c>
      <c r="R8" s="1315"/>
      <c r="S8" s="1315"/>
      <c r="T8" s="1315" t="s">
        <v>1178</v>
      </c>
      <c r="U8" s="1315"/>
      <c r="V8" s="1315"/>
      <c r="W8" s="1315" t="s">
        <v>1082</v>
      </c>
      <c r="X8" s="1315"/>
      <c r="Y8" s="1315"/>
      <c r="Z8" s="1315" t="s">
        <v>1083</v>
      </c>
      <c r="AA8" s="1315"/>
      <c r="AB8" s="1315"/>
      <c r="AC8" s="1315" t="s">
        <v>1084</v>
      </c>
      <c r="AD8" s="1315"/>
      <c r="AE8" s="1315"/>
      <c r="AF8" s="1315" t="s">
        <v>1085</v>
      </c>
      <c r="AG8" s="1315"/>
      <c r="AH8" s="1315"/>
      <c r="AI8" s="1315" t="s">
        <v>1086</v>
      </c>
      <c r="AJ8" s="1315"/>
      <c r="AK8" s="1315"/>
      <c r="AL8" s="1315" t="s">
        <v>1087</v>
      </c>
      <c r="AM8" s="1315"/>
    </row>
    <row r="9" spans="1:40" x14ac:dyDescent="0.2">
      <c r="A9" s="1315" t="s">
        <v>1250</v>
      </c>
      <c r="B9" s="1315"/>
      <c r="C9" s="1315" t="s">
        <v>1261</v>
      </c>
      <c r="E9" s="1315" t="s">
        <v>1259</v>
      </c>
      <c r="F9" t="s">
        <v>1260</v>
      </c>
      <c r="H9" s="1315" t="s">
        <v>1259</v>
      </c>
      <c r="I9" t="s">
        <v>1260</v>
      </c>
      <c r="K9" s="1315" t="s">
        <v>1259</v>
      </c>
      <c r="L9" t="s">
        <v>1260</v>
      </c>
      <c r="N9" s="1315" t="s">
        <v>1259</v>
      </c>
      <c r="O9" t="s">
        <v>1260</v>
      </c>
      <c r="Q9" s="1315" t="s">
        <v>1259</v>
      </c>
      <c r="R9" t="s">
        <v>1260</v>
      </c>
      <c r="T9" s="1315" t="s">
        <v>1259</v>
      </c>
      <c r="U9" t="s">
        <v>1260</v>
      </c>
      <c r="W9" s="1315" t="s">
        <v>1259</v>
      </c>
      <c r="X9" t="s">
        <v>1260</v>
      </c>
      <c r="Z9" s="1315" t="s">
        <v>1259</v>
      </c>
      <c r="AA9" t="s">
        <v>1260</v>
      </c>
      <c r="AC9" s="1315" t="s">
        <v>1259</v>
      </c>
      <c r="AD9" t="s">
        <v>1260</v>
      </c>
      <c r="AF9" s="1315" t="s">
        <v>1259</v>
      </c>
      <c r="AG9" t="s">
        <v>1260</v>
      </c>
      <c r="AI9" s="1315" t="s">
        <v>1259</v>
      </c>
      <c r="AJ9" t="s">
        <v>1260</v>
      </c>
      <c r="AL9" s="1315" t="s">
        <v>1259</v>
      </c>
      <c r="AM9" t="s">
        <v>1260</v>
      </c>
    </row>
    <row r="10" spans="1:40" x14ac:dyDescent="0.2">
      <c r="A10" s="322" t="s">
        <v>1264</v>
      </c>
      <c r="B10" s="322"/>
      <c r="C10" s="322">
        <f>IFERROR(INDEX('Lagerhaltung (freiwillig)'!$EZ$4:$EZ$9,1),"")</f>
        <v>0</v>
      </c>
      <c r="D10" s="322"/>
      <c r="E10" s="322">
        <f>IFERROR(INDEX('Lagerhaltung (freiwillig)'!$CZ$4:$CZ$8,1),"")</f>
        <v>0</v>
      </c>
      <c r="F10" s="322">
        <f>IFERROR(INDEX('Lagerhaltung (freiwillig)'!$DZ$4:$DZ$8,1),"")</f>
        <v>0</v>
      </c>
      <c r="G10" s="322"/>
      <c r="H10" s="322">
        <f>IFERROR(INDEX('Lagerhaltung (freiwillig)'!$DA$4:$DA$8,1),"")</f>
        <v>0</v>
      </c>
      <c r="I10" s="322">
        <f>IFERROR(INDEX('Lagerhaltung (freiwillig)'!$EA$4:$EA$8,1),"")</f>
        <v>0</v>
      </c>
      <c r="J10" s="322"/>
      <c r="K10" s="322">
        <f>IFERROR(INDEX('Lagerhaltung (freiwillig)'!$DB$4:$DB$8,1),"")</f>
        <v>0</v>
      </c>
      <c r="L10" s="322">
        <f>IFERROR(INDEX('Lagerhaltung (freiwillig)'!$EB$4:$EB$8,1),"")</f>
        <v>0</v>
      </c>
      <c r="M10" s="322"/>
      <c r="N10" s="322">
        <f>IFERROR(INDEX('Lagerhaltung (freiwillig)'!$DC$4:$DC$8,1),"")</f>
        <v>0</v>
      </c>
      <c r="O10" s="322">
        <f>IFERROR(INDEX('Lagerhaltung (freiwillig)'!$EC$4:$EC$8,1),"")</f>
        <v>0</v>
      </c>
      <c r="P10" s="322"/>
      <c r="Q10" s="322">
        <f>IFERROR(INDEX('Lagerhaltung (freiwillig)'!$DD$4:$DD$8,1),"")</f>
        <v>0</v>
      </c>
      <c r="R10" s="322">
        <f>IFERROR(INDEX('Lagerhaltung (freiwillig)'!$ED$4:$ED$8,1),"")</f>
        <v>0</v>
      </c>
      <c r="S10" s="322"/>
      <c r="T10" s="322">
        <f>IFERROR(INDEX('Lagerhaltung (freiwillig)'!$DE$4:$DE$8,1),"")</f>
        <v>0</v>
      </c>
      <c r="U10" s="322">
        <f>IFERROR(INDEX('Lagerhaltung (freiwillig)'!$EE$4:$EE$8,1),"")</f>
        <v>0</v>
      </c>
      <c r="V10" s="322"/>
      <c r="W10" s="322">
        <f>IFERROR(INDEX('Lagerhaltung (freiwillig)'!$DF$4:$DF$8,1),"")</f>
        <v>0</v>
      </c>
      <c r="X10" s="322">
        <f>IFERROR(INDEX('Lagerhaltung (freiwillig)'!$EF$4:$EF$8,1),"")</f>
        <v>0</v>
      </c>
      <c r="Y10" s="322"/>
      <c r="Z10" s="322">
        <f>IFERROR(INDEX('Lagerhaltung (freiwillig)'!$DG$4:$DG$8,1),"")</f>
        <v>0</v>
      </c>
      <c r="AA10" s="322">
        <f>IFERROR(INDEX('Lagerhaltung (freiwillig)'!$EG$4:$EG$8,1),"")</f>
        <v>0</v>
      </c>
      <c r="AB10" s="322"/>
      <c r="AC10" s="322">
        <f>IFERROR(INDEX('Lagerhaltung (freiwillig)'!$DH$4:$DH$8,1),"")</f>
        <v>0</v>
      </c>
      <c r="AD10" s="322">
        <f>IFERROR(INDEX('Lagerhaltung (freiwillig)'!$EH$4:$EH$8,1),"")</f>
        <v>0</v>
      </c>
      <c r="AE10" s="322"/>
      <c r="AF10" s="322">
        <f>IFERROR(INDEX('Lagerhaltung (freiwillig)'!$DI$4:$DI$8,1),"")</f>
        <v>0</v>
      </c>
      <c r="AG10" s="322">
        <f>IFERROR(INDEX('Lagerhaltung (freiwillig)'!$EI$4:$EI$8,1),"")</f>
        <v>0</v>
      </c>
      <c r="AH10" s="322"/>
      <c r="AI10" s="322">
        <f>IFERROR(INDEX('Lagerhaltung (freiwillig)'!$DJ$4:$DJ$8,1),"")</f>
        <v>0</v>
      </c>
      <c r="AJ10" s="322">
        <f>IFERROR(INDEX('Lagerhaltung (freiwillig)'!$EJ$4:$EJ$8,1),"")</f>
        <v>0</v>
      </c>
      <c r="AK10" s="322"/>
      <c r="AL10" s="322">
        <f>IFERROR(INDEX('Lagerhaltung (freiwillig)'!$DK$4:$DK$8,1),"")</f>
        <v>0</v>
      </c>
      <c r="AM10" s="322">
        <f>IFERROR(INDEX('Lagerhaltung (freiwillig)'!$EK$4:$EK$8,1),"")</f>
        <v>0</v>
      </c>
    </row>
    <row r="11" spans="1:40" x14ac:dyDescent="0.2">
      <c r="A11" s="322" t="s">
        <v>1164</v>
      </c>
      <c r="B11" s="322"/>
      <c r="C11" s="322">
        <f>IFERROR(INDEX('Lagerhaltung (freiwillig)'!$EZ$4:$EZ$9,3),"")</f>
        <v>0</v>
      </c>
      <c r="D11" s="322"/>
      <c r="E11" s="322">
        <f>IFERROR(INDEX('Lagerhaltung (freiwillig)'!$CZ$4:$CZ$8,3),"")</f>
        <v>0</v>
      </c>
      <c r="F11" s="322">
        <f>IFERROR(INDEX('Lagerhaltung (freiwillig)'!$DZ$4:$DZ$8,3),"")</f>
        <v>0</v>
      </c>
      <c r="G11" s="322"/>
      <c r="H11" s="322">
        <f>IFERROR(INDEX('Lagerhaltung (freiwillig)'!$DA$4:$DA$8,3),"")</f>
        <v>0</v>
      </c>
      <c r="I11" s="322">
        <f>IFERROR(INDEX('Lagerhaltung (freiwillig)'!$EA$4:$EA$8,3),"")</f>
        <v>0</v>
      </c>
      <c r="J11" s="322"/>
      <c r="K11" s="322">
        <f>IFERROR(INDEX('Lagerhaltung (freiwillig)'!$DB$4:$DB$8,3),"")</f>
        <v>0</v>
      </c>
      <c r="L11" s="322">
        <f>IFERROR(INDEX('Lagerhaltung (freiwillig)'!$EB$4:$EB$8,3),"")</f>
        <v>0</v>
      </c>
      <c r="M11" s="322"/>
      <c r="N11" s="322">
        <f>IFERROR(INDEX('Lagerhaltung (freiwillig)'!$DC$4:$DC$8,3),"")</f>
        <v>0</v>
      </c>
      <c r="O11" s="322">
        <f>IFERROR(INDEX('Lagerhaltung (freiwillig)'!$EC$4:$EC$8,3),"")</f>
        <v>0</v>
      </c>
      <c r="P11" s="322"/>
      <c r="Q11" s="322">
        <f>IFERROR(INDEX('Lagerhaltung (freiwillig)'!$DD$4:$DD$8,3),"")</f>
        <v>0</v>
      </c>
      <c r="R11" s="322">
        <f>IFERROR(INDEX('Lagerhaltung (freiwillig)'!$ED$4:$ED$8,3),"")</f>
        <v>0</v>
      </c>
      <c r="S11" s="322"/>
      <c r="T11" s="322">
        <f>IFERROR(INDEX('Lagerhaltung (freiwillig)'!$DE$4:$DE$8,3),"")</f>
        <v>0</v>
      </c>
      <c r="U11" s="322">
        <f>IFERROR(INDEX('Lagerhaltung (freiwillig)'!$EE$4:$EE$8,3),"")</f>
        <v>0</v>
      </c>
      <c r="V11" s="322"/>
      <c r="W11" s="322">
        <f>IFERROR(INDEX('Lagerhaltung (freiwillig)'!$DF$4:$DF$8,3),"")</f>
        <v>0</v>
      </c>
      <c r="X11" s="322">
        <f>IFERROR(INDEX('Lagerhaltung (freiwillig)'!$EF$4:$EF$8,3),"")</f>
        <v>0</v>
      </c>
      <c r="Y11" s="322"/>
      <c r="Z11" s="322">
        <f>IFERROR(INDEX('Lagerhaltung (freiwillig)'!$DG$4:$DG$8,3),"")</f>
        <v>0</v>
      </c>
      <c r="AA11" s="322">
        <f>IFERROR(INDEX('Lagerhaltung (freiwillig)'!$EG$4:$EG$8,3),"")</f>
        <v>0</v>
      </c>
      <c r="AB11" s="322"/>
      <c r="AC11" s="322">
        <f>IFERROR(INDEX('Lagerhaltung (freiwillig)'!$DH$4:$DH$8,3),"")</f>
        <v>0</v>
      </c>
      <c r="AD11" s="322">
        <f>IFERROR(INDEX('Lagerhaltung (freiwillig)'!$EH$4:$EH$8,3),"")</f>
        <v>0</v>
      </c>
      <c r="AE11" s="322"/>
      <c r="AF11" s="322">
        <f>IFERROR(INDEX('Lagerhaltung (freiwillig)'!$DI$4:$DI$8,3),"")</f>
        <v>0</v>
      </c>
      <c r="AG11" s="322">
        <f>IFERROR(INDEX('Lagerhaltung (freiwillig)'!$EI$4:$EI$8,3),"")</f>
        <v>0</v>
      </c>
      <c r="AH11" s="322"/>
      <c r="AI11" s="322">
        <f>IFERROR(INDEX('Lagerhaltung (freiwillig)'!$DJ$4:$DJ$8,3),"")</f>
        <v>0</v>
      </c>
      <c r="AJ11" s="322">
        <f>IFERROR(INDEX('Lagerhaltung (freiwillig)'!$EJ$4:$EJ$8,3),"")</f>
        <v>0</v>
      </c>
      <c r="AK11" s="322"/>
      <c r="AL11" s="322">
        <f>IFERROR(INDEX('Lagerhaltung (freiwillig)'!$DK$4:$DK$8,3),"")</f>
        <v>0</v>
      </c>
      <c r="AM11" s="322">
        <f>IFERROR(INDEX('Lagerhaltung (freiwillig)'!$EK$4:$EK$8,3),"")</f>
        <v>0</v>
      </c>
    </row>
    <row r="12" spans="1:40" x14ac:dyDescent="0.2">
      <c r="A12" s="322" t="s">
        <v>1265</v>
      </c>
      <c r="B12" s="322"/>
      <c r="C12" s="322">
        <f>IFERROR(INDEX('Lagerhaltung (freiwillig)'!$EZ$4:$EZ$9,5),"")</f>
        <v>0</v>
      </c>
      <c r="D12" s="322"/>
      <c r="E12" s="322">
        <f>IFERROR(INDEX('Lagerhaltung (freiwillig)'!$CZ$4:$CZ$8,5),"")</f>
        <v>0</v>
      </c>
      <c r="F12" s="322">
        <f>IFERROR(INDEX('Lagerhaltung (freiwillig)'!$DZ$4:$DZ$8,5),"")</f>
        <v>0</v>
      </c>
      <c r="G12" s="322"/>
      <c r="H12" s="322">
        <f>IFERROR(INDEX('Lagerhaltung (freiwillig)'!$DA$4:$DA$8,5),"")</f>
        <v>0</v>
      </c>
      <c r="I12" s="322">
        <f>IFERROR(INDEX('Lagerhaltung (freiwillig)'!$EA$4:$EA$8,5),"")</f>
        <v>0</v>
      </c>
      <c r="J12" s="322"/>
      <c r="K12" s="322">
        <f>IFERROR(INDEX('Lagerhaltung (freiwillig)'!$DB$4:$DB$8,5),"")</f>
        <v>0</v>
      </c>
      <c r="L12" s="322">
        <f>IFERROR(INDEX('Lagerhaltung (freiwillig)'!$EB$4:$EB$8,5),"")</f>
        <v>0</v>
      </c>
      <c r="M12" s="322"/>
      <c r="N12" s="322">
        <f>IFERROR(INDEX('Lagerhaltung (freiwillig)'!$DC$4:$DC$8,5),"")</f>
        <v>0</v>
      </c>
      <c r="O12" s="322">
        <f>IFERROR(INDEX('Lagerhaltung (freiwillig)'!$EC$4:$EC$8,5),"")</f>
        <v>0</v>
      </c>
      <c r="P12" s="322"/>
      <c r="Q12" s="322">
        <f>IFERROR(INDEX('Lagerhaltung (freiwillig)'!$DD$4:$DD$8,5),"")</f>
        <v>0</v>
      </c>
      <c r="R12" s="322">
        <f>IFERROR(INDEX('Lagerhaltung (freiwillig)'!$ED$4:$ED$8,5),"")</f>
        <v>0</v>
      </c>
      <c r="S12" s="322"/>
      <c r="T12" s="322">
        <f>IFERROR(INDEX('Lagerhaltung (freiwillig)'!$DE$4:$DE$8,5),"")</f>
        <v>0</v>
      </c>
      <c r="U12" s="322">
        <f>IFERROR(INDEX('Lagerhaltung (freiwillig)'!$EE$4:$EE$8,5),"")</f>
        <v>0</v>
      </c>
      <c r="V12" s="322"/>
      <c r="W12" s="322">
        <f>IFERROR(INDEX('Lagerhaltung (freiwillig)'!$DF$4:$DF$8,5),"")</f>
        <v>0</v>
      </c>
      <c r="X12" s="322">
        <f>IFERROR(INDEX('Lagerhaltung (freiwillig)'!$EF$4:$EF$8,5),"")</f>
        <v>0</v>
      </c>
      <c r="Y12" s="322"/>
      <c r="Z12" s="322">
        <f>IFERROR(INDEX('Lagerhaltung (freiwillig)'!$DG$4:$DG$8,5),"")</f>
        <v>0</v>
      </c>
      <c r="AA12" s="322">
        <f>IFERROR(INDEX('Lagerhaltung (freiwillig)'!$EG$4:$EG$8,5),"")</f>
        <v>0</v>
      </c>
      <c r="AB12" s="322"/>
      <c r="AC12" s="322">
        <f>IFERROR(INDEX('Lagerhaltung (freiwillig)'!$DH$4:$DH$8,5),"")</f>
        <v>0</v>
      </c>
      <c r="AD12" s="322">
        <f>IFERROR(INDEX('Lagerhaltung (freiwillig)'!$EH$4:$EH$8,5),"")</f>
        <v>0</v>
      </c>
      <c r="AE12" s="322"/>
      <c r="AF12" s="322">
        <f>IFERROR(INDEX('Lagerhaltung (freiwillig)'!$DI$4:$DI$8,5),"")</f>
        <v>0</v>
      </c>
      <c r="AG12" s="322">
        <f>IFERROR(INDEX('Lagerhaltung (freiwillig)'!$EI$4:$EI$8,5),"")</f>
        <v>0</v>
      </c>
      <c r="AH12" s="322"/>
      <c r="AI12" s="322">
        <f>IFERROR(INDEX('Lagerhaltung (freiwillig)'!$DJ$4:$DJ$8,5),"")</f>
        <v>0</v>
      </c>
      <c r="AJ12" s="322">
        <f>IFERROR(INDEX('Lagerhaltung (freiwillig)'!$EJ$4:$EJ$8,5),"")</f>
        <v>0</v>
      </c>
      <c r="AK12" s="322"/>
      <c r="AL12" s="322">
        <f>IFERROR(INDEX('Lagerhaltung (freiwillig)'!$DK$4:$DK$8,5),"")</f>
        <v>0</v>
      </c>
      <c r="AM12" s="322">
        <f>IFERROR(INDEX('Lagerhaltung (freiwillig)'!$EK$4:$EK$8,5),"")</f>
        <v>0</v>
      </c>
    </row>
    <row r="14" spans="1:40" x14ac:dyDescent="0.2">
      <c r="A14" s="2292" t="s">
        <v>1046</v>
      </c>
    </row>
    <row r="15" spans="1:40" x14ac:dyDescent="0.2">
      <c r="B15" s="1315" t="s">
        <v>289</v>
      </c>
      <c r="D15" s="1315"/>
      <c r="E15" s="1315" t="s">
        <v>1076</v>
      </c>
      <c r="F15" s="1315"/>
      <c r="G15" s="1315"/>
      <c r="H15" s="1315" t="s">
        <v>1077</v>
      </c>
      <c r="I15" s="1315"/>
      <c r="J15" s="1315"/>
      <c r="K15" s="1315" t="s">
        <v>1078</v>
      </c>
      <c r="L15" s="1315"/>
      <c r="M15" s="1315"/>
      <c r="N15" s="1315" t="s">
        <v>1079</v>
      </c>
      <c r="O15" s="1315"/>
      <c r="P15" s="1315"/>
      <c r="Q15" s="1315" t="s">
        <v>1177</v>
      </c>
      <c r="R15" s="1315"/>
      <c r="S15" s="1315"/>
      <c r="T15" s="1315" t="s">
        <v>1178</v>
      </c>
      <c r="U15" s="1315"/>
      <c r="V15" s="1315"/>
      <c r="W15" s="1315" t="s">
        <v>1082</v>
      </c>
      <c r="X15" s="1315"/>
      <c r="Y15" s="1315"/>
      <c r="Z15" s="1315" t="s">
        <v>1083</v>
      </c>
      <c r="AA15" s="1315"/>
      <c r="AB15" s="1315"/>
      <c r="AC15" s="1315" t="s">
        <v>1084</v>
      </c>
      <c r="AD15" s="1315"/>
      <c r="AE15" s="1315"/>
      <c r="AF15" s="1315" t="s">
        <v>1085</v>
      </c>
      <c r="AG15" s="1315"/>
      <c r="AH15" s="1315"/>
      <c r="AI15" s="1315" t="s">
        <v>1086</v>
      </c>
      <c r="AJ15" s="1315"/>
      <c r="AK15" s="1315"/>
      <c r="AL15" s="1315" t="s">
        <v>1087</v>
      </c>
      <c r="AM15" s="1315"/>
    </row>
    <row r="16" spans="1:40" x14ac:dyDescent="0.2">
      <c r="A16" s="1315"/>
      <c r="B16" s="1315"/>
      <c r="C16" s="1315" t="s">
        <v>1261</v>
      </c>
      <c r="E16" s="1315" t="s">
        <v>1259</v>
      </c>
      <c r="F16" t="s">
        <v>1260</v>
      </c>
      <c r="H16" s="1315" t="s">
        <v>1259</v>
      </c>
      <c r="I16" t="s">
        <v>1260</v>
      </c>
      <c r="K16" s="1315" t="s">
        <v>1259</v>
      </c>
      <c r="L16" t="s">
        <v>1260</v>
      </c>
      <c r="N16" s="1315" t="s">
        <v>1259</v>
      </c>
      <c r="O16" t="s">
        <v>1260</v>
      </c>
      <c r="Q16" s="1315" t="s">
        <v>1259</v>
      </c>
      <c r="R16" t="s">
        <v>1260</v>
      </c>
      <c r="T16" s="1315" t="s">
        <v>1259</v>
      </c>
      <c r="U16" t="s">
        <v>1260</v>
      </c>
      <c r="W16" s="1315" t="s">
        <v>1259</v>
      </c>
      <c r="X16" t="s">
        <v>1260</v>
      </c>
      <c r="Z16" s="1315" t="s">
        <v>1259</v>
      </c>
      <c r="AA16" t="s">
        <v>1260</v>
      </c>
      <c r="AC16" s="1315" t="s">
        <v>1259</v>
      </c>
      <c r="AD16" t="s">
        <v>1260</v>
      </c>
      <c r="AF16" s="1315" t="s">
        <v>1259</v>
      </c>
      <c r="AG16" t="s">
        <v>1260</v>
      </c>
      <c r="AI16" s="1315" t="s">
        <v>1259</v>
      </c>
      <c r="AJ16" t="s">
        <v>1260</v>
      </c>
      <c r="AL16" s="1315" t="s">
        <v>1259</v>
      </c>
      <c r="AM16" t="s">
        <v>1260</v>
      </c>
    </row>
    <row r="17" spans="1:39" x14ac:dyDescent="0.2">
      <c r="A17" s="322" t="s">
        <v>1264</v>
      </c>
      <c r="C17" s="322">
        <f>IFERROR(INDEX('Lagerhaltung (freiwillig)'!$FN$4:$FN$9,2),"")</f>
        <v>0</v>
      </c>
      <c r="D17" s="322"/>
      <c r="E17" s="322">
        <f>IFERROR(INDEX('Lagerhaltung (freiwillig)'!$DM$4:$DM$8,2),"")</f>
        <v>0</v>
      </c>
      <c r="F17" s="322">
        <f>IFERROR(INDEX('Lagerhaltung (freiwillig)'!$EM$4:$EM$8,2),"")</f>
        <v>0</v>
      </c>
      <c r="G17" s="322"/>
      <c r="H17" s="322">
        <f>IFERROR(INDEX('Lagerhaltung (freiwillig)'!$DN$4:$DN$8,2),"")</f>
        <v>0</v>
      </c>
      <c r="I17" s="322">
        <f>IFERROR(INDEX('Lagerhaltung (freiwillig)'!$EN$4:$EN$8,2),"")</f>
        <v>0</v>
      </c>
      <c r="J17" s="322"/>
      <c r="K17" s="322">
        <f>IFERROR(INDEX('Lagerhaltung (freiwillig)'!$DO$4:$DO$8,2),"")</f>
        <v>0</v>
      </c>
      <c r="L17" s="322">
        <f>IFERROR(INDEX('Lagerhaltung (freiwillig)'!$EO$4:$EO$8,2),"")</f>
        <v>0</v>
      </c>
      <c r="M17" s="322"/>
      <c r="N17" s="322">
        <f>IFERROR(INDEX('Lagerhaltung (freiwillig)'!$DP$4:$DP$8,2),"")</f>
        <v>0</v>
      </c>
      <c r="O17" s="322">
        <f>IFERROR(INDEX('Lagerhaltung (freiwillig)'!$EP$4:$EP$8,2),"")</f>
        <v>0</v>
      </c>
      <c r="P17" s="322"/>
      <c r="Q17" s="322">
        <f>IFERROR(INDEX('Lagerhaltung (freiwillig)'!$DQ$4:$DQ$8,2),"")</f>
        <v>0</v>
      </c>
      <c r="R17" s="322">
        <f>IFERROR(INDEX('Lagerhaltung (freiwillig)'!$EQ$4:$EQ$8,2),"")</f>
        <v>0</v>
      </c>
      <c r="S17" s="322"/>
      <c r="T17" s="322">
        <f>IFERROR(INDEX('Lagerhaltung (freiwillig)'!$DR$4:$DR$8,2),"")</f>
        <v>0</v>
      </c>
      <c r="U17" s="322">
        <f>IFERROR(INDEX('Lagerhaltung (freiwillig)'!$ER$4:$ER$8,2),"")</f>
        <v>0</v>
      </c>
      <c r="V17" s="322"/>
      <c r="W17" s="322">
        <f>IFERROR(INDEX('Lagerhaltung (freiwillig)'!$DS$4:$DS$8,2),"")</f>
        <v>0</v>
      </c>
      <c r="X17" s="322">
        <f>IFERROR(INDEX('Lagerhaltung (freiwillig)'!$ES$4:$ES$8,2),"")</f>
        <v>0</v>
      </c>
      <c r="Y17" s="322"/>
      <c r="Z17" s="322">
        <f>IFERROR(INDEX('Lagerhaltung (freiwillig)'!$DT$4:$DT$8,2),"")</f>
        <v>0</v>
      </c>
      <c r="AA17" s="322">
        <f>IFERROR(INDEX('Lagerhaltung (freiwillig)'!$ET$4:$ET$8,2),"")</f>
        <v>0</v>
      </c>
      <c r="AB17" s="322"/>
      <c r="AC17" s="322">
        <f>IFERROR(INDEX('Lagerhaltung (freiwillig)'!$DU$4:$DU$8,2),"")</f>
        <v>0</v>
      </c>
      <c r="AD17" s="322">
        <f>IFERROR(INDEX('Lagerhaltung (freiwillig)'!$EU$4:$EU$8,2),"")</f>
        <v>0</v>
      </c>
      <c r="AE17" s="322"/>
      <c r="AF17" s="322">
        <f>IFERROR(INDEX('Lagerhaltung (freiwillig)'!$DV$4:$DV$8,2),"")</f>
        <v>0</v>
      </c>
      <c r="AG17" s="322">
        <f>IFERROR(INDEX('Lagerhaltung (freiwillig)'!$EV$4:$EV$8,2),"")</f>
        <v>0</v>
      </c>
      <c r="AH17" s="322"/>
      <c r="AI17" s="322">
        <f>IFERROR(INDEX('Lagerhaltung (freiwillig)'!$DW$4:$DW$8,2),"")</f>
        <v>0</v>
      </c>
      <c r="AJ17" s="322">
        <f>IFERROR(INDEX('Lagerhaltung (freiwillig)'!$EW$4:$EW$8,2),"")</f>
        <v>0</v>
      </c>
      <c r="AK17" s="322"/>
      <c r="AL17" s="322">
        <f>IFERROR(INDEX('Lagerhaltung (freiwillig)'!$DX$4:$DX$8,2),"")</f>
        <v>0</v>
      </c>
      <c r="AM17" s="322">
        <f>IFERROR(INDEX('Lagerhaltung (freiwillig)'!$EX$4:$EX$8,2),"")</f>
        <v>0</v>
      </c>
    </row>
    <row r="18" spans="1:39" x14ac:dyDescent="0.2">
      <c r="A18" s="322" t="s">
        <v>1164</v>
      </c>
      <c r="C18" s="322">
        <f>IFERROR(INDEX('Lagerhaltung (freiwillig)'!$FN$4:$FN$9,4),"")</f>
        <v>0</v>
      </c>
      <c r="D18" s="322"/>
      <c r="E18" s="322">
        <f>IFERROR(INDEX('Lagerhaltung (freiwillig)'!$DM$4:$DM$8,4),"")</f>
        <v>0</v>
      </c>
      <c r="F18" s="322">
        <f>IFERROR(INDEX('Lagerhaltung (freiwillig)'!$EM$4:$EM$8,4),"")</f>
        <v>0</v>
      </c>
      <c r="G18" s="322"/>
      <c r="H18" s="322">
        <f>IFERROR(INDEX('Lagerhaltung (freiwillig)'!$DN$4:$DN$8,4),"")</f>
        <v>0</v>
      </c>
      <c r="I18" s="322">
        <f>IFERROR(INDEX('Lagerhaltung (freiwillig)'!$EN$4:$EN$8,4),"")</f>
        <v>0</v>
      </c>
      <c r="J18" s="322"/>
      <c r="K18" s="322">
        <f>IFERROR(INDEX('Lagerhaltung (freiwillig)'!$DO$4:$DO$8,4),"")</f>
        <v>0</v>
      </c>
      <c r="L18" s="322">
        <f>IFERROR(INDEX('Lagerhaltung (freiwillig)'!$EO$4:$EO$8,4),"")</f>
        <v>0</v>
      </c>
      <c r="M18" s="322"/>
      <c r="N18" s="322">
        <f>IFERROR(INDEX('Lagerhaltung (freiwillig)'!$DP$4:$DP$8,4),"")</f>
        <v>0</v>
      </c>
      <c r="O18" s="322">
        <f>IFERROR(INDEX('Lagerhaltung (freiwillig)'!$EP$4:$EP$8,4),"")</f>
        <v>0</v>
      </c>
      <c r="P18" s="322"/>
      <c r="Q18" s="322">
        <f>IFERROR(INDEX('Lagerhaltung (freiwillig)'!$DQ$4:$DQ$8,4),"")</f>
        <v>0</v>
      </c>
      <c r="R18" s="322">
        <f>IFERROR(INDEX('Lagerhaltung (freiwillig)'!$EQ$4:$EQ$8,4),"")</f>
        <v>0</v>
      </c>
      <c r="S18" s="322"/>
      <c r="T18" s="322">
        <f>IFERROR(INDEX('Lagerhaltung (freiwillig)'!$DR$4:$DR$8,4),"")</f>
        <v>0</v>
      </c>
      <c r="U18" s="322">
        <f>IFERROR(INDEX('Lagerhaltung (freiwillig)'!$ER$4:$ER$8,4),"")</f>
        <v>0</v>
      </c>
      <c r="V18" s="322"/>
      <c r="W18" s="322">
        <f>IFERROR(INDEX('Lagerhaltung (freiwillig)'!$DS$4:$DS$8,4),"")</f>
        <v>0</v>
      </c>
      <c r="X18" s="322">
        <f>IFERROR(INDEX('Lagerhaltung (freiwillig)'!$ES$4:$ES$8,4),"")</f>
        <v>0</v>
      </c>
      <c r="Y18" s="322"/>
      <c r="Z18" s="322">
        <f>IFERROR(INDEX('Lagerhaltung (freiwillig)'!$DT$4:$DT$8,4),"")</f>
        <v>0</v>
      </c>
      <c r="AA18" s="322">
        <f>IFERROR(INDEX('Lagerhaltung (freiwillig)'!$ET$4:$ET$8,4),"")</f>
        <v>0</v>
      </c>
      <c r="AB18" s="322"/>
      <c r="AC18" s="322">
        <f>IFERROR(INDEX('Lagerhaltung (freiwillig)'!$DU$4:$DU$8,4),"")</f>
        <v>0</v>
      </c>
      <c r="AD18" s="322">
        <f>IFERROR(INDEX('Lagerhaltung (freiwillig)'!$EU$4:$EU$8,4),"")</f>
        <v>0</v>
      </c>
      <c r="AE18" s="322"/>
      <c r="AF18" s="322">
        <f>IFERROR(INDEX('Lagerhaltung (freiwillig)'!$DV$4:$DV$8,4),"")</f>
        <v>0</v>
      </c>
      <c r="AG18" s="322">
        <f>IFERROR(INDEX('Lagerhaltung (freiwillig)'!$EV$4:$EV$8,4),"")</f>
        <v>0</v>
      </c>
      <c r="AH18" s="322"/>
      <c r="AI18" s="322">
        <f>IFERROR(INDEX('Lagerhaltung (freiwillig)'!$DW$4:$DW$8,4),"")</f>
        <v>0</v>
      </c>
      <c r="AJ18" s="322">
        <f>IFERROR(INDEX('Lagerhaltung (freiwillig)'!$EW$4:$EW$8,4),"")</f>
        <v>0</v>
      </c>
      <c r="AK18" s="322"/>
      <c r="AL18" s="322">
        <f>IFERROR(INDEX('Lagerhaltung (freiwillig)'!$DX$4:$DX$8,4),"")</f>
        <v>0</v>
      </c>
      <c r="AM18" s="322">
        <f>IFERROR(INDEX('Lagerhaltung (freiwillig)'!$EX$4:$EX$8,4),"")</f>
        <v>0</v>
      </c>
    </row>
    <row r="19" spans="1:39" x14ac:dyDescent="0.2">
      <c r="A19" s="322" t="s">
        <v>1265</v>
      </c>
      <c r="C19" s="322">
        <f>IFERROR(INDEX('Lagerhaltung (freiwillig)'!$FN$4:$FN$9,5),"")</f>
        <v>0</v>
      </c>
      <c r="D19" s="322"/>
      <c r="E19" s="322">
        <f>IFERROR(INDEX('Lagerhaltung (freiwillig)'!$DM$4:$DM$8,5),"")</f>
        <v>0</v>
      </c>
      <c r="F19" s="322">
        <f>IFERROR(INDEX('Lagerhaltung (freiwillig)'!$EM$4:$EM$8,5),"")</f>
        <v>0</v>
      </c>
      <c r="G19" s="322"/>
      <c r="H19" s="322">
        <f>IFERROR(INDEX('Lagerhaltung (freiwillig)'!$DN$4:$DN$8,5),"")</f>
        <v>0</v>
      </c>
      <c r="I19" s="322">
        <f>IFERROR(INDEX('Lagerhaltung (freiwillig)'!$EN$4:$EN$8,5),"")</f>
        <v>0</v>
      </c>
      <c r="J19" s="322"/>
      <c r="K19" s="322">
        <f>IFERROR(INDEX('Lagerhaltung (freiwillig)'!$DO$4:$DO$8,5),"")</f>
        <v>0</v>
      </c>
      <c r="L19" s="322">
        <f>IFERROR(INDEX('Lagerhaltung (freiwillig)'!$EO$4:$EO$8,5),"")</f>
        <v>0</v>
      </c>
      <c r="M19" s="322"/>
      <c r="N19" s="322">
        <f>IFERROR(INDEX('Lagerhaltung (freiwillig)'!$DP$4:$DP$8,5),"")</f>
        <v>0</v>
      </c>
      <c r="O19" s="322">
        <f>IFERROR(INDEX('Lagerhaltung (freiwillig)'!$EP$4:$EP$8,5),"")</f>
        <v>0</v>
      </c>
      <c r="P19" s="322"/>
      <c r="Q19" s="322">
        <f>IFERROR(INDEX('Lagerhaltung (freiwillig)'!$DQ$4:$DQ$8,5),"")</f>
        <v>0</v>
      </c>
      <c r="R19" s="322">
        <f>IFERROR(INDEX('Lagerhaltung (freiwillig)'!$EQ$4:$EQ$8,5),"")</f>
        <v>0</v>
      </c>
      <c r="S19" s="322"/>
      <c r="T19" s="322">
        <f>IFERROR(INDEX('Lagerhaltung (freiwillig)'!$DR$4:$DR$8,5),"")</f>
        <v>0</v>
      </c>
      <c r="U19" s="322">
        <f>IFERROR(INDEX('Lagerhaltung (freiwillig)'!$ER$4:$ER$8,5),"")</f>
        <v>0</v>
      </c>
      <c r="V19" s="322"/>
      <c r="W19" s="322">
        <f>IFERROR(INDEX('Lagerhaltung (freiwillig)'!$DS$4:$DS$8,5),"")</f>
        <v>0</v>
      </c>
      <c r="X19" s="322">
        <f>IFERROR(INDEX('Lagerhaltung (freiwillig)'!$ES$4:$ES$8,5),"")</f>
        <v>0</v>
      </c>
      <c r="Y19" s="322"/>
      <c r="Z19" s="322">
        <f>IFERROR(INDEX('Lagerhaltung (freiwillig)'!$DT$4:$DT$8,5),"")</f>
        <v>0</v>
      </c>
      <c r="AA19" s="322">
        <f>IFERROR(INDEX('Lagerhaltung (freiwillig)'!$ET$4:$ET$8,5),"")</f>
        <v>0</v>
      </c>
      <c r="AB19" s="322"/>
      <c r="AC19" s="322">
        <f>IFERROR(INDEX('Lagerhaltung (freiwillig)'!$DU$4:$DU$8,5),"")</f>
        <v>0</v>
      </c>
      <c r="AD19" s="322">
        <f>IFERROR(INDEX('Lagerhaltung (freiwillig)'!$EU$4:$EU$8,5),"")</f>
        <v>0</v>
      </c>
      <c r="AE19" s="322"/>
      <c r="AF19" s="322">
        <f>IFERROR(INDEX('Lagerhaltung (freiwillig)'!$DV$4:$DV$8,5),"")</f>
        <v>0</v>
      </c>
      <c r="AG19" s="322">
        <f>IFERROR(INDEX('Lagerhaltung (freiwillig)'!$EV$4:$EV$8,5),"")</f>
        <v>0</v>
      </c>
      <c r="AH19" s="322"/>
      <c r="AI19" s="322">
        <f>IFERROR(INDEX('Lagerhaltung (freiwillig)'!$DW$4:$DW$8,5),"")</f>
        <v>0</v>
      </c>
      <c r="AJ19" s="322">
        <f>IFERROR(INDEX('Lagerhaltung (freiwillig)'!$EW$4:$EW$8,5),"")</f>
        <v>0</v>
      </c>
      <c r="AK19" s="322"/>
      <c r="AL19" s="322">
        <f>IFERROR(INDEX('Lagerhaltung (freiwillig)'!$DX$4:$DX$8,5),"")</f>
        <v>0</v>
      </c>
      <c r="AM19" s="322">
        <f>IFERROR(INDEX('Lagerhaltung (freiwillig)'!$EX$4:$EX$8,5),"")</f>
        <v>0</v>
      </c>
    </row>
    <row r="21" spans="1:39" x14ac:dyDescent="0.2">
      <c r="A21" s="1129"/>
      <c r="F21" s="1129"/>
    </row>
    <row r="22" spans="1:39" x14ac:dyDescent="0.2">
      <c r="A22" s="1129"/>
      <c r="C22" s="1129" t="s">
        <v>703</v>
      </c>
      <c r="D22" s="1129" t="s">
        <v>667</v>
      </c>
      <c r="F22" s="1129"/>
    </row>
    <row r="23" spans="1:39" x14ac:dyDescent="0.2">
      <c r="A23" s="322" t="s">
        <v>1264</v>
      </c>
      <c r="B23" t="s">
        <v>4</v>
      </c>
      <c r="C23">
        <f>'Lagerhaltung (freiwillig)'!GW4</f>
        <v>0</v>
      </c>
      <c r="D23">
        <f>'Lagerhaltung (freiwillig)'!$GF$4</f>
        <v>0</v>
      </c>
    </row>
    <row r="24" spans="1:39" x14ac:dyDescent="0.2">
      <c r="A24" s="322"/>
      <c r="B24" s="1315" t="s">
        <v>5</v>
      </c>
      <c r="C24">
        <f>'Lagerhaltung (freiwillig)'!GW5</f>
        <v>0</v>
      </c>
      <c r="D24">
        <f>'Lagerhaltung (freiwillig)'!GG5</f>
        <v>0</v>
      </c>
    </row>
    <row r="25" spans="1:39" x14ac:dyDescent="0.2">
      <c r="A25" s="322"/>
    </row>
    <row r="26" spans="1:39" x14ac:dyDescent="0.2">
      <c r="A26" s="322" t="s">
        <v>1164</v>
      </c>
      <c r="B26" t="s">
        <v>4</v>
      </c>
      <c r="C26">
        <f>'Lagerhaltung (freiwillig)'!GW6</f>
        <v>0</v>
      </c>
      <c r="D26">
        <f>'Lagerhaltung (freiwillig)'!$GF$6</f>
        <v>0</v>
      </c>
    </row>
    <row r="27" spans="1:39" x14ac:dyDescent="0.2">
      <c r="A27" s="322"/>
      <c r="B27" s="1315" t="s">
        <v>5</v>
      </c>
      <c r="C27">
        <f>'Lagerhaltung (freiwillig)'!GW7</f>
        <v>0</v>
      </c>
      <c r="D27">
        <f>'Lagerhaltung (freiwillig)'!$GG$7</f>
        <v>0</v>
      </c>
    </row>
    <row r="28" spans="1:39" x14ac:dyDescent="0.2">
      <c r="A28" s="322"/>
    </row>
    <row r="29" spans="1:39" x14ac:dyDescent="0.2">
      <c r="A29" s="322" t="s">
        <v>1265</v>
      </c>
      <c r="B29" t="s">
        <v>4</v>
      </c>
      <c r="D29">
        <f>'Lagerhaltung (freiwillig)'!$GF$8</f>
        <v>0</v>
      </c>
    </row>
    <row r="30" spans="1:39" x14ac:dyDescent="0.2">
      <c r="B30" s="1315" t="s">
        <v>5</v>
      </c>
      <c r="D30">
        <f>'Lagerhaltung (freiwillig)'!$GG$8</f>
        <v>0</v>
      </c>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dimension ref="A1:S72"/>
  <sheetViews>
    <sheetView workbookViewId="0"/>
  </sheetViews>
  <sheetFormatPr baseColWidth="10" defaultColWidth="11.42578125" defaultRowHeight="12.75" x14ac:dyDescent="0.2"/>
  <cols>
    <col min="1" max="1" width="1" style="258" customWidth="1"/>
    <col min="2" max="2" width="49.7109375" style="258" customWidth="1"/>
    <col min="3" max="3" width="10.28515625" style="123" bestFit="1" customWidth="1"/>
    <col min="4" max="6" width="5.7109375" style="122" customWidth="1"/>
    <col min="7" max="7" width="5.7109375" style="123" customWidth="1"/>
    <col min="8" max="9" width="5.7109375" style="122" customWidth="1"/>
    <col min="10" max="10" width="11" style="122" customWidth="1"/>
    <col min="11" max="11" width="11.28515625" style="122" customWidth="1"/>
    <col min="12" max="14" width="8" style="122" customWidth="1"/>
    <col min="15" max="15" width="14.7109375" style="122" customWidth="1"/>
    <col min="16" max="16" width="13.7109375" style="122" customWidth="1"/>
    <col min="17" max="17" width="7.85546875" style="122" customWidth="1"/>
    <col min="18" max="18" width="8.7109375" style="122" customWidth="1"/>
    <col min="19" max="19" width="11.42578125" style="124" customWidth="1"/>
    <col min="20" max="16384" width="11.42578125" style="125"/>
  </cols>
  <sheetData>
    <row r="1" spans="1:19" x14ac:dyDescent="0.2">
      <c r="A1" s="120" t="s">
        <v>219</v>
      </c>
      <c r="B1" s="29"/>
      <c r="C1" s="121" t="s">
        <v>220</v>
      </c>
      <c r="E1" s="30"/>
      <c r="F1" s="33"/>
      <c r="H1" s="33"/>
      <c r="I1" s="33"/>
      <c r="J1" s="33"/>
      <c r="K1" s="33"/>
      <c r="L1" s="33"/>
      <c r="M1" s="33"/>
      <c r="N1" s="33"/>
      <c r="O1" s="33"/>
      <c r="P1" s="33"/>
      <c r="Q1" s="33"/>
      <c r="R1" s="33"/>
    </row>
    <row r="2" spans="1:19" x14ac:dyDescent="0.2">
      <c r="A2" s="34"/>
      <c r="B2" s="29"/>
      <c r="C2" s="126"/>
      <c r="D2" s="33"/>
      <c r="E2" s="33"/>
      <c r="F2" s="33"/>
      <c r="G2" s="126"/>
      <c r="H2" s="33"/>
      <c r="I2" s="33"/>
      <c r="J2" s="33"/>
      <c r="K2" s="33"/>
      <c r="L2" s="33"/>
      <c r="M2" s="33"/>
      <c r="N2" s="33"/>
      <c r="O2" s="33"/>
      <c r="P2" s="33"/>
      <c r="Q2" s="33"/>
      <c r="R2" s="33"/>
      <c r="S2" s="112"/>
    </row>
    <row r="3" spans="1:19" x14ac:dyDescent="0.2">
      <c r="A3" s="34"/>
      <c r="B3" s="29"/>
      <c r="C3" s="126"/>
      <c r="D3" s="33"/>
      <c r="E3" s="33"/>
      <c r="F3" s="33"/>
      <c r="G3" s="126"/>
      <c r="H3" s="33"/>
      <c r="I3" s="33"/>
      <c r="J3" s="33"/>
      <c r="K3" s="33"/>
      <c r="L3" s="33"/>
      <c r="M3" s="33"/>
      <c r="N3" s="33"/>
      <c r="O3" s="33"/>
      <c r="P3" s="33"/>
      <c r="Q3" s="33"/>
      <c r="R3" s="33"/>
      <c r="S3" s="112"/>
    </row>
    <row r="4" spans="1:19" ht="13.5" thickBot="1" x14ac:dyDescent="0.25">
      <c r="A4" s="34"/>
      <c r="B4" s="29"/>
      <c r="C4" s="127"/>
      <c r="D4" s="33"/>
      <c r="E4" s="33"/>
      <c r="F4" s="33"/>
      <c r="G4" s="126"/>
      <c r="H4" s="33"/>
      <c r="I4" s="33"/>
      <c r="J4" s="33"/>
      <c r="K4" s="33"/>
      <c r="L4" s="33"/>
      <c r="M4" s="33"/>
      <c r="N4" s="33"/>
      <c r="O4" s="33"/>
      <c r="P4" s="33"/>
      <c r="Q4" s="33"/>
      <c r="R4" s="33"/>
      <c r="S4" s="33"/>
    </row>
    <row r="5" spans="1:19" ht="14.25" x14ac:dyDescent="0.2">
      <c r="A5" s="35"/>
      <c r="B5" s="36"/>
      <c r="C5" s="128" t="s">
        <v>221</v>
      </c>
      <c r="D5" s="129" t="s">
        <v>3</v>
      </c>
      <c r="E5" s="37"/>
      <c r="F5" s="37"/>
      <c r="G5" s="3185" t="s">
        <v>222</v>
      </c>
      <c r="H5" s="3186"/>
      <c r="I5" s="3186"/>
      <c r="J5" s="3187"/>
      <c r="K5" s="130" t="s">
        <v>223</v>
      </c>
      <c r="L5" s="3188" t="s">
        <v>224</v>
      </c>
      <c r="M5" s="3188"/>
      <c r="N5" s="3189"/>
      <c r="O5" s="130" t="s">
        <v>225</v>
      </c>
      <c r="P5" s="130" t="s">
        <v>226</v>
      </c>
      <c r="Q5" s="3185" t="s">
        <v>227</v>
      </c>
      <c r="R5" s="3187"/>
      <c r="S5" s="122"/>
    </row>
    <row r="6" spans="1:19" ht="14.25" x14ac:dyDescent="0.2">
      <c r="A6" s="49"/>
      <c r="B6" s="38" t="s">
        <v>48</v>
      </c>
      <c r="C6" s="131" t="s">
        <v>228</v>
      </c>
      <c r="D6" s="132" t="s">
        <v>229</v>
      </c>
      <c r="E6" s="39"/>
      <c r="F6" s="39"/>
      <c r="G6" s="3190" t="s">
        <v>230</v>
      </c>
      <c r="H6" s="3183"/>
      <c r="I6" s="3183"/>
      <c r="J6" s="3184"/>
      <c r="K6" s="133" t="s">
        <v>37</v>
      </c>
      <c r="L6" s="3191" t="s">
        <v>230</v>
      </c>
      <c r="M6" s="3191"/>
      <c r="N6" s="3192"/>
      <c r="O6" s="134" t="s">
        <v>231</v>
      </c>
      <c r="P6" s="133" t="s">
        <v>231</v>
      </c>
      <c r="Q6" s="3190" t="s">
        <v>232</v>
      </c>
      <c r="R6" s="3184"/>
      <c r="S6" s="122"/>
    </row>
    <row r="7" spans="1:19" ht="14.25" x14ac:dyDescent="0.2">
      <c r="A7" s="40"/>
      <c r="B7" s="31" t="s">
        <v>255</v>
      </c>
      <c r="C7" s="131" t="s">
        <v>233</v>
      </c>
      <c r="D7" s="132" t="s">
        <v>234</v>
      </c>
      <c r="E7" s="39"/>
      <c r="F7" s="39"/>
      <c r="G7" s="135"/>
      <c r="H7" s="136" t="s">
        <v>215</v>
      </c>
      <c r="I7" s="137"/>
      <c r="J7" s="133" t="s">
        <v>12</v>
      </c>
      <c r="K7" s="138" t="s">
        <v>235</v>
      </c>
      <c r="L7" s="3183" t="s">
        <v>236</v>
      </c>
      <c r="M7" s="3183"/>
      <c r="N7" s="3184"/>
      <c r="O7" s="134" t="s">
        <v>237</v>
      </c>
      <c r="P7" s="133" t="s">
        <v>237</v>
      </c>
      <c r="Q7" s="111"/>
      <c r="R7" s="139" t="s">
        <v>238</v>
      </c>
      <c r="S7" s="122"/>
    </row>
    <row r="8" spans="1:19" ht="15.75" thickBot="1" x14ac:dyDescent="0.3">
      <c r="A8" s="41"/>
      <c r="B8" s="42"/>
      <c r="C8" s="140"/>
      <c r="D8" s="43" t="s">
        <v>4</v>
      </c>
      <c r="E8" s="141" t="s">
        <v>239</v>
      </c>
      <c r="F8" s="141" t="s">
        <v>240</v>
      </c>
      <c r="G8" s="142">
        <v>0.05</v>
      </c>
      <c r="H8" s="143">
        <v>7.4999999999999997E-2</v>
      </c>
      <c r="I8" s="144">
        <v>0.1</v>
      </c>
      <c r="J8" s="145" t="s">
        <v>241</v>
      </c>
      <c r="K8" s="146" t="s">
        <v>242</v>
      </c>
      <c r="L8" s="147" t="s">
        <v>37</v>
      </c>
      <c r="M8" s="148" t="s">
        <v>38</v>
      </c>
      <c r="N8" s="149" t="s">
        <v>39</v>
      </c>
      <c r="O8" s="150" t="s">
        <v>243</v>
      </c>
      <c r="P8" s="146" t="s">
        <v>244</v>
      </c>
      <c r="Q8" s="151" t="s">
        <v>0</v>
      </c>
      <c r="R8" s="152" t="s">
        <v>11</v>
      </c>
      <c r="S8" s="122"/>
    </row>
    <row r="9" spans="1:19" x14ac:dyDescent="0.2">
      <c r="A9" s="46" t="s">
        <v>49</v>
      </c>
      <c r="B9" s="47"/>
      <c r="C9" s="153"/>
      <c r="D9" s="48"/>
      <c r="E9" s="154"/>
      <c r="F9" s="155"/>
      <c r="G9" s="156"/>
      <c r="H9" s="154"/>
      <c r="I9" s="155"/>
      <c r="J9" s="157"/>
      <c r="K9" s="153"/>
      <c r="L9" s="158"/>
      <c r="M9" s="159"/>
      <c r="N9" s="160"/>
      <c r="O9" s="156"/>
      <c r="P9" s="153"/>
      <c r="Q9" s="161"/>
      <c r="R9" s="160"/>
      <c r="S9" s="112"/>
    </row>
    <row r="10" spans="1:19" x14ac:dyDescent="0.2">
      <c r="A10" s="49"/>
      <c r="B10" s="44" t="s">
        <v>7</v>
      </c>
      <c r="C10" s="162">
        <v>0.3</v>
      </c>
      <c r="D10" s="163">
        <v>22</v>
      </c>
      <c r="E10" s="164">
        <v>7.6</v>
      </c>
      <c r="F10" s="164">
        <v>22.6</v>
      </c>
      <c r="G10" s="135">
        <v>7.5</v>
      </c>
      <c r="H10" s="164">
        <v>5</v>
      </c>
      <c r="I10" s="165">
        <v>3.7</v>
      </c>
      <c r="J10" s="162">
        <v>3.3</v>
      </c>
      <c r="K10" s="162">
        <v>1.5</v>
      </c>
      <c r="L10" s="166">
        <v>2.7</v>
      </c>
      <c r="M10" s="167">
        <v>3.5</v>
      </c>
      <c r="N10" s="45">
        <v>4.5999999999999996</v>
      </c>
      <c r="O10" s="168">
        <v>1.7</v>
      </c>
      <c r="P10" s="162">
        <v>1.2</v>
      </c>
      <c r="Q10" s="169">
        <v>15</v>
      </c>
      <c r="R10" s="170">
        <v>30</v>
      </c>
      <c r="S10" s="112"/>
    </row>
    <row r="11" spans="1:19" x14ac:dyDescent="0.2">
      <c r="A11" s="50"/>
      <c r="B11" s="51" t="s">
        <v>50</v>
      </c>
      <c r="C11" s="171">
        <v>0.3</v>
      </c>
      <c r="D11" s="172">
        <v>37.5</v>
      </c>
      <c r="E11" s="173">
        <v>14.9</v>
      </c>
      <c r="F11" s="174">
        <v>31.3</v>
      </c>
      <c r="G11" s="168">
        <v>11.7</v>
      </c>
      <c r="H11" s="173">
        <v>7.8</v>
      </c>
      <c r="I11" s="174">
        <v>5.9</v>
      </c>
      <c r="J11" s="171">
        <v>7</v>
      </c>
      <c r="K11" s="171">
        <v>1</v>
      </c>
      <c r="L11" s="175">
        <v>2.9</v>
      </c>
      <c r="M11" s="176">
        <v>6.4</v>
      </c>
      <c r="N11" s="177">
        <v>8.3000000000000007</v>
      </c>
      <c r="O11" s="168">
        <v>2.2999999999999998</v>
      </c>
      <c r="P11" s="171">
        <v>2.7</v>
      </c>
      <c r="Q11" s="172">
        <v>15</v>
      </c>
      <c r="R11" s="177">
        <v>30</v>
      </c>
      <c r="S11" s="112"/>
    </row>
    <row r="12" spans="1:19" x14ac:dyDescent="0.2">
      <c r="A12" s="50"/>
      <c r="B12" s="51" t="s">
        <v>51</v>
      </c>
      <c r="C12" s="171">
        <v>0.7</v>
      </c>
      <c r="D12" s="169">
        <v>54.5</v>
      </c>
      <c r="E12" s="173">
        <v>20.5</v>
      </c>
      <c r="F12" s="174">
        <v>45.5</v>
      </c>
      <c r="G12" s="168">
        <v>17.100000000000001</v>
      </c>
      <c r="H12" s="173">
        <v>11.4</v>
      </c>
      <c r="I12" s="178">
        <v>8.6</v>
      </c>
      <c r="J12" s="171">
        <v>9.6999999999999993</v>
      </c>
      <c r="K12" s="171">
        <v>1.4</v>
      </c>
      <c r="L12" s="175">
        <v>4.2</v>
      </c>
      <c r="M12" s="176">
        <v>9.5</v>
      </c>
      <c r="N12" s="177">
        <v>12.7</v>
      </c>
      <c r="O12" s="168">
        <v>3.4</v>
      </c>
      <c r="P12" s="171">
        <v>3.9</v>
      </c>
      <c r="Q12" s="172">
        <v>15</v>
      </c>
      <c r="R12" s="177">
        <v>30</v>
      </c>
      <c r="S12" s="112"/>
    </row>
    <row r="13" spans="1:19" x14ac:dyDescent="0.2">
      <c r="A13" s="49"/>
      <c r="B13" s="44" t="s">
        <v>8</v>
      </c>
      <c r="C13" s="162">
        <v>1</v>
      </c>
      <c r="D13" s="179">
        <v>64</v>
      </c>
      <c r="E13" s="164">
        <v>21</v>
      </c>
      <c r="F13" s="165">
        <v>78</v>
      </c>
      <c r="G13" s="135">
        <v>21.5</v>
      </c>
      <c r="H13" s="164">
        <v>14.3</v>
      </c>
      <c r="I13" s="165">
        <v>10.7</v>
      </c>
      <c r="J13" s="180">
        <v>13.1</v>
      </c>
      <c r="K13" s="162">
        <v>4.2</v>
      </c>
      <c r="L13" s="166">
        <v>7.8</v>
      </c>
      <c r="M13" s="167">
        <v>14</v>
      </c>
      <c r="N13" s="45">
        <v>17.5</v>
      </c>
      <c r="O13" s="135">
        <v>4.8</v>
      </c>
      <c r="P13" s="162">
        <v>3.4</v>
      </c>
      <c r="Q13" s="163">
        <v>15</v>
      </c>
      <c r="R13" s="45">
        <v>30</v>
      </c>
      <c r="S13" s="112"/>
    </row>
    <row r="14" spans="1:19" ht="14.25" x14ac:dyDescent="0.2">
      <c r="A14" s="181"/>
      <c r="B14" s="182" t="s">
        <v>245</v>
      </c>
      <c r="C14" s="171"/>
      <c r="D14" s="169"/>
      <c r="E14" s="173" t="s">
        <v>214</v>
      </c>
      <c r="F14" s="174"/>
      <c r="G14" s="168"/>
      <c r="H14" s="183"/>
      <c r="I14" s="184"/>
      <c r="J14" s="185"/>
      <c r="K14" s="171"/>
      <c r="L14" s="175"/>
      <c r="M14" s="176"/>
      <c r="N14" s="177"/>
      <c r="O14" s="168"/>
      <c r="P14" s="171"/>
      <c r="Q14" s="172"/>
      <c r="R14" s="177"/>
      <c r="S14" s="122"/>
    </row>
    <row r="15" spans="1:19" x14ac:dyDescent="0.2">
      <c r="A15" s="49"/>
      <c r="B15" s="44" t="s">
        <v>246</v>
      </c>
      <c r="C15" s="162">
        <v>0.3</v>
      </c>
      <c r="D15" s="179">
        <v>37</v>
      </c>
      <c r="E15" s="164">
        <v>11</v>
      </c>
      <c r="F15" s="165">
        <v>46</v>
      </c>
      <c r="G15" s="135">
        <v>12.5</v>
      </c>
      <c r="H15" s="164">
        <v>8.3000000000000007</v>
      </c>
      <c r="I15" s="165">
        <v>6.2</v>
      </c>
      <c r="J15" s="162">
        <v>7.6</v>
      </c>
      <c r="K15" s="162">
        <v>2.5</v>
      </c>
      <c r="L15" s="166">
        <v>4.5</v>
      </c>
      <c r="M15" s="167">
        <v>7.4</v>
      </c>
      <c r="N15" s="45">
        <v>8.9</v>
      </c>
      <c r="O15" s="135">
        <v>2.8</v>
      </c>
      <c r="P15" s="162">
        <v>2</v>
      </c>
      <c r="Q15" s="163">
        <v>15</v>
      </c>
      <c r="R15" s="45">
        <v>30</v>
      </c>
      <c r="S15" s="122"/>
    </row>
    <row r="16" spans="1:19" x14ac:dyDescent="0.2">
      <c r="A16" s="49"/>
      <c r="B16" s="44" t="s">
        <v>9</v>
      </c>
      <c r="C16" s="162">
        <v>0.7</v>
      </c>
      <c r="D16" s="179">
        <v>56</v>
      </c>
      <c r="E16" s="164">
        <v>18</v>
      </c>
      <c r="F16" s="165">
        <v>69</v>
      </c>
      <c r="G16" s="135">
        <v>18.899999999999999</v>
      </c>
      <c r="H16" s="164">
        <v>12.6</v>
      </c>
      <c r="I16" s="165">
        <v>9.4</v>
      </c>
      <c r="J16" s="162">
        <v>11.5</v>
      </c>
      <c r="K16" s="162">
        <v>3.7</v>
      </c>
      <c r="L16" s="166">
        <v>6.8</v>
      </c>
      <c r="M16" s="167">
        <v>11.8</v>
      </c>
      <c r="N16" s="45">
        <v>14.6</v>
      </c>
      <c r="O16" s="135">
        <v>4.3</v>
      </c>
      <c r="P16" s="162">
        <v>3</v>
      </c>
      <c r="Q16" s="163">
        <v>15</v>
      </c>
      <c r="R16" s="45">
        <v>30</v>
      </c>
      <c r="S16" s="122"/>
    </row>
    <row r="17" spans="1:19" x14ac:dyDescent="0.2">
      <c r="A17" s="49"/>
      <c r="B17" s="44" t="s">
        <v>10</v>
      </c>
      <c r="C17" s="162">
        <v>1</v>
      </c>
      <c r="D17" s="179">
        <v>64</v>
      </c>
      <c r="E17" s="164">
        <v>21</v>
      </c>
      <c r="F17" s="165">
        <v>78</v>
      </c>
      <c r="G17" s="135">
        <v>21.5</v>
      </c>
      <c r="H17" s="164">
        <v>14.3</v>
      </c>
      <c r="I17" s="165">
        <v>10.7</v>
      </c>
      <c r="J17" s="162">
        <v>13.1</v>
      </c>
      <c r="K17" s="162">
        <v>4.2</v>
      </c>
      <c r="L17" s="166">
        <v>7.8</v>
      </c>
      <c r="M17" s="167">
        <v>14</v>
      </c>
      <c r="N17" s="45">
        <v>17.5</v>
      </c>
      <c r="O17" s="135">
        <v>4.8</v>
      </c>
      <c r="P17" s="162">
        <v>3.4</v>
      </c>
      <c r="Q17" s="163">
        <v>15</v>
      </c>
      <c r="R17" s="45">
        <v>30</v>
      </c>
      <c r="S17" s="122"/>
    </row>
    <row r="18" spans="1:19" x14ac:dyDescent="0.2">
      <c r="A18" s="49"/>
      <c r="B18" s="44" t="s">
        <v>247</v>
      </c>
      <c r="C18" s="162">
        <v>1</v>
      </c>
      <c r="D18" s="179">
        <v>100</v>
      </c>
      <c r="E18" s="164">
        <v>36</v>
      </c>
      <c r="F18" s="165">
        <v>104</v>
      </c>
      <c r="G18" s="135">
        <v>33.799999999999997</v>
      </c>
      <c r="H18" s="164">
        <v>22.5</v>
      </c>
      <c r="I18" s="165">
        <v>16.899999999999999</v>
      </c>
      <c r="J18" s="162">
        <v>19</v>
      </c>
      <c r="K18" s="162">
        <v>4</v>
      </c>
      <c r="L18" s="166">
        <v>15</v>
      </c>
      <c r="M18" s="167">
        <v>18.600000000000001</v>
      </c>
      <c r="N18" s="45">
        <v>23.4</v>
      </c>
      <c r="O18" s="135">
        <v>7.3</v>
      </c>
      <c r="P18" s="162">
        <v>6</v>
      </c>
      <c r="Q18" s="163">
        <v>15</v>
      </c>
      <c r="R18" s="45">
        <v>30</v>
      </c>
      <c r="S18" s="122"/>
    </row>
    <row r="19" spans="1:19" x14ac:dyDescent="0.2">
      <c r="A19" s="49"/>
      <c r="B19" s="44" t="s">
        <v>248</v>
      </c>
      <c r="C19" s="162">
        <v>1</v>
      </c>
      <c r="D19" s="179">
        <v>115</v>
      </c>
      <c r="E19" s="164">
        <v>42</v>
      </c>
      <c r="F19" s="165">
        <v>116</v>
      </c>
      <c r="G19" s="135">
        <v>37.299999999999997</v>
      </c>
      <c r="H19" s="164">
        <v>24.9</v>
      </c>
      <c r="I19" s="165">
        <v>18.600000000000001</v>
      </c>
      <c r="J19" s="162">
        <v>20</v>
      </c>
      <c r="K19" s="162">
        <v>4</v>
      </c>
      <c r="L19" s="166">
        <v>16</v>
      </c>
      <c r="M19" s="167">
        <v>19.399999999999999</v>
      </c>
      <c r="N19" s="45">
        <v>24.4</v>
      </c>
      <c r="O19" s="135">
        <v>8</v>
      </c>
      <c r="P19" s="162">
        <v>6.4</v>
      </c>
      <c r="Q19" s="163">
        <v>15</v>
      </c>
      <c r="R19" s="45">
        <v>30</v>
      </c>
      <c r="S19" s="122"/>
    </row>
    <row r="20" spans="1:19" x14ac:dyDescent="0.2">
      <c r="A20" s="49"/>
      <c r="B20" s="44" t="s">
        <v>249</v>
      </c>
      <c r="C20" s="162">
        <v>1</v>
      </c>
      <c r="D20" s="179">
        <v>133</v>
      </c>
      <c r="E20" s="164">
        <v>47</v>
      </c>
      <c r="F20" s="165">
        <v>125</v>
      </c>
      <c r="G20" s="135">
        <v>39.299999999999997</v>
      </c>
      <c r="H20" s="164">
        <v>26.2</v>
      </c>
      <c r="I20" s="165">
        <v>19.600000000000001</v>
      </c>
      <c r="J20" s="162">
        <v>21</v>
      </c>
      <c r="K20" s="162">
        <v>5</v>
      </c>
      <c r="L20" s="166">
        <v>17</v>
      </c>
      <c r="M20" s="167">
        <v>20.2</v>
      </c>
      <c r="N20" s="45">
        <v>25.4</v>
      </c>
      <c r="O20" s="135">
        <v>7.7</v>
      </c>
      <c r="P20" s="162">
        <v>6.8</v>
      </c>
      <c r="Q20" s="163">
        <v>15</v>
      </c>
      <c r="R20" s="45">
        <v>30</v>
      </c>
      <c r="S20" s="122"/>
    </row>
    <row r="21" spans="1:19" x14ac:dyDescent="0.2">
      <c r="A21" s="49"/>
      <c r="B21" s="44" t="s">
        <v>250</v>
      </c>
      <c r="C21" s="162">
        <v>1</v>
      </c>
      <c r="D21" s="179">
        <v>152</v>
      </c>
      <c r="E21" s="164">
        <v>52</v>
      </c>
      <c r="F21" s="165">
        <v>135</v>
      </c>
      <c r="G21" s="135">
        <v>45.3</v>
      </c>
      <c r="H21" s="164">
        <v>30.2</v>
      </c>
      <c r="I21" s="165">
        <v>22.7</v>
      </c>
      <c r="J21" s="162">
        <v>22</v>
      </c>
      <c r="K21" s="162">
        <v>6</v>
      </c>
      <c r="L21" s="166">
        <v>17</v>
      </c>
      <c r="M21" s="167">
        <v>21</v>
      </c>
      <c r="N21" s="45">
        <v>26.4</v>
      </c>
      <c r="O21" s="135">
        <v>7.5</v>
      </c>
      <c r="P21" s="162">
        <v>7.2</v>
      </c>
      <c r="Q21" s="163">
        <v>15</v>
      </c>
      <c r="R21" s="45">
        <v>30</v>
      </c>
      <c r="S21" s="122"/>
    </row>
    <row r="22" spans="1:19" ht="14.25" x14ac:dyDescent="0.2">
      <c r="A22" s="181"/>
      <c r="B22" s="182" t="s">
        <v>251</v>
      </c>
      <c r="C22" s="171"/>
      <c r="D22" s="169"/>
      <c r="E22" s="173" t="s">
        <v>214</v>
      </c>
      <c r="F22" s="174"/>
      <c r="G22" s="168"/>
      <c r="H22" s="183"/>
      <c r="I22" s="184"/>
      <c r="J22" s="185"/>
      <c r="K22" s="171"/>
      <c r="L22" s="175"/>
      <c r="M22" s="176"/>
      <c r="N22" s="177"/>
      <c r="O22" s="168"/>
      <c r="P22" s="171"/>
      <c r="Q22" s="172"/>
      <c r="R22" s="177"/>
      <c r="S22" s="122"/>
    </row>
    <row r="23" spans="1:19" x14ac:dyDescent="0.2">
      <c r="A23" s="49"/>
      <c r="B23" s="44" t="s">
        <v>246</v>
      </c>
      <c r="C23" s="162">
        <v>0.3</v>
      </c>
      <c r="D23" s="179">
        <v>47</v>
      </c>
      <c r="E23" s="164">
        <v>14</v>
      </c>
      <c r="F23" s="165">
        <v>58</v>
      </c>
      <c r="G23" s="135">
        <v>12.4</v>
      </c>
      <c r="H23" s="164">
        <v>8.3000000000000007</v>
      </c>
      <c r="I23" s="165">
        <v>6.2</v>
      </c>
      <c r="J23" s="162">
        <v>7.6</v>
      </c>
      <c r="K23" s="162">
        <v>2.5</v>
      </c>
      <c r="L23" s="166">
        <v>4.5</v>
      </c>
      <c r="M23" s="167">
        <v>7.4</v>
      </c>
      <c r="N23" s="45">
        <v>8.9</v>
      </c>
      <c r="O23" s="135">
        <v>3.5</v>
      </c>
      <c r="P23" s="162">
        <v>2</v>
      </c>
      <c r="Q23" s="163">
        <v>15</v>
      </c>
      <c r="R23" s="45">
        <v>30</v>
      </c>
      <c r="S23" s="122"/>
    </row>
    <row r="24" spans="1:19" x14ac:dyDescent="0.2">
      <c r="A24" s="49"/>
      <c r="B24" s="44" t="s">
        <v>9</v>
      </c>
      <c r="C24" s="162">
        <v>0.7</v>
      </c>
      <c r="D24" s="179">
        <v>72</v>
      </c>
      <c r="E24" s="164">
        <v>21</v>
      </c>
      <c r="F24" s="165">
        <v>94</v>
      </c>
      <c r="G24" s="135">
        <v>19</v>
      </c>
      <c r="H24" s="164">
        <v>12.7</v>
      </c>
      <c r="I24" s="165">
        <v>9.5</v>
      </c>
      <c r="J24" s="162">
        <v>11.7</v>
      </c>
      <c r="K24" s="162">
        <v>3.8</v>
      </c>
      <c r="L24" s="166">
        <v>6.9</v>
      </c>
      <c r="M24" s="167">
        <v>12</v>
      </c>
      <c r="N24" s="45">
        <v>14.8</v>
      </c>
      <c r="O24" s="135">
        <v>5.4</v>
      </c>
      <c r="P24" s="162">
        <v>3</v>
      </c>
      <c r="Q24" s="163">
        <v>15</v>
      </c>
      <c r="R24" s="45">
        <v>30</v>
      </c>
      <c r="S24" s="122"/>
    </row>
    <row r="25" spans="1:19" x14ac:dyDescent="0.2">
      <c r="A25" s="49"/>
      <c r="B25" s="44" t="s">
        <v>10</v>
      </c>
      <c r="C25" s="162">
        <v>1</v>
      </c>
      <c r="D25" s="179">
        <v>84</v>
      </c>
      <c r="E25" s="164">
        <v>23</v>
      </c>
      <c r="F25" s="165">
        <v>100</v>
      </c>
      <c r="G25" s="135">
        <v>22.2</v>
      </c>
      <c r="H25" s="164">
        <v>14.8</v>
      </c>
      <c r="I25" s="165">
        <v>11.1</v>
      </c>
      <c r="J25" s="162">
        <v>13.7</v>
      </c>
      <c r="K25" s="162">
        <v>4.4000000000000004</v>
      </c>
      <c r="L25" s="166">
        <v>8.1</v>
      </c>
      <c r="M25" s="167">
        <v>14.5</v>
      </c>
      <c r="N25" s="45">
        <v>18.100000000000001</v>
      </c>
      <c r="O25" s="135">
        <v>6.3</v>
      </c>
      <c r="P25" s="162">
        <v>3.5</v>
      </c>
      <c r="Q25" s="163">
        <v>15</v>
      </c>
      <c r="R25" s="45">
        <v>30</v>
      </c>
      <c r="S25" s="122"/>
    </row>
    <row r="26" spans="1:19" x14ac:dyDescent="0.2">
      <c r="A26" s="49"/>
      <c r="B26" s="44" t="s">
        <v>247</v>
      </c>
      <c r="C26" s="162">
        <v>1</v>
      </c>
      <c r="D26" s="179">
        <v>109</v>
      </c>
      <c r="E26" s="164">
        <v>37</v>
      </c>
      <c r="F26" s="165">
        <v>129</v>
      </c>
      <c r="G26" s="135">
        <v>36.5</v>
      </c>
      <c r="H26" s="164">
        <v>24.3</v>
      </c>
      <c r="I26" s="165">
        <v>18.2</v>
      </c>
      <c r="J26" s="162">
        <v>19</v>
      </c>
      <c r="K26" s="162">
        <v>4</v>
      </c>
      <c r="L26" s="166">
        <v>14.4</v>
      </c>
      <c r="M26" s="167">
        <v>18.600000000000001</v>
      </c>
      <c r="N26" s="45">
        <v>23.4</v>
      </c>
      <c r="O26" s="135">
        <v>9.6</v>
      </c>
      <c r="P26" s="162">
        <v>6</v>
      </c>
      <c r="Q26" s="163">
        <v>15</v>
      </c>
      <c r="R26" s="45">
        <v>30</v>
      </c>
      <c r="S26" s="122"/>
    </row>
    <row r="27" spans="1:19" x14ac:dyDescent="0.2">
      <c r="A27" s="49"/>
      <c r="B27" s="44" t="s">
        <v>248</v>
      </c>
      <c r="C27" s="162">
        <v>1</v>
      </c>
      <c r="D27" s="179">
        <v>124</v>
      </c>
      <c r="E27" s="164">
        <v>43</v>
      </c>
      <c r="F27" s="165">
        <v>134</v>
      </c>
      <c r="G27" s="135">
        <v>38.1</v>
      </c>
      <c r="H27" s="164">
        <v>25.4</v>
      </c>
      <c r="I27" s="165">
        <v>19</v>
      </c>
      <c r="J27" s="162">
        <v>20</v>
      </c>
      <c r="K27" s="162">
        <v>4</v>
      </c>
      <c r="L27" s="166">
        <v>15</v>
      </c>
      <c r="M27" s="167">
        <v>19.399999999999999</v>
      </c>
      <c r="N27" s="45">
        <v>24.4</v>
      </c>
      <c r="O27" s="135">
        <v>9.6999999999999993</v>
      </c>
      <c r="P27" s="162">
        <v>6.4</v>
      </c>
      <c r="Q27" s="163">
        <v>15</v>
      </c>
      <c r="R27" s="45">
        <v>30</v>
      </c>
      <c r="S27" s="122"/>
    </row>
    <row r="28" spans="1:19" x14ac:dyDescent="0.2">
      <c r="A28" s="49"/>
      <c r="B28" s="44" t="s">
        <v>249</v>
      </c>
      <c r="C28" s="162">
        <v>1</v>
      </c>
      <c r="D28" s="179">
        <v>141</v>
      </c>
      <c r="E28" s="164">
        <v>48</v>
      </c>
      <c r="F28" s="165">
        <v>143</v>
      </c>
      <c r="G28" s="135">
        <v>40.4</v>
      </c>
      <c r="H28" s="164">
        <v>26.9</v>
      </c>
      <c r="I28" s="165">
        <v>20.2</v>
      </c>
      <c r="J28" s="162">
        <v>21</v>
      </c>
      <c r="K28" s="162">
        <v>5</v>
      </c>
      <c r="L28" s="166">
        <v>16</v>
      </c>
      <c r="M28" s="167">
        <v>20.2</v>
      </c>
      <c r="N28" s="45">
        <v>25.4</v>
      </c>
      <c r="O28" s="135">
        <v>9.5</v>
      </c>
      <c r="P28" s="162">
        <v>6.8</v>
      </c>
      <c r="Q28" s="163">
        <v>15</v>
      </c>
      <c r="R28" s="45">
        <v>30</v>
      </c>
      <c r="S28" s="122"/>
    </row>
    <row r="29" spans="1:19" ht="13.5" thickBot="1" x14ac:dyDescent="0.25">
      <c r="A29" s="49"/>
      <c r="B29" s="44" t="s">
        <v>52</v>
      </c>
      <c r="C29" s="162">
        <v>1</v>
      </c>
      <c r="D29" s="179">
        <v>105</v>
      </c>
      <c r="E29" s="164">
        <v>31</v>
      </c>
      <c r="F29" s="165">
        <v>129</v>
      </c>
      <c r="G29" s="186">
        <v>32.200000000000003</v>
      </c>
      <c r="H29" s="164">
        <v>21.4</v>
      </c>
      <c r="I29" s="165">
        <v>16.100000000000001</v>
      </c>
      <c r="J29" s="162">
        <v>20</v>
      </c>
      <c r="K29" s="162">
        <v>4</v>
      </c>
      <c r="L29" s="166">
        <v>15.8</v>
      </c>
      <c r="M29" s="167">
        <v>19.600000000000001</v>
      </c>
      <c r="N29" s="45">
        <v>24.4</v>
      </c>
      <c r="O29" s="135">
        <v>7.6</v>
      </c>
      <c r="P29" s="162">
        <v>6</v>
      </c>
      <c r="Q29" s="163">
        <v>15</v>
      </c>
      <c r="R29" s="45">
        <v>30</v>
      </c>
      <c r="S29" s="122"/>
    </row>
    <row r="30" spans="1:19" x14ac:dyDescent="0.2">
      <c r="A30" s="187" t="s">
        <v>93</v>
      </c>
      <c r="B30" s="188"/>
      <c r="C30" s="189"/>
      <c r="D30" s="190"/>
      <c r="E30" s="191"/>
      <c r="F30" s="192"/>
      <c r="G30" s="193">
        <v>3.5000000000000003E-2</v>
      </c>
      <c r="H30" s="194">
        <v>0.05</v>
      </c>
      <c r="I30" s="195">
        <v>7.4999999999999997E-2</v>
      </c>
      <c r="J30" s="196"/>
      <c r="K30" s="189"/>
      <c r="L30" s="197"/>
      <c r="M30" s="198"/>
      <c r="N30" s="199"/>
      <c r="O30" s="200"/>
      <c r="P30" s="189"/>
      <c r="Q30" s="201"/>
      <c r="R30" s="199"/>
      <c r="S30" s="122"/>
    </row>
    <row r="31" spans="1:19" x14ac:dyDescent="0.2">
      <c r="A31" s="40"/>
      <c r="B31" s="44" t="s">
        <v>53</v>
      </c>
      <c r="C31" s="162">
        <v>0.3</v>
      </c>
      <c r="D31" s="202">
        <v>27.3</v>
      </c>
      <c r="E31" s="164">
        <v>12.6</v>
      </c>
      <c r="F31" s="203">
        <v>12.8</v>
      </c>
      <c r="G31" s="135">
        <v>8.1</v>
      </c>
      <c r="H31" s="164">
        <v>5.7</v>
      </c>
      <c r="I31" s="165">
        <v>3.8</v>
      </c>
      <c r="J31" s="162">
        <v>4.2</v>
      </c>
      <c r="K31" s="162">
        <v>2</v>
      </c>
      <c r="L31" s="166">
        <v>3.6</v>
      </c>
      <c r="M31" s="167">
        <v>4.3</v>
      </c>
      <c r="N31" s="45">
        <v>5.5</v>
      </c>
      <c r="O31" s="135">
        <v>1.2</v>
      </c>
      <c r="P31" s="162">
        <v>1.3</v>
      </c>
      <c r="Q31" s="163">
        <v>20</v>
      </c>
      <c r="R31" s="45">
        <v>30</v>
      </c>
      <c r="S31" s="122"/>
    </row>
    <row r="32" spans="1:19" x14ac:dyDescent="0.2">
      <c r="A32" s="40"/>
      <c r="B32" s="44" t="s">
        <v>54</v>
      </c>
      <c r="C32" s="162">
        <v>0.3</v>
      </c>
      <c r="D32" s="202">
        <v>24.1</v>
      </c>
      <c r="E32" s="164">
        <v>11.2</v>
      </c>
      <c r="F32" s="203">
        <v>11.6</v>
      </c>
      <c r="G32" s="135">
        <v>7.2</v>
      </c>
      <c r="H32" s="164">
        <v>5</v>
      </c>
      <c r="I32" s="165">
        <v>3.4</v>
      </c>
      <c r="J32" s="162">
        <v>4.2</v>
      </c>
      <c r="K32" s="162">
        <v>2</v>
      </c>
      <c r="L32" s="166">
        <v>3.6</v>
      </c>
      <c r="M32" s="167">
        <v>4.3</v>
      </c>
      <c r="N32" s="45">
        <v>5.5</v>
      </c>
      <c r="O32" s="135">
        <v>1.2</v>
      </c>
      <c r="P32" s="162">
        <v>1.3</v>
      </c>
      <c r="Q32" s="163">
        <v>20</v>
      </c>
      <c r="R32" s="45">
        <v>30</v>
      </c>
      <c r="S32" s="122"/>
    </row>
    <row r="33" spans="1:19" x14ac:dyDescent="0.2">
      <c r="A33" s="40"/>
      <c r="B33" s="52" t="s">
        <v>55</v>
      </c>
      <c r="C33" s="162">
        <v>0.3</v>
      </c>
      <c r="D33" s="179">
        <v>27.5</v>
      </c>
      <c r="E33" s="164">
        <v>12.8</v>
      </c>
      <c r="F33" s="203">
        <v>13.1</v>
      </c>
      <c r="G33" s="135">
        <v>8.1999999999999993</v>
      </c>
      <c r="H33" s="164">
        <v>5.8</v>
      </c>
      <c r="I33" s="165">
        <v>3.8</v>
      </c>
      <c r="J33" s="162">
        <v>4.4000000000000004</v>
      </c>
      <c r="K33" s="162">
        <v>2</v>
      </c>
      <c r="L33" s="166">
        <v>3.7</v>
      </c>
      <c r="M33" s="167">
        <v>4.5</v>
      </c>
      <c r="N33" s="45">
        <v>5.7</v>
      </c>
      <c r="O33" s="135">
        <v>1.2</v>
      </c>
      <c r="P33" s="162">
        <v>1.4</v>
      </c>
      <c r="Q33" s="163">
        <v>20</v>
      </c>
      <c r="R33" s="45">
        <v>30</v>
      </c>
      <c r="S33" s="122"/>
    </row>
    <row r="34" spans="1:19" x14ac:dyDescent="0.2">
      <c r="A34" s="40"/>
      <c r="B34" s="52" t="s">
        <v>56</v>
      </c>
      <c r="C34" s="162">
        <v>0.3</v>
      </c>
      <c r="D34" s="179">
        <v>24.2</v>
      </c>
      <c r="E34" s="164">
        <v>11.2</v>
      </c>
      <c r="F34" s="203">
        <v>11.8</v>
      </c>
      <c r="G34" s="135">
        <v>7.4</v>
      </c>
      <c r="H34" s="164">
        <v>5.2</v>
      </c>
      <c r="I34" s="165">
        <v>3.4</v>
      </c>
      <c r="J34" s="162">
        <v>4.4000000000000004</v>
      </c>
      <c r="K34" s="162">
        <v>2</v>
      </c>
      <c r="L34" s="166">
        <v>3.7</v>
      </c>
      <c r="M34" s="167">
        <v>4.5</v>
      </c>
      <c r="N34" s="45">
        <v>5.7</v>
      </c>
      <c r="O34" s="135">
        <v>1.2</v>
      </c>
      <c r="P34" s="162">
        <v>1.4</v>
      </c>
      <c r="Q34" s="163">
        <v>20</v>
      </c>
      <c r="R34" s="45">
        <v>30</v>
      </c>
      <c r="S34" s="122"/>
    </row>
    <row r="35" spans="1:19" x14ac:dyDescent="0.2">
      <c r="A35" s="40"/>
      <c r="B35" s="44" t="s">
        <v>57</v>
      </c>
      <c r="C35" s="162">
        <v>0.3</v>
      </c>
      <c r="D35" s="202">
        <v>41.1</v>
      </c>
      <c r="E35" s="164">
        <v>17.899999999999999</v>
      </c>
      <c r="F35" s="203">
        <v>21.1</v>
      </c>
      <c r="G35" s="135">
        <v>11.9</v>
      </c>
      <c r="H35" s="164">
        <v>8.3000000000000007</v>
      </c>
      <c r="I35" s="165">
        <v>5.5</v>
      </c>
      <c r="J35" s="162">
        <v>6.5</v>
      </c>
      <c r="K35" s="162">
        <v>3</v>
      </c>
      <c r="L35" s="166">
        <v>5.2</v>
      </c>
      <c r="M35" s="167">
        <v>6.1</v>
      </c>
      <c r="N35" s="45">
        <v>7.8</v>
      </c>
      <c r="O35" s="135">
        <v>1.2</v>
      </c>
      <c r="P35" s="162">
        <v>2.4</v>
      </c>
      <c r="Q35" s="163">
        <v>20</v>
      </c>
      <c r="R35" s="45">
        <v>30</v>
      </c>
      <c r="S35" s="122"/>
    </row>
    <row r="36" spans="1:19" x14ac:dyDescent="0.2">
      <c r="A36" s="40"/>
      <c r="B36" s="44" t="s">
        <v>58</v>
      </c>
      <c r="C36" s="162">
        <v>0.3</v>
      </c>
      <c r="D36" s="202">
        <v>36.799999999999997</v>
      </c>
      <c r="E36" s="164">
        <v>16</v>
      </c>
      <c r="F36" s="203">
        <v>19.5</v>
      </c>
      <c r="G36" s="135">
        <v>10.9</v>
      </c>
      <c r="H36" s="164">
        <v>7.6</v>
      </c>
      <c r="I36" s="165">
        <v>5.0999999999999996</v>
      </c>
      <c r="J36" s="162">
        <v>6.5</v>
      </c>
      <c r="K36" s="162">
        <v>3</v>
      </c>
      <c r="L36" s="166">
        <v>5.2</v>
      </c>
      <c r="M36" s="167">
        <v>6.1</v>
      </c>
      <c r="N36" s="45">
        <v>7.8</v>
      </c>
      <c r="O36" s="135">
        <v>1.2</v>
      </c>
      <c r="P36" s="162">
        <v>2.4</v>
      </c>
      <c r="Q36" s="163">
        <v>20</v>
      </c>
      <c r="R36" s="45">
        <v>30</v>
      </c>
      <c r="S36" s="122"/>
    </row>
    <row r="37" spans="1:19" x14ac:dyDescent="0.2">
      <c r="A37" s="40"/>
      <c r="B37" s="52" t="s">
        <v>59</v>
      </c>
      <c r="C37" s="162">
        <v>0.3</v>
      </c>
      <c r="D37" s="179">
        <v>42.9</v>
      </c>
      <c r="E37" s="164">
        <v>18.600000000000001</v>
      </c>
      <c r="F37" s="203">
        <v>21.3</v>
      </c>
      <c r="G37" s="135">
        <v>12.5</v>
      </c>
      <c r="H37" s="164">
        <v>8.6999999999999993</v>
      </c>
      <c r="I37" s="165">
        <v>5.8</v>
      </c>
      <c r="J37" s="162">
        <v>7</v>
      </c>
      <c r="K37" s="162">
        <v>3</v>
      </c>
      <c r="L37" s="166">
        <v>5.5</v>
      </c>
      <c r="M37" s="167">
        <v>6.5</v>
      </c>
      <c r="N37" s="45">
        <v>8.3000000000000007</v>
      </c>
      <c r="O37" s="135">
        <v>1.2</v>
      </c>
      <c r="P37" s="162">
        <v>2.6</v>
      </c>
      <c r="Q37" s="163">
        <v>20</v>
      </c>
      <c r="R37" s="45">
        <v>30</v>
      </c>
      <c r="S37" s="122"/>
    </row>
    <row r="38" spans="1:19" x14ac:dyDescent="0.2">
      <c r="A38" s="40"/>
      <c r="B38" s="52" t="s">
        <v>60</v>
      </c>
      <c r="C38" s="162">
        <v>0.3</v>
      </c>
      <c r="D38" s="179">
        <v>38.4</v>
      </c>
      <c r="E38" s="164">
        <v>16.7</v>
      </c>
      <c r="F38" s="203">
        <v>20.7</v>
      </c>
      <c r="G38" s="135">
        <v>11.5</v>
      </c>
      <c r="H38" s="164">
        <v>8</v>
      </c>
      <c r="I38" s="165">
        <v>5.3</v>
      </c>
      <c r="J38" s="162">
        <v>7</v>
      </c>
      <c r="K38" s="162">
        <v>3</v>
      </c>
      <c r="L38" s="166">
        <v>5.5</v>
      </c>
      <c r="M38" s="167">
        <v>6.5</v>
      </c>
      <c r="N38" s="45">
        <v>8.3000000000000007</v>
      </c>
      <c r="O38" s="135">
        <v>1.2</v>
      </c>
      <c r="P38" s="162">
        <v>2.6</v>
      </c>
      <c r="Q38" s="163">
        <v>20</v>
      </c>
      <c r="R38" s="45">
        <v>30</v>
      </c>
      <c r="S38" s="122"/>
    </row>
    <row r="39" spans="1:19" x14ac:dyDescent="0.2">
      <c r="A39" s="49"/>
      <c r="B39" s="52" t="s">
        <v>61</v>
      </c>
      <c r="C39" s="204">
        <v>0.02</v>
      </c>
      <c r="D39" s="179">
        <v>4.5</v>
      </c>
      <c r="E39" s="205">
        <v>1.64</v>
      </c>
      <c r="F39" s="206">
        <v>2.7</v>
      </c>
      <c r="G39" s="135">
        <v>1.3</v>
      </c>
      <c r="H39" s="164">
        <v>0.9</v>
      </c>
      <c r="I39" s="165">
        <v>0.6</v>
      </c>
      <c r="J39" s="162">
        <v>0.7</v>
      </c>
      <c r="K39" s="162">
        <v>0.2</v>
      </c>
      <c r="L39" s="166">
        <v>0.4</v>
      </c>
      <c r="M39" s="167">
        <v>0.6</v>
      </c>
      <c r="N39" s="45">
        <v>0.8</v>
      </c>
      <c r="O39" s="207">
        <v>0.15</v>
      </c>
      <c r="P39" s="162">
        <v>0.4</v>
      </c>
      <c r="Q39" s="163">
        <v>20</v>
      </c>
      <c r="R39" s="45">
        <v>30</v>
      </c>
      <c r="S39" s="122"/>
    </row>
    <row r="40" spans="1:19" x14ac:dyDescent="0.2">
      <c r="A40" s="49"/>
      <c r="B40" s="52" t="s">
        <v>62</v>
      </c>
      <c r="C40" s="204">
        <v>0.02</v>
      </c>
      <c r="D40" s="179">
        <v>4.2</v>
      </c>
      <c r="E40" s="205">
        <v>1.61</v>
      </c>
      <c r="F40" s="206">
        <v>2.6</v>
      </c>
      <c r="G40" s="135">
        <v>1.2</v>
      </c>
      <c r="H40" s="164">
        <v>0.8</v>
      </c>
      <c r="I40" s="165">
        <v>0.6</v>
      </c>
      <c r="J40" s="162">
        <v>0.7</v>
      </c>
      <c r="K40" s="162">
        <v>0.2</v>
      </c>
      <c r="L40" s="166">
        <v>0.4</v>
      </c>
      <c r="M40" s="167">
        <v>0.6</v>
      </c>
      <c r="N40" s="45">
        <v>0.8</v>
      </c>
      <c r="O40" s="207">
        <v>0.15</v>
      </c>
      <c r="P40" s="162">
        <v>0.4</v>
      </c>
      <c r="Q40" s="163">
        <v>20</v>
      </c>
      <c r="R40" s="45">
        <v>30</v>
      </c>
      <c r="S40" s="122"/>
    </row>
    <row r="41" spans="1:19" x14ac:dyDescent="0.2">
      <c r="A41" s="40"/>
      <c r="B41" s="44" t="s">
        <v>63</v>
      </c>
      <c r="C41" s="204">
        <v>0.16</v>
      </c>
      <c r="D41" s="179">
        <v>14.1</v>
      </c>
      <c r="E41" s="164">
        <v>6</v>
      </c>
      <c r="F41" s="203">
        <v>7</v>
      </c>
      <c r="G41" s="186">
        <v>3.8</v>
      </c>
      <c r="H41" s="164">
        <v>2.7</v>
      </c>
      <c r="I41" s="165">
        <v>1.8</v>
      </c>
      <c r="J41" s="162">
        <v>1.8</v>
      </c>
      <c r="K41" s="162">
        <v>0.5</v>
      </c>
      <c r="L41" s="166">
        <v>1.3</v>
      </c>
      <c r="M41" s="167">
        <v>1.9</v>
      </c>
      <c r="N41" s="45">
        <v>2.6</v>
      </c>
      <c r="O41" s="135">
        <v>0.7</v>
      </c>
      <c r="P41" s="162">
        <v>0.7</v>
      </c>
      <c r="Q41" s="163">
        <v>20</v>
      </c>
      <c r="R41" s="45">
        <v>30</v>
      </c>
      <c r="S41" s="122"/>
    </row>
    <row r="42" spans="1:19" x14ac:dyDescent="0.2">
      <c r="A42" s="40"/>
      <c r="B42" s="44" t="s">
        <v>64</v>
      </c>
      <c r="C42" s="204">
        <v>0.16</v>
      </c>
      <c r="D42" s="179">
        <v>13.4</v>
      </c>
      <c r="E42" s="164">
        <v>5.0999999999999996</v>
      </c>
      <c r="F42" s="203">
        <v>6.8</v>
      </c>
      <c r="G42" s="186">
        <v>3.9</v>
      </c>
      <c r="H42" s="164">
        <v>2.7</v>
      </c>
      <c r="I42" s="165">
        <v>1.8</v>
      </c>
      <c r="J42" s="162">
        <v>1.8</v>
      </c>
      <c r="K42" s="162">
        <v>0.5</v>
      </c>
      <c r="L42" s="166">
        <v>1.3</v>
      </c>
      <c r="M42" s="167">
        <v>1.9</v>
      </c>
      <c r="N42" s="45">
        <v>2.6</v>
      </c>
      <c r="O42" s="135">
        <v>0.7</v>
      </c>
      <c r="P42" s="162">
        <v>0.7</v>
      </c>
      <c r="Q42" s="163">
        <v>20</v>
      </c>
      <c r="R42" s="45">
        <v>30</v>
      </c>
      <c r="S42" s="122"/>
    </row>
    <row r="43" spans="1:19" x14ac:dyDescent="0.2">
      <c r="A43" s="49"/>
      <c r="B43" s="44" t="s">
        <v>65</v>
      </c>
      <c r="C43" s="204">
        <v>0.16</v>
      </c>
      <c r="D43" s="179">
        <v>15.4</v>
      </c>
      <c r="E43" s="164">
        <v>6.3</v>
      </c>
      <c r="F43" s="203">
        <v>7.5</v>
      </c>
      <c r="G43" s="186">
        <v>4.0999999999999996</v>
      </c>
      <c r="H43" s="164">
        <v>2.9</v>
      </c>
      <c r="I43" s="165">
        <v>1.9</v>
      </c>
      <c r="J43" s="162">
        <v>1.9</v>
      </c>
      <c r="K43" s="162">
        <v>0.5</v>
      </c>
      <c r="L43" s="166">
        <v>1.4</v>
      </c>
      <c r="M43" s="167">
        <v>1.9</v>
      </c>
      <c r="N43" s="45">
        <v>2.6</v>
      </c>
      <c r="O43" s="135">
        <v>0.7</v>
      </c>
      <c r="P43" s="162">
        <v>0.8</v>
      </c>
      <c r="Q43" s="163">
        <v>20</v>
      </c>
      <c r="R43" s="45">
        <v>30</v>
      </c>
      <c r="S43" s="122"/>
    </row>
    <row r="44" spans="1:19" x14ac:dyDescent="0.2">
      <c r="A44" s="49"/>
      <c r="B44" s="44" t="s">
        <v>66</v>
      </c>
      <c r="C44" s="204">
        <v>0.16</v>
      </c>
      <c r="D44" s="208">
        <v>14.78</v>
      </c>
      <c r="E44" s="164">
        <v>5.4</v>
      </c>
      <c r="F44" s="203">
        <v>7.3</v>
      </c>
      <c r="G44" s="186">
        <v>4.2</v>
      </c>
      <c r="H44" s="164">
        <v>2.9</v>
      </c>
      <c r="I44" s="165">
        <v>1.9</v>
      </c>
      <c r="J44" s="162">
        <v>1.9</v>
      </c>
      <c r="K44" s="162">
        <v>0.5</v>
      </c>
      <c r="L44" s="166">
        <v>1.4</v>
      </c>
      <c r="M44" s="167">
        <v>1.9</v>
      </c>
      <c r="N44" s="45">
        <v>2.6</v>
      </c>
      <c r="O44" s="135">
        <v>0.7</v>
      </c>
      <c r="P44" s="162">
        <v>0.8</v>
      </c>
      <c r="Q44" s="163">
        <v>20</v>
      </c>
      <c r="R44" s="45">
        <v>30</v>
      </c>
      <c r="S44" s="122"/>
    </row>
    <row r="45" spans="1:19" ht="13.5" thickBot="1" x14ac:dyDescent="0.25">
      <c r="A45" s="50"/>
      <c r="B45" s="51" t="s">
        <v>67</v>
      </c>
      <c r="C45" s="171">
        <v>0.3</v>
      </c>
      <c r="D45" s="169">
        <v>22.1</v>
      </c>
      <c r="E45" s="173">
        <v>9.6</v>
      </c>
      <c r="F45" s="209">
        <v>8.8000000000000007</v>
      </c>
      <c r="G45" s="210">
        <v>4.5</v>
      </c>
      <c r="H45" s="173">
        <v>3.2</v>
      </c>
      <c r="I45" s="174">
        <v>2.1</v>
      </c>
      <c r="J45" s="171">
        <v>3.6</v>
      </c>
      <c r="K45" s="171">
        <v>1</v>
      </c>
      <c r="L45" s="175">
        <v>2.5</v>
      </c>
      <c r="M45" s="176">
        <v>3.6</v>
      </c>
      <c r="N45" s="177">
        <v>4.9000000000000004</v>
      </c>
      <c r="O45" s="135">
        <v>1</v>
      </c>
      <c r="P45" s="171">
        <v>1.5</v>
      </c>
      <c r="Q45" s="172">
        <v>20</v>
      </c>
      <c r="R45" s="177">
        <v>30</v>
      </c>
      <c r="S45" s="122"/>
    </row>
    <row r="46" spans="1:19" x14ac:dyDescent="0.2">
      <c r="A46" s="187" t="s">
        <v>94</v>
      </c>
      <c r="B46" s="188"/>
      <c r="C46" s="211"/>
      <c r="D46" s="190"/>
      <c r="E46" s="191"/>
      <c r="F46" s="192"/>
      <c r="G46" s="212"/>
      <c r="H46" s="191"/>
      <c r="I46" s="213"/>
      <c r="J46" s="214"/>
      <c r="K46" s="215" t="s">
        <v>252</v>
      </c>
      <c r="L46" s="216"/>
      <c r="M46" s="217" t="s">
        <v>252</v>
      </c>
      <c r="N46" s="218"/>
      <c r="O46" s="219"/>
      <c r="P46" s="211"/>
      <c r="Q46" s="220"/>
      <c r="R46" s="221"/>
      <c r="S46" s="222"/>
    </row>
    <row r="47" spans="1:19" x14ac:dyDescent="0.2">
      <c r="A47" s="49"/>
      <c r="B47" s="44" t="s">
        <v>68</v>
      </c>
      <c r="C47" s="223">
        <v>4.0000000000000001E-3</v>
      </c>
      <c r="D47" s="208">
        <v>0.85</v>
      </c>
      <c r="E47" s="205">
        <v>0.44</v>
      </c>
      <c r="F47" s="224">
        <v>0.38</v>
      </c>
      <c r="G47" s="186"/>
      <c r="H47" s="225"/>
      <c r="I47" s="226"/>
      <c r="J47" s="180"/>
      <c r="K47" s="162">
        <v>3.7</v>
      </c>
      <c r="L47" s="227"/>
      <c r="M47" s="228"/>
      <c r="N47" s="170">
        <v>24.5</v>
      </c>
      <c r="O47" s="229">
        <v>0</v>
      </c>
      <c r="P47" s="230">
        <v>0</v>
      </c>
      <c r="Q47" s="179">
        <v>40</v>
      </c>
      <c r="R47" s="170">
        <v>40</v>
      </c>
      <c r="S47" s="222"/>
    </row>
    <row r="48" spans="1:19" x14ac:dyDescent="0.2">
      <c r="A48" s="49"/>
      <c r="B48" s="44" t="s">
        <v>69</v>
      </c>
      <c r="C48" s="223">
        <v>4.0000000000000001E-3</v>
      </c>
      <c r="D48" s="208">
        <v>0.81</v>
      </c>
      <c r="E48" s="205">
        <v>0.39</v>
      </c>
      <c r="F48" s="224">
        <v>0.38</v>
      </c>
      <c r="G48" s="186"/>
      <c r="H48" s="225"/>
      <c r="I48" s="226"/>
      <c r="J48" s="180"/>
      <c r="K48" s="162">
        <v>3.7</v>
      </c>
      <c r="L48" s="227"/>
      <c r="M48" s="228"/>
      <c r="N48" s="170">
        <v>24.5</v>
      </c>
      <c r="O48" s="229">
        <v>0</v>
      </c>
      <c r="P48" s="230">
        <v>0</v>
      </c>
      <c r="Q48" s="179">
        <v>40</v>
      </c>
      <c r="R48" s="170">
        <v>40</v>
      </c>
      <c r="S48" s="222"/>
    </row>
    <row r="49" spans="1:19" x14ac:dyDescent="0.2">
      <c r="A49" s="49"/>
      <c r="B49" s="44" t="s">
        <v>70</v>
      </c>
      <c r="C49" s="223">
        <v>4.0000000000000001E-3</v>
      </c>
      <c r="D49" s="208">
        <v>0.32</v>
      </c>
      <c r="E49" s="205">
        <v>0.21</v>
      </c>
      <c r="F49" s="224">
        <v>0.15</v>
      </c>
      <c r="G49" s="186"/>
      <c r="H49" s="225"/>
      <c r="I49" s="226"/>
      <c r="J49" s="162">
        <v>0.1</v>
      </c>
      <c r="K49" s="162">
        <v>2.2999999999999998</v>
      </c>
      <c r="L49" s="227"/>
      <c r="M49" s="228"/>
      <c r="N49" s="170">
        <v>8.4</v>
      </c>
      <c r="O49" s="229">
        <v>0</v>
      </c>
      <c r="P49" s="230">
        <v>0</v>
      </c>
      <c r="Q49" s="179">
        <v>40</v>
      </c>
      <c r="R49" s="170">
        <v>40</v>
      </c>
      <c r="S49" s="222"/>
    </row>
    <row r="50" spans="1:19" x14ac:dyDescent="0.2">
      <c r="A50" s="49"/>
      <c r="B50" s="44" t="s">
        <v>71</v>
      </c>
      <c r="C50" s="223">
        <v>4.0000000000000001E-3</v>
      </c>
      <c r="D50" s="208">
        <v>0.3</v>
      </c>
      <c r="E50" s="205">
        <v>0.18</v>
      </c>
      <c r="F50" s="224">
        <v>0.15</v>
      </c>
      <c r="G50" s="186"/>
      <c r="H50" s="225"/>
      <c r="I50" s="226"/>
      <c r="J50" s="162">
        <v>0.1</v>
      </c>
      <c r="K50" s="162">
        <v>2.2999999999999998</v>
      </c>
      <c r="L50" s="227"/>
      <c r="M50" s="228"/>
      <c r="N50" s="170">
        <v>8.4</v>
      </c>
      <c r="O50" s="229">
        <v>0</v>
      </c>
      <c r="P50" s="230">
        <v>0</v>
      </c>
      <c r="Q50" s="179">
        <v>40</v>
      </c>
      <c r="R50" s="170">
        <v>40</v>
      </c>
      <c r="S50" s="222"/>
    </row>
    <row r="51" spans="1:19" x14ac:dyDescent="0.2">
      <c r="A51" s="40"/>
      <c r="B51" s="53" t="s">
        <v>72</v>
      </c>
      <c r="C51" s="223">
        <v>4.0000000000000001E-3</v>
      </c>
      <c r="D51" s="208">
        <v>0.52</v>
      </c>
      <c r="E51" s="205">
        <v>0.25</v>
      </c>
      <c r="F51" s="224">
        <v>0.28000000000000003</v>
      </c>
      <c r="G51" s="186"/>
      <c r="H51" s="225"/>
      <c r="I51" s="226"/>
      <c r="J51" s="180"/>
      <c r="K51" s="162">
        <v>1.8</v>
      </c>
      <c r="L51" s="231"/>
      <c r="M51" s="228"/>
      <c r="N51" s="170">
        <v>14.8</v>
      </c>
      <c r="O51" s="229">
        <v>0</v>
      </c>
      <c r="P51" s="230">
        <v>0</v>
      </c>
      <c r="Q51" s="179">
        <v>40</v>
      </c>
      <c r="R51" s="170">
        <v>40</v>
      </c>
      <c r="S51" s="122"/>
    </row>
    <row r="52" spans="1:19" x14ac:dyDescent="0.2">
      <c r="A52" s="40"/>
      <c r="B52" s="232" t="s">
        <v>73</v>
      </c>
      <c r="C52" s="223">
        <v>4.0000000000000001E-3</v>
      </c>
      <c r="D52" s="208">
        <v>0.48</v>
      </c>
      <c r="E52" s="205">
        <v>0.23</v>
      </c>
      <c r="F52" s="224">
        <v>0.28000000000000003</v>
      </c>
      <c r="G52" s="186"/>
      <c r="H52" s="225"/>
      <c r="I52" s="226"/>
      <c r="J52" s="180"/>
      <c r="K52" s="162">
        <v>1.8</v>
      </c>
      <c r="L52" s="231"/>
      <c r="M52" s="228"/>
      <c r="N52" s="170">
        <v>14.8</v>
      </c>
      <c r="O52" s="229">
        <v>0</v>
      </c>
      <c r="P52" s="230">
        <v>0</v>
      </c>
      <c r="Q52" s="179">
        <v>40</v>
      </c>
      <c r="R52" s="170">
        <v>40</v>
      </c>
      <c r="S52" s="122"/>
    </row>
    <row r="53" spans="1:19" x14ac:dyDescent="0.2">
      <c r="A53" s="40"/>
      <c r="B53" s="53" t="s">
        <v>74</v>
      </c>
      <c r="C53" s="223">
        <v>4.0000000000000001E-3</v>
      </c>
      <c r="D53" s="208">
        <v>2.42</v>
      </c>
      <c r="E53" s="205">
        <v>1.36</v>
      </c>
      <c r="F53" s="224">
        <v>1.17</v>
      </c>
      <c r="G53" s="186"/>
      <c r="H53" s="225"/>
      <c r="I53" s="226"/>
      <c r="J53" s="162">
        <v>0.3</v>
      </c>
      <c r="K53" s="162">
        <v>21.6</v>
      </c>
      <c r="L53" s="233"/>
      <c r="M53" s="228"/>
      <c r="N53" s="170">
        <v>54.6</v>
      </c>
      <c r="O53" s="229">
        <v>0</v>
      </c>
      <c r="P53" s="230">
        <v>0</v>
      </c>
      <c r="Q53" s="179">
        <v>40</v>
      </c>
      <c r="R53" s="170">
        <v>40</v>
      </c>
      <c r="S53" s="122"/>
    </row>
    <row r="54" spans="1:19" x14ac:dyDescent="0.2">
      <c r="A54" s="40"/>
      <c r="B54" s="53" t="s">
        <v>75</v>
      </c>
      <c r="C54" s="223">
        <v>4.0000000000000001E-3</v>
      </c>
      <c r="D54" s="208">
        <v>2.25</v>
      </c>
      <c r="E54" s="205">
        <v>1.06</v>
      </c>
      <c r="F54" s="224">
        <v>1.1100000000000001</v>
      </c>
      <c r="G54" s="186"/>
      <c r="H54" s="225"/>
      <c r="I54" s="226"/>
      <c r="J54" s="162">
        <v>0.3</v>
      </c>
      <c r="K54" s="162">
        <v>21.6</v>
      </c>
      <c r="L54" s="233"/>
      <c r="M54" s="228"/>
      <c r="N54" s="170">
        <v>54.6</v>
      </c>
      <c r="O54" s="229">
        <v>0</v>
      </c>
      <c r="P54" s="230">
        <v>0</v>
      </c>
      <c r="Q54" s="179">
        <v>40</v>
      </c>
      <c r="R54" s="170">
        <v>40</v>
      </c>
      <c r="S54" s="122"/>
    </row>
    <row r="55" spans="1:19" x14ac:dyDescent="0.2">
      <c r="A55" s="40"/>
      <c r="B55" s="53" t="s">
        <v>76</v>
      </c>
      <c r="C55" s="223">
        <v>4.0000000000000001E-3</v>
      </c>
      <c r="D55" s="208">
        <v>1.71</v>
      </c>
      <c r="E55" s="205">
        <v>0.93</v>
      </c>
      <c r="F55" s="224">
        <v>0.96</v>
      </c>
      <c r="G55" s="186"/>
      <c r="H55" s="225"/>
      <c r="I55" s="226"/>
      <c r="J55" s="180"/>
      <c r="K55" s="162">
        <v>17.399999999999999</v>
      </c>
      <c r="L55" s="233"/>
      <c r="M55" s="228"/>
      <c r="N55" s="170">
        <v>60.8</v>
      </c>
      <c r="O55" s="229">
        <v>0</v>
      </c>
      <c r="P55" s="230">
        <v>0</v>
      </c>
      <c r="Q55" s="179">
        <v>40</v>
      </c>
      <c r="R55" s="170">
        <v>40</v>
      </c>
      <c r="S55" s="122"/>
    </row>
    <row r="56" spans="1:19" x14ac:dyDescent="0.2">
      <c r="A56" s="40"/>
      <c r="B56" s="53" t="s">
        <v>77</v>
      </c>
      <c r="C56" s="223">
        <v>4.0000000000000001E-3</v>
      </c>
      <c r="D56" s="208">
        <v>1.62</v>
      </c>
      <c r="E56" s="205">
        <v>0.66</v>
      </c>
      <c r="F56" s="224">
        <v>0.92</v>
      </c>
      <c r="G56" s="186"/>
      <c r="H56" s="225"/>
      <c r="I56" s="226"/>
      <c r="J56" s="180"/>
      <c r="K56" s="162">
        <v>17.399999999999999</v>
      </c>
      <c r="L56" s="233"/>
      <c r="M56" s="228"/>
      <c r="N56" s="170">
        <v>60.8</v>
      </c>
      <c r="O56" s="229">
        <v>0</v>
      </c>
      <c r="P56" s="230">
        <v>0</v>
      </c>
      <c r="Q56" s="179">
        <v>40</v>
      </c>
      <c r="R56" s="170">
        <v>40</v>
      </c>
      <c r="S56" s="122"/>
    </row>
    <row r="57" spans="1:19" x14ac:dyDescent="0.2">
      <c r="A57" s="49"/>
      <c r="B57" s="44" t="s">
        <v>78</v>
      </c>
      <c r="C57" s="223">
        <v>4.0000000000000001E-3</v>
      </c>
      <c r="D57" s="208">
        <v>1.87</v>
      </c>
      <c r="E57" s="205">
        <v>0.57999999999999996</v>
      </c>
      <c r="F57" s="224">
        <v>1.79</v>
      </c>
      <c r="G57" s="186"/>
      <c r="H57" s="225"/>
      <c r="I57" s="226"/>
      <c r="J57" s="180"/>
      <c r="K57" s="162">
        <v>53.3</v>
      </c>
      <c r="L57" s="233"/>
      <c r="M57" s="228"/>
      <c r="N57" s="45">
        <v>105.3</v>
      </c>
      <c r="O57" s="229">
        <v>0</v>
      </c>
      <c r="P57" s="230">
        <v>0</v>
      </c>
      <c r="Q57" s="179">
        <v>40</v>
      </c>
      <c r="R57" s="170">
        <v>40</v>
      </c>
      <c r="S57" s="122"/>
    </row>
    <row r="58" spans="1:19" x14ac:dyDescent="0.2">
      <c r="A58" s="49"/>
      <c r="B58" s="53" t="s">
        <v>79</v>
      </c>
      <c r="C58" s="223">
        <v>4.0000000000000001E-3</v>
      </c>
      <c r="D58" s="208">
        <v>0.71</v>
      </c>
      <c r="E58" s="205">
        <v>0.4</v>
      </c>
      <c r="F58" s="224">
        <v>0.38</v>
      </c>
      <c r="G58" s="186"/>
      <c r="H58" s="225"/>
      <c r="I58" s="226"/>
      <c r="J58" s="180"/>
      <c r="K58" s="162">
        <v>6.4</v>
      </c>
      <c r="L58" s="234"/>
      <c r="M58" s="228"/>
      <c r="N58" s="170">
        <v>67.400000000000006</v>
      </c>
      <c r="O58" s="229">
        <v>0</v>
      </c>
      <c r="P58" s="230">
        <v>0</v>
      </c>
      <c r="Q58" s="179">
        <v>40</v>
      </c>
      <c r="R58" s="170">
        <v>40</v>
      </c>
      <c r="S58" s="33"/>
    </row>
    <row r="59" spans="1:19" x14ac:dyDescent="0.2">
      <c r="A59" s="49"/>
      <c r="B59" s="53" t="s">
        <v>80</v>
      </c>
      <c r="C59" s="223">
        <v>4.0000000000000001E-3</v>
      </c>
      <c r="D59" s="208">
        <v>0.63</v>
      </c>
      <c r="E59" s="205">
        <v>0.4</v>
      </c>
      <c r="F59" s="224">
        <v>0.31</v>
      </c>
      <c r="G59" s="186"/>
      <c r="H59" s="225"/>
      <c r="I59" s="226"/>
      <c r="J59" s="180"/>
      <c r="K59" s="162">
        <v>6</v>
      </c>
      <c r="L59" s="233"/>
      <c r="M59" s="228"/>
      <c r="N59" s="170">
        <v>50</v>
      </c>
      <c r="O59" s="229">
        <v>0</v>
      </c>
      <c r="P59" s="230">
        <v>0</v>
      </c>
      <c r="Q59" s="179">
        <v>40</v>
      </c>
      <c r="R59" s="170">
        <v>40</v>
      </c>
      <c r="S59" s="122"/>
    </row>
    <row r="60" spans="1:19" ht="13.5" thickBot="1" x14ac:dyDescent="0.25">
      <c r="A60" s="54"/>
      <c r="B60" s="44" t="s">
        <v>81</v>
      </c>
      <c r="C60" s="223">
        <v>3.0000000000000001E-3</v>
      </c>
      <c r="D60" s="208">
        <v>0.64</v>
      </c>
      <c r="E60" s="205">
        <v>0.28000000000000003</v>
      </c>
      <c r="F60" s="224">
        <v>0.21</v>
      </c>
      <c r="G60" s="186"/>
      <c r="H60" s="225"/>
      <c r="I60" s="226"/>
      <c r="J60" s="180"/>
      <c r="K60" s="162">
        <v>1</v>
      </c>
      <c r="L60" s="233"/>
      <c r="M60" s="235"/>
      <c r="N60" s="236">
        <v>9.4</v>
      </c>
      <c r="O60" s="229">
        <v>0</v>
      </c>
      <c r="P60" s="230">
        <v>0</v>
      </c>
      <c r="Q60" s="179">
        <v>40</v>
      </c>
      <c r="R60" s="170">
        <v>40</v>
      </c>
      <c r="S60" s="122"/>
    </row>
    <row r="61" spans="1:19" x14ac:dyDescent="0.2">
      <c r="A61" s="187" t="s">
        <v>253</v>
      </c>
      <c r="B61" s="188"/>
      <c r="C61" s="189"/>
      <c r="D61" s="237"/>
      <c r="E61" s="238"/>
      <c r="F61" s="239"/>
      <c r="G61" s="212"/>
      <c r="H61" s="191"/>
      <c r="I61" s="213"/>
      <c r="J61" s="214"/>
      <c r="K61" s="211" t="s">
        <v>254</v>
      </c>
      <c r="L61" s="240"/>
      <c r="M61" s="240" t="s">
        <v>254</v>
      </c>
      <c r="N61" s="241"/>
      <c r="O61" s="192"/>
      <c r="P61" s="211"/>
      <c r="Q61" s="242"/>
      <c r="R61" s="221"/>
      <c r="S61" s="122"/>
    </row>
    <row r="62" spans="1:19" x14ac:dyDescent="0.2">
      <c r="A62" s="49"/>
      <c r="B62" s="44" t="s">
        <v>82</v>
      </c>
      <c r="C62" s="162">
        <v>0.1</v>
      </c>
      <c r="D62" s="179">
        <v>5.9</v>
      </c>
      <c r="E62" s="164">
        <v>1.9</v>
      </c>
      <c r="F62" s="165">
        <v>6.5</v>
      </c>
      <c r="G62" s="186"/>
      <c r="H62" s="225"/>
      <c r="I62" s="226"/>
      <c r="J62" s="180"/>
      <c r="K62" s="162">
        <v>0.2</v>
      </c>
      <c r="L62" s="243"/>
      <c r="M62" s="228"/>
      <c r="N62" s="170">
        <v>0.4</v>
      </c>
      <c r="O62" s="244">
        <v>0</v>
      </c>
      <c r="P62" s="230">
        <v>0</v>
      </c>
      <c r="Q62" s="179">
        <v>45</v>
      </c>
      <c r="R62" s="170">
        <v>45</v>
      </c>
      <c r="S62" s="122"/>
    </row>
    <row r="63" spans="1:19" x14ac:dyDescent="0.2">
      <c r="A63" s="49"/>
      <c r="B63" s="44" t="s">
        <v>83</v>
      </c>
      <c r="C63" s="162">
        <v>0.1</v>
      </c>
      <c r="D63" s="179">
        <v>14.2</v>
      </c>
      <c r="E63" s="164">
        <v>4.3</v>
      </c>
      <c r="F63" s="165">
        <v>15.5</v>
      </c>
      <c r="G63" s="186"/>
      <c r="H63" s="225"/>
      <c r="I63" s="226"/>
      <c r="J63" s="180"/>
      <c r="K63" s="162">
        <v>0.4</v>
      </c>
      <c r="L63" s="233"/>
      <c r="M63" s="228"/>
      <c r="N63" s="170">
        <v>1.1000000000000001</v>
      </c>
      <c r="O63" s="244">
        <v>0</v>
      </c>
      <c r="P63" s="230">
        <v>0</v>
      </c>
      <c r="Q63" s="179">
        <v>45</v>
      </c>
      <c r="R63" s="170">
        <v>45</v>
      </c>
      <c r="S63" s="122"/>
    </row>
    <row r="64" spans="1:19" x14ac:dyDescent="0.2">
      <c r="A64" s="49"/>
      <c r="B64" s="53" t="s">
        <v>84</v>
      </c>
      <c r="C64" s="162">
        <v>0.1</v>
      </c>
      <c r="D64" s="202">
        <v>15.2</v>
      </c>
      <c r="E64" s="164">
        <v>5.7</v>
      </c>
      <c r="F64" s="165">
        <v>18</v>
      </c>
      <c r="G64" s="186"/>
      <c r="H64" s="225"/>
      <c r="I64" s="226"/>
      <c r="J64" s="180"/>
      <c r="K64" s="162">
        <v>0.6</v>
      </c>
      <c r="L64" s="233"/>
      <c r="M64" s="228"/>
      <c r="N64" s="45">
        <v>1</v>
      </c>
      <c r="O64" s="244">
        <v>0</v>
      </c>
      <c r="P64" s="230">
        <v>0</v>
      </c>
      <c r="Q64" s="179">
        <v>45</v>
      </c>
      <c r="R64" s="170">
        <v>45</v>
      </c>
      <c r="S64" s="122"/>
    </row>
    <row r="65" spans="1:19" x14ac:dyDescent="0.2">
      <c r="A65" s="49"/>
      <c r="B65" s="53" t="s">
        <v>85</v>
      </c>
      <c r="C65" s="162">
        <v>0.7</v>
      </c>
      <c r="D65" s="202">
        <v>33.4</v>
      </c>
      <c r="E65" s="164">
        <v>15.3</v>
      </c>
      <c r="F65" s="165">
        <v>51</v>
      </c>
      <c r="G65" s="186"/>
      <c r="H65" s="225"/>
      <c r="I65" s="226"/>
      <c r="J65" s="180"/>
      <c r="K65" s="162">
        <v>4</v>
      </c>
      <c r="L65" s="233"/>
      <c r="M65" s="228"/>
      <c r="N65" s="45">
        <v>6.8</v>
      </c>
      <c r="O65" s="244">
        <v>0</v>
      </c>
      <c r="P65" s="230">
        <v>0</v>
      </c>
      <c r="Q65" s="179">
        <v>45</v>
      </c>
      <c r="R65" s="170">
        <v>45</v>
      </c>
      <c r="S65" s="122"/>
    </row>
    <row r="66" spans="1:19" x14ac:dyDescent="0.2">
      <c r="A66" s="49"/>
      <c r="B66" s="53" t="s">
        <v>86</v>
      </c>
      <c r="C66" s="162">
        <v>0.7</v>
      </c>
      <c r="D66" s="202">
        <v>53.6</v>
      </c>
      <c r="E66" s="164">
        <v>23.4</v>
      </c>
      <c r="F66" s="165">
        <v>67</v>
      </c>
      <c r="G66" s="186"/>
      <c r="H66" s="225"/>
      <c r="I66" s="226"/>
      <c r="J66" s="180"/>
      <c r="K66" s="162">
        <v>6</v>
      </c>
      <c r="L66" s="233"/>
      <c r="M66" s="228"/>
      <c r="N66" s="45">
        <v>11.2</v>
      </c>
      <c r="O66" s="244">
        <v>0</v>
      </c>
      <c r="P66" s="230">
        <v>0</v>
      </c>
      <c r="Q66" s="179">
        <v>45</v>
      </c>
      <c r="R66" s="170">
        <v>45</v>
      </c>
      <c r="S66" s="122"/>
    </row>
    <row r="67" spans="1:19" x14ac:dyDescent="0.2">
      <c r="A67" s="49"/>
      <c r="B67" s="44" t="s">
        <v>87</v>
      </c>
      <c r="C67" s="223">
        <v>3.0000000000000001E-3</v>
      </c>
      <c r="D67" s="179">
        <v>9.6999999999999993</v>
      </c>
      <c r="E67" s="164">
        <v>5.4</v>
      </c>
      <c r="F67" s="165">
        <v>8.3000000000000007</v>
      </c>
      <c r="G67" s="186"/>
      <c r="H67" s="225"/>
      <c r="I67" s="226"/>
      <c r="J67" s="162">
        <v>0.6</v>
      </c>
      <c r="K67" s="162">
        <v>0.3</v>
      </c>
      <c r="L67" s="233"/>
      <c r="M67" s="228"/>
      <c r="N67" s="45">
        <v>0.8</v>
      </c>
      <c r="O67" s="244">
        <v>0</v>
      </c>
      <c r="P67" s="230">
        <v>0</v>
      </c>
      <c r="Q67" s="179">
        <v>45</v>
      </c>
      <c r="R67" s="170">
        <v>45</v>
      </c>
      <c r="S67" s="122"/>
    </row>
    <row r="68" spans="1:19" x14ac:dyDescent="0.2">
      <c r="A68" s="55"/>
      <c r="B68" s="44" t="s">
        <v>88</v>
      </c>
      <c r="C68" s="204">
        <v>0.15</v>
      </c>
      <c r="D68" s="179">
        <v>15.8</v>
      </c>
      <c r="E68" s="164">
        <v>4.5</v>
      </c>
      <c r="F68" s="165">
        <v>17.600000000000001</v>
      </c>
      <c r="G68" s="186"/>
      <c r="H68" s="225"/>
      <c r="I68" s="226"/>
      <c r="J68" s="180"/>
      <c r="K68" s="162"/>
      <c r="L68" s="233"/>
      <c r="M68" s="228"/>
      <c r="N68" s="45"/>
      <c r="O68" s="244">
        <v>0</v>
      </c>
      <c r="P68" s="230">
        <v>0</v>
      </c>
      <c r="Q68" s="179">
        <v>45</v>
      </c>
      <c r="R68" s="170">
        <v>45</v>
      </c>
      <c r="S68" s="122"/>
    </row>
    <row r="69" spans="1:19" x14ac:dyDescent="0.2">
      <c r="A69" s="55"/>
      <c r="B69" s="44" t="s">
        <v>89</v>
      </c>
      <c r="C69" s="204">
        <v>0.05</v>
      </c>
      <c r="D69" s="179">
        <v>5.8</v>
      </c>
      <c r="E69" s="164">
        <v>1.7</v>
      </c>
      <c r="F69" s="165">
        <v>6.4</v>
      </c>
      <c r="G69" s="186"/>
      <c r="H69" s="225"/>
      <c r="I69" s="245"/>
      <c r="J69" s="180"/>
      <c r="K69" s="162"/>
      <c r="L69" s="233"/>
      <c r="M69" s="228"/>
      <c r="N69" s="45"/>
      <c r="O69" s="229"/>
      <c r="P69" s="230"/>
      <c r="Q69" s="179">
        <v>45</v>
      </c>
      <c r="R69" s="170">
        <v>45</v>
      </c>
      <c r="S69" s="122"/>
    </row>
    <row r="70" spans="1:19" x14ac:dyDescent="0.2">
      <c r="A70" s="54"/>
      <c r="B70" s="44" t="s">
        <v>90</v>
      </c>
      <c r="C70" s="162">
        <v>0.3</v>
      </c>
      <c r="D70" s="179">
        <v>22.7</v>
      </c>
      <c r="E70" s="164">
        <v>7.2</v>
      </c>
      <c r="F70" s="165">
        <v>27</v>
      </c>
      <c r="G70" s="186"/>
      <c r="H70" s="225"/>
      <c r="I70" s="226"/>
      <c r="J70" s="180"/>
      <c r="K70" s="162"/>
      <c r="L70" s="233"/>
      <c r="M70" s="228"/>
      <c r="N70" s="45"/>
      <c r="O70" s="244">
        <v>0</v>
      </c>
      <c r="P70" s="230">
        <v>0</v>
      </c>
      <c r="Q70" s="179">
        <v>45</v>
      </c>
      <c r="R70" s="170">
        <v>45</v>
      </c>
      <c r="S70" s="122"/>
    </row>
    <row r="71" spans="1:19" x14ac:dyDescent="0.2">
      <c r="A71" s="54"/>
      <c r="B71" s="44" t="s">
        <v>91</v>
      </c>
      <c r="C71" s="204">
        <v>0.1</v>
      </c>
      <c r="D71" s="179">
        <v>8.3000000000000007</v>
      </c>
      <c r="E71" s="164">
        <v>2.7</v>
      </c>
      <c r="F71" s="165">
        <v>9.9</v>
      </c>
      <c r="G71" s="186"/>
      <c r="H71" s="225"/>
      <c r="I71" s="245"/>
      <c r="J71" s="180"/>
      <c r="K71" s="162"/>
      <c r="L71" s="233"/>
      <c r="M71" s="228"/>
      <c r="N71" s="45"/>
      <c r="O71" s="229"/>
      <c r="P71" s="230"/>
      <c r="Q71" s="179">
        <v>45</v>
      </c>
      <c r="R71" s="170">
        <v>45</v>
      </c>
      <c r="S71" s="122"/>
    </row>
    <row r="72" spans="1:19" ht="13.5" thickBot="1" x14ac:dyDescent="0.25">
      <c r="A72" s="56"/>
      <c r="B72" s="42" t="s">
        <v>92</v>
      </c>
      <c r="C72" s="140">
        <v>0.3</v>
      </c>
      <c r="D72" s="246">
        <v>22.7</v>
      </c>
      <c r="E72" s="247">
        <v>7.2</v>
      </c>
      <c r="F72" s="248">
        <v>27</v>
      </c>
      <c r="G72" s="249"/>
      <c r="H72" s="250"/>
      <c r="I72" s="251"/>
      <c r="J72" s="252"/>
      <c r="K72" s="140">
        <v>2</v>
      </c>
      <c r="L72" s="253"/>
      <c r="M72" s="254"/>
      <c r="N72" s="255">
        <v>3.4</v>
      </c>
      <c r="O72" s="256">
        <v>0</v>
      </c>
      <c r="P72" s="257">
        <v>0</v>
      </c>
      <c r="Q72" s="246">
        <v>45</v>
      </c>
      <c r="R72" s="255">
        <v>45</v>
      </c>
      <c r="S72" s="122"/>
    </row>
  </sheetData>
  <customSheetViews>
    <customSheetView guid="{DDA6E6AA-9473-49A0-A3A2-76E4959B79AF}" state="hidden">
      <selection activeCell="B6" sqref="B6"/>
      <pageMargins left="0.7" right="0.7" top="0.78740157499999996" bottom="0.78740157499999996" header="0.3" footer="0.3"/>
    </customSheetView>
  </customSheetViews>
  <mergeCells count="7">
    <mergeCell ref="L7:N7"/>
    <mergeCell ref="G5:J5"/>
    <mergeCell ref="L5:N5"/>
    <mergeCell ref="Q5:R5"/>
    <mergeCell ref="G6:J6"/>
    <mergeCell ref="L6:N6"/>
    <mergeCell ref="Q6:R6"/>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2</vt:i4>
      </vt:variant>
    </vt:vector>
  </HeadingPairs>
  <TitlesOfParts>
    <vt:vector size="20" baseType="lpstr">
      <vt:lpstr>Berechnung Nährstoffe und Lager</vt:lpstr>
      <vt:lpstr>Lagerhaltung (freiwillig)</vt:lpstr>
      <vt:lpstr>Abweichende Werte</vt:lpstr>
      <vt:lpstr>Notizen</vt:lpstr>
      <vt:lpstr>Gemarkungsniederschläge</vt:lpstr>
      <vt:lpstr>Protokoll</vt:lpstr>
      <vt:lpstr>Tiere</vt:lpstr>
      <vt:lpstr>Datentabellen Diagramme</vt:lpstr>
      <vt:lpstr>Tiere orginal</vt:lpstr>
      <vt:lpstr>Tierprodukte</vt:lpstr>
      <vt:lpstr>Stroh</vt:lpstr>
      <vt:lpstr>Erläuterungen</vt:lpstr>
      <vt:lpstr>Hinweise zum Programm</vt:lpstr>
      <vt:lpstr>Niederschläge</vt:lpstr>
      <vt:lpstr>Pflanzen</vt:lpstr>
      <vt:lpstr>Erläuterung AnrechnungNachgärer</vt:lpstr>
      <vt:lpstr>Ablaufchema</vt:lpstr>
      <vt:lpstr>Basisdaten</vt:lpstr>
      <vt:lpstr>'Lagerhaltung (freiwillig)'!Druckbereich</vt:lpstr>
      <vt:lpstr>'Abweichende Werte'!Drucktitel</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 Biogasgärrestrechner_2021</dc:title>
  <dc:creator>msbo</dc:creator>
  <cp:lastModifiedBy>Schmücker, Rebekka (LfL)</cp:lastModifiedBy>
  <cp:lastPrinted>2021-11-04T14:44:08Z</cp:lastPrinted>
  <dcterms:created xsi:type="dcterms:W3CDTF">2006-11-22T08:57:22Z</dcterms:created>
  <dcterms:modified xsi:type="dcterms:W3CDTF">2021-11-08T07:52:00Z</dcterms:modified>
</cp:coreProperties>
</file>